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nivida2\Desktop\PROGRAMA VICTIMAS\"/>
    </mc:Choice>
  </mc:AlternateContent>
  <bookViews>
    <workbookView xWindow="0" yWindow="0" windowWidth="20490" windowHeight="7275"/>
  </bookViews>
  <sheets>
    <sheet name="ejecutado" sheetId="1" r:id="rId1"/>
  </sheets>
  <definedNames>
    <definedName name="_xlnm._FilterDatabase" localSheetId="0" hidden="1">ejecutado!$A$1:$AB$96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2" i="1" l="1"/>
  <c r="AA2" i="1"/>
  <c r="AA124" i="1"/>
  <c r="X124" i="1"/>
  <c r="S124" i="1"/>
  <c r="AB124" i="1" s="1"/>
  <c r="AA123" i="1"/>
  <c r="X123" i="1"/>
  <c r="S123" i="1"/>
  <c r="AA122" i="1"/>
  <c r="X122" i="1"/>
  <c r="S122" i="1"/>
  <c r="AA121" i="1"/>
  <c r="X121" i="1"/>
  <c r="S121" i="1"/>
  <c r="AA120" i="1"/>
  <c r="X120" i="1"/>
  <c r="S120" i="1"/>
  <c r="AB120" i="1" s="1"/>
  <c r="AA119" i="1"/>
  <c r="X119" i="1"/>
  <c r="S119" i="1"/>
  <c r="AA118" i="1"/>
  <c r="X118" i="1"/>
  <c r="S118" i="1"/>
  <c r="AA117" i="1"/>
  <c r="X117" i="1"/>
  <c r="S117" i="1"/>
  <c r="AA116" i="1"/>
  <c r="X116" i="1"/>
  <c r="S116" i="1"/>
  <c r="AB116" i="1" s="1"/>
  <c r="AA115" i="1"/>
  <c r="X115" i="1"/>
  <c r="S115" i="1"/>
  <c r="AA114" i="1"/>
  <c r="X114" i="1"/>
  <c r="S114" i="1"/>
  <c r="AA113" i="1"/>
  <c r="X113" i="1"/>
  <c r="S113" i="1"/>
  <c r="AA112" i="1"/>
  <c r="X112" i="1"/>
  <c r="S112" i="1"/>
  <c r="AB112" i="1" s="1"/>
  <c r="AA111" i="1"/>
  <c r="X111" i="1"/>
  <c r="S111" i="1"/>
  <c r="AA110" i="1"/>
  <c r="X110" i="1"/>
  <c r="S110" i="1"/>
  <c r="AA109" i="1"/>
  <c r="X109" i="1"/>
  <c r="S109" i="1"/>
  <c r="AA108" i="1"/>
  <c r="X108" i="1"/>
  <c r="S108" i="1"/>
  <c r="AB108" i="1" s="1"/>
  <c r="AA107" i="1"/>
  <c r="X107" i="1"/>
  <c r="S107" i="1"/>
  <c r="AA106" i="1"/>
  <c r="X106" i="1"/>
  <c r="S106" i="1"/>
  <c r="AA105" i="1"/>
  <c r="X105" i="1"/>
  <c r="S105" i="1"/>
  <c r="AA104" i="1"/>
  <c r="X104" i="1"/>
  <c r="S104" i="1"/>
  <c r="AB104" i="1" s="1"/>
  <c r="AA103" i="1"/>
  <c r="X103" i="1"/>
  <c r="S103" i="1"/>
  <c r="AA102" i="1"/>
  <c r="X102" i="1"/>
  <c r="S102" i="1"/>
  <c r="AA101" i="1"/>
  <c r="X101" i="1"/>
  <c r="S101" i="1"/>
  <c r="AA100" i="1"/>
  <c r="X100" i="1"/>
  <c r="S100" i="1"/>
  <c r="AB100" i="1" s="1"/>
  <c r="AA99" i="1"/>
  <c r="X99" i="1"/>
  <c r="S99" i="1"/>
  <c r="AA98" i="1"/>
  <c r="X98" i="1"/>
  <c r="S98" i="1"/>
  <c r="AA97" i="1"/>
  <c r="X97" i="1"/>
  <c r="S97" i="1"/>
  <c r="AA96" i="1"/>
  <c r="V96" i="1"/>
  <c r="X96" i="1"/>
  <c r="R96" i="1"/>
  <c r="S96" i="1" s="1"/>
  <c r="AA95" i="1"/>
  <c r="V95" i="1"/>
  <c r="X95" i="1" s="1"/>
  <c r="R95" i="1"/>
  <c r="S95" i="1" s="1"/>
  <c r="AA94" i="1"/>
  <c r="V94" i="1"/>
  <c r="X94" i="1"/>
  <c r="R94" i="1"/>
  <c r="S94" i="1" s="1"/>
  <c r="AA93" i="1"/>
  <c r="V93" i="1"/>
  <c r="X93" i="1" s="1"/>
  <c r="R93" i="1"/>
  <c r="S93" i="1" s="1"/>
  <c r="AA92" i="1"/>
  <c r="V92" i="1"/>
  <c r="X92" i="1" s="1"/>
  <c r="R92" i="1"/>
  <c r="S92" i="1" s="1"/>
  <c r="AA91" i="1"/>
  <c r="V91" i="1"/>
  <c r="X91" i="1" s="1"/>
  <c r="R91" i="1"/>
  <c r="S91" i="1" s="1"/>
  <c r="AA90" i="1"/>
  <c r="V90" i="1"/>
  <c r="X90" i="1"/>
  <c r="R90" i="1"/>
  <c r="S90" i="1" s="1"/>
  <c r="AA89" i="1"/>
  <c r="V89" i="1"/>
  <c r="X89" i="1" s="1"/>
  <c r="R89" i="1"/>
  <c r="S89" i="1" s="1"/>
  <c r="AA88" i="1"/>
  <c r="V88" i="1"/>
  <c r="X88" i="1"/>
  <c r="R88" i="1"/>
  <c r="S88" i="1" s="1"/>
  <c r="AA87" i="1"/>
  <c r="V87" i="1"/>
  <c r="X87" i="1" s="1"/>
  <c r="R87" i="1"/>
  <c r="S87" i="1" s="1"/>
  <c r="AA86" i="1"/>
  <c r="V86" i="1"/>
  <c r="X86" i="1"/>
  <c r="R86" i="1"/>
  <c r="S86" i="1" s="1"/>
  <c r="AA85" i="1"/>
  <c r="V85" i="1"/>
  <c r="X85" i="1" s="1"/>
  <c r="R85" i="1"/>
  <c r="S85" i="1" s="1"/>
  <c r="AA84" i="1"/>
  <c r="V84" i="1"/>
  <c r="X84" i="1" s="1"/>
  <c r="R84" i="1"/>
  <c r="S84" i="1" s="1"/>
  <c r="AA83" i="1"/>
  <c r="V83" i="1"/>
  <c r="X83" i="1" s="1"/>
  <c r="R83" i="1"/>
  <c r="S83" i="1" s="1"/>
  <c r="AA82" i="1"/>
  <c r="V82" i="1"/>
  <c r="X82" i="1"/>
  <c r="R82" i="1"/>
  <c r="S82" i="1" s="1"/>
  <c r="AA81" i="1"/>
  <c r="V81" i="1"/>
  <c r="X81" i="1" s="1"/>
  <c r="R81" i="1"/>
  <c r="S81" i="1" s="1"/>
  <c r="AA80" i="1"/>
  <c r="V80" i="1"/>
  <c r="X80" i="1"/>
  <c r="R80" i="1"/>
  <c r="S80" i="1" s="1"/>
  <c r="AA79" i="1"/>
  <c r="V79" i="1"/>
  <c r="X79" i="1" s="1"/>
  <c r="R79" i="1"/>
  <c r="S79" i="1" s="1"/>
  <c r="AA78" i="1"/>
  <c r="V78" i="1"/>
  <c r="X78" i="1"/>
  <c r="R78" i="1"/>
  <c r="S78" i="1" s="1"/>
  <c r="AA77" i="1"/>
  <c r="V77" i="1"/>
  <c r="X77" i="1" s="1"/>
  <c r="R77" i="1"/>
  <c r="S77" i="1" s="1"/>
  <c r="AA76" i="1"/>
  <c r="V76" i="1"/>
  <c r="X76" i="1" s="1"/>
  <c r="R76" i="1"/>
  <c r="S76" i="1" s="1"/>
  <c r="AA75" i="1"/>
  <c r="V75" i="1"/>
  <c r="X75" i="1" s="1"/>
  <c r="R75" i="1"/>
  <c r="S75" i="1" s="1"/>
  <c r="AA74" i="1"/>
  <c r="V74" i="1"/>
  <c r="X74" i="1"/>
  <c r="R74" i="1"/>
  <c r="S74" i="1" s="1"/>
  <c r="AA73" i="1"/>
  <c r="V73" i="1"/>
  <c r="X73" i="1" s="1"/>
  <c r="R73" i="1"/>
  <c r="S73" i="1" s="1"/>
  <c r="AA72" i="1"/>
  <c r="V72" i="1"/>
  <c r="X72" i="1"/>
  <c r="R72" i="1"/>
  <c r="S72" i="1" s="1"/>
  <c r="AA71" i="1"/>
  <c r="V71" i="1"/>
  <c r="X71" i="1" s="1"/>
  <c r="R71" i="1"/>
  <c r="S71" i="1" s="1"/>
  <c r="AA70" i="1"/>
  <c r="V70" i="1"/>
  <c r="X70" i="1"/>
  <c r="R70" i="1"/>
  <c r="S70" i="1" s="1"/>
  <c r="AA69" i="1"/>
  <c r="V69" i="1"/>
  <c r="X69" i="1" s="1"/>
  <c r="R69" i="1"/>
  <c r="S69" i="1" s="1"/>
  <c r="AA68" i="1"/>
  <c r="V68" i="1"/>
  <c r="X68" i="1" s="1"/>
  <c r="R68" i="1"/>
  <c r="S68" i="1" s="1"/>
  <c r="AA67" i="1"/>
  <c r="V67" i="1"/>
  <c r="X67" i="1" s="1"/>
  <c r="R67" i="1"/>
  <c r="S67" i="1" s="1"/>
  <c r="AA66" i="1"/>
  <c r="V66" i="1"/>
  <c r="X66" i="1"/>
  <c r="R66" i="1"/>
  <c r="S66" i="1" s="1"/>
  <c r="AA65" i="1"/>
  <c r="V65" i="1"/>
  <c r="X65" i="1" s="1"/>
  <c r="R65" i="1"/>
  <c r="S65" i="1" s="1"/>
  <c r="AA64" i="1"/>
  <c r="V64" i="1"/>
  <c r="X64" i="1"/>
  <c r="R64" i="1"/>
  <c r="S64" i="1" s="1"/>
  <c r="AA63" i="1"/>
  <c r="V63" i="1"/>
  <c r="X63" i="1" s="1"/>
  <c r="R63" i="1"/>
  <c r="S63" i="1" s="1"/>
  <c r="AA62" i="1"/>
  <c r="V62" i="1"/>
  <c r="X62" i="1"/>
  <c r="R62" i="1"/>
  <c r="S62" i="1" s="1"/>
  <c r="AA61" i="1"/>
  <c r="V61" i="1"/>
  <c r="X61" i="1" s="1"/>
  <c r="R61" i="1"/>
  <c r="S61" i="1" s="1"/>
  <c r="AA60" i="1"/>
  <c r="V60" i="1"/>
  <c r="X60" i="1" s="1"/>
  <c r="R60" i="1"/>
  <c r="S60" i="1" s="1"/>
  <c r="AA59" i="1"/>
  <c r="V59" i="1"/>
  <c r="X59" i="1" s="1"/>
  <c r="R59" i="1"/>
  <c r="S59" i="1" s="1"/>
  <c r="AA58" i="1"/>
  <c r="V58" i="1"/>
  <c r="X58" i="1"/>
  <c r="R58" i="1"/>
  <c r="S58" i="1" s="1"/>
  <c r="AA57" i="1"/>
  <c r="V57" i="1"/>
  <c r="X57" i="1" s="1"/>
  <c r="R57" i="1"/>
  <c r="S57" i="1" s="1"/>
  <c r="AA56" i="1"/>
  <c r="V56" i="1"/>
  <c r="X56" i="1"/>
  <c r="R56" i="1"/>
  <c r="S56" i="1" s="1"/>
  <c r="AB97" i="1" l="1"/>
  <c r="AB101" i="1"/>
  <c r="AB105" i="1"/>
  <c r="AB109" i="1"/>
  <c r="AB113" i="1"/>
  <c r="AB117" i="1"/>
  <c r="AB121" i="1"/>
  <c r="AB99" i="1"/>
  <c r="AB103" i="1"/>
  <c r="AB107" i="1"/>
  <c r="AB111" i="1"/>
  <c r="AB115" i="1"/>
  <c r="AB119" i="1"/>
  <c r="AB123" i="1"/>
  <c r="AB98" i="1"/>
  <c r="AB102" i="1"/>
  <c r="AB106" i="1"/>
  <c r="AB110" i="1"/>
  <c r="AB114" i="1"/>
  <c r="AB118" i="1"/>
  <c r="AB122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R2" i="1" l="1"/>
  <c r="S2" i="1" s="1"/>
  <c r="V2" i="1"/>
  <c r="Y2" i="1"/>
  <c r="Z2" i="1"/>
  <c r="R3" i="1"/>
  <c r="S3" i="1" s="1"/>
  <c r="V3" i="1"/>
  <c r="W3" i="1" s="1"/>
  <c r="Y3" i="1"/>
  <c r="Z3" i="1"/>
  <c r="R4" i="1"/>
  <c r="S4" i="1" s="1"/>
  <c r="V4" i="1"/>
  <c r="W4" i="1" s="1"/>
  <c r="Y4" i="1"/>
  <c r="Z4" i="1"/>
  <c r="R5" i="1"/>
  <c r="S5" i="1" s="1"/>
  <c r="V5" i="1"/>
  <c r="W5" i="1"/>
  <c r="Y5" i="1"/>
  <c r="Z5" i="1"/>
  <c r="R6" i="1"/>
  <c r="S6" i="1" s="1"/>
  <c r="V6" i="1"/>
  <c r="W6" i="1" s="1"/>
  <c r="Y6" i="1"/>
  <c r="Z6" i="1"/>
  <c r="R7" i="1"/>
  <c r="S7" i="1" s="1"/>
  <c r="V7" i="1"/>
  <c r="W7" i="1" s="1"/>
  <c r="Y7" i="1"/>
  <c r="Z7" i="1"/>
  <c r="R8" i="1"/>
  <c r="S8" i="1" s="1"/>
  <c r="V8" i="1"/>
  <c r="W8" i="1" s="1"/>
  <c r="Y8" i="1"/>
  <c r="Z8" i="1"/>
  <c r="R9" i="1"/>
  <c r="S9" i="1" s="1"/>
  <c r="V9" i="1"/>
  <c r="W9" i="1" s="1"/>
  <c r="Y9" i="1"/>
  <c r="Z9" i="1"/>
  <c r="R10" i="1"/>
  <c r="S10" i="1" s="1"/>
  <c r="V10" i="1"/>
  <c r="Y10" i="1"/>
  <c r="Z10" i="1"/>
  <c r="R11" i="1"/>
  <c r="S11" i="1" s="1"/>
  <c r="V11" i="1"/>
  <c r="W11" i="1" s="1"/>
  <c r="Y11" i="1"/>
  <c r="Z11" i="1"/>
  <c r="O12" i="1"/>
  <c r="R12" i="1"/>
  <c r="V12" i="1"/>
  <c r="W12" i="1" s="1"/>
  <c r="AA12" i="1"/>
  <c r="R13" i="1"/>
  <c r="S13" i="1" s="1"/>
  <c r="V13" i="1"/>
  <c r="W13" i="1" s="1"/>
  <c r="AA13" i="1"/>
  <c r="R14" i="1"/>
  <c r="S14" i="1" s="1"/>
  <c r="V14" i="1"/>
  <c r="W14" i="1" s="1"/>
  <c r="AA14" i="1"/>
  <c r="R15" i="1"/>
  <c r="S15" i="1" s="1"/>
  <c r="V15" i="1"/>
  <c r="AA15" i="1"/>
  <c r="R16" i="1"/>
  <c r="S16" i="1" s="1"/>
  <c r="V16" i="1"/>
  <c r="W16" i="1" s="1"/>
  <c r="Y16" i="1"/>
  <c r="Z16" i="1"/>
  <c r="O17" i="1"/>
  <c r="R17" i="1"/>
  <c r="V17" i="1"/>
  <c r="W17" i="1" s="1"/>
  <c r="AA17" i="1"/>
  <c r="R18" i="1"/>
  <c r="S18" i="1" s="1"/>
  <c r="V18" i="1"/>
  <c r="Y18" i="1"/>
  <c r="Z18" i="1"/>
  <c r="R19" i="1"/>
  <c r="S19" i="1" s="1"/>
  <c r="V19" i="1"/>
  <c r="W19" i="1" s="1"/>
  <c r="AA19" i="1"/>
  <c r="R20" i="1"/>
  <c r="S20" i="1" s="1"/>
  <c r="V20" i="1"/>
  <c r="AA20" i="1"/>
  <c r="R21" i="1"/>
  <c r="S21" i="1" s="1"/>
  <c r="V21" i="1"/>
  <c r="W21" i="1" s="1"/>
  <c r="AA21" i="1"/>
  <c r="R22" i="1"/>
  <c r="S22" i="1" s="1"/>
  <c r="V22" i="1"/>
  <c r="W22" i="1" s="1"/>
  <c r="Y22" i="1"/>
  <c r="Z22" i="1"/>
  <c r="R23" i="1"/>
  <c r="S23" i="1" s="1"/>
  <c r="V23" i="1"/>
  <c r="W23" i="1" s="1"/>
  <c r="AA23" i="1"/>
  <c r="R24" i="1"/>
  <c r="S24" i="1" s="1"/>
  <c r="V24" i="1"/>
  <c r="W24" i="1" s="1"/>
  <c r="AA24" i="1"/>
  <c r="R25" i="1"/>
  <c r="S25" i="1" s="1"/>
  <c r="V25" i="1"/>
  <c r="W25" i="1" s="1"/>
  <c r="Y25" i="1"/>
  <c r="Z25" i="1"/>
  <c r="R26" i="1"/>
  <c r="S26" i="1" s="1"/>
  <c r="V26" i="1"/>
  <c r="AA26" i="1"/>
  <c r="R27" i="1"/>
  <c r="S27" i="1" s="1"/>
  <c r="V27" i="1"/>
  <c r="W27" i="1" s="1"/>
  <c r="AA27" i="1"/>
  <c r="R28" i="1"/>
  <c r="S28" i="1" s="1"/>
  <c r="V28" i="1"/>
  <c r="Y28" i="1"/>
  <c r="Z28" i="1"/>
  <c r="O29" i="1"/>
  <c r="R29" i="1"/>
  <c r="V29" i="1"/>
  <c r="AA29" i="1"/>
  <c r="R30" i="1"/>
  <c r="S30" i="1" s="1"/>
  <c r="V30" i="1"/>
  <c r="W30" i="1" s="1"/>
  <c r="AA30" i="1"/>
  <c r="R31" i="1"/>
  <c r="S31" i="1" s="1"/>
  <c r="V31" i="1"/>
  <c r="W31" i="1" s="1"/>
  <c r="AA31" i="1"/>
  <c r="R32" i="1"/>
  <c r="S32" i="1" s="1"/>
  <c r="V32" i="1"/>
  <c r="W32" i="1" s="1"/>
  <c r="AA32" i="1"/>
  <c r="R33" i="1"/>
  <c r="S33" i="1" s="1"/>
  <c r="V33" i="1"/>
  <c r="W33" i="1"/>
  <c r="X33" i="1" s="1"/>
  <c r="Y33" i="1"/>
  <c r="Z33" i="1"/>
  <c r="R34" i="1"/>
  <c r="S34" i="1" s="1"/>
  <c r="V34" i="1"/>
  <c r="W34" i="1" s="1"/>
  <c r="AA34" i="1"/>
  <c r="R35" i="1"/>
  <c r="S35" i="1" s="1"/>
  <c r="V35" i="1"/>
  <c r="W35" i="1" s="1"/>
  <c r="AA35" i="1"/>
  <c r="R36" i="1"/>
  <c r="S36" i="1" s="1"/>
  <c r="V36" i="1"/>
  <c r="W36" i="1" s="1"/>
  <c r="AA36" i="1"/>
  <c r="O37" i="1"/>
  <c r="R37" i="1"/>
  <c r="V37" i="1"/>
  <c r="W37" i="1" s="1"/>
  <c r="AA37" i="1"/>
  <c r="R38" i="1"/>
  <c r="S38" i="1" s="1"/>
  <c r="V38" i="1"/>
  <c r="W38" i="1" s="1"/>
  <c r="AA38" i="1"/>
  <c r="R39" i="1"/>
  <c r="S39" i="1" s="1"/>
  <c r="V39" i="1"/>
  <c r="W39" i="1" s="1"/>
  <c r="Y39" i="1"/>
  <c r="Z39" i="1"/>
  <c r="O40" i="1"/>
  <c r="R40" i="1"/>
  <c r="V40" i="1"/>
  <c r="W40" i="1" s="1"/>
  <c r="AA40" i="1"/>
  <c r="R41" i="1"/>
  <c r="S41" i="1" s="1"/>
  <c r="V41" i="1"/>
  <c r="AA41" i="1"/>
  <c r="R42" i="1"/>
  <c r="S42" i="1" s="1"/>
  <c r="V42" i="1"/>
  <c r="AA42" i="1"/>
  <c r="R43" i="1"/>
  <c r="S43" i="1" s="1"/>
  <c r="V43" i="1"/>
  <c r="W43" i="1" s="1"/>
  <c r="X43" i="1" s="1"/>
  <c r="AA43" i="1"/>
  <c r="R44" i="1"/>
  <c r="S44" i="1" s="1"/>
  <c r="V44" i="1"/>
  <c r="W44" i="1" s="1"/>
  <c r="AA44" i="1"/>
  <c r="R45" i="1"/>
  <c r="S45" i="1" s="1"/>
  <c r="V45" i="1"/>
  <c r="W45" i="1" s="1"/>
  <c r="AA45" i="1"/>
  <c r="R46" i="1"/>
  <c r="S46" i="1" s="1"/>
  <c r="V46" i="1"/>
  <c r="AA46" i="1"/>
  <c r="R47" i="1"/>
  <c r="S47" i="1" s="1"/>
  <c r="V47" i="1"/>
  <c r="W47" i="1" s="1"/>
  <c r="X47" i="1" s="1"/>
  <c r="Y47" i="1"/>
  <c r="Z47" i="1"/>
  <c r="R48" i="1"/>
  <c r="S48" i="1" s="1"/>
  <c r="V48" i="1"/>
  <c r="W48" i="1" s="1"/>
  <c r="AA48" i="1"/>
  <c r="O49" i="1"/>
  <c r="R49" i="1"/>
  <c r="V49" i="1"/>
  <c r="AA49" i="1"/>
  <c r="R50" i="1"/>
  <c r="S50" i="1" s="1"/>
  <c r="V50" i="1"/>
  <c r="W50" i="1" s="1"/>
  <c r="X50" i="1" s="1"/>
  <c r="AA50" i="1"/>
  <c r="R51" i="1"/>
  <c r="S51" i="1" s="1"/>
  <c r="V51" i="1"/>
  <c r="W51" i="1" s="1"/>
  <c r="AA51" i="1"/>
  <c r="R52" i="1"/>
  <c r="S52" i="1" s="1"/>
  <c r="V52" i="1"/>
  <c r="W52" i="1" s="1"/>
  <c r="AA52" i="1"/>
  <c r="R53" i="1"/>
  <c r="S53" i="1" s="1"/>
  <c r="V53" i="1"/>
  <c r="AA53" i="1"/>
  <c r="R54" i="1"/>
  <c r="S54" i="1" s="1"/>
  <c r="V54" i="1"/>
  <c r="W54" i="1" s="1"/>
  <c r="X54" i="1" s="1"/>
  <c r="AA54" i="1"/>
  <c r="R55" i="1"/>
  <c r="S55" i="1" s="1"/>
  <c r="V55" i="1"/>
  <c r="W55" i="1" s="1"/>
  <c r="AA55" i="1"/>
  <c r="AA22" i="1" l="1"/>
  <c r="W2" i="1"/>
  <c r="X2" i="1"/>
  <c r="AB50" i="1"/>
  <c r="S49" i="1"/>
  <c r="S37" i="1"/>
  <c r="W29" i="1"/>
  <c r="X29" i="1" s="1"/>
  <c r="AA47" i="1"/>
  <c r="AB47" i="1" s="1"/>
  <c r="AA39" i="1"/>
  <c r="AA16" i="1"/>
  <c r="AA33" i="1"/>
  <c r="AB33" i="1" s="1"/>
  <c r="X24" i="1"/>
  <c r="AB24" i="1" s="1"/>
  <c r="AA5" i="1"/>
  <c r="X4" i="1"/>
  <c r="S40" i="1"/>
  <c r="X22" i="1"/>
  <c r="AB22" i="1" s="1"/>
  <c r="X13" i="1"/>
  <c r="AB13" i="1" s="1"/>
  <c r="AA9" i="1"/>
  <c r="AA4" i="1"/>
  <c r="W26" i="1"/>
  <c r="X26" i="1" s="1"/>
  <c r="AB26" i="1" s="1"/>
  <c r="S17" i="1"/>
  <c r="AB54" i="1"/>
  <c r="X45" i="1"/>
  <c r="AB45" i="1" s="1"/>
  <c r="X35" i="1"/>
  <c r="AB35" i="1" s="1"/>
  <c r="X8" i="1"/>
  <c r="X3" i="1"/>
  <c r="AA8" i="1"/>
  <c r="X52" i="1"/>
  <c r="AB52" i="1" s="1"/>
  <c r="W41" i="1"/>
  <c r="X41" i="1" s="1"/>
  <c r="AB41" i="1" s="1"/>
  <c r="X12" i="1"/>
  <c r="AA11" i="1"/>
  <c r="X9" i="1"/>
  <c r="AB43" i="1"/>
  <c r="X55" i="1"/>
  <c r="AB55" i="1" s="1"/>
  <c r="X51" i="1"/>
  <c r="AB51" i="1" s="1"/>
  <c r="X44" i="1"/>
  <c r="AB44" i="1" s="1"/>
  <c r="X40" i="1"/>
  <c r="X38" i="1"/>
  <c r="AB38" i="1" s="1"/>
  <c r="X34" i="1"/>
  <c r="AB34" i="1" s="1"/>
  <c r="X31" i="1"/>
  <c r="AB31" i="1" s="1"/>
  <c r="X25" i="1"/>
  <c r="X7" i="1"/>
  <c r="AA6" i="1"/>
  <c r="X48" i="1"/>
  <c r="AB48" i="1" s="1"/>
  <c r="X39" i="1"/>
  <c r="X36" i="1"/>
  <c r="AB36" i="1" s="1"/>
  <c r="AA28" i="1"/>
  <c r="X27" i="1"/>
  <c r="AB27" i="1" s="1"/>
  <c r="X19" i="1"/>
  <c r="AB19" i="1" s="1"/>
  <c r="AA18" i="1"/>
  <c r="X17" i="1"/>
  <c r="X14" i="1"/>
  <c r="AB14" i="1" s="1"/>
  <c r="S12" i="1"/>
  <c r="X11" i="1"/>
  <c r="AA10" i="1"/>
  <c r="AA3" i="1"/>
  <c r="W53" i="1"/>
  <c r="X53" i="1" s="1"/>
  <c r="AB53" i="1" s="1"/>
  <c r="W49" i="1"/>
  <c r="X49" i="1" s="1"/>
  <c r="W46" i="1"/>
  <c r="X46" i="1" s="1"/>
  <c r="AB46" i="1" s="1"/>
  <c r="W42" i="1"/>
  <c r="X42" i="1" s="1"/>
  <c r="AB42" i="1" s="1"/>
  <c r="X37" i="1"/>
  <c r="X32" i="1"/>
  <c r="AB32" i="1" s="1"/>
  <c r="X30" i="1"/>
  <c r="AB30" i="1" s="1"/>
  <c r="S29" i="1"/>
  <c r="W28" i="1"/>
  <c r="X28" i="1" s="1"/>
  <c r="AA25" i="1"/>
  <c r="X23" i="1"/>
  <c r="AB23" i="1" s="1"/>
  <c r="X21" i="1"/>
  <c r="AB21" i="1" s="1"/>
  <c r="W20" i="1"/>
  <c r="X20" i="1" s="1"/>
  <c r="AB20" i="1" s="1"/>
  <c r="W18" i="1"/>
  <c r="X18" i="1" s="1"/>
  <c r="X16" i="1"/>
  <c r="W15" i="1"/>
  <c r="X15" i="1" s="1"/>
  <c r="AB15" i="1" s="1"/>
  <c r="W10" i="1"/>
  <c r="X10" i="1" s="1"/>
  <c r="AA7" i="1"/>
  <c r="X6" i="1"/>
  <c r="X5" i="1"/>
  <c r="AB37" i="1" l="1"/>
  <c r="AB16" i="1"/>
  <c r="AB9" i="1"/>
  <c r="AB49" i="1"/>
  <c r="AB11" i="1"/>
  <c r="AB29" i="1"/>
  <c r="AB39" i="1"/>
  <c r="AB25" i="1"/>
  <c r="AB40" i="1"/>
  <c r="AB3" i="1"/>
  <c r="AB4" i="1"/>
  <c r="AB5" i="1"/>
  <c r="AB28" i="1"/>
  <c r="AB7" i="1"/>
  <c r="AB8" i="1"/>
  <c r="AB6" i="1"/>
  <c r="AB17" i="1"/>
  <c r="AB12" i="1"/>
  <c r="AB10" i="1"/>
  <c r="AB18" i="1"/>
</calcChain>
</file>

<file path=xl/sharedStrings.xml><?xml version="1.0" encoding="utf-8"?>
<sst xmlns="http://schemas.openxmlformats.org/spreadsheetml/2006/main" count="974" uniqueCount="318">
  <si>
    <t>Barranquilla</t>
  </si>
  <si>
    <t>ATLANTICO</t>
  </si>
  <si>
    <t>25/08/2021</t>
  </si>
  <si>
    <t>LUISA MARGARITA GIL OLAYA</t>
  </si>
  <si>
    <t>NACION TERRITORIO</t>
  </si>
  <si>
    <t>JORNADA DE ASISTENCIA TECNICA SEGUIMIENTO A LA IMPLEMENTACIÓN DE LA PPV 23 MUNICIPIOS Y GOBERNACION DEL ATLÁNTICO</t>
  </si>
  <si>
    <t>agosto</t>
  </si>
  <si>
    <t>10/08/2021</t>
  </si>
  <si>
    <t>VILLAVICENCIO</t>
  </si>
  <si>
    <t>META</t>
  </si>
  <si>
    <t>05/08/2021</t>
  </si>
  <si>
    <t>LOURDES YULIETH VILLEGAS LEDESMA</t>
  </si>
  <si>
    <t>Seguimiento a la implementación de la PPV 2021</t>
  </si>
  <si>
    <t>09/08/2021</t>
  </si>
  <si>
    <t>SANTA MARTA</t>
  </si>
  <si>
    <t>MAGDALENA</t>
  </si>
  <si>
    <t>24/08/2021</t>
  </si>
  <si>
    <t>22/08/2021</t>
  </si>
  <si>
    <t>YANY ZAMBRANO DÍAZ</t>
  </si>
  <si>
    <t>PARTICIPACION</t>
  </si>
  <si>
    <t>ENCUENTRO DESPLAZAMIENTO FROZADO MAGDALENA</t>
  </si>
  <si>
    <t>17/08/2021</t>
  </si>
  <si>
    <t>ISTMINA</t>
  </si>
  <si>
    <t>CHOCO</t>
  </si>
  <si>
    <t>23/08/2021</t>
  </si>
  <si>
    <t>DIANA MILENA BARBOSA</t>
  </si>
  <si>
    <t>JORNADA DE ASISTENCIA TÉCNICA "SEGUIMIENTO A LA IMPLEMENTACIÓN DE LA PPV 2021"</t>
  </si>
  <si>
    <t>TURBACO</t>
  </si>
  <si>
    <t>BOLIVAR</t>
  </si>
  <si>
    <t>MÓNICA RÍOS GARCÍA</t>
  </si>
  <si>
    <t>ASISTENCIA TÉCNICA A LAS ENTIDADES TERRITORIALES EN LA IMPLEMENTACIÓN Y SEGUIMIENTO A LA POLÍTICA PÚBLICA DE VÍCTIMAS</t>
  </si>
  <si>
    <t>Cali</t>
  </si>
  <si>
    <t>Valle del Cauca</t>
  </si>
  <si>
    <t>CARLOS GUERRERO</t>
  </si>
  <si>
    <t>ENTREGA DE CERTIFICACIÓN TERRITORIAL A LAS EETT DEL VALLE DEL CAUCA</t>
  </si>
  <si>
    <t>BARRANCABERMEJA</t>
  </si>
  <si>
    <t>SANTANDER</t>
  </si>
  <si>
    <t>JULIAN ZAMBRANO</t>
  </si>
  <si>
    <t>SEGUIMIENTO A LA IMPLEMENTACION DE LA POLITICA PUBLICA DE VICTIMAS</t>
  </si>
  <si>
    <t>CHIQUINQUIRA</t>
  </si>
  <si>
    <t xml:space="preserve"> BOYACA</t>
  </si>
  <si>
    <t>JORGE ALBERTO ARÉVALO GÓMEZ</t>
  </si>
  <si>
    <t>JORNADA DE SEGUIMIENTO A LA IMPLEMENTACIÓN DE LA POLÍTICA PÚBLICA DE VÍCTIMAS 2021</t>
  </si>
  <si>
    <t>12/08/2021</t>
  </si>
  <si>
    <t>QUIBDO</t>
  </si>
  <si>
    <t>20/08/2021</t>
  </si>
  <si>
    <t>XIMENA LONDOÑO CABEZAS</t>
  </si>
  <si>
    <t xml:space="preserve"> JORNADA SEGUIMIENTO ENCUENTRO 2021 SUBREGION PDET CHOCO</t>
  </si>
  <si>
    <t>13/08/2021</t>
  </si>
  <si>
    <t>SAN GIL</t>
  </si>
  <si>
    <t>NEIVA</t>
  </si>
  <si>
    <t>HUILA</t>
  </si>
  <si>
    <t>SANDRA JHOVANA BELLO GUTIERREZ</t>
  </si>
  <si>
    <t>JORNADAS DE ASISTENCIA TÉCNICA "SEGUIMIENTO A LA IMPLEMENTACIÓN DE LA PPV"</t>
  </si>
  <si>
    <t>02/08/2021</t>
  </si>
  <si>
    <t>Ipiales</t>
  </si>
  <si>
    <t>NARIÑO</t>
  </si>
  <si>
    <t>20/08/021</t>
  </si>
  <si>
    <t>JESSICA ALEJANDRA SANCHEZ LEAL</t>
  </si>
  <si>
    <t>ARBOLETES</t>
  </si>
  <si>
    <t>ANTIOQUIA</t>
  </si>
  <si>
    <t>19/08/2021</t>
  </si>
  <si>
    <t>GERMÁN ANDRÉS GÓMEZ RODRÍGUEZ</t>
  </si>
  <si>
    <t xml:space="preserve">JORNADA DE ASISTENCIA TECNICA SEGUIMIENTO A LA IMPLEMENTACIÓN DE LA PPV MUNICIPIOS Y GOBERNACION </t>
  </si>
  <si>
    <t>PASTO</t>
  </si>
  <si>
    <t>JESSICA ALEJANDRA SANCHEZ LEA</t>
  </si>
  <si>
    <t>BUCARAMANGA</t>
  </si>
  <si>
    <t>CALI</t>
  </si>
  <si>
    <t>VALLE DEL CAUCA</t>
  </si>
  <si>
    <t>BOGOTA</t>
  </si>
  <si>
    <t xml:space="preserve">Cundinamarca </t>
  </si>
  <si>
    <t>19/08/201</t>
  </si>
  <si>
    <t>18/08/2021</t>
  </si>
  <si>
    <t>Augusto Patiño Vargas</t>
  </si>
  <si>
    <t>SNARIV</t>
  </si>
  <si>
    <t>Segunda sesión del Subcomité de Coordinación Nacional Territorial</t>
  </si>
  <si>
    <t>CUNDINARCA</t>
  </si>
  <si>
    <t>16/08/2021</t>
  </si>
  <si>
    <t>Carolina Murillo</t>
  </si>
  <si>
    <t>Apoyo comisión de seguimiento y monitoreo Ley de víctimas</t>
  </si>
  <si>
    <t>12/08/2020</t>
  </si>
  <si>
    <t>POPAYAN</t>
  </si>
  <si>
    <t>CAUCA</t>
  </si>
  <si>
    <t>MAURICIO RODRIGUEZ RAMIREZ</t>
  </si>
  <si>
    <t>"Seguimiento a la implementación de la PPV 2021", Cauca. Entidades territoriales de Gobernación, Popayán, El Tambo, Timbío, Rosas, Piendamó, Totoró, Sotará, Puracé, Cajibío, Morales</t>
  </si>
  <si>
    <t>MONTERIA</t>
  </si>
  <si>
    <t>CORDOBA</t>
  </si>
  <si>
    <t>NATALIA ROJAS SERRANO</t>
  </si>
  <si>
    <t>MALAGA</t>
  </si>
  <si>
    <t>1/08/2021</t>
  </si>
  <si>
    <t>ARAUCA</t>
  </si>
  <si>
    <t>SONIA PATRICIA PAREDES</t>
  </si>
  <si>
    <t>Fortalecer a los Entes Territoriales frente al seguimiento a la implementación de la poitica publica de victimas</t>
  </si>
  <si>
    <t>11/08/2021</t>
  </si>
  <si>
    <t>Reunión NNPEVURT Monteria 2021</t>
  </si>
  <si>
    <t>06/08/2021</t>
  </si>
  <si>
    <t>MARTHA ISABEL MONTOYA ALCANTARA</t>
  </si>
  <si>
    <t xml:space="preserve">Segunda Sesión Plenaria y mesa técnica del Subcomité de restitución </t>
  </si>
  <si>
    <t>Armero</t>
  </si>
  <si>
    <t>Tolima</t>
  </si>
  <si>
    <t>JULIO BOHORQUEZ</t>
  </si>
  <si>
    <t>Asistencia técnica - Seguimiento a la implementación de la PPV - Zona centro del Tolima</t>
  </si>
  <si>
    <t>04/08/2021</t>
  </si>
  <si>
    <t>CUNDINAMARTCA</t>
  </si>
  <si>
    <t>IBAGUE</t>
  </si>
  <si>
    <t>TOLIMA</t>
  </si>
  <si>
    <t>SINCELEJO</t>
  </si>
  <si>
    <t>SUCRE</t>
  </si>
  <si>
    <t>Compromiso plenario MNPEV apoyo a delegación espacio con la JEP</t>
  </si>
  <si>
    <t>CHAPARRAL</t>
  </si>
  <si>
    <t>Asistencia técnica - Seguimiento a la implementación de la PPV - Zona sur del Tolima</t>
  </si>
  <si>
    <t>03/08/2021</t>
  </si>
  <si>
    <t>CUNDINAMARCA</t>
  </si>
  <si>
    <t>Maria Alejandra Hernandez Bernal</t>
  </si>
  <si>
    <t>DGI</t>
  </si>
  <si>
    <t xml:space="preserve">COMITÉ DIRECTIVO DGI </t>
  </si>
  <si>
    <t>TUNJA</t>
  </si>
  <si>
    <t>BOYACA</t>
  </si>
  <si>
    <t>DGI - PARTICIPACION</t>
  </si>
  <si>
    <t>Compromiso dialogo por lo fundamental con el departamento de Boyacá</t>
  </si>
  <si>
    <t>ARMENIA</t>
  </si>
  <si>
    <t>QUINDIO</t>
  </si>
  <si>
    <t>01/08/2021</t>
  </si>
  <si>
    <t>Comité Temático de Desplazamiento Forzado</t>
  </si>
  <si>
    <t>23/07/2021</t>
  </si>
  <si>
    <t>Pereira</t>
  </si>
  <si>
    <t>Risaralda</t>
  </si>
  <si>
    <t>28/07/2021</t>
  </si>
  <si>
    <t xml:space="preserve">Carolina Murillo </t>
  </si>
  <si>
    <t>plenario ordinario de mesa nacional</t>
  </si>
  <si>
    <t>16/07/2021</t>
  </si>
  <si>
    <t>CUCUTA</t>
  </si>
  <si>
    <t>NORTE DE SANTANDER</t>
  </si>
  <si>
    <t>29/07/2021</t>
  </si>
  <si>
    <t>JORNADA DE SEGUIMIENTO PLANES DE TRABAJO DE ENCUENTROS PDET 2020- SUBREGIÓN PDET CATATUMBO</t>
  </si>
  <si>
    <t>Julio</t>
  </si>
  <si>
    <t>FLORENCIA</t>
  </si>
  <si>
    <t>CAQUETA</t>
  </si>
  <si>
    <t>22/07/2021</t>
  </si>
  <si>
    <t>Dialogo por lo fundamental departamento de Caqueta entre Gobernación y delegados de la mesa de participación</t>
  </si>
  <si>
    <t>21/07/2021</t>
  </si>
  <si>
    <t>14/07/2021</t>
  </si>
  <si>
    <t xml:space="preserve">JORNADA DE SEGUIMIENTO PLANES DE TRABAJO DE ENCUENTROS PDET 2020- SUBREGIÓN PDET SUR DE TOLIMA Y CAGUAN Y PIEDEMONTE CAQUETA </t>
  </si>
  <si>
    <t>FLORENCA</t>
  </si>
  <si>
    <t>25/07/2021</t>
  </si>
  <si>
    <t>Comité ejecutivo en la ciudad de Florencia , departamento de Caqueta</t>
  </si>
  <si>
    <t>17/07/2021</t>
  </si>
  <si>
    <t>MOCOA</t>
  </si>
  <si>
    <t>PUTUMAYO</t>
  </si>
  <si>
    <t>YENNY BUSTOS CASTRO</t>
  </si>
  <si>
    <t xml:space="preserve"> se elaborarán propuestas de la mesa para presentarlas en una reunión programada para el mes de julio en Bogotá</t>
  </si>
  <si>
    <t>Revisión y construcción de lineamientos para la implementación de mecanismos virtuales de ser necesarios en los procesos electorales de las mesas de participación efectiva de las víctimas.</t>
  </si>
  <si>
    <t>15/07/2021</t>
  </si>
  <si>
    <t>JORNADA SEGUIMIENTO ENCUENTRO 2020 - 2021 PDET SUR DE CORDOBA</t>
  </si>
  <si>
    <t>Inírida</t>
  </si>
  <si>
    <t>Guainía</t>
  </si>
  <si>
    <t>DENNY ADRIANA MARTINEZ ORTEGON</t>
  </si>
  <si>
    <t>Seguimiento de la Implementacion de la PPV 2021</t>
  </si>
  <si>
    <t>Yopal</t>
  </si>
  <si>
    <t>Casanare</t>
  </si>
  <si>
    <t>CAROLNA MURILLO</t>
  </si>
  <si>
    <t>Apoyo taller mascaras de la verdad</t>
  </si>
  <si>
    <t>JORNADA DE SEGUIMIENTO PLANES DE TRABAJO DE ENCUENTROS PDET 2020- SUBREGIÓN PDET SUR DE TOLIMA</t>
  </si>
  <si>
    <t>09/07/2021</t>
  </si>
  <si>
    <t>13/07/2021</t>
  </si>
  <si>
    <t>GERMAN ALBERTO SÁNCHEZ MONROY</t>
  </si>
  <si>
    <t>REALIZAR LA PRIMERA SESION DE LAS MESAS TEMATICAS MUJER Y OSIGH DEL SUBCOMITÉ DE ENFOQUE DIFERENCIAL VIGENCIA 2021</t>
  </si>
  <si>
    <t>DIANA CAROLINA MURILLO</t>
  </si>
  <si>
    <t>ENCUENTRO DE JOVENES</t>
  </si>
  <si>
    <t>06/07/2021</t>
  </si>
  <si>
    <t>ANTHUR KENNIET OTAVO RUIZ</t>
  </si>
  <si>
    <t>2DA SESIÓN DEL SUBCOMITE DE SISTEMAS DE INFORMACIÓN QUE SE REALIZARA EL DIA 14 DE JULIO</t>
  </si>
  <si>
    <t>Diálogos por lo fundamental con Gobernaciones - Jornada Bogotá</t>
  </si>
  <si>
    <t xml:space="preserve">MAURICIO VELASQUEZ CALLEJAS </t>
  </si>
  <si>
    <t xml:space="preserve"> PLENARIA DEL SUBCOMITE DE INDEMNIZACION ADMINISTRATIVA</t>
  </si>
  <si>
    <t>01/07/2021</t>
  </si>
  <si>
    <t>02/07/2021</t>
  </si>
  <si>
    <t xml:space="preserve">REALIZAR LA SEGUNDA  SESION PLENARIA DEL SUBCOMITÉ DE ENFOQUE DIFERENCIAL  VIGENCIA 2021 </t>
  </si>
  <si>
    <t>29/06/2021</t>
  </si>
  <si>
    <t>MEDELLIN</t>
  </si>
  <si>
    <t xml:space="preserve">ANTIOQUIA </t>
  </si>
  <si>
    <t>10/07/2021</t>
  </si>
  <si>
    <t>07/07/2021</t>
  </si>
  <si>
    <t>Orientar a las víctimas de manera previa en las competencias territoriales. Socializar las incidencias y compromisos suscritos por las entidades gubernamentales con la Mesa Nacional de Participación Efectiva de las Víctimas. Identificar las necesidades territoriales que pueden asociarse desde los planes de trabajo concertados y bajo el alcance misional de cada una de las entidades nacionales involucradas</t>
  </si>
  <si>
    <t>28/06/2021</t>
  </si>
  <si>
    <t>Marleny Orjuela</t>
  </si>
  <si>
    <t>REUNION COMITÉ DE ETICA DE LA MESA DE PARTICIPACION EFECTIVA DE VICTIMAS DEL NIVEL NACIONAL</t>
  </si>
  <si>
    <t>05/07/2021</t>
  </si>
  <si>
    <t>25/06/2021</t>
  </si>
  <si>
    <t>DIANA MURILLO</t>
  </si>
  <si>
    <t>23/06/2021</t>
  </si>
  <si>
    <t>Total Costo Evento</t>
  </si>
  <si>
    <t xml:space="preserve">IVA Tiquetes </t>
  </si>
  <si>
    <t>Costo Tiquetes Ejecutado</t>
  </si>
  <si>
    <t>IVA Intermediación reembolso</t>
  </si>
  <si>
    <t>Intermediación 3%</t>
  </si>
  <si>
    <t>Giro Efecty</t>
  </si>
  <si>
    <t xml:space="preserve">Gastos reembolsables </t>
  </si>
  <si>
    <t>Ejecutado Reembolso</t>
  </si>
  <si>
    <t xml:space="preserve">IVA </t>
  </si>
  <si>
    <t xml:space="preserve">Servicios gravados </t>
  </si>
  <si>
    <t>Pagos a terceros</t>
  </si>
  <si>
    <t xml:space="preserve">Servicios No gravados </t>
  </si>
  <si>
    <t>Ejecutado Logistico</t>
  </si>
  <si>
    <t>Costo Evento Cotizado</t>
  </si>
  <si>
    <t>Total</t>
  </si>
  <si>
    <t>Funcionarios</t>
  </si>
  <si>
    <t>Victimas</t>
  </si>
  <si>
    <t>Municipio</t>
  </si>
  <si>
    <t>Departamento</t>
  </si>
  <si>
    <t>Fecha Terminacion</t>
  </si>
  <si>
    <t>Fecha Inicio</t>
  </si>
  <si>
    <t>Responsable</t>
  </si>
  <si>
    <t>Subdirección o Grupo DGI</t>
  </si>
  <si>
    <t>Actividad</t>
  </si>
  <si>
    <t>Fecha facturación</t>
  </si>
  <si>
    <t>Fecha Solicitud</t>
  </si>
  <si>
    <t>No. Requerimiento</t>
  </si>
  <si>
    <t>octubre</t>
  </si>
  <si>
    <t>JORNADAS DE ASISTENCIA TÉCNICA "SEGUIMIENTO A LA IMPLEMENTACIÓN DE LA PPV</t>
  </si>
  <si>
    <t>JORNADA ASISTENCIA TECNICA SOBRE LA IMPLEMENTACION Y EJECUCION PPV A LAS EETT DE CALDAS</t>
  </si>
  <si>
    <t>31/08/2021</t>
  </si>
  <si>
    <t>JORNADA ASISTENCIA TECNICA SOBRE LA IMPLEMENTACION Y EJECUCION PPV A LAS EETT DE RISARALDA Y QUINDIO</t>
  </si>
  <si>
    <t>01/09/2021</t>
  </si>
  <si>
    <t xml:space="preserve"> SEGUIMIENTO A LA IMPLEMENTACION DE LA POLITICA PUBLICA DE VICTIMAS</t>
  </si>
  <si>
    <t>26/08/2021</t>
  </si>
  <si>
    <t xml:space="preserve"> "Seguimiento a la implementación de la PPV 2021"</t>
  </si>
  <si>
    <t>Seguimiento a la implementación de la PPV 2021 a las Entidades Territoriales de el departamento de Amazonas</t>
  </si>
  <si>
    <t>ASISTENCIA TÉCNICA A ENTIDADES TERRITORIALES SOBRE LA INCLUSIÓN DE LA PPV</t>
  </si>
  <si>
    <t>RIOHACHA</t>
  </si>
  <si>
    <t>ASISTENCIA TÉCNICA IMPLEMENTACIÓN PPV</t>
  </si>
  <si>
    <t>"SEGUIMIENTO A LA IMPLEMENTACION DE LA PPV 2021"</t>
  </si>
  <si>
    <t>JORNADA DE ASISTENCIA TECNICA SEGUIMIENTO A LA IMPLEMENTACIÓN DE LA PPV 30 MUNICIPIOS Y GOBERNACION DEL MAGDALENA</t>
  </si>
  <si>
    <t>3/09/2021</t>
  </si>
  <si>
    <t>Asistencia Técnica Seguimiento Politica Pública de Victimas a Enlaces municipales y de la Gobernación.</t>
  </si>
  <si>
    <t>Rendición de cuentas Unidad para las Víctimas Mocoa - Putumayo</t>
  </si>
  <si>
    <t>JORNADA DE AUTOCUIDADO EMOCIONAL - SUBCOMITÉ DE ATENCIÓN Y ASISTENCIA</t>
  </si>
  <si>
    <t xml:space="preserve"> ENCUENTRO PDET 2021-SUBREGIÓN PACIFICO MEDIO</t>
  </si>
  <si>
    <t>30/08/2021</t>
  </si>
  <si>
    <t>II ENCUENTRO DE LAS REPRESENTANTES DE LAS MESAS DE PARTICIPACION EFECTIVA DE VICTIMAS DEL NIVEL NACIONAL Y DEPARTAMENTAL DEL ENFOQUE DIFERENCIAL MUJER</t>
  </si>
  <si>
    <t>04/09/2021</t>
  </si>
  <si>
    <t xml:space="preserve"> JORNADA  ENCUENTRO 2020 - 2021  PDET  SUR DE BOLIVAR</t>
  </si>
  <si>
    <t xml:space="preserve">Espacio de trabajo de la CSMLV solicitado por la Defensoría del Pueblo - Espacio  autónomo </t>
  </si>
  <si>
    <t>JORNADA DE PLANEACIÓN 2022 DIRECCIÓN DE GESTIÓN INTERINSTITUCIONAL</t>
  </si>
  <si>
    <t>Prestar servicios técnicos, operativos y logísticos, para contribuir al fortalecimiento de las entidades que conforman el SNARIV, la aplicación de la estrategia de corresponsabilidad, la participación efectiva de las víctimas y la articulación de acciones y oferta entre entidades nacionales y territoriales</t>
  </si>
  <si>
    <t>LADY ISABEL OSORIO</t>
  </si>
  <si>
    <t>06/09/2021</t>
  </si>
  <si>
    <t>Articulación y seguimiento a las acciones implementadas pór la SCNT</t>
  </si>
  <si>
    <t>DGI - NACION TERRITORIO</t>
  </si>
  <si>
    <t>2/09/2021</t>
  </si>
  <si>
    <t>REALIZAR LA  TERCERA  SESION PLENARIA Y MESAS TEMATICAS DE LOS ENFOQUES DE MUJER Y OSIGH -LGBTI  DEL SUBCOMITE DE ENFOQUE DIFERENCIAL</t>
  </si>
  <si>
    <t>Formación en enfoque psicosocial y acción sin daño  a los miembros del subcomité de medidas de rehabilitación</t>
  </si>
  <si>
    <t>17/09/2021</t>
  </si>
  <si>
    <t>Mesa de Tierras del Subcomité de Restitución</t>
  </si>
  <si>
    <t>03/09/2021</t>
  </si>
  <si>
    <t>SEGUNDA REUNION  PLENARIA DEL SUBCOMITE DE INDEMNIZACION ADMINISTRATIVA</t>
  </si>
  <si>
    <t>16/09/2021</t>
  </si>
  <si>
    <t>1/09/2021</t>
  </si>
  <si>
    <t>Circular 0023 - apoyo plenario mesa departamental la Guajira</t>
  </si>
  <si>
    <t xml:space="preserve"> JORNADA  ENCUENTRO 2020 - 2021  PDET  SIERRA NEVADA DE PERIJA</t>
  </si>
  <si>
    <t>09/09/2021</t>
  </si>
  <si>
    <t>Johan Sebastian Leguizamon Torres</t>
  </si>
  <si>
    <t>10/09/2021</t>
  </si>
  <si>
    <t>JORNADA  ENCUENTRO 2020 - 2021  PDET  SUBREGION ARAUCA</t>
  </si>
  <si>
    <t>Encuentro de coordinadores departamentales</t>
  </si>
  <si>
    <t>INFORME DE GESTION MESA DEPARTAMENTAL Y LA MESA MUNICIPAL GUAINIA</t>
  </si>
  <si>
    <t>22/09/2021</t>
  </si>
  <si>
    <t>Comité ejecutivo en la ciudad de Valledupar , departamento de Cesar</t>
  </si>
  <si>
    <t>29/09/2021</t>
  </si>
  <si>
    <t>septiembre</t>
  </si>
  <si>
    <t>26/07/2021</t>
  </si>
  <si>
    <t>31/07/2021</t>
  </si>
  <si>
    <t>RISARALDA</t>
  </si>
  <si>
    <t>PEREIRA</t>
  </si>
  <si>
    <t>MILLER ROJAS</t>
  </si>
  <si>
    <t xml:space="preserve"> Pedro Raul Medina</t>
  </si>
  <si>
    <t>BARRANQUILLA</t>
  </si>
  <si>
    <t>21/09/2021</t>
  </si>
  <si>
    <t>MARIA CECILIA RESTREPO</t>
  </si>
  <si>
    <t>24/09/2021</t>
  </si>
  <si>
    <t>25/09/2021</t>
  </si>
  <si>
    <t>VICHADA</t>
  </si>
  <si>
    <t>PUERTO CARREÑO</t>
  </si>
  <si>
    <t>Marleny Orjuela M</t>
  </si>
  <si>
    <t>26/09/2021</t>
  </si>
  <si>
    <t>SAN ANTERO</t>
  </si>
  <si>
    <t>LUZ CARLINA GRACIA</t>
  </si>
  <si>
    <t>03/10/2021</t>
  </si>
  <si>
    <t>AMAZONAS</t>
  </si>
  <si>
    <t>LETICIA</t>
  </si>
  <si>
    <t>GUAJIRA</t>
  </si>
  <si>
    <t>MARIA CECILIA RESTREPO HERNÁNDEZ</t>
  </si>
  <si>
    <t>05/09/2021</t>
  </si>
  <si>
    <t>08/09/2021</t>
  </si>
  <si>
    <t>VAUPES</t>
  </si>
  <si>
    <t>MITU</t>
  </si>
  <si>
    <t>ADRIAN FELIPE ESPINOSA</t>
  </si>
  <si>
    <t>4/10/2021</t>
  </si>
  <si>
    <t>05/10/2021</t>
  </si>
  <si>
    <t>Germán Ardila</t>
  </si>
  <si>
    <t>6/10/2021</t>
  </si>
  <si>
    <t>9/10/2021</t>
  </si>
  <si>
    <t>8/10/2021</t>
  </si>
  <si>
    <t>10/10/2021</t>
  </si>
  <si>
    <t>LUIS MIGUEL BELTRAN</t>
  </si>
  <si>
    <t>7/10/2021</t>
  </si>
  <si>
    <t>ximena londoño</t>
  </si>
  <si>
    <t xml:space="preserve">SOLEDAD AGUILAR </t>
  </si>
  <si>
    <t xml:space="preserve">CARTAGENA </t>
  </si>
  <si>
    <t>OSCAR SANDOVAL</t>
  </si>
  <si>
    <t>5/10/2021</t>
  </si>
  <si>
    <t>CIENAGA</t>
  </si>
  <si>
    <t>13/10/2021</t>
  </si>
  <si>
    <t>14/10/2021</t>
  </si>
  <si>
    <t>María Enoris Velez / Soledad Aguilar Muñoz</t>
  </si>
  <si>
    <t>OSCAR HERIBERTO SANDOVAL BELTRAN</t>
  </si>
  <si>
    <t>15/10/2021</t>
  </si>
  <si>
    <t xml:space="preserve">MAGDALENA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</si>
</sst>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(* #,##0.00_);_(* \(#,##0.00\);_(* &quot;-&quot;??_);_(@_)"/>
    <numFmt numFmtId="164" formatCode="_(* #,##0_);_(* \(#,##0\);_(* &quot;-&quot;??_);_(@_)"/>
    <numFmt numFmtId="165" formatCode="_-&quot;$&quot;\ * #,##0.00_-;\-&quot;$&quot;\ * #,##0.00_-;_-&quot;$&quot;\ * &quot;-&quot;??_-;_-@_-"/>
    <numFmt numFmtId="166" formatCode="_-&quot;$&quot;\ * #,##0_-;\-&quot;$&quot;\ * #,##0_-;_-&quot;$&quot;\ * &quot;-&quot;??_-;_-@_-"/>
    <numFmt numFmtId="168" formatCode="_-* #,##0_-;\-* #,##0_-;_-* &quot;-&quot;??_-;_-@_-"/>
    <numFmt numFmtId="169" formatCode="&quot;$&quot;\ #,##0;[Red]\-&quot;$&quot;\ #,##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7">
    <xf numFmtId="0" fontId="0" fillId="0" borderId="0" xfId="0"/>
    <xf numFmtId="0" fontId="2" fillId="0" borderId="0" xfId="0" applyFont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NumberFormat="1" applyBorder="1" applyAlignment="1">
      <alignment horizontal="center"/>
    </xf>
    <xf numFmtId="0" fontId="0" fillId="0" borderId="1" xfId="0" applyNumberFormat="1" applyFont="1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3" borderId="1" xfId="0" applyFill="1" applyBorder="1" applyAlignment="1"/>
    <xf numFmtId="0" fontId="0" fillId="3" borderId="1" xfId="0" applyFont="1" applyFill="1" applyBorder="1"/>
    <xf numFmtId="166" fontId="0" fillId="4" borderId="1" xfId="2" applyNumberFormat="1" applyFont="1" applyFill="1" applyBorder="1"/>
    <xf numFmtId="164" fontId="0" fillId="4" borderId="1" xfId="1" applyNumberFormat="1" applyFont="1" applyFill="1" applyBorder="1"/>
    <xf numFmtId="168" fontId="0" fillId="4" borderId="1" xfId="1" applyNumberFormat="1" applyFont="1" applyFill="1" applyBorder="1"/>
    <xf numFmtId="166" fontId="0" fillId="4" borderId="1" xfId="0" applyNumberFormat="1" applyFill="1" applyBorder="1"/>
    <xf numFmtId="0" fontId="0" fillId="4" borderId="1" xfId="0" applyFill="1" applyBorder="1"/>
    <xf numFmtId="168" fontId="1" fillId="4" borderId="1" xfId="1" applyNumberFormat="1" applyFont="1" applyFill="1" applyBorder="1"/>
    <xf numFmtId="169" fontId="4" fillId="4" borderId="1" xfId="0" applyNumberFormat="1" applyFont="1" applyFill="1" applyBorder="1"/>
    <xf numFmtId="166" fontId="2" fillId="5" borderId="1" xfId="2" applyNumberFormat="1" applyFont="1" applyFill="1" applyBorder="1"/>
    <xf numFmtId="164" fontId="2" fillId="5" borderId="1" xfId="1" applyNumberFormat="1" applyFont="1" applyFill="1" applyBorder="1"/>
    <xf numFmtId="168" fontId="3" fillId="5" borderId="1" xfId="1" applyNumberFormat="1" applyFont="1" applyFill="1" applyBorder="1"/>
    <xf numFmtId="164" fontId="3" fillId="4" borderId="1" xfId="1" applyNumberFormat="1" applyFont="1" applyFill="1" applyBorder="1"/>
    <xf numFmtId="9" fontId="1" fillId="4" borderId="1" xfId="3" applyFont="1" applyFill="1" applyBorder="1"/>
    <xf numFmtId="166" fontId="1" fillId="5" borderId="1" xfId="2" applyNumberFormat="1" applyFont="1" applyFill="1" applyBorder="1"/>
    <xf numFmtId="164" fontId="1" fillId="5" borderId="1" xfId="1" applyNumberFormat="1" applyFont="1" applyFill="1" applyBorder="1"/>
    <xf numFmtId="168" fontId="1" fillId="5" borderId="1" xfId="1" applyNumberFormat="1" applyFont="1" applyFill="1" applyBorder="1"/>
  </cellXfs>
  <cellStyles count="4">
    <cellStyle name="Millares" xfId="1" builtinId="3"/>
    <cellStyle name="Moneda" xfId="2" builtinId="4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24"/>
  <sheetViews>
    <sheetView tabSelected="1" topLeftCell="R1" workbookViewId="0">
      <pane ySplit="1" topLeftCell="A2" activePane="bottomLeft" state="frozen"/>
      <selection activeCell="K1" sqref="K1"/>
      <selection pane="bottomLeft" activeCell="T15" sqref="T15"/>
    </sheetView>
  </sheetViews>
  <sheetFormatPr baseColWidth="10" defaultRowHeight="15" x14ac:dyDescent="0.25"/>
  <cols>
    <col min="5" max="5" width="19.7109375" bestFit="1" customWidth="1"/>
    <col min="6" max="6" width="35.140625" bestFit="1" customWidth="1"/>
    <col min="7" max="7" width="11.42578125" bestFit="1" customWidth="1"/>
    <col min="8" max="8" width="10.85546875" bestFit="1" customWidth="1"/>
    <col min="9" max="9" width="21.28515625" bestFit="1" customWidth="1"/>
    <col min="10" max="10" width="16.140625" bestFit="1" customWidth="1"/>
    <col min="13" max="13" width="12.5703125" bestFit="1" customWidth="1"/>
    <col min="14" max="14" width="14" bestFit="1" customWidth="1"/>
    <col min="15" max="18" width="14.28515625" customWidth="1"/>
    <col min="19" max="19" width="14.28515625" style="1" bestFit="1" customWidth="1"/>
    <col min="20" max="23" width="15.5703125" customWidth="1"/>
    <col min="24" max="24" width="15.5703125" style="1" bestFit="1" customWidth="1"/>
    <col min="25" max="26" width="14.28515625" customWidth="1"/>
    <col min="27" max="27" width="14.28515625" style="1" bestFit="1" customWidth="1"/>
    <col min="28" max="28" width="15.42578125" style="1" bestFit="1" customWidth="1"/>
  </cols>
  <sheetData>
    <row r="1" spans="1:28" ht="45" x14ac:dyDescent="0.25">
      <c r="A1" s="4" t="s">
        <v>217</v>
      </c>
      <c r="B1" s="4" t="s">
        <v>216</v>
      </c>
      <c r="C1" s="4" t="s">
        <v>215</v>
      </c>
      <c r="D1" s="4" t="s">
        <v>214</v>
      </c>
      <c r="E1" s="4" t="s">
        <v>213</v>
      </c>
      <c r="F1" s="4" t="s">
        <v>212</v>
      </c>
      <c r="G1" s="4" t="s">
        <v>211</v>
      </c>
      <c r="H1" s="4" t="s">
        <v>210</v>
      </c>
      <c r="I1" s="4" t="s">
        <v>209</v>
      </c>
      <c r="J1" s="4" t="s">
        <v>208</v>
      </c>
      <c r="K1" s="4" t="s">
        <v>207</v>
      </c>
      <c r="L1" s="4" t="s">
        <v>206</v>
      </c>
      <c r="M1" s="4" t="s">
        <v>205</v>
      </c>
      <c r="N1" s="4" t="s">
        <v>204</v>
      </c>
      <c r="O1" s="4" t="s">
        <v>202</v>
      </c>
      <c r="P1" s="4" t="s">
        <v>201</v>
      </c>
      <c r="Q1" s="4" t="s">
        <v>200</v>
      </c>
      <c r="R1" s="4" t="s">
        <v>199</v>
      </c>
      <c r="S1" s="5" t="s">
        <v>203</v>
      </c>
      <c r="T1" s="4" t="s">
        <v>197</v>
      </c>
      <c r="U1" s="4" t="s">
        <v>196</v>
      </c>
      <c r="V1" s="4" t="s">
        <v>195</v>
      </c>
      <c r="W1" s="4" t="s">
        <v>194</v>
      </c>
      <c r="X1" s="5" t="s">
        <v>198</v>
      </c>
      <c r="Y1" s="4" t="s">
        <v>193</v>
      </c>
      <c r="Z1" s="4" t="s">
        <v>192</v>
      </c>
      <c r="AA1" s="5" t="s">
        <v>193</v>
      </c>
      <c r="AB1" s="5" t="s">
        <v>191</v>
      </c>
    </row>
    <row r="2" spans="1:28" x14ac:dyDescent="0.25">
      <c r="A2" s="3">
        <v>1</v>
      </c>
      <c r="B2" s="8" t="s">
        <v>190</v>
      </c>
      <c r="C2" s="2" t="s">
        <v>135</v>
      </c>
      <c r="D2" s="8" t="s">
        <v>183</v>
      </c>
      <c r="E2" s="8" t="s">
        <v>118</v>
      </c>
      <c r="F2" s="8" t="s">
        <v>189</v>
      </c>
      <c r="G2" s="8" t="s">
        <v>184</v>
      </c>
      <c r="H2" s="8" t="s">
        <v>175</v>
      </c>
      <c r="I2" s="8" t="s">
        <v>15</v>
      </c>
      <c r="J2" s="8" t="s">
        <v>14</v>
      </c>
      <c r="K2" s="8">
        <v>20</v>
      </c>
      <c r="L2" s="8">
        <v>40</v>
      </c>
      <c r="M2" s="2"/>
      <c r="N2" s="12">
        <v>53508666</v>
      </c>
      <c r="O2" s="12">
        <v>34040175</v>
      </c>
      <c r="P2" s="12">
        <v>1620000</v>
      </c>
      <c r="Q2" s="12">
        <v>17634958</v>
      </c>
      <c r="R2" s="12">
        <f>(P2+Q2)*19%</f>
        <v>3658442.02</v>
      </c>
      <c r="S2" s="19">
        <f>SUM(O2:R2)</f>
        <v>56953575.020000003</v>
      </c>
      <c r="T2" s="12">
        <v>17750000</v>
      </c>
      <c r="U2" s="12"/>
      <c r="V2" s="12">
        <f>+T2*3%</f>
        <v>532500</v>
      </c>
      <c r="W2" s="12">
        <f>+V2*19%</f>
        <v>101175</v>
      </c>
      <c r="X2" s="24">
        <f>SUM(T2:W2)</f>
        <v>18383675</v>
      </c>
      <c r="Y2" s="12">
        <f>3220800-225456+122000+161000</f>
        <v>3278344</v>
      </c>
      <c r="Z2" s="12">
        <f>149767+30590</f>
        <v>180357</v>
      </c>
      <c r="AA2" s="24">
        <f>SUM(Y2:Z2)</f>
        <v>3458701</v>
      </c>
      <c r="AB2" s="25">
        <f>+S2+X2+AA2</f>
        <v>78795951.020000011</v>
      </c>
    </row>
    <row r="3" spans="1:28" x14ac:dyDescent="0.25">
      <c r="A3" s="3">
        <v>2</v>
      </c>
      <c r="B3" s="8" t="s">
        <v>188</v>
      </c>
      <c r="C3" s="2" t="s">
        <v>135</v>
      </c>
      <c r="D3" s="8" t="s">
        <v>183</v>
      </c>
      <c r="E3" s="8" t="s">
        <v>118</v>
      </c>
      <c r="F3" s="8" t="s">
        <v>78</v>
      </c>
      <c r="G3" s="8" t="s">
        <v>187</v>
      </c>
      <c r="H3" s="8" t="s">
        <v>182</v>
      </c>
      <c r="I3" s="8" t="s">
        <v>9</v>
      </c>
      <c r="J3" s="8" t="s">
        <v>8</v>
      </c>
      <c r="K3" s="8">
        <v>20</v>
      </c>
      <c r="L3" s="8">
        <v>30</v>
      </c>
      <c r="M3" s="2"/>
      <c r="N3" s="12">
        <v>55166755</v>
      </c>
      <c r="O3" s="12">
        <v>22228172</v>
      </c>
      <c r="P3" s="12">
        <v>1920000</v>
      </c>
      <c r="Q3" s="12">
        <v>17173629</v>
      </c>
      <c r="R3" s="12">
        <f>(P3+Q3)*19%</f>
        <v>3627789.5100000002</v>
      </c>
      <c r="S3" s="19">
        <f>SUM(O3:R3)</f>
        <v>44949590.509999998</v>
      </c>
      <c r="T3" s="12">
        <v>17254550</v>
      </c>
      <c r="U3" s="12"/>
      <c r="V3" s="12">
        <f>+T3*3%</f>
        <v>517636.5</v>
      </c>
      <c r="W3" s="12">
        <f>+V3*19%</f>
        <v>98350.934999999998</v>
      </c>
      <c r="X3" s="24">
        <f>SUM(T3:W3)</f>
        <v>17870537.434999999</v>
      </c>
      <c r="Y3" s="12">
        <f>6481650-453716+324083+427000</f>
        <v>6779017</v>
      </c>
      <c r="Z3" s="12">
        <f>301397+61577</f>
        <v>362974</v>
      </c>
      <c r="AA3" s="24">
        <f>SUM(Y3:Z3)</f>
        <v>7141991</v>
      </c>
      <c r="AB3" s="25">
        <f>+S3+X3+AA3</f>
        <v>69962118.944999993</v>
      </c>
    </row>
    <row r="4" spans="1:28" x14ac:dyDescent="0.25">
      <c r="A4" s="3">
        <v>3</v>
      </c>
      <c r="B4" s="8" t="s">
        <v>184</v>
      </c>
      <c r="C4" s="2" t="s">
        <v>135</v>
      </c>
      <c r="D4" s="8" t="s">
        <v>186</v>
      </c>
      <c r="E4" s="8" t="s">
        <v>19</v>
      </c>
      <c r="F4" s="8" t="s">
        <v>185</v>
      </c>
      <c r="G4" s="8" t="s">
        <v>178</v>
      </c>
      <c r="H4" s="8" t="s">
        <v>176</v>
      </c>
      <c r="I4" s="8" t="s">
        <v>112</v>
      </c>
      <c r="J4" s="8" t="s">
        <v>69</v>
      </c>
      <c r="K4" s="8">
        <v>2</v>
      </c>
      <c r="L4" s="8">
        <v>0</v>
      </c>
      <c r="M4" s="2"/>
      <c r="N4" s="12">
        <v>5956755</v>
      </c>
      <c r="O4" s="12">
        <v>2094178</v>
      </c>
      <c r="P4" s="12">
        <v>0</v>
      </c>
      <c r="Q4" s="12">
        <v>2007490</v>
      </c>
      <c r="R4" s="12">
        <f>(P4+Q4)*19%</f>
        <v>381423.1</v>
      </c>
      <c r="S4" s="19">
        <f>SUM(O4:R4)</f>
        <v>4483091.0999999996</v>
      </c>
      <c r="T4" s="12">
        <v>576000</v>
      </c>
      <c r="U4" s="12"/>
      <c r="V4" s="12">
        <f>+T4*3%</f>
        <v>17280</v>
      </c>
      <c r="W4" s="12">
        <f>+V4*19%</f>
        <v>3283.2</v>
      </c>
      <c r="X4" s="24">
        <f>SUM(T4:W4)</f>
        <v>596563.19999999995</v>
      </c>
      <c r="Y4" s="12">
        <f>827070-57895+61000+41354</f>
        <v>871529</v>
      </c>
      <c r="Z4" s="12">
        <f>38459+7857</f>
        <v>46316</v>
      </c>
      <c r="AA4" s="24">
        <f>SUM(Y4:Z4)</f>
        <v>917845</v>
      </c>
      <c r="AB4" s="25">
        <f>+S4+X4+AA4</f>
        <v>5997499.2999999998</v>
      </c>
    </row>
    <row r="5" spans="1:28" x14ac:dyDescent="0.25">
      <c r="A5" s="3">
        <v>4</v>
      </c>
      <c r="B5" s="8" t="s">
        <v>184</v>
      </c>
      <c r="C5" s="2" t="s">
        <v>135</v>
      </c>
      <c r="D5" s="8" t="s">
        <v>183</v>
      </c>
      <c r="E5" s="8" t="s">
        <v>19</v>
      </c>
      <c r="F5" s="8" t="s">
        <v>78</v>
      </c>
      <c r="G5" s="8" t="s">
        <v>182</v>
      </c>
      <c r="H5" s="8" t="s">
        <v>181</v>
      </c>
      <c r="I5" s="8" t="s">
        <v>180</v>
      </c>
      <c r="J5" s="8" t="s">
        <v>179</v>
      </c>
      <c r="K5" s="8">
        <v>20</v>
      </c>
      <c r="L5" s="8">
        <v>30</v>
      </c>
      <c r="M5" s="2"/>
      <c r="N5" s="12">
        <v>56645038</v>
      </c>
      <c r="O5" s="12">
        <v>22705897</v>
      </c>
      <c r="P5" s="12">
        <v>1620000</v>
      </c>
      <c r="Q5" s="12">
        <v>17413025</v>
      </c>
      <c r="R5" s="12">
        <f>(P5+Q5)*19%</f>
        <v>3616274.75</v>
      </c>
      <c r="S5" s="19">
        <f>SUM(O5:R5)</f>
        <v>45355196.75</v>
      </c>
      <c r="T5" s="12">
        <v>16401600</v>
      </c>
      <c r="U5" s="12"/>
      <c r="V5" s="12">
        <f>+T5*3%</f>
        <v>492048</v>
      </c>
      <c r="W5" s="12">
        <f>+V5*19%</f>
        <v>93489.12</v>
      </c>
      <c r="X5" s="24">
        <f>SUM(T5:W5)</f>
        <v>16987137.120000001</v>
      </c>
      <c r="Y5" s="12">
        <f>6878614-481503+671000+343931</f>
        <v>7412042</v>
      </c>
      <c r="Z5" s="12">
        <f>319856+65347</f>
        <v>385203</v>
      </c>
      <c r="AA5" s="24">
        <f>SUM(Y5:Z5)</f>
        <v>7797245</v>
      </c>
      <c r="AB5" s="25">
        <f>+S5+X5+AA5</f>
        <v>70139578.870000005</v>
      </c>
    </row>
    <row r="6" spans="1:28" x14ac:dyDescent="0.25">
      <c r="A6" s="3">
        <v>5</v>
      </c>
      <c r="B6" s="8" t="s">
        <v>178</v>
      </c>
      <c r="C6" s="2" t="s">
        <v>135</v>
      </c>
      <c r="D6" s="8" t="s">
        <v>177</v>
      </c>
      <c r="E6" s="8" t="s">
        <v>74</v>
      </c>
      <c r="F6" s="8" t="s">
        <v>165</v>
      </c>
      <c r="G6" s="8" t="s">
        <v>176</v>
      </c>
      <c r="H6" s="8" t="s">
        <v>176</v>
      </c>
      <c r="I6" s="8" t="s">
        <v>112</v>
      </c>
      <c r="J6" s="8" t="s">
        <v>69</v>
      </c>
      <c r="K6" s="8">
        <v>7</v>
      </c>
      <c r="L6" s="8">
        <v>33</v>
      </c>
      <c r="M6" s="2"/>
      <c r="N6" s="12">
        <v>19360616</v>
      </c>
      <c r="O6" s="12">
        <v>5307877</v>
      </c>
      <c r="P6" s="12">
        <v>0</v>
      </c>
      <c r="Q6" s="12">
        <v>0</v>
      </c>
      <c r="R6" s="12">
        <f>(P6+Q6)*19%</f>
        <v>0</v>
      </c>
      <c r="S6" s="19">
        <f>SUM(O6:R6)</f>
        <v>5307877</v>
      </c>
      <c r="T6" s="12">
        <v>5834500</v>
      </c>
      <c r="U6" s="12"/>
      <c r="V6" s="12">
        <f>+T6*3%</f>
        <v>175035</v>
      </c>
      <c r="W6" s="12">
        <f>+V6*19%</f>
        <v>33256.65</v>
      </c>
      <c r="X6" s="24">
        <f>SUM(T6:W6)</f>
        <v>6042791.6500000004</v>
      </c>
      <c r="Y6" s="12">
        <f>8021484-561504+305000+401074</f>
        <v>8166054</v>
      </c>
      <c r="Z6" s="12">
        <f>372999+76204</f>
        <v>449203</v>
      </c>
      <c r="AA6" s="24">
        <f>SUM(Y6:Z6)</f>
        <v>8615257</v>
      </c>
      <c r="AB6" s="25">
        <f>+S6+X6+AA6</f>
        <v>19965925.649999999</v>
      </c>
    </row>
    <row r="7" spans="1:28" x14ac:dyDescent="0.25">
      <c r="A7" s="3">
        <v>6</v>
      </c>
      <c r="B7" s="8" t="s">
        <v>175</v>
      </c>
      <c r="C7" s="2" t="s">
        <v>135</v>
      </c>
      <c r="D7" s="8" t="s">
        <v>174</v>
      </c>
      <c r="E7" s="8" t="s">
        <v>74</v>
      </c>
      <c r="F7" s="8" t="s">
        <v>173</v>
      </c>
      <c r="G7" s="8" t="s">
        <v>164</v>
      </c>
      <c r="H7" s="8" t="s">
        <v>141</v>
      </c>
      <c r="I7" s="8" t="s">
        <v>112</v>
      </c>
      <c r="J7" s="8" t="s">
        <v>69</v>
      </c>
      <c r="K7" s="8">
        <v>2</v>
      </c>
      <c r="L7" s="8">
        <v>27</v>
      </c>
      <c r="M7" s="2"/>
      <c r="N7" s="12">
        <v>5131429</v>
      </c>
      <c r="O7" s="12">
        <v>4381126</v>
      </c>
      <c r="P7" s="12"/>
      <c r="Q7" s="12">
        <v>85049</v>
      </c>
      <c r="R7" s="12">
        <f>(P7+Q7)*19%</f>
        <v>16159.31</v>
      </c>
      <c r="S7" s="19">
        <f>SUM(O7:R7)</f>
        <v>4482334.3099999996</v>
      </c>
      <c r="T7" s="12">
        <v>1048000</v>
      </c>
      <c r="U7" s="12"/>
      <c r="V7" s="12">
        <f>+T7*3%</f>
        <v>31440</v>
      </c>
      <c r="W7" s="12">
        <f>+V7*19%</f>
        <v>5973.6</v>
      </c>
      <c r="X7" s="24">
        <f>SUM(T7:W7)</f>
        <v>1085413.6000000001</v>
      </c>
      <c r="Y7" s="12">
        <f>1896862-132780+122000+94843</f>
        <v>1980925</v>
      </c>
      <c r="Z7" s="12">
        <f>88204+18020</f>
        <v>106224</v>
      </c>
      <c r="AA7" s="24">
        <f>SUM(Y7:Z7)</f>
        <v>2087149</v>
      </c>
      <c r="AB7" s="25">
        <f>+S7+X7+AA7</f>
        <v>7654896.9100000001</v>
      </c>
    </row>
    <row r="8" spans="1:28" x14ac:dyDescent="0.25">
      <c r="A8" s="3">
        <v>7</v>
      </c>
      <c r="B8" s="8" t="s">
        <v>169</v>
      </c>
      <c r="C8" s="2" t="s">
        <v>135</v>
      </c>
      <c r="D8" s="8" t="s">
        <v>172</v>
      </c>
      <c r="E8" s="8" t="s">
        <v>118</v>
      </c>
      <c r="F8" s="8" t="s">
        <v>167</v>
      </c>
      <c r="G8" s="8" t="s">
        <v>164</v>
      </c>
      <c r="H8" s="8" t="s">
        <v>130</v>
      </c>
      <c r="I8" s="8" t="s">
        <v>112</v>
      </c>
      <c r="J8" s="8" t="s">
        <v>69</v>
      </c>
      <c r="K8" s="8">
        <v>25</v>
      </c>
      <c r="L8" s="8">
        <v>20</v>
      </c>
      <c r="M8" s="2"/>
      <c r="N8" s="12">
        <v>95231879</v>
      </c>
      <c r="O8" s="12">
        <v>29777408</v>
      </c>
      <c r="P8" s="12">
        <v>2220000</v>
      </c>
      <c r="Q8" s="12">
        <v>41502754</v>
      </c>
      <c r="R8" s="12">
        <f>(P8+Q8)*19%</f>
        <v>8307323.2599999998</v>
      </c>
      <c r="S8" s="19">
        <f>SUM(O8:R8)</f>
        <v>81807485.260000005</v>
      </c>
      <c r="T8" s="12">
        <v>17377000</v>
      </c>
      <c r="U8" s="12"/>
      <c r="V8" s="12">
        <f>+T8*3%</f>
        <v>521310</v>
      </c>
      <c r="W8" s="12">
        <f>+V8*19%</f>
        <v>99048.9</v>
      </c>
      <c r="X8" s="24">
        <f>SUM(T8:W8)</f>
        <v>17997358.899999999</v>
      </c>
      <c r="Y8" s="12">
        <f>9478161-663471+854000+473909</f>
        <v>10142599</v>
      </c>
      <c r="Z8" s="12">
        <f>440734+90043</f>
        <v>530777</v>
      </c>
      <c r="AA8" s="24">
        <f>SUM(Y8:Z8)</f>
        <v>10673376</v>
      </c>
      <c r="AB8" s="25">
        <f>+S8+X8+AA8</f>
        <v>110478220.16</v>
      </c>
    </row>
    <row r="9" spans="1:28" x14ac:dyDescent="0.25">
      <c r="A9" s="3">
        <v>8</v>
      </c>
      <c r="B9" s="8" t="s">
        <v>169</v>
      </c>
      <c r="C9" s="2" t="s">
        <v>135</v>
      </c>
      <c r="D9" s="8" t="s">
        <v>171</v>
      </c>
      <c r="E9" s="8" t="s">
        <v>74</v>
      </c>
      <c r="F9" s="8" t="s">
        <v>170</v>
      </c>
      <c r="G9" s="8" t="s">
        <v>141</v>
      </c>
      <c r="H9" s="8" t="s">
        <v>141</v>
      </c>
      <c r="I9" s="8" t="s">
        <v>112</v>
      </c>
      <c r="J9" s="8" t="s">
        <v>69</v>
      </c>
      <c r="K9" s="8">
        <v>2</v>
      </c>
      <c r="L9" s="8">
        <v>6</v>
      </c>
      <c r="M9" s="2"/>
      <c r="N9" s="12">
        <v>4544239</v>
      </c>
      <c r="O9" s="12">
        <v>4301799</v>
      </c>
      <c r="P9" s="12"/>
      <c r="Q9" s="12">
        <v>85049</v>
      </c>
      <c r="R9" s="12">
        <f>(P9+Q9)*19%</f>
        <v>16159.31</v>
      </c>
      <c r="S9" s="19">
        <f>SUM(O9:R9)</f>
        <v>4403007.3099999996</v>
      </c>
      <c r="T9" s="12">
        <v>1490000</v>
      </c>
      <c r="U9" s="12"/>
      <c r="V9" s="12">
        <f>+T9*3%</f>
        <v>44700</v>
      </c>
      <c r="W9" s="12">
        <f>+V9*19%</f>
        <v>8493</v>
      </c>
      <c r="X9" s="24">
        <f>SUM(T9:W9)</f>
        <v>1543193</v>
      </c>
      <c r="Y9" s="12">
        <f>994345-69604+122000+49717</f>
        <v>1096458</v>
      </c>
      <c r="Z9" s="12">
        <f>46237+9446</f>
        <v>55683</v>
      </c>
      <c r="AA9" s="24">
        <f>SUM(Y9:Z9)</f>
        <v>1152141</v>
      </c>
      <c r="AB9" s="25">
        <f>+S9+X9+AA9</f>
        <v>7098341.3099999996</v>
      </c>
    </row>
    <row r="10" spans="1:28" x14ac:dyDescent="0.25">
      <c r="A10" s="3">
        <v>9</v>
      </c>
      <c r="B10" s="8" t="s">
        <v>169</v>
      </c>
      <c r="C10" s="2" t="s">
        <v>135</v>
      </c>
      <c r="D10" s="8" t="s">
        <v>168</v>
      </c>
      <c r="E10" s="8" t="s">
        <v>19</v>
      </c>
      <c r="F10" s="8" t="s">
        <v>167</v>
      </c>
      <c r="G10" s="8" t="s">
        <v>141</v>
      </c>
      <c r="H10" s="8" t="s">
        <v>146</v>
      </c>
      <c r="I10" s="8" t="s">
        <v>68</v>
      </c>
      <c r="J10" s="8" t="s">
        <v>67</v>
      </c>
      <c r="K10" s="8">
        <v>37</v>
      </c>
      <c r="L10" s="8">
        <v>23</v>
      </c>
      <c r="M10" s="2"/>
      <c r="N10" s="12">
        <v>136750672</v>
      </c>
      <c r="O10" s="12">
        <v>49915837</v>
      </c>
      <c r="P10" s="12">
        <v>1620000</v>
      </c>
      <c r="Q10" s="12">
        <v>13997095</v>
      </c>
      <c r="R10" s="12">
        <f>(P10+Q10)*19%</f>
        <v>2967248.05</v>
      </c>
      <c r="S10" s="19">
        <f>SUM(O10:R10)</f>
        <v>68500180.049999997</v>
      </c>
      <c r="T10" s="12">
        <v>30543500</v>
      </c>
      <c r="U10" s="12"/>
      <c r="V10" s="12">
        <f>+T10*3%</f>
        <v>916305</v>
      </c>
      <c r="W10" s="12">
        <f>+V10*19%</f>
        <v>174097.95</v>
      </c>
      <c r="X10" s="24">
        <f>SUM(T10:W10)</f>
        <v>31633902.949999999</v>
      </c>
      <c r="Y10" s="12">
        <f>21321328-1492493+1464000+1066066</f>
        <v>22358901</v>
      </c>
      <c r="Z10" s="12">
        <f>991442+202553</f>
        <v>1193995</v>
      </c>
      <c r="AA10" s="24">
        <f>SUM(Y10:Z10)</f>
        <v>23552896</v>
      </c>
      <c r="AB10" s="25">
        <f>+S10+X10+AA10</f>
        <v>123686979</v>
      </c>
    </row>
    <row r="11" spans="1:28" x14ac:dyDescent="0.25">
      <c r="A11" s="3">
        <v>10</v>
      </c>
      <c r="B11" s="8" t="s">
        <v>163</v>
      </c>
      <c r="C11" s="2" t="s">
        <v>135</v>
      </c>
      <c r="D11" s="8" t="s">
        <v>166</v>
      </c>
      <c r="E11" s="8" t="s">
        <v>74</v>
      </c>
      <c r="F11" s="8" t="s">
        <v>165</v>
      </c>
      <c r="G11" s="8" t="s">
        <v>164</v>
      </c>
      <c r="H11" s="8" t="s">
        <v>164</v>
      </c>
      <c r="I11" s="8" t="s">
        <v>112</v>
      </c>
      <c r="J11" s="8" t="s">
        <v>112</v>
      </c>
      <c r="K11" s="8">
        <v>2</v>
      </c>
      <c r="L11" s="8">
        <v>21</v>
      </c>
      <c r="M11" s="2"/>
      <c r="N11" s="12">
        <v>4590977</v>
      </c>
      <c r="O11" s="12">
        <v>2074840</v>
      </c>
      <c r="P11" s="12">
        <v>0</v>
      </c>
      <c r="Q11" s="12">
        <v>0</v>
      </c>
      <c r="R11" s="12">
        <f>(P11+Q11)*19%</f>
        <v>0</v>
      </c>
      <c r="S11" s="19">
        <f>SUM(O11:R11)</f>
        <v>2074840</v>
      </c>
      <c r="T11" s="12">
        <v>2797000</v>
      </c>
      <c r="U11" s="12"/>
      <c r="V11" s="12">
        <f>+T11*3%</f>
        <v>83910</v>
      </c>
      <c r="W11" s="12">
        <f>+V11*19%</f>
        <v>15942.9</v>
      </c>
      <c r="X11" s="24">
        <f>SUM(T11:W11)</f>
        <v>2896852.9</v>
      </c>
      <c r="Y11" s="12">
        <f>576598-40362+61000+28830</f>
        <v>626066</v>
      </c>
      <c r="Z11" s="12">
        <f>26812+5478</f>
        <v>32290</v>
      </c>
      <c r="AA11" s="24">
        <f>SUM(Y11:Z11)</f>
        <v>658356</v>
      </c>
      <c r="AB11" s="25">
        <f>+S11+X11+AA11</f>
        <v>5630048.9000000004</v>
      </c>
    </row>
    <row r="12" spans="1:28" x14ac:dyDescent="0.25">
      <c r="A12" s="3">
        <v>11</v>
      </c>
      <c r="B12" s="8" t="s">
        <v>163</v>
      </c>
      <c r="C12" s="2" t="s">
        <v>135</v>
      </c>
      <c r="D12" s="8" t="s">
        <v>162</v>
      </c>
      <c r="E12" s="8" t="s">
        <v>19</v>
      </c>
      <c r="F12" s="8" t="s">
        <v>46</v>
      </c>
      <c r="G12" s="8" t="s">
        <v>141</v>
      </c>
      <c r="H12" s="8" t="s">
        <v>141</v>
      </c>
      <c r="I12" s="8" t="s">
        <v>105</v>
      </c>
      <c r="J12" s="8" t="s">
        <v>104</v>
      </c>
      <c r="K12" s="8">
        <v>11</v>
      </c>
      <c r="L12" s="8">
        <v>9</v>
      </c>
      <c r="M12" s="2"/>
      <c r="N12" s="12">
        <v>12691895</v>
      </c>
      <c r="O12" s="12">
        <f>5070066</f>
        <v>5070066</v>
      </c>
      <c r="P12" s="12">
        <v>75000</v>
      </c>
      <c r="Q12" s="12">
        <v>2235464</v>
      </c>
      <c r="R12" s="12">
        <f>(P12+Q12)*19%</f>
        <v>438988.16000000003</v>
      </c>
      <c r="S12" s="19">
        <f>SUM(O12:R12)</f>
        <v>7819518.1600000001</v>
      </c>
      <c r="T12" s="12">
        <v>1789000</v>
      </c>
      <c r="U12" s="12"/>
      <c r="V12" s="12">
        <f>+T12*3%</f>
        <v>53670</v>
      </c>
      <c r="W12" s="12">
        <f>+V12*19%</f>
        <v>10197.299999999999</v>
      </c>
      <c r="X12" s="24">
        <f>SUM(T12:W12)</f>
        <v>1852867.3</v>
      </c>
      <c r="Y12" s="12">
        <v>0</v>
      </c>
      <c r="Z12" s="12">
        <v>0</v>
      </c>
      <c r="AA12" s="24">
        <f>SUM(Y12:Z12)</f>
        <v>0</v>
      </c>
      <c r="AB12" s="25">
        <f>+S12+X12+AA12</f>
        <v>9672385.4600000009</v>
      </c>
    </row>
    <row r="13" spans="1:28" x14ac:dyDescent="0.25">
      <c r="A13" s="3">
        <v>12</v>
      </c>
      <c r="B13" s="8" t="s">
        <v>152</v>
      </c>
      <c r="C13" s="2" t="s">
        <v>135</v>
      </c>
      <c r="D13" s="8" t="s">
        <v>161</v>
      </c>
      <c r="E13" s="8" t="s">
        <v>118</v>
      </c>
      <c r="F13" s="8" t="s">
        <v>160</v>
      </c>
      <c r="G13" s="8" t="s">
        <v>124</v>
      </c>
      <c r="H13" s="8" t="s">
        <v>144</v>
      </c>
      <c r="I13" s="8" t="s">
        <v>159</v>
      </c>
      <c r="J13" s="8" t="s">
        <v>158</v>
      </c>
      <c r="K13" s="8">
        <v>80</v>
      </c>
      <c r="L13" s="8">
        <v>0</v>
      </c>
      <c r="M13" s="2"/>
      <c r="N13" s="12">
        <v>2088400</v>
      </c>
      <c r="O13" s="12">
        <v>2088400</v>
      </c>
      <c r="P13" s="12">
        <v>0</v>
      </c>
      <c r="Q13" s="12">
        <v>0</v>
      </c>
      <c r="R13" s="12">
        <f>(P13+Q13)*19%</f>
        <v>0</v>
      </c>
      <c r="S13" s="19">
        <f>SUM(O13:R13)</f>
        <v>2088400</v>
      </c>
      <c r="T13" s="12"/>
      <c r="U13" s="12"/>
      <c r="V13" s="12">
        <f>+T13*3%</f>
        <v>0</v>
      </c>
      <c r="W13" s="12">
        <f>+V13*19%</f>
        <v>0</v>
      </c>
      <c r="X13" s="24">
        <f>SUM(T13:W13)</f>
        <v>0</v>
      </c>
      <c r="Y13" s="12"/>
      <c r="Z13" s="12"/>
      <c r="AA13" s="24">
        <f>SUM(Y13:Z13)</f>
        <v>0</v>
      </c>
      <c r="AB13" s="25">
        <f>+S13+X13+AA13</f>
        <v>2088400</v>
      </c>
    </row>
    <row r="14" spans="1:28" x14ac:dyDescent="0.25">
      <c r="A14" s="3">
        <v>13</v>
      </c>
      <c r="B14" s="8" t="s">
        <v>152</v>
      </c>
      <c r="C14" s="2" t="s">
        <v>135</v>
      </c>
      <c r="D14" s="8" t="s">
        <v>157</v>
      </c>
      <c r="E14" s="8" t="s">
        <v>4</v>
      </c>
      <c r="F14" s="8" t="s">
        <v>156</v>
      </c>
      <c r="G14" s="8" t="s">
        <v>138</v>
      </c>
      <c r="H14" s="8" t="s">
        <v>138</v>
      </c>
      <c r="I14" s="8" t="s">
        <v>155</v>
      </c>
      <c r="J14" s="8" t="s">
        <v>154</v>
      </c>
      <c r="K14" s="8">
        <v>7</v>
      </c>
      <c r="L14" s="8">
        <v>15</v>
      </c>
      <c r="M14" s="2"/>
      <c r="N14" s="12">
        <v>815916</v>
      </c>
      <c r="O14" s="12">
        <v>591300</v>
      </c>
      <c r="P14" s="12"/>
      <c r="Q14" s="12">
        <v>188753</v>
      </c>
      <c r="R14" s="12">
        <f>(P14+Q14)*19%</f>
        <v>35863.07</v>
      </c>
      <c r="S14" s="19">
        <f>SUM(O14:R14)</f>
        <v>815916.07</v>
      </c>
      <c r="T14" s="12"/>
      <c r="U14" s="12"/>
      <c r="V14" s="12">
        <f>+T14*3%</f>
        <v>0</v>
      </c>
      <c r="W14" s="12">
        <f>+V14*19%</f>
        <v>0</v>
      </c>
      <c r="X14" s="24">
        <f>SUM(T14:W14)</f>
        <v>0</v>
      </c>
      <c r="Y14" s="12"/>
      <c r="Z14" s="12"/>
      <c r="AA14" s="24">
        <f>SUM(Y14:Z14)</f>
        <v>0</v>
      </c>
      <c r="AB14" s="25">
        <f>+S14+X14+AA14</f>
        <v>815916.07</v>
      </c>
    </row>
    <row r="15" spans="1:28" x14ac:dyDescent="0.25">
      <c r="A15" s="3">
        <v>14</v>
      </c>
      <c r="B15" s="8" t="s">
        <v>152</v>
      </c>
      <c r="C15" s="2" t="s">
        <v>135</v>
      </c>
      <c r="D15" s="8" t="s">
        <v>153</v>
      </c>
      <c r="E15" s="8" t="s">
        <v>19</v>
      </c>
      <c r="F15" s="8" t="s">
        <v>149</v>
      </c>
      <c r="G15" s="8" t="s">
        <v>138</v>
      </c>
      <c r="H15" s="8" t="s">
        <v>138</v>
      </c>
      <c r="I15" s="8" t="s">
        <v>86</v>
      </c>
      <c r="J15" s="8" t="s">
        <v>85</v>
      </c>
      <c r="K15" s="8">
        <v>15</v>
      </c>
      <c r="L15" s="8">
        <v>10</v>
      </c>
      <c r="M15" s="2"/>
      <c r="N15" s="12">
        <v>15445454</v>
      </c>
      <c r="O15" s="12">
        <v>5449464</v>
      </c>
      <c r="P15" s="12">
        <v>75000</v>
      </c>
      <c r="Q15" s="12">
        <v>2099035</v>
      </c>
      <c r="R15" s="12">
        <f>(P15+Q15)*19%</f>
        <v>413066.65</v>
      </c>
      <c r="S15" s="19">
        <f>SUM(O15:R15)</f>
        <v>8036565.6500000004</v>
      </c>
      <c r="T15" s="12">
        <v>2234000</v>
      </c>
      <c r="U15" s="12"/>
      <c r="V15" s="12">
        <f>+T15*3%</f>
        <v>67020</v>
      </c>
      <c r="W15" s="12">
        <f>+V15*19%</f>
        <v>12733.8</v>
      </c>
      <c r="X15" s="24">
        <f>SUM(T15:W15)</f>
        <v>2313753.7999999998</v>
      </c>
      <c r="Y15" s="12"/>
      <c r="Z15" s="12"/>
      <c r="AA15" s="24">
        <f>SUM(Y15:Z15)</f>
        <v>0</v>
      </c>
      <c r="AB15" s="25">
        <f>+S15+X15+AA15</f>
        <v>10350319.449999999</v>
      </c>
    </row>
    <row r="16" spans="1:28" x14ac:dyDescent="0.25">
      <c r="A16" s="3">
        <v>15</v>
      </c>
      <c r="B16" s="8" t="s">
        <v>152</v>
      </c>
      <c r="C16" s="2" t="s">
        <v>135</v>
      </c>
      <c r="D16" s="8" t="s">
        <v>151</v>
      </c>
      <c r="E16" s="8" t="s">
        <v>19</v>
      </c>
      <c r="F16" s="8" t="s">
        <v>78</v>
      </c>
      <c r="G16" s="8" t="s">
        <v>140</v>
      </c>
      <c r="H16" s="8" t="s">
        <v>140</v>
      </c>
      <c r="I16" s="8" t="s">
        <v>112</v>
      </c>
      <c r="J16" s="8" t="s">
        <v>69</v>
      </c>
      <c r="K16" s="8">
        <v>4</v>
      </c>
      <c r="L16" s="8">
        <v>9</v>
      </c>
      <c r="M16" s="2"/>
      <c r="N16" s="12">
        <v>8295764</v>
      </c>
      <c r="O16" s="12">
        <v>3598545</v>
      </c>
      <c r="P16" s="12">
        <v>0</v>
      </c>
      <c r="Q16" s="12">
        <v>136429</v>
      </c>
      <c r="R16" s="12">
        <f>(P16+Q16)*19%</f>
        <v>25921.510000000002</v>
      </c>
      <c r="S16" s="19">
        <f>SUM(O16:R16)</f>
        <v>3760895.51</v>
      </c>
      <c r="T16" s="12">
        <v>2483500</v>
      </c>
      <c r="U16" s="12"/>
      <c r="V16" s="12">
        <f>+T16*3%</f>
        <v>74505</v>
      </c>
      <c r="W16" s="12">
        <f>+V16*19%</f>
        <v>14155.95</v>
      </c>
      <c r="X16" s="24">
        <f>SUM(T16:W16)</f>
        <v>2572160.9500000002</v>
      </c>
      <c r="Y16" s="12">
        <f>828520-57996+122000+41426</f>
        <v>933950</v>
      </c>
      <c r="Z16" s="12">
        <f>38526+7871</f>
        <v>46397</v>
      </c>
      <c r="AA16" s="24">
        <f>SUM(Y16:Z16)</f>
        <v>980347</v>
      </c>
      <c r="AB16" s="25">
        <f>+S16+X16+AA16</f>
        <v>7313403.46</v>
      </c>
    </row>
    <row r="17" spans="1:28" x14ac:dyDescent="0.25">
      <c r="A17" s="3">
        <v>18</v>
      </c>
      <c r="B17" s="8" t="s">
        <v>130</v>
      </c>
      <c r="C17" s="2" t="s">
        <v>135</v>
      </c>
      <c r="D17" s="8" t="s">
        <v>150</v>
      </c>
      <c r="E17" s="8" t="s">
        <v>118</v>
      </c>
      <c r="F17" s="8" t="s">
        <v>149</v>
      </c>
      <c r="G17" s="8" t="s">
        <v>138</v>
      </c>
      <c r="H17" s="8" t="s">
        <v>138</v>
      </c>
      <c r="I17" s="8" t="s">
        <v>148</v>
      </c>
      <c r="J17" s="8" t="s">
        <v>147</v>
      </c>
      <c r="K17" s="8">
        <v>2</v>
      </c>
      <c r="L17" s="8">
        <v>0</v>
      </c>
      <c r="M17" s="2"/>
      <c r="N17" s="12">
        <v>917355</v>
      </c>
      <c r="O17" s="12">
        <f>332875</f>
        <v>332875</v>
      </c>
      <c r="P17" s="12"/>
      <c r="Q17" s="12"/>
      <c r="R17" s="12">
        <f>(P17+Q17)*19%</f>
        <v>0</v>
      </c>
      <c r="S17" s="19">
        <f>SUM(O17:R17)</f>
        <v>332875</v>
      </c>
      <c r="T17" s="12">
        <v>429000</v>
      </c>
      <c r="U17" s="12"/>
      <c r="V17" s="12">
        <f>+T17*3%</f>
        <v>12870</v>
      </c>
      <c r="W17" s="12">
        <f>+V17*19%</f>
        <v>2445.3000000000002</v>
      </c>
      <c r="X17" s="24">
        <f>SUM(T17:W17)</f>
        <v>444315.3</v>
      </c>
      <c r="Y17" s="12"/>
      <c r="Z17" s="12"/>
      <c r="AA17" s="24">
        <f>SUM(Y17:Z17)</f>
        <v>0</v>
      </c>
      <c r="AB17" s="25">
        <f>+S17+X17+AA17</f>
        <v>777190.3</v>
      </c>
    </row>
    <row r="18" spans="1:28" x14ac:dyDescent="0.25">
      <c r="A18" s="3">
        <v>19</v>
      </c>
      <c r="B18" s="8" t="s">
        <v>146</v>
      </c>
      <c r="C18" s="2" t="s">
        <v>135</v>
      </c>
      <c r="D18" s="8" t="s">
        <v>145</v>
      </c>
      <c r="E18" s="8" t="s">
        <v>19</v>
      </c>
      <c r="F18" s="8" t="s">
        <v>128</v>
      </c>
      <c r="G18" s="8" t="s">
        <v>138</v>
      </c>
      <c r="H18" s="8" t="s">
        <v>144</v>
      </c>
      <c r="I18" s="8" t="s">
        <v>137</v>
      </c>
      <c r="J18" s="8" t="s">
        <v>143</v>
      </c>
      <c r="K18" s="8">
        <v>6</v>
      </c>
      <c r="L18" s="8">
        <v>4</v>
      </c>
      <c r="M18" s="2"/>
      <c r="N18" s="12">
        <v>20290806</v>
      </c>
      <c r="O18" s="12">
        <v>6670173</v>
      </c>
      <c r="P18" s="12">
        <v>150000</v>
      </c>
      <c r="Q18" s="12">
        <v>2997606</v>
      </c>
      <c r="R18" s="12">
        <f>(P18+Q18)*19%</f>
        <v>598045.14</v>
      </c>
      <c r="S18" s="19">
        <f>SUM(O18:R18)</f>
        <v>10415824.140000001</v>
      </c>
      <c r="T18" s="12">
        <v>6658500</v>
      </c>
      <c r="U18" s="12"/>
      <c r="V18" s="12">
        <f>+T18*3%</f>
        <v>199755</v>
      </c>
      <c r="W18" s="12">
        <f>+V18*19%</f>
        <v>37953.449999999997</v>
      </c>
      <c r="X18" s="24">
        <f>SUM(T18:W18)</f>
        <v>6896208.4500000002</v>
      </c>
      <c r="Y18" s="12">
        <f>3084554-215919+183000+154228</f>
        <v>3205863</v>
      </c>
      <c r="Z18" s="12">
        <f>143432+29303</f>
        <v>172735</v>
      </c>
      <c r="AA18" s="24">
        <f>SUM(Y18:Z18)</f>
        <v>3378598</v>
      </c>
      <c r="AB18" s="25">
        <f>+S18+X18+AA18</f>
        <v>20690630.59</v>
      </c>
    </row>
    <row r="19" spans="1:28" x14ac:dyDescent="0.25">
      <c r="A19" s="3">
        <v>21</v>
      </c>
      <c r="B19" s="8" t="s">
        <v>138</v>
      </c>
      <c r="C19" s="2" t="s">
        <v>135</v>
      </c>
      <c r="D19" s="8" t="s">
        <v>142</v>
      </c>
      <c r="E19" s="8" t="s">
        <v>19</v>
      </c>
      <c r="F19" s="8" t="s">
        <v>46</v>
      </c>
      <c r="G19" s="8" t="s">
        <v>141</v>
      </c>
      <c r="H19" s="8" t="s">
        <v>141</v>
      </c>
      <c r="I19" s="8" t="s">
        <v>105</v>
      </c>
      <c r="J19" s="8" t="s">
        <v>104</v>
      </c>
      <c r="K19" s="8">
        <v>30</v>
      </c>
      <c r="L19" s="8">
        <v>0</v>
      </c>
      <c r="M19" s="2"/>
      <c r="N19" s="12">
        <v>7724682</v>
      </c>
      <c r="O19" s="12"/>
      <c r="P19" s="12"/>
      <c r="Q19" s="12">
        <v>5303320</v>
      </c>
      <c r="R19" s="12">
        <f>(P19+Q19)*19%</f>
        <v>1007630.8</v>
      </c>
      <c r="S19" s="19">
        <f>SUM(O19:R19)</f>
        <v>6310950.7999999998</v>
      </c>
      <c r="T19" s="12">
        <v>1365000</v>
      </c>
      <c r="U19" s="12">
        <v>213200</v>
      </c>
      <c r="V19" s="12">
        <f>(U19+T19)*3%</f>
        <v>47346</v>
      </c>
      <c r="W19" s="12">
        <f>V19*19%</f>
        <v>8995.74</v>
      </c>
      <c r="X19" s="24">
        <f>SUM(T19:W19)</f>
        <v>1634541.74</v>
      </c>
      <c r="Y19" s="12"/>
      <c r="Z19" s="12"/>
      <c r="AA19" s="24">
        <f>SUM(Y19:Z19)</f>
        <v>0</v>
      </c>
      <c r="AB19" s="25">
        <f>+S19+X19+AA19</f>
        <v>7945492.54</v>
      </c>
    </row>
    <row r="20" spans="1:28" x14ac:dyDescent="0.25">
      <c r="A20" s="3">
        <v>23</v>
      </c>
      <c r="B20" s="8" t="s">
        <v>140</v>
      </c>
      <c r="C20" s="2" t="s">
        <v>135</v>
      </c>
      <c r="D20" s="8" t="s">
        <v>139</v>
      </c>
      <c r="E20" s="8" t="s">
        <v>118</v>
      </c>
      <c r="F20" s="8" t="s">
        <v>128</v>
      </c>
      <c r="G20" s="8" t="s">
        <v>138</v>
      </c>
      <c r="H20" s="8" t="s">
        <v>138</v>
      </c>
      <c r="I20" s="8" t="s">
        <v>137</v>
      </c>
      <c r="J20" s="8" t="s">
        <v>136</v>
      </c>
      <c r="K20" s="8">
        <v>2</v>
      </c>
      <c r="L20" s="8">
        <v>0</v>
      </c>
      <c r="M20" s="2"/>
      <c r="N20" s="12">
        <v>685116</v>
      </c>
      <c r="O20" s="12"/>
      <c r="P20" s="12"/>
      <c r="Q20" s="12"/>
      <c r="R20" s="12">
        <f>(P20+Q20)*19%</f>
        <v>0</v>
      </c>
      <c r="S20" s="19">
        <f>SUM(O20:R20)</f>
        <v>0</v>
      </c>
      <c r="T20" s="12">
        <v>661500</v>
      </c>
      <c r="U20" s="12"/>
      <c r="V20" s="12">
        <f>+T20*3%</f>
        <v>19845</v>
      </c>
      <c r="W20" s="12">
        <f>+V20*19%</f>
        <v>3770.55</v>
      </c>
      <c r="X20" s="24">
        <f>SUM(T20:W20)</f>
        <v>685115.55</v>
      </c>
      <c r="Y20" s="12"/>
      <c r="Z20" s="12"/>
      <c r="AA20" s="24">
        <f>SUM(Y20:Z20)</f>
        <v>0</v>
      </c>
      <c r="AB20" s="25">
        <f>+S20+X20+AA20</f>
        <v>685115.55</v>
      </c>
    </row>
    <row r="21" spans="1:28" x14ac:dyDescent="0.25">
      <c r="A21" s="3">
        <v>25</v>
      </c>
      <c r="B21" s="8" t="s">
        <v>124</v>
      </c>
      <c r="C21" s="2" t="s">
        <v>135</v>
      </c>
      <c r="D21" s="8" t="s">
        <v>134</v>
      </c>
      <c r="E21" s="8" t="s">
        <v>19</v>
      </c>
      <c r="F21" s="8" t="s">
        <v>46</v>
      </c>
      <c r="G21" s="8" t="s">
        <v>133</v>
      </c>
      <c r="H21" s="8" t="s">
        <v>133</v>
      </c>
      <c r="I21" s="8" t="s">
        <v>132</v>
      </c>
      <c r="J21" s="8" t="s">
        <v>131</v>
      </c>
      <c r="K21" s="8">
        <v>12</v>
      </c>
      <c r="L21" s="8">
        <v>8</v>
      </c>
      <c r="M21" s="2"/>
      <c r="N21" s="12">
        <v>14648140</v>
      </c>
      <c r="O21" s="12">
        <v>7055712</v>
      </c>
      <c r="P21" s="12">
        <v>75000</v>
      </c>
      <c r="Q21" s="12">
        <v>2098687</v>
      </c>
      <c r="R21" s="12">
        <f>(P21+Q21)*19%</f>
        <v>413000.53</v>
      </c>
      <c r="S21" s="19">
        <f>SUM(O21:R21)</f>
        <v>9642399.5299999993</v>
      </c>
      <c r="T21" s="12">
        <v>4613500</v>
      </c>
      <c r="U21" s="12"/>
      <c r="V21" s="12">
        <f>+T21*3%</f>
        <v>138405</v>
      </c>
      <c r="W21" s="12">
        <f>+V21*19%</f>
        <v>26296.95</v>
      </c>
      <c r="X21" s="24">
        <f>SUM(T21:W21)</f>
        <v>4778201.95</v>
      </c>
      <c r="Y21" s="12"/>
      <c r="Z21" s="12"/>
      <c r="AA21" s="24">
        <f>SUM(Y21:Z21)</f>
        <v>0</v>
      </c>
      <c r="AB21" s="25">
        <f>+S21+X21+AA21</f>
        <v>14420601.48</v>
      </c>
    </row>
    <row r="22" spans="1:28" x14ac:dyDescent="0.25">
      <c r="A22" s="3">
        <v>20</v>
      </c>
      <c r="B22" s="8" t="s">
        <v>130</v>
      </c>
      <c r="C22" s="2" t="s">
        <v>6</v>
      </c>
      <c r="D22" s="8" t="s">
        <v>129</v>
      </c>
      <c r="E22" s="8" t="s">
        <v>19</v>
      </c>
      <c r="F22" s="8" t="s">
        <v>128</v>
      </c>
      <c r="G22" s="8" t="s">
        <v>127</v>
      </c>
      <c r="H22" s="8" t="s">
        <v>122</v>
      </c>
      <c r="I22" s="8" t="s">
        <v>126</v>
      </c>
      <c r="J22" s="8" t="s">
        <v>125</v>
      </c>
      <c r="K22" s="8">
        <v>35</v>
      </c>
      <c r="L22" s="8">
        <v>21</v>
      </c>
      <c r="M22" s="2"/>
      <c r="N22" s="13">
        <v>89247442</v>
      </c>
      <c r="O22" s="13">
        <v>51151412</v>
      </c>
      <c r="P22" s="13">
        <v>900000</v>
      </c>
      <c r="Q22" s="13">
        <v>10460871</v>
      </c>
      <c r="R22" s="13">
        <f>(P22+Q22)*19%</f>
        <v>2158565.4900000002</v>
      </c>
      <c r="S22" s="20">
        <f>SUM(O22:R22)</f>
        <v>64670848.490000002</v>
      </c>
      <c r="T22" s="22">
        <v>38120000</v>
      </c>
      <c r="U22" s="22"/>
      <c r="V22" s="22">
        <f>(T22+U22)*3%</f>
        <v>1143600</v>
      </c>
      <c r="W22" s="22">
        <f>+V22*19%</f>
        <v>217284</v>
      </c>
      <c r="X22" s="25">
        <f>SUM(T22:W22)</f>
        <v>39480884</v>
      </c>
      <c r="Y22" s="22">
        <f>28240437-1976831+1708000+1412022</f>
        <v>29383628</v>
      </c>
      <c r="Z22" s="22">
        <f>1313180+268284</f>
        <v>1581464</v>
      </c>
      <c r="AA22" s="25">
        <f>SUM(Y22:Z22)</f>
        <v>30965092</v>
      </c>
      <c r="AB22" s="25">
        <f>+S22+X22+AA22</f>
        <v>135116824.49000001</v>
      </c>
    </row>
    <row r="23" spans="1:28" x14ac:dyDescent="0.25">
      <c r="A23" s="3">
        <v>24</v>
      </c>
      <c r="B23" s="8" t="s">
        <v>124</v>
      </c>
      <c r="C23" s="2" t="s">
        <v>6</v>
      </c>
      <c r="D23" s="8" t="s">
        <v>123</v>
      </c>
      <c r="E23" s="8" t="s">
        <v>19</v>
      </c>
      <c r="F23" s="8" t="s">
        <v>78</v>
      </c>
      <c r="G23" s="8" t="s">
        <v>122</v>
      </c>
      <c r="H23" s="8" t="s">
        <v>102</v>
      </c>
      <c r="I23" s="8" t="s">
        <v>121</v>
      </c>
      <c r="J23" s="8" t="s">
        <v>120</v>
      </c>
      <c r="K23" s="8">
        <v>9</v>
      </c>
      <c r="L23" s="8">
        <v>9</v>
      </c>
      <c r="M23" s="2"/>
      <c r="N23" s="13">
        <v>15073251</v>
      </c>
      <c r="O23" s="13">
        <v>7291060</v>
      </c>
      <c r="P23" s="13">
        <v>150000</v>
      </c>
      <c r="Q23" s="13">
        <v>442956</v>
      </c>
      <c r="R23" s="13">
        <f>(P23+Q23)*19%</f>
        <v>112661.64</v>
      </c>
      <c r="S23" s="20">
        <f>SUM(O23:R23)</f>
        <v>7996677.6399999997</v>
      </c>
      <c r="T23" s="22">
        <v>2307000</v>
      </c>
      <c r="U23" s="22"/>
      <c r="V23" s="22">
        <f>(T23+U23)*3%</f>
        <v>69210</v>
      </c>
      <c r="W23" s="22">
        <f>+V23*19%</f>
        <v>13149.9</v>
      </c>
      <c r="X23" s="25">
        <f>SUM(T23:W23)</f>
        <v>2389359.9</v>
      </c>
      <c r="Y23" s="22">
        <v>0</v>
      </c>
      <c r="Z23" s="22">
        <v>0</v>
      </c>
      <c r="AA23" s="25">
        <f>SUM(Y23:Z23)</f>
        <v>0</v>
      </c>
      <c r="AB23" s="25">
        <f>+S23+X23+AA23</f>
        <v>10386037.539999999</v>
      </c>
    </row>
    <row r="24" spans="1:28" x14ac:dyDescent="0.25">
      <c r="A24" s="3">
        <v>31</v>
      </c>
      <c r="B24" s="8" t="s">
        <v>54</v>
      </c>
      <c r="C24" s="2" t="s">
        <v>6</v>
      </c>
      <c r="D24" s="8" t="s">
        <v>119</v>
      </c>
      <c r="E24" s="8" t="s">
        <v>118</v>
      </c>
      <c r="F24" s="8" t="s">
        <v>78</v>
      </c>
      <c r="G24" s="8" t="s">
        <v>102</v>
      </c>
      <c r="H24" s="8" t="s">
        <v>102</v>
      </c>
      <c r="I24" s="8" t="s">
        <v>117</v>
      </c>
      <c r="J24" s="8" t="s">
        <v>116</v>
      </c>
      <c r="K24" s="8">
        <v>3</v>
      </c>
      <c r="L24" s="8">
        <v>7</v>
      </c>
      <c r="M24" s="2"/>
      <c r="N24" s="13">
        <v>1462525</v>
      </c>
      <c r="O24" s="13">
        <v>918925</v>
      </c>
      <c r="P24" s="13"/>
      <c r="Q24" s="13"/>
      <c r="R24" s="13">
        <f>(P24+Q24)*19%</f>
        <v>0</v>
      </c>
      <c r="S24" s="20">
        <f>SUM(O24:R24)</f>
        <v>918925</v>
      </c>
      <c r="T24" s="22">
        <v>1031500</v>
      </c>
      <c r="U24" s="22"/>
      <c r="V24" s="22">
        <f>(T24+U24)*3%</f>
        <v>30945</v>
      </c>
      <c r="W24" s="22">
        <f>+V24*19%</f>
        <v>5879.55</v>
      </c>
      <c r="X24" s="25">
        <f>SUM(T24:W24)</f>
        <v>1068324.55</v>
      </c>
      <c r="Y24" s="22"/>
      <c r="Z24" s="22"/>
      <c r="AA24" s="25">
        <f>SUM(Y24:Z24)</f>
        <v>0</v>
      </c>
      <c r="AB24" s="25">
        <f>+S24+X24+AA24</f>
        <v>1987249.55</v>
      </c>
    </row>
    <row r="25" spans="1:28" x14ac:dyDescent="0.25">
      <c r="A25" s="3">
        <v>36</v>
      </c>
      <c r="B25" s="8" t="s">
        <v>111</v>
      </c>
      <c r="C25" s="2" t="s">
        <v>6</v>
      </c>
      <c r="D25" s="8" t="s">
        <v>108</v>
      </c>
      <c r="E25" s="8" t="s">
        <v>19</v>
      </c>
      <c r="F25" s="8" t="s">
        <v>78</v>
      </c>
      <c r="G25" s="8" t="s">
        <v>10</v>
      </c>
      <c r="H25" s="8" t="s">
        <v>95</v>
      </c>
      <c r="I25" s="8" t="s">
        <v>112</v>
      </c>
      <c r="J25" s="8" t="s">
        <v>69</v>
      </c>
      <c r="K25" s="8">
        <v>2</v>
      </c>
      <c r="L25" s="8">
        <v>0</v>
      </c>
      <c r="M25" s="2"/>
      <c r="N25" s="13">
        <v>2015822</v>
      </c>
      <c r="O25" s="13">
        <v>808479</v>
      </c>
      <c r="P25" s="13"/>
      <c r="Q25" s="13"/>
      <c r="R25" s="13">
        <f>(P25+Q25)*19%</f>
        <v>0</v>
      </c>
      <c r="S25" s="20">
        <f>SUM(O25:R25)</f>
        <v>808479</v>
      </c>
      <c r="T25" s="22">
        <v>1670000</v>
      </c>
      <c r="U25" s="22"/>
      <c r="V25" s="22">
        <f>(T25+U25)*3%</f>
        <v>50100</v>
      </c>
      <c r="W25" s="22">
        <f>+V25*19%</f>
        <v>9519</v>
      </c>
      <c r="X25" s="25">
        <f>SUM(T25:W25)</f>
        <v>1729619</v>
      </c>
      <c r="Y25" s="22">
        <f>1427391-99917+61000+71370</f>
        <v>1459844</v>
      </c>
      <c r="Z25" s="22">
        <f>66374+13560</f>
        <v>79934</v>
      </c>
      <c r="AA25" s="25">
        <f>SUM(Y25:Z25)</f>
        <v>1539778</v>
      </c>
      <c r="AB25" s="25">
        <f>+S25+X25+AA25</f>
        <v>4077876</v>
      </c>
    </row>
    <row r="26" spans="1:28" x14ac:dyDescent="0.25">
      <c r="A26" s="3">
        <v>29</v>
      </c>
      <c r="B26" s="8" t="s">
        <v>54</v>
      </c>
      <c r="C26" s="2" t="s">
        <v>6</v>
      </c>
      <c r="D26" s="8" t="s">
        <v>115</v>
      </c>
      <c r="E26" s="8" t="s">
        <v>114</v>
      </c>
      <c r="F26" s="8" t="s">
        <v>113</v>
      </c>
      <c r="G26" s="8" t="s">
        <v>7</v>
      </c>
      <c r="H26" s="8" t="s">
        <v>7</v>
      </c>
      <c r="I26" s="8" t="s">
        <v>112</v>
      </c>
      <c r="J26" s="8" t="s">
        <v>69</v>
      </c>
      <c r="K26" s="8">
        <v>0</v>
      </c>
      <c r="L26" s="8">
        <v>15</v>
      </c>
      <c r="M26" s="2"/>
      <c r="N26" s="13">
        <v>4449267</v>
      </c>
      <c r="O26" s="13">
        <v>783150</v>
      </c>
      <c r="P26" s="13"/>
      <c r="Q26" s="13">
        <v>5711895</v>
      </c>
      <c r="R26" s="13">
        <f>(P26+Q26)*19%</f>
        <v>1085260.05</v>
      </c>
      <c r="S26" s="20">
        <f>SUM(O26:R26)</f>
        <v>7580305.0499999998</v>
      </c>
      <c r="T26" s="22"/>
      <c r="U26" s="22"/>
      <c r="V26" s="22">
        <f>(T26+U26)*3%</f>
        <v>0</v>
      </c>
      <c r="W26" s="22">
        <f>+V26*19%</f>
        <v>0</v>
      </c>
      <c r="X26" s="25">
        <f>SUM(T26:W26)</f>
        <v>0</v>
      </c>
      <c r="Y26" s="22"/>
      <c r="Z26" s="22"/>
      <c r="AA26" s="25">
        <f>SUM(Y26:Z26)</f>
        <v>0</v>
      </c>
      <c r="AB26" s="25">
        <f>+S26+X26+AA26</f>
        <v>7580305.0499999998</v>
      </c>
    </row>
    <row r="27" spans="1:28" x14ac:dyDescent="0.25">
      <c r="A27" s="3">
        <v>40</v>
      </c>
      <c r="B27" s="8" t="s">
        <v>111</v>
      </c>
      <c r="C27" s="2" t="s">
        <v>6</v>
      </c>
      <c r="D27" s="8" t="s">
        <v>110</v>
      </c>
      <c r="E27" s="8" t="s">
        <v>4</v>
      </c>
      <c r="F27" s="8" t="s">
        <v>100</v>
      </c>
      <c r="G27" s="8" t="s">
        <v>7</v>
      </c>
      <c r="H27" s="8" t="s">
        <v>7</v>
      </c>
      <c r="I27" s="8" t="s">
        <v>105</v>
      </c>
      <c r="J27" s="8" t="s">
        <v>109</v>
      </c>
      <c r="K27" s="8">
        <v>0</v>
      </c>
      <c r="L27" s="8">
        <v>20</v>
      </c>
      <c r="M27" s="2"/>
      <c r="N27" s="13">
        <v>1333659</v>
      </c>
      <c r="O27" s="13">
        <v>788400</v>
      </c>
      <c r="P27" s="13"/>
      <c r="Q27" s="13">
        <v>458201</v>
      </c>
      <c r="R27" s="13">
        <f>(P27+Q27)*19%</f>
        <v>87058.19</v>
      </c>
      <c r="S27" s="20">
        <f>SUM(O27:R27)</f>
        <v>1333659.19</v>
      </c>
      <c r="T27" s="22"/>
      <c r="U27" s="22"/>
      <c r="V27" s="22">
        <f>(T27+U27)*3%</f>
        <v>0</v>
      </c>
      <c r="W27" s="22">
        <f>+V27*19%</f>
        <v>0</v>
      </c>
      <c r="X27" s="25">
        <f>SUM(T27:W27)</f>
        <v>0</v>
      </c>
      <c r="Y27" s="22"/>
      <c r="Z27" s="22"/>
      <c r="AA27" s="25">
        <f>SUM(Y27:Z27)</f>
        <v>0</v>
      </c>
      <c r="AB27" s="25">
        <f>+S27+X27+AA27</f>
        <v>1333659.19</v>
      </c>
    </row>
    <row r="28" spans="1:28" x14ac:dyDescent="0.25">
      <c r="A28" s="3">
        <v>42</v>
      </c>
      <c r="B28" s="8" t="s">
        <v>102</v>
      </c>
      <c r="C28" s="2" t="s">
        <v>6</v>
      </c>
      <c r="D28" s="8" t="s">
        <v>108</v>
      </c>
      <c r="E28" s="8" t="s">
        <v>19</v>
      </c>
      <c r="F28" s="8" t="s">
        <v>78</v>
      </c>
      <c r="G28" s="8" t="s">
        <v>95</v>
      </c>
      <c r="H28" s="8" t="s">
        <v>7</v>
      </c>
      <c r="I28" s="8" t="s">
        <v>107</v>
      </c>
      <c r="J28" s="8" t="s">
        <v>106</v>
      </c>
      <c r="K28" s="8">
        <v>3</v>
      </c>
      <c r="L28" s="8">
        <v>2</v>
      </c>
      <c r="M28" s="2"/>
      <c r="N28" s="13">
        <v>15056973</v>
      </c>
      <c r="O28" s="13">
        <v>3924681</v>
      </c>
      <c r="P28" s="13"/>
      <c r="Q28" s="13">
        <v>4203783</v>
      </c>
      <c r="R28" s="13">
        <f>(P28+Q28)*19%</f>
        <v>798718.77</v>
      </c>
      <c r="S28" s="20">
        <f>SUM(O28:R28)</f>
        <v>8927182.7699999996</v>
      </c>
      <c r="T28" s="22">
        <v>5918500</v>
      </c>
      <c r="U28" s="22"/>
      <c r="V28" s="22">
        <f>(T28+U28)*3%</f>
        <v>177555</v>
      </c>
      <c r="W28" s="22">
        <f>+V28*19%</f>
        <v>33735.449999999997</v>
      </c>
      <c r="X28" s="25">
        <f>SUM(T28:W28)</f>
        <v>6129790.4500000002</v>
      </c>
      <c r="Y28" s="22">
        <f>1235702-86499+61000+61785</f>
        <v>1271988</v>
      </c>
      <c r="Z28" s="22">
        <f>57460+11739</f>
        <v>69199</v>
      </c>
      <c r="AA28" s="25">
        <f>SUM(Y28:Z28)</f>
        <v>1341187</v>
      </c>
      <c r="AB28" s="25">
        <f>+S28+X28+AA28</f>
        <v>16398160.219999999</v>
      </c>
    </row>
    <row r="29" spans="1:28" x14ac:dyDescent="0.25">
      <c r="A29" s="3">
        <v>44</v>
      </c>
      <c r="B29" s="8" t="s">
        <v>102</v>
      </c>
      <c r="C29" s="2" t="s">
        <v>6</v>
      </c>
      <c r="D29" s="8" t="s">
        <v>101</v>
      </c>
      <c r="E29" s="8" t="s">
        <v>4</v>
      </c>
      <c r="F29" s="8" t="s">
        <v>100</v>
      </c>
      <c r="G29" s="8" t="s">
        <v>93</v>
      </c>
      <c r="H29" s="8" t="s">
        <v>93</v>
      </c>
      <c r="I29" s="8" t="s">
        <v>105</v>
      </c>
      <c r="J29" s="8" t="s">
        <v>104</v>
      </c>
      <c r="K29" s="8">
        <v>0</v>
      </c>
      <c r="L29" s="8">
        <v>0</v>
      </c>
      <c r="M29" s="2"/>
      <c r="N29" s="13">
        <v>2492234</v>
      </c>
      <c r="O29" s="13">
        <f>1773900</f>
        <v>1773900</v>
      </c>
      <c r="P29" s="13"/>
      <c r="Q29" s="13">
        <v>603642</v>
      </c>
      <c r="R29" s="13">
        <f>(P29+Q29)*19%</f>
        <v>114691.98</v>
      </c>
      <c r="S29" s="20">
        <f>SUM(O29:R29)</f>
        <v>2492233.98</v>
      </c>
      <c r="T29" s="22"/>
      <c r="U29" s="22"/>
      <c r="V29" s="22">
        <f>(T29+U29)*3%</f>
        <v>0</v>
      </c>
      <c r="W29" s="22">
        <f>+V29*19%</f>
        <v>0</v>
      </c>
      <c r="X29" s="25">
        <f>SUM(T29:W29)</f>
        <v>0</v>
      </c>
      <c r="Y29" s="22"/>
      <c r="Z29" s="22"/>
      <c r="AA29" s="25">
        <f>SUM(Y29:Z29)</f>
        <v>0</v>
      </c>
      <c r="AB29" s="25">
        <f>+S29+X29+AA29</f>
        <v>2492233.98</v>
      </c>
    </row>
    <row r="30" spans="1:28" x14ac:dyDescent="0.25">
      <c r="A30" s="3">
        <v>54</v>
      </c>
      <c r="B30" s="8" t="s">
        <v>95</v>
      </c>
      <c r="C30" s="2" t="s">
        <v>6</v>
      </c>
      <c r="D30" s="8" t="s">
        <v>26</v>
      </c>
      <c r="E30" s="8" t="s">
        <v>4</v>
      </c>
      <c r="F30" s="8" t="s">
        <v>25</v>
      </c>
      <c r="G30" s="8" t="s">
        <v>93</v>
      </c>
      <c r="H30" s="8" t="s">
        <v>93</v>
      </c>
      <c r="I30" s="8" t="s">
        <v>103</v>
      </c>
      <c r="J30" s="8" t="s">
        <v>69</v>
      </c>
      <c r="K30" s="8">
        <v>0</v>
      </c>
      <c r="L30" s="8">
        <v>15</v>
      </c>
      <c r="M30" s="2"/>
      <c r="N30" s="13">
        <v>2864483</v>
      </c>
      <c r="O30" s="13">
        <v>591300</v>
      </c>
      <c r="P30" s="13"/>
      <c r="Q30" s="13">
        <v>1910238</v>
      </c>
      <c r="R30" s="13">
        <f>(P30+Q30)*19%</f>
        <v>362945.22000000003</v>
      </c>
      <c r="S30" s="20">
        <f>SUM(O30:R30)</f>
        <v>2864483.22</v>
      </c>
      <c r="T30" s="22"/>
      <c r="U30" s="22"/>
      <c r="V30" s="22">
        <f>(T30+U30)*3%</f>
        <v>0</v>
      </c>
      <c r="W30" s="22">
        <f>+V30*19%</f>
        <v>0</v>
      </c>
      <c r="X30" s="25">
        <f>SUM(T30:W30)</f>
        <v>0</v>
      </c>
      <c r="Y30" s="22"/>
      <c r="Z30" s="22"/>
      <c r="AA30" s="25">
        <f>SUM(Y30:Z30)</f>
        <v>0</v>
      </c>
      <c r="AB30" s="25">
        <f>+S30+X30+AA30</f>
        <v>2864483.22</v>
      </c>
    </row>
    <row r="31" spans="1:28" x14ac:dyDescent="0.25">
      <c r="A31" s="3">
        <v>43</v>
      </c>
      <c r="B31" s="8" t="s">
        <v>102</v>
      </c>
      <c r="C31" s="2" t="s">
        <v>6</v>
      </c>
      <c r="D31" s="8" t="s">
        <v>101</v>
      </c>
      <c r="E31" s="8" t="s">
        <v>4</v>
      </c>
      <c r="F31" s="8" t="s">
        <v>100</v>
      </c>
      <c r="G31" s="8" t="s">
        <v>43</v>
      </c>
      <c r="H31" s="8" t="s">
        <v>43</v>
      </c>
      <c r="I31" s="8" t="s">
        <v>99</v>
      </c>
      <c r="J31" s="8" t="s">
        <v>98</v>
      </c>
      <c r="K31" s="8">
        <v>0</v>
      </c>
      <c r="L31" s="8">
        <v>38</v>
      </c>
      <c r="M31" s="2"/>
      <c r="N31" s="13">
        <v>2216294</v>
      </c>
      <c r="O31" s="13">
        <v>1497960</v>
      </c>
      <c r="P31" s="13"/>
      <c r="Q31" s="13">
        <v>603642</v>
      </c>
      <c r="R31" s="13">
        <f>(P31+Q31)*19%</f>
        <v>114691.98</v>
      </c>
      <c r="S31" s="20">
        <f>SUM(O31:R31)</f>
        <v>2216293.98</v>
      </c>
      <c r="T31" s="22"/>
      <c r="U31" s="22"/>
      <c r="V31" s="22">
        <f>(T31+U31)*3%</f>
        <v>0</v>
      </c>
      <c r="W31" s="22">
        <f>+V31*19%</f>
        <v>0</v>
      </c>
      <c r="X31" s="25">
        <f>SUM(T31:W31)</f>
        <v>0</v>
      </c>
      <c r="Y31" s="22"/>
      <c r="Z31" s="22"/>
      <c r="AA31" s="25">
        <f>SUM(Y31:Z31)</f>
        <v>0</v>
      </c>
      <c r="AB31" s="25">
        <f>+S31+X31+AA31</f>
        <v>2216293.98</v>
      </c>
    </row>
    <row r="32" spans="1:28" x14ac:dyDescent="0.25">
      <c r="A32" s="3">
        <v>34</v>
      </c>
      <c r="B32" s="8" t="s">
        <v>54</v>
      </c>
      <c r="C32" s="2" t="s">
        <v>6</v>
      </c>
      <c r="D32" s="8" t="s">
        <v>97</v>
      </c>
      <c r="E32" s="8" t="s">
        <v>74</v>
      </c>
      <c r="F32" s="8" t="s">
        <v>96</v>
      </c>
      <c r="G32" s="8" t="s">
        <v>93</v>
      </c>
      <c r="H32" s="8" t="s">
        <v>48</v>
      </c>
      <c r="I32" s="8" t="s">
        <v>86</v>
      </c>
      <c r="J32" s="8" t="s">
        <v>85</v>
      </c>
      <c r="K32" s="8">
        <v>2</v>
      </c>
      <c r="L32" s="8">
        <v>23</v>
      </c>
      <c r="M32" s="2"/>
      <c r="N32" s="13">
        <v>3771926</v>
      </c>
      <c r="O32" s="13">
        <v>2930804</v>
      </c>
      <c r="P32" s="13"/>
      <c r="Q32" s="13"/>
      <c r="R32" s="13">
        <f>(P32+Q32)*19%</f>
        <v>0</v>
      </c>
      <c r="S32" s="20">
        <f>SUM(O32:R32)</f>
        <v>2930804</v>
      </c>
      <c r="T32" s="22">
        <v>830000</v>
      </c>
      <c r="U32" s="22"/>
      <c r="V32" s="22">
        <f>(T32+U32)*3%</f>
        <v>24900</v>
      </c>
      <c r="W32" s="22">
        <f>+V32*19%</f>
        <v>4731</v>
      </c>
      <c r="X32" s="25">
        <f>SUM(T32:W32)</f>
        <v>859631</v>
      </c>
      <c r="Y32" s="22"/>
      <c r="Z32" s="22"/>
      <c r="AA32" s="25">
        <f>SUM(Y32:Z32)</f>
        <v>0</v>
      </c>
      <c r="AB32" s="25">
        <f>+S32+X32+AA32</f>
        <v>3790435</v>
      </c>
    </row>
    <row r="33" spans="1:28" x14ac:dyDescent="0.25">
      <c r="A33" s="3">
        <v>55</v>
      </c>
      <c r="B33" s="8" t="s">
        <v>95</v>
      </c>
      <c r="C33" s="2" t="s">
        <v>6</v>
      </c>
      <c r="D33" s="8" t="s">
        <v>94</v>
      </c>
      <c r="E33" s="8" t="s">
        <v>19</v>
      </c>
      <c r="F33" s="8" t="s">
        <v>78</v>
      </c>
      <c r="G33" s="8" t="s">
        <v>93</v>
      </c>
      <c r="H33" s="8" t="s">
        <v>48</v>
      </c>
      <c r="I33" s="8" t="s">
        <v>86</v>
      </c>
      <c r="J33" s="8" t="s">
        <v>85</v>
      </c>
      <c r="K33" s="8">
        <v>33</v>
      </c>
      <c r="L33" s="8">
        <v>25</v>
      </c>
      <c r="M33" s="2"/>
      <c r="N33" s="13">
        <v>25194641</v>
      </c>
      <c r="O33" s="13">
        <v>9279894</v>
      </c>
      <c r="P33" s="13"/>
      <c r="Q33" s="13">
        <v>8784109</v>
      </c>
      <c r="R33" s="13">
        <f>(P33+Q33)*19%</f>
        <v>1668980.71</v>
      </c>
      <c r="S33" s="20">
        <f>SUM(O33:R33)</f>
        <v>19732983.710000001</v>
      </c>
      <c r="T33" s="22">
        <v>16080000</v>
      </c>
      <c r="U33" s="22"/>
      <c r="V33" s="22">
        <f>(T33+U33)*3%</f>
        <v>482400</v>
      </c>
      <c r="W33" s="22">
        <f>+V33*19%</f>
        <v>91656</v>
      </c>
      <c r="X33" s="25">
        <f>SUM(T33:W33)</f>
        <v>16654056</v>
      </c>
      <c r="Y33" s="22">
        <f>771199-53984+61000+38560</f>
        <v>816775</v>
      </c>
      <c r="Z33" s="22">
        <f>35861+7326</f>
        <v>43187</v>
      </c>
      <c r="AA33" s="25">
        <f>SUM(Y33:Z33)</f>
        <v>859962</v>
      </c>
      <c r="AB33" s="25">
        <f>+S33+X33+AA33</f>
        <v>37247001.710000001</v>
      </c>
    </row>
    <row r="34" spans="1:28" x14ac:dyDescent="0.25">
      <c r="A34" s="3">
        <v>66</v>
      </c>
      <c r="B34" s="8" t="s">
        <v>7</v>
      </c>
      <c r="C34" s="2" t="s">
        <v>6</v>
      </c>
      <c r="D34" s="8" t="s">
        <v>92</v>
      </c>
      <c r="E34" s="8" t="s">
        <v>4</v>
      </c>
      <c r="F34" s="8" t="s">
        <v>91</v>
      </c>
      <c r="G34" s="8" t="s">
        <v>21</v>
      </c>
      <c r="H34" s="8" t="s">
        <v>21</v>
      </c>
      <c r="I34" s="8" t="s">
        <v>90</v>
      </c>
      <c r="J34" s="8" t="s">
        <v>90</v>
      </c>
      <c r="K34" s="8">
        <v>0</v>
      </c>
      <c r="L34" s="8">
        <v>15</v>
      </c>
      <c r="M34" s="2"/>
      <c r="N34" s="13">
        <v>2864483</v>
      </c>
      <c r="O34" s="13">
        <v>591300</v>
      </c>
      <c r="P34" s="13"/>
      <c r="Q34" s="13">
        <v>1910238</v>
      </c>
      <c r="R34" s="13">
        <f>(P34+Q34)*19%</f>
        <v>362945.22000000003</v>
      </c>
      <c r="S34" s="20">
        <f>SUM(O34:R34)</f>
        <v>2864483.22</v>
      </c>
      <c r="T34" s="22"/>
      <c r="U34" s="22"/>
      <c r="V34" s="22">
        <f>(T34+U34)*3%</f>
        <v>0</v>
      </c>
      <c r="W34" s="22">
        <f>+V34*19%</f>
        <v>0</v>
      </c>
      <c r="X34" s="25">
        <f>SUM(T34:W34)</f>
        <v>0</v>
      </c>
      <c r="Y34" s="22"/>
      <c r="Z34" s="22"/>
      <c r="AA34" s="25">
        <f>SUM(Y34:Z34)</f>
        <v>0</v>
      </c>
      <c r="AB34" s="25">
        <f>+S34+X34+AA34</f>
        <v>2864483.22</v>
      </c>
    </row>
    <row r="35" spans="1:28" x14ac:dyDescent="0.25">
      <c r="A35" s="3">
        <v>49</v>
      </c>
      <c r="B35" s="8" t="s">
        <v>10</v>
      </c>
      <c r="C35" s="2" t="s">
        <v>6</v>
      </c>
      <c r="D35" s="8" t="s">
        <v>38</v>
      </c>
      <c r="E35" s="8" t="s">
        <v>4</v>
      </c>
      <c r="F35" s="8" t="s">
        <v>37</v>
      </c>
      <c r="G35" s="8" t="s">
        <v>89</v>
      </c>
      <c r="H35" s="8" t="s">
        <v>72</v>
      </c>
      <c r="I35" s="8" t="s">
        <v>36</v>
      </c>
      <c r="J35" s="8" t="s">
        <v>88</v>
      </c>
      <c r="K35" s="8">
        <v>0</v>
      </c>
      <c r="L35" s="8">
        <v>17</v>
      </c>
      <c r="M35" s="2"/>
      <c r="N35" s="13">
        <v>1455305</v>
      </c>
      <c r="O35" s="13">
        <v>736971</v>
      </c>
      <c r="P35" s="13"/>
      <c r="Q35" s="13">
        <v>603642</v>
      </c>
      <c r="R35" s="13">
        <f>(P35+Q35)*19%</f>
        <v>114691.98</v>
      </c>
      <c r="S35" s="20">
        <f>SUM(O35:R35)</f>
        <v>1455304.98</v>
      </c>
      <c r="T35" s="22"/>
      <c r="U35" s="22"/>
      <c r="V35" s="22">
        <f>(T35+U35)*3%</f>
        <v>0</v>
      </c>
      <c r="W35" s="22">
        <f>+V35*19%</f>
        <v>0</v>
      </c>
      <c r="X35" s="25">
        <f>SUM(T35:W35)</f>
        <v>0</v>
      </c>
      <c r="Y35" s="22"/>
      <c r="Z35" s="22"/>
      <c r="AA35" s="25">
        <f>SUM(Y35:Z35)</f>
        <v>0</v>
      </c>
      <c r="AB35" s="25">
        <f>+S35+X35+AA35</f>
        <v>1455304.98</v>
      </c>
    </row>
    <row r="36" spans="1:28" x14ac:dyDescent="0.25">
      <c r="A36" s="3">
        <v>57</v>
      </c>
      <c r="B36" s="8" t="s">
        <v>13</v>
      </c>
      <c r="C36" s="2" t="s">
        <v>6</v>
      </c>
      <c r="D36" s="8" t="s">
        <v>38</v>
      </c>
      <c r="E36" s="8" t="s">
        <v>4</v>
      </c>
      <c r="F36" s="8" t="s">
        <v>87</v>
      </c>
      <c r="G36" s="8" t="s">
        <v>72</v>
      </c>
      <c r="H36" s="8" t="s">
        <v>72</v>
      </c>
      <c r="I36" s="8" t="s">
        <v>86</v>
      </c>
      <c r="J36" s="8" t="s">
        <v>85</v>
      </c>
      <c r="K36" s="8">
        <v>0</v>
      </c>
      <c r="L36" s="8">
        <v>35</v>
      </c>
      <c r="M36" s="2"/>
      <c r="N36" s="13">
        <v>4300998</v>
      </c>
      <c r="O36" s="13">
        <v>1379700</v>
      </c>
      <c r="P36" s="13"/>
      <c r="Q36" s="13">
        <v>2454872</v>
      </c>
      <c r="R36" s="13">
        <f>(P36+Q36)*19%</f>
        <v>466425.68</v>
      </c>
      <c r="S36" s="20">
        <f>SUM(O36:R36)</f>
        <v>4300997.68</v>
      </c>
      <c r="T36" s="22"/>
      <c r="U36" s="22"/>
      <c r="V36" s="22">
        <f>(T36+U36)*3%</f>
        <v>0</v>
      </c>
      <c r="W36" s="22">
        <f>+V36*19%</f>
        <v>0</v>
      </c>
      <c r="X36" s="25">
        <f>SUM(T36:W36)</f>
        <v>0</v>
      </c>
      <c r="Y36" s="22"/>
      <c r="Z36" s="22"/>
      <c r="AA36" s="25">
        <f>SUM(Y36:Z36)</f>
        <v>0</v>
      </c>
      <c r="AB36" s="25">
        <f>+S36+X36+AA36</f>
        <v>4300997.68</v>
      </c>
    </row>
    <row r="37" spans="1:28" x14ac:dyDescent="0.25">
      <c r="A37" s="3">
        <v>62</v>
      </c>
      <c r="B37" s="8" t="s">
        <v>7</v>
      </c>
      <c r="C37" s="2" t="s">
        <v>6</v>
      </c>
      <c r="D37" s="8" t="s">
        <v>84</v>
      </c>
      <c r="E37" s="8" t="s">
        <v>4</v>
      </c>
      <c r="F37" s="8" t="s">
        <v>83</v>
      </c>
      <c r="G37" s="8" t="s">
        <v>72</v>
      </c>
      <c r="H37" s="8" t="s">
        <v>72</v>
      </c>
      <c r="I37" s="8" t="s">
        <v>82</v>
      </c>
      <c r="J37" s="8" t="s">
        <v>81</v>
      </c>
      <c r="K37" s="8">
        <v>0</v>
      </c>
      <c r="L37" s="8">
        <v>30</v>
      </c>
      <c r="M37" s="2"/>
      <c r="N37" s="13">
        <v>3680452</v>
      </c>
      <c r="O37" s="13">
        <f>1182600</f>
        <v>1182600</v>
      </c>
      <c r="P37" s="13"/>
      <c r="Q37" s="13">
        <v>2099035</v>
      </c>
      <c r="R37" s="13">
        <f>(P37+Q37)*19%</f>
        <v>398816.65</v>
      </c>
      <c r="S37" s="20">
        <f>SUM(O37:R37)</f>
        <v>3680451.65</v>
      </c>
      <c r="T37" s="22"/>
      <c r="U37" s="22"/>
      <c r="V37" s="22">
        <f>(T37+U37)*3%</f>
        <v>0</v>
      </c>
      <c r="W37" s="22">
        <f>+V37*19%</f>
        <v>0</v>
      </c>
      <c r="X37" s="25">
        <f>SUM(T37:W37)</f>
        <v>0</v>
      </c>
      <c r="Y37" s="22"/>
      <c r="Z37" s="22"/>
      <c r="AA37" s="25">
        <f>SUM(Y37:Z37)</f>
        <v>0</v>
      </c>
      <c r="AB37" s="25">
        <f>+S37+X37+AA37</f>
        <v>3680451.65</v>
      </c>
    </row>
    <row r="38" spans="1:28" x14ac:dyDescent="0.25">
      <c r="A38" s="3">
        <v>79</v>
      </c>
      <c r="B38" s="8" t="s">
        <v>80</v>
      </c>
      <c r="C38" s="2" t="s">
        <v>6</v>
      </c>
      <c r="D38" s="8" t="s">
        <v>79</v>
      </c>
      <c r="E38" s="8" t="s">
        <v>19</v>
      </c>
      <c r="F38" s="8" t="s">
        <v>78</v>
      </c>
      <c r="G38" s="8" t="s">
        <v>77</v>
      </c>
      <c r="H38" s="8" t="s">
        <v>72</v>
      </c>
      <c r="I38" s="8" t="s">
        <v>76</v>
      </c>
      <c r="J38" s="8" t="s">
        <v>69</v>
      </c>
      <c r="K38" s="8">
        <v>3</v>
      </c>
      <c r="L38" s="8">
        <v>0</v>
      </c>
      <c r="M38" s="2"/>
      <c r="N38" s="13">
        <v>5069048</v>
      </c>
      <c r="O38" s="13">
        <v>522276</v>
      </c>
      <c r="P38" s="13"/>
      <c r="Q38" s="13"/>
      <c r="R38" s="13">
        <f>(P38+Q38)*19%</f>
        <v>0</v>
      </c>
      <c r="S38" s="20">
        <f>SUM(O38:R38)</f>
        <v>522276</v>
      </c>
      <c r="T38" s="22">
        <v>1580500</v>
      </c>
      <c r="U38" s="22"/>
      <c r="V38" s="22">
        <f>(T38+U38)*3%</f>
        <v>47415</v>
      </c>
      <c r="W38" s="22">
        <f>+V38*19%</f>
        <v>9008.85</v>
      </c>
      <c r="X38" s="25">
        <f>SUM(T38:W38)</f>
        <v>1636923.85</v>
      </c>
      <c r="Y38" s="22"/>
      <c r="Z38" s="22"/>
      <c r="AA38" s="25">
        <f>SUM(Y38:Z38)</f>
        <v>0</v>
      </c>
      <c r="AB38" s="25">
        <f>+S38+X38+AA38</f>
        <v>2159199.85</v>
      </c>
    </row>
    <row r="39" spans="1:28" x14ac:dyDescent="0.25">
      <c r="A39" s="3">
        <v>35</v>
      </c>
      <c r="B39" s="8" t="s">
        <v>54</v>
      </c>
      <c r="C39" s="2" t="s">
        <v>6</v>
      </c>
      <c r="D39" s="8" t="s">
        <v>75</v>
      </c>
      <c r="E39" s="8" t="s">
        <v>74</v>
      </c>
      <c r="F39" s="8" t="s">
        <v>73</v>
      </c>
      <c r="G39" s="8" t="s">
        <v>72</v>
      </c>
      <c r="H39" s="8" t="s">
        <v>71</v>
      </c>
      <c r="I39" s="8" t="s">
        <v>70</v>
      </c>
      <c r="J39" s="8" t="s">
        <v>69</v>
      </c>
      <c r="K39" s="8">
        <v>2</v>
      </c>
      <c r="L39" s="8">
        <v>38</v>
      </c>
      <c r="M39" s="2"/>
      <c r="N39" s="13">
        <v>5219053</v>
      </c>
      <c r="O39" s="13">
        <v>3340686</v>
      </c>
      <c r="P39" s="13"/>
      <c r="Q39" s="13"/>
      <c r="R39" s="13">
        <f>(P39+Q39)*19%</f>
        <v>0</v>
      </c>
      <c r="S39" s="20">
        <f>SUM(O39:R39)</f>
        <v>3340686</v>
      </c>
      <c r="T39" s="22">
        <v>1738500</v>
      </c>
      <c r="U39" s="22"/>
      <c r="V39" s="22">
        <f>(T39+U39)*3%</f>
        <v>52155</v>
      </c>
      <c r="W39" s="22">
        <f>+V39*19%</f>
        <v>9909.4500000000007</v>
      </c>
      <c r="X39" s="25">
        <f>SUM(T39:W39)</f>
        <v>1800564.45</v>
      </c>
      <c r="Y39" s="22">
        <f>862310-60362+122000+43116</f>
        <v>967064</v>
      </c>
      <c r="Z39" s="22">
        <f>40097+8192</f>
        <v>48289</v>
      </c>
      <c r="AA39" s="25">
        <f>SUM(Y39:Z39)</f>
        <v>1015353</v>
      </c>
      <c r="AB39" s="25">
        <f>+S39+X39+AA39</f>
        <v>6156603.4500000002</v>
      </c>
    </row>
    <row r="40" spans="1:28" x14ac:dyDescent="0.25">
      <c r="A40" s="3">
        <v>38</v>
      </c>
      <c r="B40" s="8" t="s">
        <v>54</v>
      </c>
      <c r="C40" s="2" t="s">
        <v>6</v>
      </c>
      <c r="D40" s="8" t="s">
        <v>34</v>
      </c>
      <c r="E40" s="8" t="s">
        <v>4</v>
      </c>
      <c r="F40" s="8" t="s">
        <v>33</v>
      </c>
      <c r="G40" s="8" t="s">
        <v>61</v>
      </c>
      <c r="H40" s="8" t="s">
        <v>61</v>
      </c>
      <c r="I40" s="8" t="s">
        <v>68</v>
      </c>
      <c r="J40" s="8" t="s">
        <v>67</v>
      </c>
      <c r="K40" s="8">
        <v>0</v>
      </c>
      <c r="L40" s="8">
        <v>35</v>
      </c>
      <c r="M40" s="2"/>
      <c r="N40" s="13">
        <v>3527654</v>
      </c>
      <c r="O40" s="13">
        <f>1044200</f>
        <v>1044200</v>
      </c>
      <c r="P40" s="13"/>
      <c r="Q40" s="13">
        <v>2196621</v>
      </c>
      <c r="R40" s="13">
        <f>(P40+Q40)*19%</f>
        <v>417357.99</v>
      </c>
      <c r="S40" s="20">
        <f>SUM(O40:R40)</f>
        <v>3658178.99</v>
      </c>
      <c r="T40" s="22"/>
      <c r="U40" s="22"/>
      <c r="V40" s="22">
        <f>(T40+U40)*3%</f>
        <v>0</v>
      </c>
      <c r="W40" s="22">
        <f>+V40*19%</f>
        <v>0</v>
      </c>
      <c r="X40" s="25">
        <f>SUM(T40:W40)</f>
        <v>0</v>
      </c>
      <c r="Y40" s="22"/>
      <c r="Z40" s="22"/>
      <c r="AA40" s="25">
        <f>SUM(Y40:Z40)</f>
        <v>0</v>
      </c>
      <c r="AB40" s="25">
        <f>+S40+X40+AA40</f>
        <v>3658178.99</v>
      </c>
    </row>
    <row r="41" spans="1:28" x14ac:dyDescent="0.25">
      <c r="A41" s="3">
        <v>48</v>
      </c>
      <c r="B41" s="8" t="s">
        <v>10</v>
      </c>
      <c r="C41" s="2" t="s">
        <v>6</v>
      </c>
      <c r="D41" s="8" t="s">
        <v>38</v>
      </c>
      <c r="E41" s="8" t="s">
        <v>4</v>
      </c>
      <c r="F41" s="8" t="s">
        <v>37</v>
      </c>
      <c r="G41" s="8" t="s">
        <v>61</v>
      </c>
      <c r="H41" s="8" t="s">
        <v>61</v>
      </c>
      <c r="I41" s="8" t="s">
        <v>36</v>
      </c>
      <c r="J41" s="8" t="s">
        <v>66</v>
      </c>
      <c r="K41" s="8">
        <v>0</v>
      </c>
      <c r="L41" s="8">
        <v>25</v>
      </c>
      <c r="M41" s="2"/>
      <c r="N41" s="13">
        <v>1463346</v>
      </c>
      <c r="O41" s="13">
        <v>1052331</v>
      </c>
      <c r="P41" s="13"/>
      <c r="Q41" s="13">
        <v>345391</v>
      </c>
      <c r="R41" s="13">
        <f>(P41+Q41)*19%</f>
        <v>65624.289999999994</v>
      </c>
      <c r="S41" s="20">
        <f>SUM(O41:R41)</f>
        <v>1463346.29</v>
      </c>
      <c r="T41" s="22"/>
      <c r="U41" s="22"/>
      <c r="V41" s="22">
        <f>(T41+U41)*3%</f>
        <v>0</v>
      </c>
      <c r="W41" s="22">
        <f>+V41*19%</f>
        <v>0</v>
      </c>
      <c r="X41" s="25">
        <f>SUM(T41:W41)</f>
        <v>0</v>
      </c>
      <c r="Y41" s="22"/>
      <c r="Z41" s="22"/>
      <c r="AA41" s="25">
        <f>SUM(Y41:Z41)</f>
        <v>0</v>
      </c>
      <c r="AB41" s="25">
        <f>+S41+X41+AA41</f>
        <v>1463346.29</v>
      </c>
    </row>
    <row r="42" spans="1:28" x14ac:dyDescent="0.25">
      <c r="A42" s="3">
        <v>59</v>
      </c>
      <c r="B42" s="8" t="s">
        <v>13</v>
      </c>
      <c r="C42" s="2" t="s">
        <v>6</v>
      </c>
      <c r="D42" s="8" t="s">
        <v>38</v>
      </c>
      <c r="E42" s="8" t="s">
        <v>4</v>
      </c>
      <c r="F42" s="8" t="s">
        <v>65</v>
      </c>
      <c r="G42" s="8" t="s">
        <v>61</v>
      </c>
      <c r="H42" s="8" t="s">
        <v>61</v>
      </c>
      <c r="I42" s="8" t="s">
        <v>56</v>
      </c>
      <c r="J42" s="8" t="s">
        <v>64</v>
      </c>
      <c r="K42" s="8">
        <v>0</v>
      </c>
      <c r="L42" s="8">
        <v>40</v>
      </c>
      <c r="M42" s="2"/>
      <c r="N42" s="13">
        <v>2330667</v>
      </c>
      <c r="O42" s="13">
        <v>2023348</v>
      </c>
      <c r="P42" s="13"/>
      <c r="Q42" s="13">
        <v>258251</v>
      </c>
      <c r="R42" s="13">
        <f>(P42+Q42)*19%</f>
        <v>49067.69</v>
      </c>
      <c r="S42" s="20">
        <f>SUM(O42:R42)</f>
        <v>2330666.69</v>
      </c>
      <c r="T42" s="22"/>
      <c r="U42" s="22"/>
      <c r="V42" s="22">
        <f>(T42+U42)*3%</f>
        <v>0</v>
      </c>
      <c r="W42" s="22">
        <f>+V42*19%</f>
        <v>0</v>
      </c>
      <c r="X42" s="25">
        <f>SUM(T42:W42)</f>
        <v>0</v>
      </c>
      <c r="Y42" s="22"/>
      <c r="Z42" s="22"/>
      <c r="AA42" s="25">
        <f>SUM(Y42:Z42)</f>
        <v>0</v>
      </c>
      <c r="AB42" s="25">
        <f>+S42+X42+AA42</f>
        <v>2330666.69</v>
      </c>
    </row>
    <row r="43" spans="1:28" x14ac:dyDescent="0.25">
      <c r="A43" s="3">
        <v>67</v>
      </c>
      <c r="B43" s="8" t="s">
        <v>7</v>
      </c>
      <c r="C43" s="2" t="s">
        <v>6</v>
      </c>
      <c r="D43" s="8" t="s">
        <v>63</v>
      </c>
      <c r="E43" s="8" t="s">
        <v>4</v>
      </c>
      <c r="F43" s="8" t="s">
        <v>62</v>
      </c>
      <c r="G43" s="8" t="s">
        <v>61</v>
      </c>
      <c r="H43" s="8" t="s">
        <v>61</v>
      </c>
      <c r="I43" s="8" t="s">
        <v>60</v>
      </c>
      <c r="J43" s="8" t="s">
        <v>59</v>
      </c>
      <c r="K43" s="8">
        <v>0</v>
      </c>
      <c r="L43" s="8">
        <v>25</v>
      </c>
      <c r="M43" s="2"/>
      <c r="N43" s="13">
        <v>3591611</v>
      </c>
      <c r="O43" s="13">
        <v>1529315</v>
      </c>
      <c r="P43" s="13"/>
      <c r="Q43" s="13">
        <v>1910282</v>
      </c>
      <c r="R43" s="13">
        <f>(P43+Q43)*19%</f>
        <v>362953.58</v>
      </c>
      <c r="S43" s="20">
        <f>SUM(O43:R43)</f>
        <v>3802550.58</v>
      </c>
      <c r="T43" s="22"/>
      <c r="U43" s="22"/>
      <c r="V43" s="22">
        <f>(T43+U43)*3%</f>
        <v>0</v>
      </c>
      <c r="W43" s="22">
        <f>+V43*19%</f>
        <v>0</v>
      </c>
      <c r="X43" s="25">
        <f>SUM(T43:W43)</f>
        <v>0</v>
      </c>
      <c r="Y43" s="22"/>
      <c r="Z43" s="22"/>
      <c r="AA43" s="25">
        <f>SUM(Y43:Z43)</f>
        <v>0</v>
      </c>
      <c r="AB43" s="25">
        <f>+S43+X43+AA43</f>
        <v>3802550.58</v>
      </c>
    </row>
    <row r="44" spans="1:28" x14ac:dyDescent="0.25">
      <c r="A44" s="3">
        <v>58</v>
      </c>
      <c r="B44" s="8" t="s">
        <v>13</v>
      </c>
      <c r="C44" s="2" t="s">
        <v>6</v>
      </c>
      <c r="D44" s="8" t="s">
        <v>38</v>
      </c>
      <c r="E44" s="8" t="s">
        <v>4</v>
      </c>
      <c r="F44" s="8" t="s">
        <v>58</v>
      </c>
      <c r="G44" s="8" t="s">
        <v>57</v>
      </c>
      <c r="H44" s="8" t="s">
        <v>57</v>
      </c>
      <c r="I44" s="8" t="s">
        <v>56</v>
      </c>
      <c r="J44" s="8" t="s">
        <v>55</v>
      </c>
      <c r="K44" s="8">
        <v>0</v>
      </c>
      <c r="L44" s="8">
        <v>25</v>
      </c>
      <c r="M44" s="2"/>
      <c r="N44" s="13">
        <v>3483352</v>
      </c>
      <c r="O44" s="13">
        <v>985500</v>
      </c>
      <c r="P44" s="13"/>
      <c r="Q44" s="13">
        <v>2099035</v>
      </c>
      <c r="R44" s="13">
        <f>(P44+Q44)*19%</f>
        <v>398816.65</v>
      </c>
      <c r="S44" s="20">
        <f>SUM(O44:R44)</f>
        <v>3483351.65</v>
      </c>
      <c r="T44" s="22"/>
      <c r="U44" s="22"/>
      <c r="V44" s="22">
        <f>(T44+U44)*3%</f>
        <v>0</v>
      </c>
      <c r="W44" s="22">
        <f>+V44*19%</f>
        <v>0</v>
      </c>
      <c r="X44" s="25">
        <f>SUM(T44:W44)</f>
        <v>0</v>
      </c>
      <c r="Y44" s="22"/>
      <c r="Z44" s="22"/>
      <c r="AA44" s="25">
        <f>SUM(Y44:Z44)</f>
        <v>0</v>
      </c>
      <c r="AB44" s="25">
        <f>+S44+X44+AA44</f>
        <v>3483351.65</v>
      </c>
    </row>
    <row r="45" spans="1:28" x14ac:dyDescent="0.25">
      <c r="A45" s="3">
        <v>33</v>
      </c>
      <c r="B45" s="8" t="s">
        <v>54</v>
      </c>
      <c r="C45" s="2" t="s">
        <v>6</v>
      </c>
      <c r="D45" s="8" t="s">
        <v>53</v>
      </c>
      <c r="E45" s="8" t="s">
        <v>4</v>
      </c>
      <c r="F45" s="8" t="s">
        <v>52</v>
      </c>
      <c r="G45" s="8" t="s">
        <v>45</v>
      </c>
      <c r="H45" s="8" t="s">
        <v>45</v>
      </c>
      <c r="I45" s="8" t="s">
        <v>51</v>
      </c>
      <c r="J45" s="8" t="s">
        <v>50</v>
      </c>
      <c r="K45" s="8">
        <v>0</v>
      </c>
      <c r="L45" s="8">
        <v>35</v>
      </c>
      <c r="M45" s="2"/>
      <c r="N45" s="13">
        <v>4300998</v>
      </c>
      <c r="O45" s="13">
        <v>1379700</v>
      </c>
      <c r="P45" s="13"/>
      <c r="Q45" s="13">
        <v>2454872</v>
      </c>
      <c r="R45" s="13">
        <f>(P45+Q45)*19%</f>
        <v>466425.68</v>
      </c>
      <c r="S45" s="20">
        <f>SUM(O45:R45)</f>
        <v>4300997.68</v>
      </c>
      <c r="T45" s="22"/>
      <c r="U45" s="22"/>
      <c r="V45" s="22">
        <f>(T45+U45)*3%</f>
        <v>0</v>
      </c>
      <c r="W45" s="22">
        <f>+V45*19%</f>
        <v>0</v>
      </c>
      <c r="X45" s="25">
        <f>SUM(T45:W45)</f>
        <v>0</v>
      </c>
      <c r="Y45" s="22"/>
      <c r="Z45" s="22"/>
      <c r="AA45" s="25">
        <f>SUM(Y45:Z45)</f>
        <v>0</v>
      </c>
      <c r="AB45" s="25">
        <f>+S45+X45+AA45</f>
        <v>4300997.68</v>
      </c>
    </row>
    <row r="46" spans="1:28" x14ac:dyDescent="0.25">
      <c r="A46" s="3">
        <v>50</v>
      </c>
      <c r="B46" s="8" t="s">
        <v>10</v>
      </c>
      <c r="C46" s="2" t="s">
        <v>6</v>
      </c>
      <c r="D46" s="8" t="s">
        <v>38</v>
      </c>
      <c r="E46" s="8" t="s">
        <v>4</v>
      </c>
      <c r="F46" s="8" t="s">
        <v>37</v>
      </c>
      <c r="G46" s="8" t="s">
        <v>45</v>
      </c>
      <c r="H46" s="8" t="s">
        <v>45</v>
      </c>
      <c r="I46" s="8" t="s">
        <v>36</v>
      </c>
      <c r="J46" s="8" t="s">
        <v>49</v>
      </c>
      <c r="K46" s="8">
        <v>0</v>
      </c>
      <c r="L46" s="8">
        <v>55</v>
      </c>
      <c r="M46" s="2"/>
      <c r="N46" s="13">
        <v>3761757</v>
      </c>
      <c r="O46" s="13">
        <v>2234931</v>
      </c>
      <c r="P46" s="13"/>
      <c r="Q46" s="13">
        <v>1283047</v>
      </c>
      <c r="R46" s="13">
        <f>(P46+Q46)*19%</f>
        <v>243778.93</v>
      </c>
      <c r="S46" s="20">
        <f>SUM(O46:R46)</f>
        <v>3761756.93</v>
      </c>
      <c r="T46" s="22"/>
      <c r="U46" s="22"/>
      <c r="V46" s="22">
        <f>(T46+U46)*3%</f>
        <v>0</v>
      </c>
      <c r="W46" s="22">
        <f>+V46*19%</f>
        <v>0</v>
      </c>
      <c r="X46" s="25">
        <f>SUM(T46:W46)</f>
        <v>0</v>
      </c>
      <c r="Y46" s="22"/>
      <c r="Z46" s="22"/>
      <c r="AA46" s="25">
        <f>SUM(Y46:Z46)</f>
        <v>0</v>
      </c>
      <c r="AB46" s="25">
        <f>+S46+X46+AA46</f>
        <v>3761756.93</v>
      </c>
    </row>
    <row r="47" spans="1:28" x14ac:dyDescent="0.25">
      <c r="A47" s="3">
        <v>87</v>
      </c>
      <c r="B47" s="8" t="s">
        <v>48</v>
      </c>
      <c r="C47" s="2" t="s">
        <v>6</v>
      </c>
      <c r="D47" s="8" t="s">
        <v>47</v>
      </c>
      <c r="E47" s="8" t="s">
        <v>19</v>
      </c>
      <c r="F47" s="8" t="s">
        <v>46</v>
      </c>
      <c r="G47" s="8" t="s">
        <v>45</v>
      </c>
      <c r="H47" s="8" t="s">
        <v>45</v>
      </c>
      <c r="I47" s="8" t="s">
        <v>23</v>
      </c>
      <c r="J47" s="8" t="s">
        <v>44</v>
      </c>
      <c r="K47" s="8">
        <v>42</v>
      </c>
      <c r="L47" s="8">
        <v>6</v>
      </c>
      <c r="M47" s="2"/>
      <c r="N47" s="13">
        <v>43314222</v>
      </c>
      <c r="O47" s="13">
        <v>17265841</v>
      </c>
      <c r="P47" s="13"/>
      <c r="Q47" s="13">
        <v>2676350</v>
      </c>
      <c r="R47" s="13">
        <f>(P47+Q47)*19%</f>
        <v>508506.5</v>
      </c>
      <c r="S47" s="20">
        <f>SUM(O47:R47)</f>
        <v>20450697.5</v>
      </c>
      <c r="T47" s="22">
        <v>19912000</v>
      </c>
      <c r="U47" s="22"/>
      <c r="V47" s="22">
        <f>(T47+U47)*3%</f>
        <v>597360</v>
      </c>
      <c r="W47" s="22">
        <f>+V47*19%</f>
        <v>113498.4</v>
      </c>
      <c r="X47" s="25">
        <f>SUM(T47:W47)</f>
        <v>20622858.399999999</v>
      </c>
      <c r="Y47" s="22">
        <f>2045045-143153+122000+102252</f>
        <v>2126144</v>
      </c>
      <c r="Z47" s="22">
        <f>95095+19428</f>
        <v>114523</v>
      </c>
      <c r="AA47" s="25">
        <f>SUM(Y47:Z47)</f>
        <v>2240667</v>
      </c>
      <c r="AB47" s="25">
        <f>+S47+X47+AA47</f>
        <v>43314222.899999999</v>
      </c>
    </row>
    <row r="48" spans="1:28" x14ac:dyDescent="0.25">
      <c r="A48" s="3">
        <v>78</v>
      </c>
      <c r="B48" s="8" t="s">
        <v>43</v>
      </c>
      <c r="C48" s="2" t="s">
        <v>6</v>
      </c>
      <c r="D48" s="8" t="s">
        <v>42</v>
      </c>
      <c r="E48" s="8" t="s">
        <v>4</v>
      </c>
      <c r="F48" s="8" t="s">
        <v>41</v>
      </c>
      <c r="G48" s="8" t="s">
        <v>24</v>
      </c>
      <c r="H48" s="8" t="s">
        <v>24</v>
      </c>
      <c r="I48" s="8" t="s">
        <v>40</v>
      </c>
      <c r="J48" s="8" t="s">
        <v>39</v>
      </c>
      <c r="K48" s="8">
        <v>0</v>
      </c>
      <c r="L48" s="8">
        <v>40</v>
      </c>
      <c r="M48" s="2"/>
      <c r="N48" s="13">
        <v>2361965</v>
      </c>
      <c r="O48" s="13">
        <v>1643631</v>
      </c>
      <c r="P48" s="13"/>
      <c r="Q48" s="13">
        <v>603642</v>
      </c>
      <c r="R48" s="13">
        <f>(P48+Q48)*19%</f>
        <v>114691.98</v>
      </c>
      <c r="S48" s="20">
        <f>SUM(O48:R48)</f>
        <v>2361964.98</v>
      </c>
      <c r="T48" s="22"/>
      <c r="U48" s="22"/>
      <c r="V48" s="22">
        <f>(T48+U48)*3%</f>
        <v>0</v>
      </c>
      <c r="W48" s="22">
        <f>+V48*19%</f>
        <v>0</v>
      </c>
      <c r="X48" s="25">
        <f>SUM(T48:W48)</f>
        <v>0</v>
      </c>
      <c r="Y48" s="22"/>
      <c r="Z48" s="22"/>
      <c r="AA48" s="25">
        <f>SUM(Y48:Z48)</f>
        <v>0</v>
      </c>
      <c r="AB48" s="25">
        <f>+S48+X48+AA48</f>
        <v>2361964.98</v>
      </c>
    </row>
    <row r="49" spans="1:28" x14ac:dyDescent="0.25">
      <c r="A49" s="3">
        <v>51</v>
      </c>
      <c r="B49" s="8" t="s">
        <v>10</v>
      </c>
      <c r="C49" s="2" t="s">
        <v>6</v>
      </c>
      <c r="D49" s="8" t="s">
        <v>38</v>
      </c>
      <c r="E49" s="8" t="s">
        <v>4</v>
      </c>
      <c r="F49" s="8" t="s">
        <v>37</v>
      </c>
      <c r="G49" s="8" t="s">
        <v>16</v>
      </c>
      <c r="H49" s="8" t="s">
        <v>16</v>
      </c>
      <c r="I49" s="8" t="s">
        <v>36</v>
      </c>
      <c r="J49" s="8" t="s">
        <v>35</v>
      </c>
      <c r="K49" s="8">
        <v>0</v>
      </c>
      <c r="L49" s="8">
        <v>25</v>
      </c>
      <c r="M49" s="2"/>
      <c r="N49" s="13">
        <v>1687962</v>
      </c>
      <c r="O49" s="13">
        <f>1249431</f>
        <v>1249431</v>
      </c>
      <c r="P49" s="13"/>
      <c r="Q49" s="13">
        <v>534144</v>
      </c>
      <c r="R49" s="13">
        <f>(P49+Q49)*19%</f>
        <v>101487.36</v>
      </c>
      <c r="S49" s="20">
        <f>SUM(O49:R49)</f>
        <v>1885062.36</v>
      </c>
      <c r="T49" s="22"/>
      <c r="U49" s="22"/>
      <c r="V49" s="22">
        <f>(T49+U49)*3%</f>
        <v>0</v>
      </c>
      <c r="W49" s="22">
        <f>+V49*19%</f>
        <v>0</v>
      </c>
      <c r="X49" s="25">
        <f>SUM(T49:W49)</f>
        <v>0</v>
      </c>
      <c r="Y49" s="22"/>
      <c r="Z49" s="22"/>
      <c r="AA49" s="25">
        <f>SUM(Y49:Z49)</f>
        <v>0</v>
      </c>
      <c r="AB49" s="25">
        <f>+S49+X49+AA49</f>
        <v>1885062.36</v>
      </c>
    </row>
    <row r="50" spans="1:28" x14ac:dyDescent="0.25">
      <c r="A50" s="3">
        <v>52</v>
      </c>
      <c r="B50" s="8" t="s">
        <v>10</v>
      </c>
      <c r="C50" s="2" t="s">
        <v>6</v>
      </c>
      <c r="D50" s="8" t="s">
        <v>34</v>
      </c>
      <c r="E50" s="8" t="s">
        <v>4</v>
      </c>
      <c r="F50" s="8" t="s">
        <v>33</v>
      </c>
      <c r="G50" s="8" t="s">
        <v>16</v>
      </c>
      <c r="H50" s="8" t="s">
        <v>16</v>
      </c>
      <c r="I50" s="8" t="s">
        <v>32</v>
      </c>
      <c r="J50" s="8" t="s">
        <v>31</v>
      </c>
      <c r="K50" s="8">
        <v>0</v>
      </c>
      <c r="L50" s="8">
        <v>33</v>
      </c>
      <c r="M50" s="2"/>
      <c r="N50" s="13">
        <v>1995653</v>
      </c>
      <c r="O50" s="13">
        <v>1564791</v>
      </c>
      <c r="P50" s="13"/>
      <c r="Q50" s="13">
        <v>527699</v>
      </c>
      <c r="R50" s="13">
        <f>(P50+Q50)*19%</f>
        <v>100262.81</v>
      </c>
      <c r="S50" s="20">
        <f>SUM(O50:R50)</f>
        <v>2192752.81</v>
      </c>
      <c r="T50" s="22"/>
      <c r="U50" s="22"/>
      <c r="V50" s="22">
        <f>(T50+U50)*3%</f>
        <v>0</v>
      </c>
      <c r="W50" s="22">
        <f>+V50*19%</f>
        <v>0</v>
      </c>
      <c r="X50" s="25">
        <f>SUM(T50:W50)</f>
        <v>0</v>
      </c>
      <c r="Y50" s="22"/>
      <c r="Z50" s="22"/>
      <c r="AA50" s="25">
        <f>SUM(Y50:Z50)</f>
        <v>0</v>
      </c>
      <c r="AB50" s="25">
        <f>+S50+X50+AA50</f>
        <v>2192752.81</v>
      </c>
    </row>
    <row r="51" spans="1:28" x14ac:dyDescent="0.25">
      <c r="A51" s="3">
        <v>64</v>
      </c>
      <c r="B51" s="8" t="s">
        <v>7</v>
      </c>
      <c r="C51" s="2" t="s">
        <v>6</v>
      </c>
      <c r="D51" s="8" t="s">
        <v>30</v>
      </c>
      <c r="E51" s="8" t="s">
        <v>4</v>
      </c>
      <c r="F51" s="8" t="s">
        <v>29</v>
      </c>
      <c r="G51" s="8" t="s">
        <v>16</v>
      </c>
      <c r="H51" s="8" t="s">
        <v>16</v>
      </c>
      <c r="I51" s="8" t="s">
        <v>28</v>
      </c>
      <c r="J51" s="8" t="s">
        <v>27</v>
      </c>
      <c r="K51" s="8">
        <v>0</v>
      </c>
      <c r="L51" s="8">
        <v>45</v>
      </c>
      <c r="M51" s="2"/>
      <c r="N51" s="13">
        <v>2559065</v>
      </c>
      <c r="O51" s="13">
        <v>1840731</v>
      </c>
      <c r="P51" s="13"/>
      <c r="Q51" s="13">
        <v>603642</v>
      </c>
      <c r="R51" s="13">
        <f>(P51+Q51)*19%</f>
        <v>114691.98</v>
      </c>
      <c r="S51" s="20">
        <f>SUM(O51:R51)</f>
        <v>2559064.98</v>
      </c>
      <c r="T51" s="22"/>
      <c r="U51" s="22"/>
      <c r="V51" s="22">
        <f>(T51+U51)*3%</f>
        <v>0</v>
      </c>
      <c r="W51" s="22">
        <f>+V51*19%</f>
        <v>0</v>
      </c>
      <c r="X51" s="25">
        <f>SUM(T51:W51)</f>
        <v>0</v>
      </c>
      <c r="Y51" s="22"/>
      <c r="Z51" s="22"/>
      <c r="AA51" s="25">
        <f>SUM(Y51:Z51)</f>
        <v>0</v>
      </c>
      <c r="AB51" s="25">
        <f>+S51+X51+AA51</f>
        <v>2559064.98</v>
      </c>
    </row>
    <row r="52" spans="1:28" x14ac:dyDescent="0.25">
      <c r="A52" s="3">
        <v>70</v>
      </c>
      <c r="B52" s="8" t="s">
        <v>7</v>
      </c>
      <c r="C52" s="2" t="s">
        <v>6</v>
      </c>
      <c r="D52" s="8" t="s">
        <v>26</v>
      </c>
      <c r="E52" s="8" t="s">
        <v>4</v>
      </c>
      <c r="F52" s="8" t="s">
        <v>25</v>
      </c>
      <c r="G52" s="8" t="s">
        <v>24</v>
      </c>
      <c r="H52" s="8" t="s">
        <v>16</v>
      </c>
      <c r="I52" s="8" t="s">
        <v>23</v>
      </c>
      <c r="J52" s="8" t="s">
        <v>22</v>
      </c>
      <c r="K52" s="8">
        <v>0</v>
      </c>
      <c r="L52" s="8">
        <v>33</v>
      </c>
      <c r="M52" s="2"/>
      <c r="N52" s="13">
        <v>8269073</v>
      </c>
      <c r="O52" s="13">
        <v>3041115</v>
      </c>
      <c r="P52" s="13">
        <v>0</v>
      </c>
      <c r="Q52" s="13">
        <v>4393242</v>
      </c>
      <c r="R52" s="13">
        <f>(P52+Q52)*19%</f>
        <v>834715.98</v>
      </c>
      <c r="S52" s="20">
        <f>SUM(O52:R52)</f>
        <v>8269072.9800000004</v>
      </c>
      <c r="T52" s="22"/>
      <c r="U52" s="22"/>
      <c r="V52" s="22">
        <f>(T52+U52)*3%</f>
        <v>0</v>
      </c>
      <c r="W52" s="22">
        <f>+V52*19%</f>
        <v>0</v>
      </c>
      <c r="X52" s="25">
        <f>SUM(T52:W52)</f>
        <v>0</v>
      </c>
      <c r="Y52" s="22"/>
      <c r="Z52" s="22"/>
      <c r="AA52" s="25">
        <f>SUM(Y52:Z52)</f>
        <v>0</v>
      </c>
      <c r="AB52" s="25">
        <f>+S52+X52+AA52</f>
        <v>8269072.9800000004</v>
      </c>
    </row>
    <row r="53" spans="1:28" x14ac:dyDescent="0.25">
      <c r="A53" s="3">
        <v>90</v>
      </c>
      <c r="B53" s="8" t="s">
        <v>21</v>
      </c>
      <c r="C53" s="2" t="s">
        <v>6</v>
      </c>
      <c r="D53" s="8" t="s">
        <v>20</v>
      </c>
      <c r="E53" s="8" t="s">
        <v>19</v>
      </c>
      <c r="F53" s="8" t="s">
        <v>18</v>
      </c>
      <c r="G53" s="8" t="s">
        <v>17</v>
      </c>
      <c r="H53" s="8" t="s">
        <v>16</v>
      </c>
      <c r="I53" s="8" t="s">
        <v>15</v>
      </c>
      <c r="J53" s="8" t="s">
        <v>14</v>
      </c>
      <c r="K53" s="8">
        <v>33</v>
      </c>
      <c r="L53" s="8">
        <v>7</v>
      </c>
      <c r="M53" s="2"/>
      <c r="N53" s="13">
        <v>38547585</v>
      </c>
      <c r="O53" s="13">
        <v>18850010</v>
      </c>
      <c r="P53" s="13"/>
      <c r="Q53" s="13">
        <v>5440853</v>
      </c>
      <c r="R53" s="13">
        <f>(P53+Q53)*19%</f>
        <v>1033762.0700000001</v>
      </c>
      <c r="S53" s="20">
        <f>SUM(O53:R53)</f>
        <v>25324625.07</v>
      </c>
      <c r="T53" s="22">
        <v>13358500</v>
      </c>
      <c r="U53" s="22"/>
      <c r="V53" s="22">
        <f>(T53+U53)*3%</f>
        <v>400755</v>
      </c>
      <c r="W53" s="22">
        <f>+V53*19%</f>
        <v>76143.45</v>
      </c>
      <c r="X53" s="25">
        <f>SUM(T53:W53)</f>
        <v>13835398.449999999</v>
      </c>
      <c r="Y53" s="22"/>
      <c r="Z53" s="22"/>
      <c r="AA53" s="25">
        <f>SUM(Y53:Z53)</f>
        <v>0</v>
      </c>
      <c r="AB53" s="25">
        <f>+S53+X53+AA53</f>
        <v>39160023.519999996</v>
      </c>
    </row>
    <row r="54" spans="1:28" x14ac:dyDescent="0.25">
      <c r="A54" s="3">
        <v>61</v>
      </c>
      <c r="B54" s="8" t="s">
        <v>13</v>
      </c>
      <c r="C54" s="2" t="s">
        <v>6</v>
      </c>
      <c r="D54" s="8" t="s">
        <v>12</v>
      </c>
      <c r="E54" s="8" t="s">
        <v>4</v>
      </c>
      <c r="F54" s="8" t="s">
        <v>11</v>
      </c>
      <c r="G54" s="8" t="s">
        <v>10</v>
      </c>
      <c r="H54" s="8" t="s">
        <v>2</v>
      </c>
      <c r="I54" s="8" t="s">
        <v>9</v>
      </c>
      <c r="J54" s="8" t="s">
        <v>8</v>
      </c>
      <c r="K54" s="8">
        <v>0</v>
      </c>
      <c r="L54" s="8">
        <v>35</v>
      </c>
      <c r="M54" s="2"/>
      <c r="N54" s="13">
        <v>4300998</v>
      </c>
      <c r="O54" s="13">
        <v>1379700</v>
      </c>
      <c r="P54" s="13"/>
      <c r="Q54" s="13">
        <v>2454872</v>
      </c>
      <c r="R54" s="13">
        <f>(P54+Q54)*19%</f>
        <v>466425.68</v>
      </c>
      <c r="S54" s="20">
        <f>SUM(O54:R54)</f>
        <v>4300997.68</v>
      </c>
      <c r="T54" s="22"/>
      <c r="U54" s="22"/>
      <c r="V54" s="22">
        <f>(T54+U54)*3%</f>
        <v>0</v>
      </c>
      <c r="W54" s="22">
        <f>+V54*19%</f>
        <v>0</v>
      </c>
      <c r="X54" s="25">
        <f>SUM(T54:W54)</f>
        <v>0</v>
      </c>
      <c r="Y54" s="22"/>
      <c r="Z54" s="22"/>
      <c r="AA54" s="25">
        <f>SUM(Y54:Z54)</f>
        <v>0</v>
      </c>
      <c r="AB54" s="25">
        <f>+S54+X54+AA54</f>
        <v>4300997.68</v>
      </c>
    </row>
    <row r="55" spans="1:28" x14ac:dyDescent="0.25">
      <c r="A55" s="3">
        <v>65</v>
      </c>
      <c r="B55" s="8" t="s">
        <v>7</v>
      </c>
      <c r="C55" s="2" t="s">
        <v>6</v>
      </c>
      <c r="D55" s="8" t="s">
        <v>5</v>
      </c>
      <c r="E55" s="8" t="s">
        <v>4</v>
      </c>
      <c r="F55" s="8" t="s">
        <v>3</v>
      </c>
      <c r="G55" s="8" t="s">
        <v>2</v>
      </c>
      <c r="H55" s="8" t="s">
        <v>2</v>
      </c>
      <c r="I55" s="8" t="s">
        <v>1</v>
      </c>
      <c r="J55" s="8" t="s">
        <v>0</v>
      </c>
      <c r="K55" s="8">
        <v>0</v>
      </c>
      <c r="L55" s="8">
        <v>35</v>
      </c>
      <c r="M55" s="2"/>
      <c r="N55" s="13">
        <v>4340793</v>
      </c>
      <c r="O55" s="13">
        <v>1419495</v>
      </c>
      <c r="P55" s="13"/>
      <c r="Q55" s="13">
        <v>2454872</v>
      </c>
      <c r="R55" s="13">
        <f>(P55+Q55)*19%</f>
        <v>466425.68</v>
      </c>
      <c r="S55" s="20">
        <f>SUM(O55:R55)</f>
        <v>4340792.68</v>
      </c>
      <c r="T55" s="22"/>
      <c r="U55" s="22"/>
      <c r="V55" s="22">
        <f>(T55+U55)*3%</f>
        <v>0</v>
      </c>
      <c r="W55" s="22">
        <f>+V55*19%</f>
        <v>0</v>
      </c>
      <c r="X55" s="25">
        <f>SUM(T55:W55)</f>
        <v>0</v>
      </c>
      <c r="Y55" s="22"/>
      <c r="Z55" s="22"/>
      <c r="AA55" s="25">
        <f>SUM(Y55:Z55)</f>
        <v>0</v>
      </c>
      <c r="AB55" s="25">
        <f>+S55+X55+AA55</f>
        <v>4340792.68</v>
      </c>
    </row>
    <row r="56" spans="1:28" x14ac:dyDescent="0.25">
      <c r="A56" s="6">
        <v>32</v>
      </c>
      <c r="B56" s="9" t="s">
        <v>54</v>
      </c>
      <c r="C56" s="2" t="s">
        <v>269</v>
      </c>
      <c r="D56" s="8" t="s">
        <v>219</v>
      </c>
      <c r="E56" s="10" t="s">
        <v>4</v>
      </c>
      <c r="F56" s="8" t="s">
        <v>189</v>
      </c>
      <c r="G56" s="8" t="s">
        <v>184</v>
      </c>
      <c r="H56" s="8" t="s">
        <v>175</v>
      </c>
      <c r="I56" s="8" t="s">
        <v>15</v>
      </c>
      <c r="J56" s="8" t="s">
        <v>14</v>
      </c>
      <c r="K56" s="8">
        <v>0</v>
      </c>
      <c r="L56" s="8">
        <v>25</v>
      </c>
      <c r="M56" s="2"/>
      <c r="N56" s="14">
        <v>3258683</v>
      </c>
      <c r="O56" s="14">
        <v>985500</v>
      </c>
      <c r="P56" s="12"/>
      <c r="Q56" s="14">
        <v>1995287</v>
      </c>
      <c r="R56" s="12">
        <f t="shared" ref="R56:R96" si="0">(P56+Q56)*19%</f>
        <v>379104.53</v>
      </c>
      <c r="S56" s="19">
        <f>SUM(O56:R56)</f>
        <v>3359891.5300000003</v>
      </c>
      <c r="T56" s="14"/>
      <c r="U56" s="12"/>
      <c r="V56" s="12">
        <f>+T56*3%</f>
        <v>0</v>
      </c>
      <c r="W56" s="14"/>
      <c r="X56" s="24">
        <f>SUM(T56:W56)</f>
        <v>0</v>
      </c>
      <c r="Y56" s="14"/>
      <c r="Z56" s="14"/>
      <c r="AA56" s="24">
        <f>SUM(Y56:Z56)</f>
        <v>0</v>
      </c>
      <c r="AB56" s="25">
        <f>+S56+X56+AA56</f>
        <v>3359891.5300000003</v>
      </c>
    </row>
    <row r="57" spans="1:28" x14ac:dyDescent="0.25">
      <c r="A57" s="6">
        <v>46</v>
      </c>
      <c r="B57" s="9" t="s">
        <v>102</v>
      </c>
      <c r="C57" s="2" t="s">
        <v>269</v>
      </c>
      <c r="D57" s="8" t="s">
        <v>220</v>
      </c>
      <c r="E57" s="10" t="s">
        <v>4</v>
      </c>
      <c r="F57" s="8" t="s">
        <v>78</v>
      </c>
      <c r="G57" s="8" t="s">
        <v>187</v>
      </c>
      <c r="H57" s="8" t="s">
        <v>182</v>
      </c>
      <c r="I57" s="8" t="s">
        <v>9</v>
      </c>
      <c r="J57" s="8" t="s">
        <v>8</v>
      </c>
      <c r="K57" s="8">
        <v>0</v>
      </c>
      <c r="L57" s="8">
        <v>35</v>
      </c>
      <c r="M57" s="2"/>
      <c r="N57" s="14">
        <v>4300998</v>
      </c>
      <c r="O57" s="14">
        <v>1379700</v>
      </c>
      <c r="P57" s="12"/>
      <c r="Q57" s="14">
        <v>2539921</v>
      </c>
      <c r="R57" s="12">
        <f t="shared" si="0"/>
        <v>482584.99</v>
      </c>
      <c r="S57" s="19">
        <f>SUM(O57:R57)</f>
        <v>4402205.99</v>
      </c>
      <c r="T57" s="14"/>
      <c r="U57" s="12"/>
      <c r="V57" s="12">
        <f t="shared" ref="V57:V96" si="1">+T57*3%</f>
        <v>0</v>
      </c>
      <c r="W57" s="14"/>
      <c r="X57" s="24">
        <f>SUM(T57:W57)</f>
        <v>0</v>
      </c>
      <c r="Y57" s="14"/>
      <c r="Z57" s="14"/>
      <c r="AA57" s="24">
        <f>SUM(Y57:Z57)</f>
        <v>0</v>
      </c>
      <c r="AB57" s="25">
        <f>+S57+X57+AA57</f>
        <v>4402205.99</v>
      </c>
    </row>
    <row r="58" spans="1:28" x14ac:dyDescent="0.25">
      <c r="A58" s="6">
        <v>47</v>
      </c>
      <c r="B58" s="9" t="s">
        <v>102</v>
      </c>
      <c r="C58" s="2" t="s">
        <v>269</v>
      </c>
      <c r="D58" s="8" t="s">
        <v>222</v>
      </c>
      <c r="E58" s="10" t="s">
        <v>4</v>
      </c>
      <c r="F58" s="8" t="s">
        <v>185</v>
      </c>
      <c r="G58" s="8" t="s">
        <v>178</v>
      </c>
      <c r="H58" s="8" t="s">
        <v>176</v>
      </c>
      <c r="I58" s="8" t="s">
        <v>112</v>
      </c>
      <c r="J58" s="8" t="s">
        <v>69</v>
      </c>
      <c r="K58" s="8">
        <v>0</v>
      </c>
      <c r="L58" s="8">
        <v>35</v>
      </c>
      <c r="M58" s="2"/>
      <c r="N58" s="14">
        <v>4300998</v>
      </c>
      <c r="O58" s="14">
        <v>1379700</v>
      </c>
      <c r="P58" s="12"/>
      <c r="Q58" s="14">
        <v>2539921</v>
      </c>
      <c r="R58" s="12">
        <f t="shared" si="0"/>
        <v>482584.99</v>
      </c>
      <c r="S58" s="19">
        <f>SUM(O58:R58)</f>
        <v>4402205.99</v>
      </c>
      <c r="T58" s="14"/>
      <c r="U58" s="12"/>
      <c r="V58" s="12">
        <f t="shared" si="1"/>
        <v>0</v>
      </c>
      <c r="W58" s="14"/>
      <c r="X58" s="24">
        <f>SUM(T58:W58)</f>
        <v>0</v>
      </c>
      <c r="Y58" s="14"/>
      <c r="Z58" s="14"/>
      <c r="AA58" s="24">
        <f>SUM(Y58:Z58)</f>
        <v>0</v>
      </c>
      <c r="AB58" s="25">
        <f>+S58+X58+AA58</f>
        <v>4402205.99</v>
      </c>
    </row>
    <row r="59" spans="1:28" x14ac:dyDescent="0.25">
      <c r="A59" s="6">
        <v>60</v>
      </c>
      <c r="B59" s="9" t="s">
        <v>13</v>
      </c>
      <c r="C59" s="2" t="s">
        <v>269</v>
      </c>
      <c r="D59" s="8" t="s">
        <v>224</v>
      </c>
      <c r="E59" s="10" t="s">
        <v>4</v>
      </c>
      <c r="F59" s="8" t="s">
        <v>78</v>
      </c>
      <c r="G59" s="8" t="s">
        <v>182</v>
      </c>
      <c r="H59" s="8" t="s">
        <v>181</v>
      </c>
      <c r="I59" s="8" t="s">
        <v>180</v>
      </c>
      <c r="J59" s="8" t="s">
        <v>179</v>
      </c>
      <c r="K59" s="8">
        <v>0</v>
      </c>
      <c r="L59" s="8">
        <v>30</v>
      </c>
      <c r="M59" s="2"/>
      <c r="N59" s="14">
        <v>7360903</v>
      </c>
      <c r="O59" s="14">
        <v>2365200</v>
      </c>
      <c r="P59" s="12"/>
      <c r="Q59" s="14">
        <v>4368168</v>
      </c>
      <c r="R59" s="12">
        <f t="shared" si="0"/>
        <v>829951.92</v>
      </c>
      <c r="S59" s="19">
        <f>SUM(O59:R59)</f>
        <v>7563319.9199999999</v>
      </c>
      <c r="T59" s="14"/>
      <c r="U59" s="12"/>
      <c r="V59" s="12">
        <f t="shared" si="1"/>
        <v>0</v>
      </c>
      <c r="W59" s="14"/>
      <c r="X59" s="24">
        <f>SUM(T59:W59)</f>
        <v>0</v>
      </c>
      <c r="Y59" s="14"/>
      <c r="Z59" s="14"/>
      <c r="AA59" s="24">
        <f>SUM(Y59:Z59)</f>
        <v>0</v>
      </c>
      <c r="AB59" s="25">
        <f>+S59+X59+AA59</f>
        <v>7563319.9199999999</v>
      </c>
    </row>
    <row r="60" spans="1:28" x14ac:dyDescent="0.25">
      <c r="A60" s="6">
        <v>63</v>
      </c>
      <c r="B60" s="9" t="s">
        <v>7</v>
      </c>
      <c r="C60" s="2" t="s">
        <v>269</v>
      </c>
      <c r="D60" s="8" t="s">
        <v>30</v>
      </c>
      <c r="E60" s="10" t="s">
        <v>4</v>
      </c>
      <c r="F60" s="8" t="s">
        <v>165</v>
      </c>
      <c r="G60" s="8" t="s">
        <v>176</v>
      </c>
      <c r="H60" s="8" t="s">
        <v>176</v>
      </c>
      <c r="I60" s="8" t="s">
        <v>112</v>
      </c>
      <c r="J60" s="8" t="s">
        <v>69</v>
      </c>
      <c r="K60" s="8">
        <v>0</v>
      </c>
      <c r="L60" s="8">
        <v>30</v>
      </c>
      <c r="M60" s="2"/>
      <c r="N60" s="14">
        <v>1794690</v>
      </c>
      <c r="O60" s="14">
        <v>1249431</v>
      </c>
      <c r="P60" s="12"/>
      <c r="Q60" s="14">
        <v>458201</v>
      </c>
      <c r="R60" s="12">
        <f t="shared" si="0"/>
        <v>87058.19</v>
      </c>
      <c r="S60" s="19">
        <f>SUM(O60:R60)</f>
        <v>1794690.19</v>
      </c>
      <c r="T60" s="14"/>
      <c r="U60" s="12"/>
      <c r="V60" s="12">
        <f t="shared" si="1"/>
        <v>0</v>
      </c>
      <c r="W60" s="14"/>
      <c r="X60" s="24">
        <f>SUM(T60:W60)</f>
        <v>0</v>
      </c>
      <c r="Y60" s="14"/>
      <c r="Z60" s="14"/>
      <c r="AA60" s="24">
        <f>SUM(Y60:Z60)</f>
        <v>0</v>
      </c>
      <c r="AB60" s="25">
        <f>+S60+X60+AA60</f>
        <v>1794690.19</v>
      </c>
    </row>
    <row r="61" spans="1:28" x14ac:dyDescent="0.25">
      <c r="A61" s="6">
        <v>68</v>
      </c>
      <c r="B61" s="9" t="s">
        <v>7</v>
      </c>
      <c r="C61" s="2" t="s">
        <v>269</v>
      </c>
      <c r="D61" s="8" t="s">
        <v>226</v>
      </c>
      <c r="E61" s="10" t="s">
        <v>4</v>
      </c>
      <c r="F61" s="8" t="s">
        <v>173</v>
      </c>
      <c r="G61" s="8" t="s">
        <v>164</v>
      </c>
      <c r="H61" s="8" t="s">
        <v>141</v>
      </c>
      <c r="I61" s="8" t="s">
        <v>112</v>
      </c>
      <c r="J61" s="8" t="s">
        <v>69</v>
      </c>
      <c r="K61" s="8">
        <v>0</v>
      </c>
      <c r="L61" s="8">
        <v>20</v>
      </c>
      <c r="M61" s="2"/>
      <c r="N61" s="14">
        <v>1821433</v>
      </c>
      <c r="O61" s="14">
        <v>788400</v>
      </c>
      <c r="P61" s="12"/>
      <c r="Q61" s="14">
        <v>868095</v>
      </c>
      <c r="R61" s="12">
        <f t="shared" si="0"/>
        <v>164938.04999999999</v>
      </c>
      <c r="S61" s="19">
        <f>SUM(O61:R61)</f>
        <v>1821433.05</v>
      </c>
      <c r="T61" s="14"/>
      <c r="U61" s="12"/>
      <c r="V61" s="12">
        <f t="shared" si="1"/>
        <v>0</v>
      </c>
      <c r="W61" s="14"/>
      <c r="X61" s="24">
        <f>SUM(T61:W61)</f>
        <v>0</v>
      </c>
      <c r="Y61" s="14"/>
      <c r="Z61" s="14"/>
      <c r="AA61" s="24">
        <f>SUM(Y61:Z61)</f>
        <v>0</v>
      </c>
      <c r="AB61" s="25">
        <f>+S61+X61+AA61</f>
        <v>1821433.05</v>
      </c>
    </row>
    <row r="62" spans="1:28" x14ac:dyDescent="0.25">
      <c r="A62" s="6">
        <v>69</v>
      </c>
      <c r="B62" s="9" t="s">
        <v>7</v>
      </c>
      <c r="C62" s="2" t="s">
        <v>269</v>
      </c>
      <c r="D62" s="8" t="s">
        <v>38</v>
      </c>
      <c r="E62" s="10" t="s">
        <v>4</v>
      </c>
      <c r="F62" s="8" t="s">
        <v>167</v>
      </c>
      <c r="G62" s="8" t="s">
        <v>164</v>
      </c>
      <c r="H62" s="8" t="s">
        <v>130</v>
      </c>
      <c r="I62" s="8" t="s">
        <v>112</v>
      </c>
      <c r="J62" s="8" t="s">
        <v>69</v>
      </c>
      <c r="K62" s="8">
        <v>0</v>
      </c>
      <c r="L62" s="8">
        <v>33</v>
      </c>
      <c r="M62" s="2"/>
      <c r="N62" s="14">
        <v>2772797</v>
      </c>
      <c r="O62" s="14">
        <v>1740255</v>
      </c>
      <c r="P62" s="12"/>
      <c r="Q62" s="14">
        <v>867682</v>
      </c>
      <c r="R62" s="12">
        <f t="shared" si="0"/>
        <v>164859.58000000002</v>
      </c>
      <c r="S62" s="19">
        <f>SUM(O62:R62)</f>
        <v>2772796.58</v>
      </c>
      <c r="T62" s="14"/>
      <c r="U62" s="12"/>
      <c r="V62" s="12">
        <f t="shared" si="1"/>
        <v>0</v>
      </c>
      <c r="W62" s="14"/>
      <c r="X62" s="24">
        <f>SUM(T62:W62)</f>
        <v>0</v>
      </c>
      <c r="Y62" s="14"/>
      <c r="Z62" s="14"/>
      <c r="AA62" s="24">
        <f>SUM(Y62:Z62)</f>
        <v>0</v>
      </c>
      <c r="AB62" s="25">
        <f>+S62+X62+AA62</f>
        <v>2772796.58</v>
      </c>
    </row>
    <row r="63" spans="1:28" x14ac:dyDescent="0.25">
      <c r="A63" s="6">
        <v>71</v>
      </c>
      <c r="B63" s="9" t="s">
        <v>7</v>
      </c>
      <c r="C63" s="2" t="s">
        <v>269</v>
      </c>
      <c r="D63" s="8" t="s">
        <v>38</v>
      </c>
      <c r="E63" s="10" t="s">
        <v>4</v>
      </c>
      <c r="F63" s="8" t="s">
        <v>170</v>
      </c>
      <c r="G63" s="8" t="s">
        <v>141</v>
      </c>
      <c r="H63" s="8" t="s">
        <v>141</v>
      </c>
      <c r="I63" s="8" t="s">
        <v>112</v>
      </c>
      <c r="J63" s="8" t="s">
        <v>69</v>
      </c>
      <c r="K63" s="8">
        <v>0</v>
      </c>
      <c r="L63" s="8">
        <v>30</v>
      </c>
      <c r="M63" s="2"/>
      <c r="N63" s="14">
        <v>1794690</v>
      </c>
      <c r="O63" s="14">
        <v>1249431</v>
      </c>
      <c r="P63" s="12"/>
      <c r="Q63" s="14">
        <v>458201</v>
      </c>
      <c r="R63" s="12">
        <f t="shared" si="0"/>
        <v>87058.19</v>
      </c>
      <c r="S63" s="19">
        <f>SUM(O63:R63)</f>
        <v>1794690.19</v>
      </c>
      <c r="T63" s="14"/>
      <c r="U63" s="12"/>
      <c r="V63" s="12">
        <f t="shared" si="1"/>
        <v>0</v>
      </c>
      <c r="W63" s="14"/>
      <c r="X63" s="24">
        <f>SUM(T63:W63)</f>
        <v>0</v>
      </c>
      <c r="Y63" s="14"/>
      <c r="Z63" s="14"/>
      <c r="AA63" s="24">
        <f>SUM(Y63:Z63)</f>
        <v>0</v>
      </c>
      <c r="AB63" s="25">
        <f>+S63+X63+AA63</f>
        <v>1794690.19</v>
      </c>
    </row>
    <row r="64" spans="1:28" x14ac:dyDescent="0.25">
      <c r="A64" s="6">
        <v>73</v>
      </c>
      <c r="B64" s="9" t="s">
        <v>7</v>
      </c>
      <c r="C64" s="2" t="s">
        <v>269</v>
      </c>
      <c r="D64" s="8" t="s">
        <v>224</v>
      </c>
      <c r="E64" s="10" t="s">
        <v>4</v>
      </c>
      <c r="F64" s="8" t="s">
        <v>167</v>
      </c>
      <c r="G64" s="8" t="s">
        <v>141</v>
      </c>
      <c r="H64" s="8" t="s">
        <v>146</v>
      </c>
      <c r="I64" s="8" t="s">
        <v>68</v>
      </c>
      <c r="J64" s="8" t="s">
        <v>67</v>
      </c>
      <c r="K64" s="8">
        <v>0</v>
      </c>
      <c r="L64" s="8">
        <v>30</v>
      </c>
      <c r="M64" s="2"/>
      <c r="N64" s="14">
        <v>3680452</v>
      </c>
      <c r="O64" s="14">
        <v>1182600</v>
      </c>
      <c r="P64" s="12"/>
      <c r="Q64" s="14">
        <v>2099035</v>
      </c>
      <c r="R64" s="12">
        <f t="shared" si="0"/>
        <v>398816.65</v>
      </c>
      <c r="S64" s="19">
        <f>SUM(O64:R64)</f>
        <v>3680451.65</v>
      </c>
      <c r="T64" s="14"/>
      <c r="U64" s="12"/>
      <c r="V64" s="12">
        <f t="shared" si="1"/>
        <v>0</v>
      </c>
      <c r="W64" s="14"/>
      <c r="X64" s="24">
        <f>SUM(T64:W64)</f>
        <v>0</v>
      </c>
      <c r="Y64" s="14"/>
      <c r="Z64" s="14"/>
      <c r="AA64" s="24">
        <f>SUM(Y64:Z64)</f>
        <v>0</v>
      </c>
      <c r="AB64" s="25">
        <f>+S64+X64+AA64</f>
        <v>3680451.65</v>
      </c>
    </row>
    <row r="65" spans="1:28" x14ac:dyDescent="0.25">
      <c r="A65" s="6">
        <v>74</v>
      </c>
      <c r="B65" s="9" t="s">
        <v>7</v>
      </c>
      <c r="C65" s="2" t="s">
        <v>269</v>
      </c>
      <c r="D65" s="8" t="s">
        <v>227</v>
      </c>
      <c r="E65" s="10" t="s">
        <v>4</v>
      </c>
      <c r="F65" s="8" t="s">
        <v>165</v>
      </c>
      <c r="G65" s="8" t="s">
        <v>164</v>
      </c>
      <c r="H65" s="8" t="s">
        <v>164</v>
      </c>
      <c r="I65" s="8" t="s">
        <v>112</v>
      </c>
      <c r="J65" s="8" t="s">
        <v>112</v>
      </c>
      <c r="K65" s="8">
        <v>0</v>
      </c>
      <c r="L65" s="8">
        <v>13</v>
      </c>
      <c r="M65" s="2"/>
      <c r="N65" s="14">
        <v>2785643</v>
      </c>
      <c r="O65" s="14">
        <v>512460</v>
      </c>
      <c r="P65" s="12"/>
      <c r="Q65" s="14">
        <v>1910238</v>
      </c>
      <c r="R65" s="12">
        <f t="shared" si="0"/>
        <v>362945.22000000003</v>
      </c>
      <c r="S65" s="19">
        <f>SUM(O65:R65)</f>
        <v>2785643.22</v>
      </c>
      <c r="T65" s="14"/>
      <c r="U65" s="12"/>
      <c r="V65" s="12">
        <f t="shared" si="1"/>
        <v>0</v>
      </c>
      <c r="W65" s="14"/>
      <c r="X65" s="24">
        <f>SUM(T65:W65)</f>
        <v>0</v>
      </c>
      <c r="Y65" s="14"/>
      <c r="Z65" s="14"/>
      <c r="AA65" s="24">
        <f>SUM(Y65:Z65)</f>
        <v>0</v>
      </c>
      <c r="AB65" s="25">
        <f>+S65+X65+AA65</f>
        <v>2785643.22</v>
      </c>
    </row>
    <row r="66" spans="1:28" x14ac:dyDescent="0.25">
      <c r="A66" s="6">
        <v>75</v>
      </c>
      <c r="B66" s="9" t="s">
        <v>43</v>
      </c>
      <c r="C66" s="2" t="s">
        <v>269</v>
      </c>
      <c r="D66" s="8" t="s">
        <v>228</v>
      </c>
      <c r="E66" s="10" t="s">
        <v>4</v>
      </c>
      <c r="F66" s="8" t="s">
        <v>46</v>
      </c>
      <c r="G66" s="8" t="s">
        <v>141</v>
      </c>
      <c r="H66" s="8" t="s">
        <v>141</v>
      </c>
      <c r="I66" s="8" t="s">
        <v>105</v>
      </c>
      <c r="J66" s="8" t="s">
        <v>104</v>
      </c>
      <c r="K66" s="8">
        <v>0</v>
      </c>
      <c r="L66" s="8">
        <v>30</v>
      </c>
      <c r="M66" s="2"/>
      <c r="N66" s="14">
        <v>3855286</v>
      </c>
      <c r="O66" s="14">
        <v>1848350</v>
      </c>
      <c r="P66" s="12"/>
      <c r="Q66" s="14">
        <v>3631767</v>
      </c>
      <c r="R66" s="12">
        <f t="shared" si="0"/>
        <v>690035.73</v>
      </c>
      <c r="S66" s="19">
        <f>SUM(O66:R66)</f>
        <v>6170152.7300000004</v>
      </c>
      <c r="T66" s="14"/>
      <c r="U66" s="12"/>
      <c r="V66" s="12">
        <f t="shared" si="1"/>
        <v>0</v>
      </c>
      <c r="W66" s="14"/>
      <c r="X66" s="24">
        <f>SUM(T66:W66)</f>
        <v>0</v>
      </c>
      <c r="Y66" s="14"/>
      <c r="Z66" s="14"/>
      <c r="AA66" s="24">
        <f>SUM(Y66:Z66)</f>
        <v>0</v>
      </c>
      <c r="AB66" s="25">
        <f>+S66+X66+AA66</f>
        <v>6170152.7300000004</v>
      </c>
    </row>
    <row r="67" spans="1:28" x14ac:dyDescent="0.25">
      <c r="A67" s="6">
        <v>76</v>
      </c>
      <c r="B67" s="9" t="s">
        <v>43</v>
      </c>
      <c r="C67" s="2" t="s">
        <v>269</v>
      </c>
      <c r="D67" s="8" t="s">
        <v>230</v>
      </c>
      <c r="E67" s="10" t="s">
        <v>4</v>
      </c>
      <c r="F67" s="8" t="s">
        <v>160</v>
      </c>
      <c r="G67" s="8" t="s">
        <v>124</v>
      </c>
      <c r="H67" s="8" t="s">
        <v>144</v>
      </c>
      <c r="I67" s="8" t="s">
        <v>159</v>
      </c>
      <c r="J67" s="8" t="s">
        <v>158</v>
      </c>
      <c r="K67" s="8">
        <v>0</v>
      </c>
      <c r="L67" s="8">
        <v>30</v>
      </c>
      <c r="M67" s="2"/>
      <c r="N67" s="14">
        <v>3855286</v>
      </c>
      <c r="O67" s="14">
        <v>1848350</v>
      </c>
      <c r="P67" s="12"/>
      <c r="Q67" s="14">
        <v>3716816</v>
      </c>
      <c r="R67" s="12">
        <f t="shared" si="0"/>
        <v>706195.04</v>
      </c>
      <c r="S67" s="19">
        <f>SUM(O67:R67)</f>
        <v>6271361.04</v>
      </c>
      <c r="T67" s="14"/>
      <c r="U67" s="12"/>
      <c r="V67" s="12">
        <f t="shared" si="1"/>
        <v>0</v>
      </c>
      <c r="W67" s="14"/>
      <c r="X67" s="24">
        <f>SUM(T67:W67)</f>
        <v>0</v>
      </c>
      <c r="Y67" s="14"/>
      <c r="Z67" s="14"/>
      <c r="AA67" s="24">
        <f>SUM(Y67:Z67)</f>
        <v>0</v>
      </c>
      <c r="AB67" s="25">
        <f>+S67+X67+AA67</f>
        <v>6271361.04</v>
      </c>
    </row>
    <row r="68" spans="1:28" x14ac:dyDescent="0.25">
      <c r="A68" s="6">
        <v>82</v>
      </c>
      <c r="B68" s="9" t="s">
        <v>21</v>
      </c>
      <c r="C68" s="2" t="s">
        <v>269</v>
      </c>
      <c r="D68" s="8" t="s">
        <v>231</v>
      </c>
      <c r="E68" s="10" t="s">
        <v>4</v>
      </c>
      <c r="F68" s="8" t="s">
        <v>156</v>
      </c>
      <c r="G68" s="8" t="s">
        <v>138</v>
      </c>
      <c r="H68" s="8" t="s">
        <v>138</v>
      </c>
      <c r="I68" s="8" t="s">
        <v>155</v>
      </c>
      <c r="J68" s="8" t="s">
        <v>154</v>
      </c>
      <c r="K68" s="8">
        <v>0</v>
      </c>
      <c r="L68" s="8">
        <v>45</v>
      </c>
      <c r="M68" s="2"/>
      <c r="N68" s="14">
        <v>3543936</v>
      </c>
      <c r="O68" s="14">
        <v>1379700</v>
      </c>
      <c r="P68" s="12"/>
      <c r="Q68" s="14">
        <v>2679872</v>
      </c>
      <c r="R68" s="12">
        <f t="shared" si="0"/>
        <v>509175.68</v>
      </c>
      <c r="S68" s="19">
        <f>SUM(O68:R68)</f>
        <v>4568747.68</v>
      </c>
      <c r="T68" s="14"/>
      <c r="U68" s="12"/>
      <c r="V68" s="12">
        <f t="shared" si="1"/>
        <v>0</v>
      </c>
      <c r="W68" s="14"/>
      <c r="X68" s="24">
        <f>SUM(T68:W68)</f>
        <v>0</v>
      </c>
      <c r="Y68" s="14"/>
      <c r="Z68" s="14"/>
      <c r="AA68" s="24">
        <f>SUM(Y68:Z68)</f>
        <v>0</v>
      </c>
      <c r="AB68" s="25">
        <f>+S68+X68+AA68</f>
        <v>4568747.68</v>
      </c>
    </row>
    <row r="69" spans="1:28" x14ac:dyDescent="0.25">
      <c r="A69" s="6">
        <v>83</v>
      </c>
      <c r="B69" s="9" t="s">
        <v>21</v>
      </c>
      <c r="C69" s="2" t="s">
        <v>269</v>
      </c>
      <c r="D69" s="8" t="s">
        <v>224</v>
      </c>
      <c r="E69" s="10" t="s">
        <v>4</v>
      </c>
      <c r="F69" s="8" t="s">
        <v>149</v>
      </c>
      <c r="G69" s="8" t="s">
        <v>138</v>
      </c>
      <c r="H69" s="8" t="s">
        <v>138</v>
      </c>
      <c r="I69" s="8" t="s">
        <v>86</v>
      </c>
      <c r="J69" s="8" t="s">
        <v>85</v>
      </c>
      <c r="K69" s="8">
        <v>0</v>
      </c>
      <c r="L69" s="8">
        <v>15</v>
      </c>
      <c r="M69" s="2"/>
      <c r="N69" s="14">
        <v>1691164</v>
      </c>
      <c r="O69" s="14">
        <v>658131</v>
      </c>
      <c r="P69" s="12"/>
      <c r="Q69" s="14">
        <v>868095</v>
      </c>
      <c r="R69" s="12">
        <f t="shared" si="0"/>
        <v>164938.04999999999</v>
      </c>
      <c r="S69" s="19">
        <f>SUM(O69:R69)</f>
        <v>1691164.05</v>
      </c>
      <c r="T69" s="14"/>
      <c r="U69" s="12"/>
      <c r="V69" s="12">
        <f t="shared" si="1"/>
        <v>0</v>
      </c>
      <c r="W69" s="14"/>
      <c r="X69" s="24">
        <f>SUM(T69:W69)</f>
        <v>0</v>
      </c>
      <c r="Y69" s="14"/>
      <c r="Z69" s="14"/>
      <c r="AA69" s="24">
        <f>SUM(Y69:Z69)</f>
        <v>0</v>
      </c>
      <c r="AB69" s="25">
        <f>+S69+X69+AA69</f>
        <v>1691164.05</v>
      </c>
    </row>
    <row r="70" spans="1:28" x14ac:dyDescent="0.25">
      <c r="A70" s="6">
        <v>84</v>
      </c>
      <c r="B70" s="9" t="s">
        <v>21</v>
      </c>
      <c r="C70" s="2" t="s">
        <v>269</v>
      </c>
      <c r="D70" s="8" t="s">
        <v>42</v>
      </c>
      <c r="E70" s="10" t="s">
        <v>4</v>
      </c>
      <c r="F70" s="8" t="s">
        <v>78</v>
      </c>
      <c r="G70" s="8" t="s">
        <v>140</v>
      </c>
      <c r="H70" s="8" t="s">
        <v>140</v>
      </c>
      <c r="I70" s="8" t="s">
        <v>112</v>
      </c>
      <c r="J70" s="8" t="s">
        <v>69</v>
      </c>
      <c r="K70" s="8">
        <v>0</v>
      </c>
      <c r="L70" s="8">
        <v>50</v>
      </c>
      <c r="M70" s="2"/>
      <c r="N70" s="14">
        <v>2756165</v>
      </c>
      <c r="O70" s="14">
        <v>2432031</v>
      </c>
      <c r="P70" s="12"/>
      <c r="Q70" s="14">
        <v>603642</v>
      </c>
      <c r="R70" s="12">
        <f t="shared" si="0"/>
        <v>114691.98</v>
      </c>
      <c r="S70" s="19">
        <f>SUM(O70:R70)</f>
        <v>3150364.98</v>
      </c>
      <c r="T70" s="14"/>
      <c r="U70" s="12"/>
      <c r="V70" s="12">
        <f t="shared" si="1"/>
        <v>0</v>
      </c>
      <c r="W70" s="14"/>
      <c r="X70" s="24">
        <f>SUM(T70:W70)</f>
        <v>0</v>
      </c>
      <c r="Y70" s="14"/>
      <c r="Z70" s="14"/>
      <c r="AA70" s="24">
        <f>SUM(Y70:Z70)</f>
        <v>0</v>
      </c>
      <c r="AB70" s="25">
        <f>+S70+X70+AA70</f>
        <v>3150364.98</v>
      </c>
    </row>
    <row r="71" spans="1:28" x14ac:dyDescent="0.25">
      <c r="A71" s="6">
        <v>85</v>
      </c>
      <c r="B71" s="9" t="s">
        <v>21</v>
      </c>
      <c r="C71" s="2" t="s">
        <v>269</v>
      </c>
      <c r="D71" s="8" t="s">
        <v>42</v>
      </c>
      <c r="E71" s="10" t="s">
        <v>4</v>
      </c>
      <c r="F71" s="8" t="s">
        <v>149</v>
      </c>
      <c r="G71" s="8" t="s">
        <v>138</v>
      </c>
      <c r="H71" s="8" t="s">
        <v>138</v>
      </c>
      <c r="I71" s="8" t="s">
        <v>148</v>
      </c>
      <c r="J71" s="8" t="s">
        <v>147</v>
      </c>
      <c r="K71" s="8">
        <v>0</v>
      </c>
      <c r="L71" s="8">
        <v>50</v>
      </c>
      <c r="M71" s="2"/>
      <c r="N71" s="14">
        <v>2756165</v>
      </c>
      <c r="O71" s="14">
        <v>2037831</v>
      </c>
      <c r="P71" s="12"/>
      <c r="Q71" s="14">
        <v>603642</v>
      </c>
      <c r="R71" s="12">
        <f t="shared" si="0"/>
        <v>114691.98</v>
      </c>
      <c r="S71" s="19">
        <f>SUM(O71:R71)</f>
        <v>2756164.98</v>
      </c>
      <c r="T71" s="14"/>
      <c r="U71" s="12"/>
      <c r="V71" s="12">
        <f t="shared" si="1"/>
        <v>0</v>
      </c>
      <c r="W71" s="14"/>
      <c r="X71" s="24">
        <f>SUM(T71:W71)</f>
        <v>0</v>
      </c>
      <c r="Y71" s="14"/>
      <c r="Z71" s="14"/>
      <c r="AA71" s="24">
        <f>SUM(Y71:Z71)</f>
        <v>0</v>
      </c>
      <c r="AB71" s="25">
        <f>+S71+X71+AA71</f>
        <v>2756164.98</v>
      </c>
    </row>
    <row r="72" spans="1:28" x14ac:dyDescent="0.25">
      <c r="A72" s="6">
        <v>86</v>
      </c>
      <c r="B72" s="9" t="s">
        <v>21</v>
      </c>
      <c r="C72" s="2" t="s">
        <v>269</v>
      </c>
      <c r="D72" s="8" t="s">
        <v>12</v>
      </c>
      <c r="E72" s="10" t="s">
        <v>4</v>
      </c>
      <c r="F72" s="8" t="s">
        <v>128</v>
      </c>
      <c r="G72" s="8" t="s">
        <v>138</v>
      </c>
      <c r="H72" s="8" t="s">
        <v>144</v>
      </c>
      <c r="I72" s="8" t="s">
        <v>137</v>
      </c>
      <c r="J72" s="8" t="s">
        <v>143</v>
      </c>
      <c r="K72" s="8">
        <v>0</v>
      </c>
      <c r="L72" s="8">
        <v>30</v>
      </c>
      <c r="M72" s="2"/>
      <c r="N72" s="14">
        <v>3680452</v>
      </c>
      <c r="O72" s="14">
        <v>1182600</v>
      </c>
      <c r="P72" s="12"/>
      <c r="Q72" s="14">
        <v>2184084</v>
      </c>
      <c r="R72" s="12">
        <f t="shared" si="0"/>
        <v>414975.96</v>
      </c>
      <c r="S72" s="19">
        <f>SUM(O72:R72)</f>
        <v>3781659.96</v>
      </c>
      <c r="T72" s="14"/>
      <c r="U72" s="12"/>
      <c r="V72" s="12">
        <f t="shared" si="1"/>
        <v>0</v>
      </c>
      <c r="W72" s="14"/>
      <c r="X72" s="24">
        <f>SUM(T72:W72)</f>
        <v>0</v>
      </c>
      <c r="Y72" s="14"/>
      <c r="Z72" s="14"/>
      <c r="AA72" s="24">
        <f>SUM(Y72:Z72)</f>
        <v>0</v>
      </c>
      <c r="AB72" s="25">
        <f>+S72+X72+AA72</f>
        <v>3781659.96</v>
      </c>
    </row>
    <row r="73" spans="1:28" x14ac:dyDescent="0.25">
      <c r="A73" s="6">
        <v>88</v>
      </c>
      <c r="B73" s="9" t="s">
        <v>21</v>
      </c>
      <c r="C73" s="2" t="s">
        <v>269</v>
      </c>
      <c r="D73" s="8" t="s">
        <v>232</v>
      </c>
      <c r="E73" s="10" t="s">
        <v>4</v>
      </c>
      <c r="F73" s="8" t="s">
        <v>46</v>
      </c>
      <c r="G73" s="8" t="s">
        <v>141</v>
      </c>
      <c r="H73" s="8" t="s">
        <v>141</v>
      </c>
      <c r="I73" s="8" t="s">
        <v>105</v>
      </c>
      <c r="J73" s="8" t="s">
        <v>104</v>
      </c>
      <c r="K73" s="8">
        <v>0</v>
      </c>
      <c r="L73" s="8">
        <v>35</v>
      </c>
      <c r="M73" s="2"/>
      <c r="N73" s="14">
        <v>4367829</v>
      </c>
      <c r="O73" s="14">
        <v>1446531</v>
      </c>
      <c r="P73" s="12"/>
      <c r="Q73" s="14">
        <v>2539921</v>
      </c>
      <c r="R73" s="12">
        <f t="shared" si="0"/>
        <v>482584.99</v>
      </c>
      <c r="S73" s="19">
        <f>SUM(O73:R73)</f>
        <v>4469036.99</v>
      </c>
      <c r="T73" s="14"/>
      <c r="U73" s="12"/>
      <c r="V73" s="12">
        <f t="shared" si="1"/>
        <v>0</v>
      </c>
      <c r="W73" s="14"/>
      <c r="X73" s="24">
        <f>SUM(T73:W73)</f>
        <v>0</v>
      </c>
      <c r="Y73" s="14"/>
      <c r="Z73" s="14"/>
      <c r="AA73" s="24">
        <f>SUM(Y73:Z73)</f>
        <v>0</v>
      </c>
      <c r="AB73" s="25">
        <f>+S73+X73+AA73</f>
        <v>4469036.99</v>
      </c>
    </row>
    <row r="74" spans="1:28" x14ac:dyDescent="0.25">
      <c r="A74" s="6">
        <v>89</v>
      </c>
      <c r="B74" s="9" t="s">
        <v>21</v>
      </c>
      <c r="C74" s="2" t="s">
        <v>269</v>
      </c>
      <c r="D74" s="8" t="s">
        <v>12</v>
      </c>
      <c r="E74" s="10" t="s">
        <v>4</v>
      </c>
      <c r="F74" s="8" t="s">
        <v>128</v>
      </c>
      <c r="G74" s="8" t="s">
        <v>138</v>
      </c>
      <c r="H74" s="8" t="s">
        <v>138</v>
      </c>
      <c r="I74" s="8" t="s">
        <v>137</v>
      </c>
      <c r="J74" s="8" t="s">
        <v>136</v>
      </c>
      <c r="K74" s="8">
        <v>0</v>
      </c>
      <c r="L74" s="8">
        <v>10</v>
      </c>
      <c r="M74" s="2"/>
      <c r="N74" s="14">
        <v>2286317</v>
      </c>
      <c r="O74" s="14">
        <v>394200</v>
      </c>
      <c r="P74" s="12"/>
      <c r="Q74" s="14">
        <v>1675063</v>
      </c>
      <c r="R74" s="12">
        <f t="shared" si="0"/>
        <v>318261.97000000003</v>
      </c>
      <c r="S74" s="19">
        <f>SUM(O74:R74)</f>
        <v>2387524.9700000002</v>
      </c>
      <c r="T74" s="14"/>
      <c r="U74" s="12"/>
      <c r="V74" s="12">
        <f t="shared" si="1"/>
        <v>0</v>
      </c>
      <c r="W74" s="14"/>
      <c r="X74" s="24">
        <f>SUM(T74:W74)</f>
        <v>0</v>
      </c>
      <c r="Y74" s="14"/>
      <c r="Z74" s="14"/>
      <c r="AA74" s="24">
        <f>SUM(Y74:Z74)</f>
        <v>0</v>
      </c>
      <c r="AB74" s="25">
        <f>+S74+X74+AA74</f>
        <v>2387524.9700000002</v>
      </c>
    </row>
    <row r="75" spans="1:28" x14ac:dyDescent="0.25">
      <c r="A75" s="6">
        <v>91</v>
      </c>
      <c r="B75" s="9" t="s">
        <v>21</v>
      </c>
      <c r="C75" s="2" t="s">
        <v>269</v>
      </c>
      <c r="D75" s="8" t="s">
        <v>234</v>
      </c>
      <c r="E75" s="10" t="s">
        <v>4</v>
      </c>
      <c r="F75" s="8" t="s">
        <v>46</v>
      </c>
      <c r="G75" s="8" t="s">
        <v>133</v>
      </c>
      <c r="H75" s="8" t="s">
        <v>133</v>
      </c>
      <c r="I75" s="8" t="s">
        <v>132</v>
      </c>
      <c r="J75" s="8" t="s">
        <v>131</v>
      </c>
      <c r="K75" s="8">
        <v>0</v>
      </c>
      <c r="L75" s="8">
        <v>22</v>
      </c>
      <c r="M75" s="2"/>
      <c r="N75" s="14">
        <v>3365092</v>
      </c>
      <c r="O75" s="14">
        <v>867240</v>
      </c>
      <c r="P75" s="12"/>
      <c r="Q75" s="14">
        <v>2184084</v>
      </c>
      <c r="R75" s="12">
        <f t="shared" si="0"/>
        <v>414975.96</v>
      </c>
      <c r="S75" s="19">
        <f>SUM(O75:R75)</f>
        <v>3466299.96</v>
      </c>
      <c r="T75" s="14"/>
      <c r="U75" s="12"/>
      <c r="V75" s="12">
        <f t="shared" si="1"/>
        <v>0</v>
      </c>
      <c r="W75" s="14"/>
      <c r="X75" s="24">
        <f>SUM(T75:W75)</f>
        <v>0</v>
      </c>
      <c r="Y75" s="14"/>
      <c r="Z75" s="14"/>
      <c r="AA75" s="24">
        <f>SUM(Y75:Z75)</f>
        <v>0</v>
      </c>
      <c r="AB75" s="25">
        <f>+S75+X75+AA75</f>
        <v>3466299.96</v>
      </c>
    </row>
    <row r="76" spans="1:28" x14ac:dyDescent="0.25">
      <c r="A76" s="6">
        <v>95</v>
      </c>
      <c r="B76" s="9" t="s">
        <v>61</v>
      </c>
      <c r="C76" s="2" t="s">
        <v>269</v>
      </c>
      <c r="D76" s="8" t="s">
        <v>235</v>
      </c>
      <c r="E76" s="10" t="s">
        <v>19</v>
      </c>
      <c r="F76" s="8"/>
      <c r="G76" s="8"/>
      <c r="H76" s="8"/>
      <c r="I76" s="8"/>
      <c r="J76" s="8"/>
      <c r="K76" s="8">
        <v>3</v>
      </c>
      <c r="L76" s="8">
        <v>2</v>
      </c>
      <c r="M76" s="2"/>
      <c r="N76" s="14">
        <v>7302654</v>
      </c>
      <c r="O76" s="14">
        <v>1645143</v>
      </c>
      <c r="P76" s="15"/>
      <c r="Q76" s="14">
        <v>85049</v>
      </c>
      <c r="R76" s="12">
        <f t="shared" si="0"/>
        <v>16159.31</v>
      </c>
      <c r="S76" s="19">
        <f>SUM(O76:R76)</f>
        <v>1746351.31</v>
      </c>
      <c r="T76" s="14">
        <v>2347000</v>
      </c>
      <c r="U76" s="15"/>
      <c r="V76" s="12">
        <f t="shared" si="1"/>
        <v>70410</v>
      </c>
      <c r="W76" s="14">
        <v>13377.9</v>
      </c>
      <c r="X76" s="24">
        <f>SUM(T76:W76)</f>
        <v>2430787.9</v>
      </c>
      <c r="Y76" s="14">
        <v>1208180</v>
      </c>
      <c r="Z76" s="14">
        <v>65553</v>
      </c>
      <c r="AA76" s="24">
        <f>SUM(Y76:Z76)</f>
        <v>1273733</v>
      </c>
      <c r="AB76" s="25">
        <f>+S76+X76+AA76</f>
        <v>5450872.21</v>
      </c>
    </row>
    <row r="77" spans="1:28" x14ac:dyDescent="0.25">
      <c r="A77" s="6">
        <v>96</v>
      </c>
      <c r="B77" s="9" t="s">
        <v>61</v>
      </c>
      <c r="C77" s="2" t="s">
        <v>269</v>
      </c>
      <c r="D77" s="8" t="s">
        <v>157</v>
      </c>
      <c r="E77" s="10" t="s">
        <v>4</v>
      </c>
      <c r="F77" s="8"/>
      <c r="G77" s="8"/>
      <c r="H77" s="8"/>
      <c r="I77" s="8"/>
      <c r="J77" s="8"/>
      <c r="K77" s="8">
        <v>0</v>
      </c>
      <c r="L77" s="8">
        <v>15</v>
      </c>
      <c r="M77" s="2"/>
      <c r="N77" s="14">
        <v>882747</v>
      </c>
      <c r="O77" s="14">
        <v>658131</v>
      </c>
      <c r="P77" s="16"/>
      <c r="Q77" s="14">
        <v>273802</v>
      </c>
      <c r="R77" s="12">
        <f t="shared" si="0"/>
        <v>52022.38</v>
      </c>
      <c r="S77" s="19">
        <f>SUM(O77:R77)</f>
        <v>983955.38</v>
      </c>
      <c r="T77" s="14"/>
      <c r="U77" s="16"/>
      <c r="V77" s="12">
        <f t="shared" si="1"/>
        <v>0</v>
      </c>
      <c r="W77" s="14"/>
      <c r="X77" s="24">
        <f>SUM(T77:W77)</f>
        <v>0</v>
      </c>
      <c r="Y77" s="14"/>
      <c r="Z77" s="14"/>
      <c r="AA77" s="24">
        <f>SUM(Y77:Z77)</f>
        <v>0</v>
      </c>
      <c r="AB77" s="25">
        <f>+S77+X77+AA77</f>
        <v>983955.38</v>
      </c>
    </row>
    <row r="78" spans="1:28" x14ac:dyDescent="0.25">
      <c r="A78" s="6">
        <v>97</v>
      </c>
      <c r="B78" s="9" t="s">
        <v>45</v>
      </c>
      <c r="C78" s="2" t="s">
        <v>269</v>
      </c>
      <c r="D78" s="8" t="s">
        <v>236</v>
      </c>
      <c r="E78" s="10" t="s">
        <v>74</v>
      </c>
      <c r="F78" s="8"/>
      <c r="G78" s="8"/>
      <c r="H78" s="8"/>
      <c r="I78" s="8"/>
      <c r="J78" s="8"/>
      <c r="K78" s="8">
        <v>2</v>
      </c>
      <c r="L78" s="8">
        <v>48</v>
      </c>
      <c r="M78" s="2"/>
      <c r="N78" s="14">
        <v>1681615</v>
      </c>
      <c r="O78" s="14">
        <v>1520263</v>
      </c>
      <c r="P78" s="16"/>
      <c r="Q78" s="14"/>
      <c r="R78" s="12">
        <f t="shared" si="0"/>
        <v>0</v>
      </c>
      <c r="S78" s="19">
        <f>SUM(O78:R78)</f>
        <v>1520263</v>
      </c>
      <c r="T78" s="14">
        <v>1031540</v>
      </c>
      <c r="U78" s="16"/>
      <c r="V78" s="12">
        <f t="shared" si="1"/>
        <v>30946.199999999997</v>
      </c>
      <c r="W78" s="14">
        <v>5879.7779999999993</v>
      </c>
      <c r="X78" s="24">
        <f>SUM(T78:W78)</f>
        <v>1068365.9779999999</v>
      </c>
      <c r="Y78" s="14">
        <v>1762108</v>
      </c>
      <c r="Z78" s="14">
        <v>90235</v>
      </c>
      <c r="AA78" s="24">
        <f>SUM(Y78:Z78)</f>
        <v>1852343</v>
      </c>
      <c r="AB78" s="25">
        <f>+S78+X78+AA78</f>
        <v>4440971.9780000001</v>
      </c>
    </row>
    <row r="79" spans="1:28" x14ac:dyDescent="0.25">
      <c r="A79" s="6">
        <v>98</v>
      </c>
      <c r="B79" s="9" t="s">
        <v>16</v>
      </c>
      <c r="C79" s="2" t="s">
        <v>269</v>
      </c>
      <c r="D79" s="8" t="s">
        <v>237</v>
      </c>
      <c r="E79" s="10" t="s">
        <v>19</v>
      </c>
      <c r="F79" s="8"/>
      <c r="G79" s="8"/>
      <c r="H79" s="8"/>
      <c r="I79" s="8"/>
      <c r="J79" s="8"/>
      <c r="K79" s="8">
        <v>13</v>
      </c>
      <c r="L79" s="8">
        <v>8</v>
      </c>
      <c r="M79" s="2"/>
      <c r="N79" s="14">
        <v>25567866</v>
      </c>
      <c r="O79" s="14">
        <v>8030232</v>
      </c>
      <c r="P79" s="16"/>
      <c r="Q79" s="14">
        <v>2184084</v>
      </c>
      <c r="R79" s="12">
        <f t="shared" si="0"/>
        <v>414975.96</v>
      </c>
      <c r="S79" s="19">
        <f>SUM(O79:R79)</f>
        <v>10629291.960000001</v>
      </c>
      <c r="T79" s="14">
        <v>13995000</v>
      </c>
      <c r="U79" s="16"/>
      <c r="V79" s="12">
        <f t="shared" si="1"/>
        <v>419850</v>
      </c>
      <c r="W79" s="14">
        <v>79771.5</v>
      </c>
      <c r="X79" s="24">
        <f>SUM(T79:W79)</f>
        <v>14494621.5</v>
      </c>
      <c r="Y79" s="14">
        <v>2802572</v>
      </c>
      <c r="Z79" s="14">
        <v>142718</v>
      </c>
      <c r="AA79" s="24">
        <f>SUM(Y79:Z79)</f>
        <v>2945290</v>
      </c>
      <c r="AB79" s="25">
        <f>+S79+X79+AA79</f>
        <v>28069203.460000001</v>
      </c>
    </row>
    <row r="80" spans="1:28" x14ac:dyDescent="0.25">
      <c r="A80" s="6">
        <v>100</v>
      </c>
      <c r="B80" s="9" t="s">
        <v>2</v>
      </c>
      <c r="C80" s="2" t="s">
        <v>269</v>
      </c>
      <c r="D80" s="8" t="s">
        <v>239</v>
      </c>
      <c r="E80" s="10" t="s">
        <v>19</v>
      </c>
      <c r="F80" s="8"/>
      <c r="G80" s="8"/>
      <c r="H80" s="8"/>
      <c r="I80" s="8"/>
      <c r="J80" s="8"/>
      <c r="K80" s="8">
        <v>23</v>
      </c>
      <c r="L80" s="8">
        <v>10</v>
      </c>
      <c r="M80" s="2"/>
      <c r="N80" s="14">
        <v>72157045</v>
      </c>
      <c r="O80" s="14">
        <v>29955964</v>
      </c>
      <c r="P80" s="16"/>
      <c r="Q80" s="14">
        <v>8479050</v>
      </c>
      <c r="R80" s="12">
        <f t="shared" si="0"/>
        <v>1611019.5</v>
      </c>
      <c r="S80" s="19">
        <f>SUM(O80:R80)</f>
        <v>40046033.5</v>
      </c>
      <c r="T80" s="14">
        <v>17108050</v>
      </c>
      <c r="U80" s="16"/>
      <c r="V80" s="12">
        <f t="shared" si="1"/>
        <v>513241.5</v>
      </c>
      <c r="W80" s="14">
        <v>97515.884999999995</v>
      </c>
      <c r="X80" s="24">
        <f>SUM(T80:W80)</f>
        <v>17718807.385000002</v>
      </c>
      <c r="Y80" s="14">
        <v>16119877</v>
      </c>
      <c r="Z80" s="14">
        <v>865365</v>
      </c>
      <c r="AA80" s="24">
        <f>SUM(Y80:Z80)</f>
        <v>16985242</v>
      </c>
      <c r="AB80" s="25">
        <f>+S80+X80+AA80</f>
        <v>74750082.885000005</v>
      </c>
    </row>
    <row r="81" spans="1:28" x14ac:dyDescent="0.25">
      <c r="A81" s="6">
        <v>104</v>
      </c>
      <c r="B81" s="9" t="s">
        <v>225</v>
      </c>
      <c r="C81" s="2" t="s">
        <v>269</v>
      </c>
      <c r="D81" s="8" t="s">
        <v>241</v>
      </c>
      <c r="E81" s="10" t="s">
        <v>19</v>
      </c>
      <c r="F81" s="8"/>
      <c r="G81" s="8"/>
      <c r="H81" s="8"/>
      <c r="I81" s="8"/>
      <c r="J81" s="8"/>
      <c r="K81" s="8">
        <v>23</v>
      </c>
      <c r="L81" s="8">
        <v>17</v>
      </c>
      <c r="M81" s="2"/>
      <c r="N81" s="14">
        <v>27662339</v>
      </c>
      <c r="O81" s="14">
        <v>11502417</v>
      </c>
      <c r="P81" s="16"/>
      <c r="Q81" s="14">
        <v>2539921</v>
      </c>
      <c r="R81" s="12">
        <f t="shared" si="0"/>
        <v>482584.99</v>
      </c>
      <c r="S81" s="19">
        <f>SUM(O81:R81)</f>
        <v>14524922.99</v>
      </c>
      <c r="T81" s="14">
        <v>7455500</v>
      </c>
      <c r="U81" s="16"/>
      <c r="V81" s="12">
        <f t="shared" si="1"/>
        <v>223665</v>
      </c>
      <c r="W81" s="14">
        <v>42496.35</v>
      </c>
      <c r="X81" s="24">
        <f>SUM(T81:W81)</f>
        <v>7721661.3499999996</v>
      </c>
      <c r="Y81" s="14">
        <v>1634825</v>
      </c>
      <c r="Z81" s="14">
        <v>89932</v>
      </c>
      <c r="AA81" s="24">
        <f>SUM(Y81:Z81)</f>
        <v>1724757</v>
      </c>
      <c r="AB81" s="25">
        <f>+S81+X81+AA81</f>
        <v>23971341.34</v>
      </c>
    </row>
    <row r="82" spans="1:28" x14ac:dyDescent="0.25">
      <c r="A82" s="6">
        <v>106</v>
      </c>
      <c r="B82" s="9" t="s">
        <v>225</v>
      </c>
      <c r="C82" s="2" t="s">
        <v>269</v>
      </c>
      <c r="D82" s="8" t="s">
        <v>242</v>
      </c>
      <c r="E82" s="10" t="s">
        <v>19</v>
      </c>
      <c r="F82" s="8"/>
      <c r="G82" s="8"/>
      <c r="H82" s="8"/>
      <c r="I82" s="8"/>
      <c r="J82" s="8"/>
      <c r="K82" s="8">
        <v>3</v>
      </c>
      <c r="L82" s="8">
        <v>0</v>
      </c>
      <c r="M82" s="2"/>
      <c r="N82" s="14">
        <v>6790674</v>
      </c>
      <c r="O82" s="14">
        <v>1566828</v>
      </c>
      <c r="P82" s="16"/>
      <c r="Q82" s="14"/>
      <c r="R82" s="12">
        <f t="shared" si="0"/>
        <v>0</v>
      </c>
      <c r="S82" s="19">
        <f>SUM(O82:R82)</f>
        <v>1566828</v>
      </c>
      <c r="T82" s="14">
        <v>3215000</v>
      </c>
      <c r="U82" s="16"/>
      <c r="V82" s="12">
        <f t="shared" si="1"/>
        <v>96450</v>
      </c>
      <c r="W82" s="14">
        <v>18325.5</v>
      </c>
      <c r="X82" s="24">
        <f>SUM(T82:W82)</f>
        <v>3329775.5</v>
      </c>
      <c r="Y82" s="14">
        <v>2616025</v>
      </c>
      <c r="Z82" s="14">
        <v>139030</v>
      </c>
      <c r="AA82" s="24">
        <f>SUM(Y82:Z82)</f>
        <v>2755055</v>
      </c>
      <c r="AB82" s="25">
        <f>+S82+X82+AA82</f>
        <v>7651658.5</v>
      </c>
    </row>
    <row r="83" spans="1:28" x14ac:dyDescent="0.25">
      <c r="A83" s="6">
        <v>107</v>
      </c>
      <c r="B83" s="9" t="s">
        <v>238</v>
      </c>
      <c r="C83" s="2" t="s">
        <v>269</v>
      </c>
      <c r="D83" s="8" t="s">
        <v>243</v>
      </c>
      <c r="E83" s="10" t="s">
        <v>114</v>
      </c>
      <c r="F83" s="8"/>
      <c r="G83" s="8"/>
      <c r="H83" s="8"/>
      <c r="I83" s="8"/>
      <c r="J83" s="8"/>
      <c r="K83" s="8">
        <v>0</v>
      </c>
      <c r="L83" s="8">
        <v>20</v>
      </c>
      <c r="M83" s="2"/>
      <c r="N83" s="14">
        <v>3580814</v>
      </c>
      <c r="O83" s="14">
        <v>1123720</v>
      </c>
      <c r="P83" s="16"/>
      <c r="Q83" s="14">
        <v>4333710</v>
      </c>
      <c r="R83" s="12">
        <f t="shared" si="0"/>
        <v>823404.9</v>
      </c>
      <c r="S83" s="19">
        <f>SUM(O83:R83)</f>
        <v>6280834.9000000004</v>
      </c>
      <c r="T83" s="14"/>
      <c r="U83" s="16"/>
      <c r="V83" s="12">
        <f t="shared" si="1"/>
        <v>0</v>
      </c>
      <c r="W83" s="14"/>
      <c r="X83" s="24">
        <f>SUM(T83:W83)</f>
        <v>0</v>
      </c>
      <c r="Y83" s="14"/>
      <c r="Z83" s="14"/>
      <c r="AA83" s="24">
        <f>SUM(Y83:Z83)</f>
        <v>0</v>
      </c>
      <c r="AB83" s="25">
        <f>+S83+X83+AA83</f>
        <v>6280834.9000000004</v>
      </c>
    </row>
    <row r="84" spans="1:28" x14ac:dyDescent="0.25">
      <c r="A84" s="6">
        <v>108</v>
      </c>
      <c r="B84" s="9" t="s">
        <v>221</v>
      </c>
      <c r="C84" s="2" t="s">
        <v>269</v>
      </c>
      <c r="D84" s="8" t="s">
        <v>244</v>
      </c>
      <c r="E84" s="10" t="s">
        <v>114</v>
      </c>
      <c r="F84" s="8"/>
      <c r="G84" s="8"/>
      <c r="H84" s="8"/>
      <c r="I84" s="8"/>
      <c r="J84" s="8"/>
      <c r="K84" s="8">
        <v>5</v>
      </c>
      <c r="L84" s="8">
        <v>20</v>
      </c>
      <c r="M84" s="2"/>
      <c r="N84" s="14">
        <v>9656736</v>
      </c>
      <c r="O84" s="14">
        <v>3800894</v>
      </c>
      <c r="P84" s="16"/>
      <c r="Q84" s="14">
        <v>273802</v>
      </c>
      <c r="R84" s="12">
        <f t="shared" si="0"/>
        <v>52022.38</v>
      </c>
      <c r="S84" s="19">
        <f>SUM(O84:R84)</f>
        <v>4126718.38</v>
      </c>
      <c r="T84" s="14">
        <v>3006000</v>
      </c>
      <c r="U84" s="16"/>
      <c r="V84" s="12">
        <f t="shared" si="1"/>
        <v>90180</v>
      </c>
      <c r="W84" s="14">
        <v>17134.2</v>
      </c>
      <c r="X84" s="24">
        <f>SUM(T84:W84)</f>
        <v>3113314.2</v>
      </c>
      <c r="Y84" s="14">
        <v>1811218</v>
      </c>
      <c r="Z84" s="14">
        <v>93041</v>
      </c>
      <c r="AA84" s="24">
        <f>SUM(Y84:Z84)</f>
        <v>1904259</v>
      </c>
      <c r="AB84" s="25">
        <f>+S84+X84+AA84</f>
        <v>9144291.5800000001</v>
      </c>
    </row>
    <row r="85" spans="1:28" x14ac:dyDescent="0.25">
      <c r="A85" s="6">
        <v>109</v>
      </c>
      <c r="B85" s="9" t="s">
        <v>223</v>
      </c>
      <c r="C85" s="2" t="s">
        <v>269</v>
      </c>
      <c r="D85" s="8" t="s">
        <v>247</v>
      </c>
      <c r="E85" s="10" t="s">
        <v>248</v>
      </c>
      <c r="F85" s="8"/>
      <c r="G85" s="8"/>
      <c r="H85" s="8"/>
      <c r="I85" s="8"/>
      <c r="J85" s="8"/>
      <c r="K85" s="8">
        <v>0</v>
      </c>
      <c r="L85" s="8">
        <v>33</v>
      </c>
      <c r="M85" s="2"/>
      <c r="N85" s="14">
        <v>3700060</v>
      </c>
      <c r="O85" s="14">
        <v>1340805</v>
      </c>
      <c r="P85" s="16"/>
      <c r="Q85" s="14">
        <v>2470423</v>
      </c>
      <c r="R85" s="12">
        <f t="shared" si="0"/>
        <v>469380.37</v>
      </c>
      <c r="S85" s="19">
        <f>SUM(O85:R85)</f>
        <v>4280608.37</v>
      </c>
      <c r="T85" s="14"/>
      <c r="U85" s="16"/>
      <c r="V85" s="12">
        <f t="shared" si="1"/>
        <v>0</v>
      </c>
      <c r="W85" s="14"/>
      <c r="X85" s="24">
        <f>SUM(T85:W85)</f>
        <v>0</v>
      </c>
      <c r="Y85" s="14"/>
      <c r="Z85" s="14"/>
      <c r="AA85" s="24">
        <f>SUM(Y85:Z85)</f>
        <v>0</v>
      </c>
      <c r="AB85" s="25">
        <f>+S85+X85+AA85</f>
        <v>4280608.37</v>
      </c>
    </row>
    <row r="86" spans="1:28" x14ac:dyDescent="0.25">
      <c r="A86" s="6">
        <v>110</v>
      </c>
      <c r="B86" s="9" t="s">
        <v>249</v>
      </c>
      <c r="C86" s="2" t="s">
        <v>269</v>
      </c>
      <c r="D86" s="8" t="s">
        <v>250</v>
      </c>
      <c r="E86" s="10" t="s">
        <v>74</v>
      </c>
      <c r="F86" s="8"/>
      <c r="G86" s="8"/>
      <c r="H86" s="8"/>
      <c r="I86" s="8"/>
      <c r="J86" s="8"/>
      <c r="K86" s="8">
        <v>7</v>
      </c>
      <c r="L86" s="8">
        <v>30</v>
      </c>
      <c r="M86" s="2"/>
      <c r="N86" s="14">
        <v>17287919</v>
      </c>
      <c r="O86" s="14">
        <v>5834565</v>
      </c>
      <c r="P86" s="16"/>
      <c r="Q86" s="14">
        <v>170098</v>
      </c>
      <c r="R86" s="12">
        <f t="shared" si="0"/>
        <v>32318.62</v>
      </c>
      <c r="S86" s="19">
        <f>SUM(O86:R86)</f>
        <v>6036981.6200000001</v>
      </c>
      <c r="T86" s="14">
        <v>8179000</v>
      </c>
      <c r="U86" s="16"/>
      <c r="V86" s="12">
        <f t="shared" si="1"/>
        <v>245370</v>
      </c>
      <c r="W86" s="14">
        <v>46620.3</v>
      </c>
      <c r="X86" s="24">
        <f>SUM(T86:W86)</f>
        <v>8470990.3000000007</v>
      </c>
      <c r="Y86" s="14">
        <v>4788573</v>
      </c>
      <c r="Z86" s="14">
        <v>252718</v>
      </c>
      <c r="AA86" s="24">
        <f>SUM(Y86:Z86)</f>
        <v>5041291</v>
      </c>
      <c r="AB86" s="25">
        <f>+S86+X86+AA86</f>
        <v>19549262.920000002</v>
      </c>
    </row>
    <row r="87" spans="1:28" x14ac:dyDescent="0.25">
      <c r="A87" s="6">
        <v>112</v>
      </c>
      <c r="B87" s="9" t="s">
        <v>233</v>
      </c>
      <c r="C87" s="2" t="s">
        <v>269</v>
      </c>
      <c r="D87" s="8" t="s">
        <v>251</v>
      </c>
      <c r="E87" s="10" t="s">
        <v>74</v>
      </c>
      <c r="F87" s="8"/>
      <c r="G87" s="8"/>
      <c r="H87" s="8"/>
      <c r="I87" s="8"/>
      <c r="J87" s="8"/>
      <c r="K87" s="8">
        <v>2</v>
      </c>
      <c r="L87" s="8">
        <v>14</v>
      </c>
      <c r="M87" s="2"/>
      <c r="N87" s="14">
        <v>2152264</v>
      </c>
      <c r="O87" s="14">
        <v>239144</v>
      </c>
      <c r="P87" s="16"/>
      <c r="Q87" s="14">
        <v>85049</v>
      </c>
      <c r="R87" s="12">
        <f t="shared" si="0"/>
        <v>16159.31</v>
      </c>
      <c r="S87" s="19">
        <f>SUM(O87:R87)</f>
        <v>340352.31</v>
      </c>
      <c r="T87" s="14">
        <v>125500</v>
      </c>
      <c r="U87" s="16"/>
      <c r="V87" s="12">
        <f t="shared" si="1"/>
        <v>3765</v>
      </c>
      <c r="W87" s="14">
        <v>715.35</v>
      </c>
      <c r="X87" s="24">
        <f>SUM(T87:W87)</f>
        <v>129980.35</v>
      </c>
      <c r="Y87" s="14">
        <v>554858</v>
      </c>
      <c r="Z87" s="14">
        <v>28221</v>
      </c>
      <c r="AA87" s="24">
        <f>SUM(Y87:Z87)</f>
        <v>583079</v>
      </c>
      <c r="AB87" s="25">
        <f>+S87+X87+AA87</f>
        <v>1053411.6600000001</v>
      </c>
    </row>
    <row r="88" spans="1:28" x14ac:dyDescent="0.25">
      <c r="A88" s="6">
        <v>113</v>
      </c>
      <c r="B88" s="9" t="s">
        <v>233</v>
      </c>
      <c r="C88" s="2" t="s">
        <v>269</v>
      </c>
      <c r="D88" s="8" t="s">
        <v>253</v>
      </c>
      <c r="E88" s="10" t="s">
        <v>74</v>
      </c>
      <c r="F88" s="8"/>
      <c r="G88" s="8"/>
      <c r="H88" s="8"/>
      <c r="I88" s="8"/>
      <c r="J88" s="8"/>
      <c r="K88" s="8">
        <v>1</v>
      </c>
      <c r="L88" s="8">
        <v>14</v>
      </c>
      <c r="M88" s="2"/>
      <c r="N88" s="14">
        <v>4513005</v>
      </c>
      <c r="O88" s="14">
        <v>594013</v>
      </c>
      <c r="P88" s="16"/>
      <c r="Q88" s="14">
        <v>2155380</v>
      </c>
      <c r="R88" s="12">
        <f t="shared" si="0"/>
        <v>409522.2</v>
      </c>
      <c r="S88" s="19">
        <f>SUM(O88:R88)</f>
        <v>3158915.2</v>
      </c>
      <c r="T88" s="14">
        <v>864500</v>
      </c>
      <c r="U88" s="16"/>
      <c r="V88" s="12">
        <f t="shared" si="1"/>
        <v>25935</v>
      </c>
      <c r="W88" s="14">
        <v>4927.6499999999996</v>
      </c>
      <c r="X88" s="24">
        <f>SUM(T88:W88)</f>
        <v>895362.65</v>
      </c>
      <c r="Y88" s="14"/>
      <c r="Z88" s="14"/>
      <c r="AA88" s="24">
        <f>SUM(Y88:Z88)</f>
        <v>0</v>
      </c>
      <c r="AB88" s="25">
        <f>+S88+X88+AA88</f>
        <v>4054277.85</v>
      </c>
    </row>
    <row r="89" spans="1:28" x14ac:dyDescent="0.25">
      <c r="A89" s="6">
        <v>114</v>
      </c>
      <c r="B89" s="9" t="s">
        <v>254</v>
      </c>
      <c r="C89" s="2" t="s">
        <v>269</v>
      </c>
      <c r="D89" s="8" t="s">
        <v>255</v>
      </c>
      <c r="E89" s="10" t="s">
        <v>74</v>
      </c>
      <c r="F89" s="8"/>
      <c r="G89" s="8"/>
      <c r="H89" s="8"/>
      <c r="I89" s="8"/>
      <c r="J89" s="8"/>
      <c r="K89" s="8">
        <v>2</v>
      </c>
      <c r="L89" s="8">
        <v>27</v>
      </c>
      <c r="M89" s="2"/>
      <c r="N89" s="14">
        <v>4420849</v>
      </c>
      <c r="O89" s="14">
        <v>1368779</v>
      </c>
      <c r="P89" s="16"/>
      <c r="Q89" s="14">
        <v>85049</v>
      </c>
      <c r="R89" s="12">
        <f t="shared" si="0"/>
        <v>16159.31</v>
      </c>
      <c r="S89" s="19">
        <f>SUM(O89:R89)</f>
        <v>1469987.31</v>
      </c>
      <c r="T89" s="14">
        <v>973500</v>
      </c>
      <c r="U89" s="16"/>
      <c r="V89" s="12">
        <f t="shared" si="1"/>
        <v>29205</v>
      </c>
      <c r="W89" s="14">
        <v>5548.95</v>
      </c>
      <c r="X89" s="24">
        <f>SUM(T89:W89)</f>
        <v>1008253.95</v>
      </c>
      <c r="Y89" s="14">
        <v>1984511</v>
      </c>
      <c r="Z89" s="14">
        <v>106429</v>
      </c>
      <c r="AA89" s="24">
        <f>SUM(Y89:Z89)</f>
        <v>2090940</v>
      </c>
      <c r="AB89" s="25">
        <f>+S89+X89+AA89</f>
        <v>4569181.26</v>
      </c>
    </row>
    <row r="90" spans="1:28" x14ac:dyDescent="0.25">
      <c r="A90" s="6">
        <v>115</v>
      </c>
      <c r="B90" s="9" t="s">
        <v>257</v>
      </c>
      <c r="C90" s="2" t="s">
        <v>269</v>
      </c>
      <c r="D90" s="8" t="s">
        <v>258</v>
      </c>
      <c r="E90" s="10" t="s">
        <v>118</v>
      </c>
      <c r="F90" s="8"/>
      <c r="G90" s="8"/>
      <c r="H90" s="8"/>
      <c r="I90" s="8"/>
      <c r="J90" s="8"/>
      <c r="K90" s="8">
        <v>12</v>
      </c>
      <c r="L90" s="8">
        <v>10</v>
      </c>
      <c r="M90" s="2"/>
      <c r="N90" s="14">
        <v>25225324</v>
      </c>
      <c r="O90" s="14">
        <v>12692325</v>
      </c>
      <c r="P90" s="16"/>
      <c r="Q90" s="14">
        <v>4368168</v>
      </c>
      <c r="R90" s="12">
        <f t="shared" si="0"/>
        <v>829951.92</v>
      </c>
      <c r="S90" s="19">
        <f>SUM(O90:R90)</f>
        <v>17890444.920000002</v>
      </c>
      <c r="T90" s="14">
        <v>8299000</v>
      </c>
      <c r="U90" s="16"/>
      <c r="V90" s="12">
        <f t="shared" si="1"/>
        <v>248970</v>
      </c>
      <c r="W90" s="14">
        <v>47304.3</v>
      </c>
      <c r="X90" s="24">
        <f>SUM(T90:W90)</f>
        <v>8595274.3000000007</v>
      </c>
      <c r="Y90" s="14"/>
      <c r="Z90" s="14"/>
      <c r="AA90" s="24">
        <f>SUM(Y90:Z90)</f>
        <v>0</v>
      </c>
      <c r="AB90" s="25">
        <f>+S90+X90+AA90</f>
        <v>26485719.220000003</v>
      </c>
    </row>
    <row r="91" spans="1:28" x14ac:dyDescent="0.25">
      <c r="A91" s="6">
        <v>116</v>
      </c>
      <c r="B91" s="9" t="s">
        <v>240</v>
      </c>
      <c r="C91" s="2" t="s">
        <v>269</v>
      </c>
      <c r="D91" s="8" t="s">
        <v>259</v>
      </c>
      <c r="E91" s="10" t="s">
        <v>19</v>
      </c>
      <c r="F91" s="8"/>
      <c r="G91" s="8"/>
      <c r="H91" s="8"/>
      <c r="I91" s="8"/>
      <c r="J91" s="8"/>
      <c r="K91" s="8">
        <v>45</v>
      </c>
      <c r="L91" s="8">
        <v>15</v>
      </c>
      <c r="M91" s="2"/>
      <c r="N91" s="14">
        <v>17075024</v>
      </c>
      <c r="O91" s="14">
        <v>959428</v>
      </c>
      <c r="P91" s="16"/>
      <c r="Q91" s="14">
        <v>85049</v>
      </c>
      <c r="R91" s="12">
        <f t="shared" si="0"/>
        <v>16159.31</v>
      </c>
      <c r="S91" s="19">
        <f>SUM(O91:R91)</f>
        <v>1060636.31</v>
      </c>
      <c r="T91" s="14">
        <v>17285000</v>
      </c>
      <c r="U91" s="16"/>
      <c r="V91" s="12">
        <f t="shared" si="1"/>
        <v>518550</v>
      </c>
      <c r="W91" s="14">
        <v>98524.5</v>
      </c>
      <c r="X91" s="24">
        <f>SUM(T91:W91)</f>
        <v>17902074.5</v>
      </c>
      <c r="Y91" s="14"/>
      <c r="Z91" s="14"/>
      <c r="AA91" s="24">
        <f>SUM(Y91:Z91)</f>
        <v>0</v>
      </c>
      <c r="AB91" s="25">
        <f>+S91+X91+AA91</f>
        <v>18962710.809999999</v>
      </c>
    </row>
    <row r="92" spans="1:28" x14ac:dyDescent="0.25">
      <c r="A92" s="6">
        <v>124</v>
      </c>
      <c r="B92" s="9" t="s">
        <v>260</v>
      </c>
      <c r="C92" s="2" t="s">
        <v>269</v>
      </c>
      <c r="D92" s="8" t="s">
        <v>244</v>
      </c>
      <c r="E92" s="10" t="s">
        <v>114</v>
      </c>
      <c r="F92" s="8"/>
      <c r="G92" s="8"/>
      <c r="H92" s="8"/>
      <c r="I92" s="8"/>
      <c r="J92" s="8"/>
      <c r="K92" s="8">
        <v>17</v>
      </c>
      <c r="L92" s="8">
        <v>1</v>
      </c>
      <c r="M92" s="2"/>
      <c r="N92" s="14">
        <v>19289339</v>
      </c>
      <c r="O92" s="14">
        <v>9612641</v>
      </c>
      <c r="P92" s="16"/>
      <c r="Q92" s="14">
        <v>3613068</v>
      </c>
      <c r="R92" s="12">
        <f t="shared" si="0"/>
        <v>686482.92</v>
      </c>
      <c r="S92" s="19">
        <f>SUM(O92:R92)</f>
        <v>13912191.92</v>
      </c>
      <c r="T92" s="14">
        <v>4275600</v>
      </c>
      <c r="U92" s="16"/>
      <c r="V92" s="12">
        <f t="shared" si="1"/>
        <v>128268</v>
      </c>
      <c r="W92" s="14">
        <v>24370.920000000002</v>
      </c>
      <c r="X92" s="24">
        <f>SUM(T92:W92)</f>
        <v>4428238.92</v>
      </c>
      <c r="Y92" s="14"/>
      <c r="Z92" s="14"/>
      <c r="AA92" s="24">
        <f>SUM(Y92:Z92)</f>
        <v>0</v>
      </c>
      <c r="AB92" s="25">
        <f>+S92+X92+AA92</f>
        <v>18340430.84</v>
      </c>
    </row>
    <row r="93" spans="1:28" x14ac:dyDescent="0.25">
      <c r="A93" s="6">
        <v>126</v>
      </c>
      <c r="B93" s="9" t="s">
        <v>262</v>
      </c>
      <c r="C93" s="2" t="s">
        <v>269</v>
      </c>
      <c r="D93" s="8" t="s">
        <v>263</v>
      </c>
      <c r="E93" s="10" t="s">
        <v>19</v>
      </c>
      <c r="F93" s="8"/>
      <c r="G93" s="8"/>
      <c r="H93" s="8"/>
      <c r="I93" s="8"/>
      <c r="J93" s="8"/>
      <c r="K93" s="8">
        <v>17</v>
      </c>
      <c r="L93" s="8">
        <v>6</v>
      </c>
      <c r="M93" s="2"/>
      <c r="N93" s="14">
        <v>23507692</v>
      </c>
      <c r="O93" s="14">
        <v>9032070</v>
      </c>
      <c r="P93" s="16"/>
      <c r="Q93" s="14">
        <v>4339212</v>
      </c>
      <c r="R93" s="12">
        <f t="shared" si="0"/>
        <v>824450.28</v>
      </c>
      <c r="S93" s="19">
        <f>SUM(O93:R93)</f>
        <v>14195732.279999999</v>
      </c>
      <c r="T93" s="14">
        <v>5363000</v>
      </c>
      <c r="U93" s="16"/>
      <c r="V93" s="12">
        <f t="shared" si="1"/>
        <v>160890</v>
      </c>
      <c r="W93" s="14">
        <v>30569.1</v>
      </c>
      <c r="X93" s="24">
        <f>SUM(T93:W93)</f>
        <v>5554459.0999999996</v>
      </c>
      <c r="Y93" s="14">
        <v>1713359</v>
      </c>
      <c r="Z93" s="14">
        <v>90935</v>
      </c>
      <c r="AA93" s="24">
        <f>SUM(Y93:Z93)</f>
        <v>1804294</v>
      </c>
      <c r="AB93" s="25">
        <f>+S93+X93+AA93</f>
        <v>21554485.379999999</v>
      </c>
    </row>
    <row r="94" spans="1:28" x14ac:dyDescent="0.25">
      <c r="A94" s="6">
        <v>128</v>
      </c>
      <c r="B94" s="9" t="s">
        <v>262</v>
      </c>
      <c r="C94" s="2" t="s">
        <v>269</v>
      </c>
      <c r="D94" s="8" t="s">
        <v>264</v>
      </c>
      <c r="E94" s="10" t="s">
        <v>19</v>
      </c>
      <c r="F94" s="8"/>
      <c r="G94" s="8"/>
      <c r="H94" s="8"/>
      <c r="I94" s="8"/>
      <c r="J94" s="8"/>
      <c r="K94" s="8">
        <v>30</v>
      </c>
      <c r="L94" s="8">
        <v>20</v>
      </c>
      <c r="M94" s="2"/>
      <c r="N94" s="14">
        <v>96627267</v>
      </c>
      <c r="O94" s="14">
        <v>33660479</v>
      </c>
      <c r="P94" s="16"/>
      <c r="Q94" s="14">
        <v>7001056</v>
      </c>
      <c r="R94" s="12">
        <f t="shared" si="0"/>
        <v>1330200.6400000001</v>
      </c>
      <c r="S94" s="19">
        <f>SUM(O94:R94)</f>
        <v>41991735.640000001</v>
      </c>
      <c r="T94" s="14">
        <v>30658500</v>
      </c>
      <c r="U94" s="16"/>
      <c r="V94" s="12">
        <f t="shared" si="1"/>
        <v>919755</v>
      </c>
      <c r="W94" s="14">
        <v>174753.45</v>
      </c>
      <c r="X94" s="24">
        <f>SUM(T94:W94)</f>
        <v>31753008.449999999</v>
      </c>
      <c r="Y94" s="14">
        <v>30404222</v>
      </c>
      <c r="Z94" s="14">
        <v>1653725</v>
      </c>
      <c r="AA94" s="24">
        <f>SUM(Y94:Z94)</f>
        <v>32057947</v>
      </c>
      <c r="AB94" s="25">
        <f>+S94+X94+AA94</f>
        <v>105802691.09</v>
      </c>
    </row>
    <row r="95" spans="1:28" x14ac:dyDescent="0.25">
      <c r="A95" s="6">
        <v>136</v>
      </c>
      <c r="B95" s="9" t="s">
        <v>252</v>
      </c>
      <c r="C95" s="2" t="s">
        <v>269</v>
      </c>
      <c r="D95" s="8" t="s">
        <v>265</v>
      </c>
      <c r="E95" s="10" t="s">
        <v>19</v>
      </c>
      <c r="F95" s="8"/>
      <c r="G95" s="8"/>
      <c r="H95" s="8"/>
      <c r="I95" s="8"/>
      <c r="J95" s="8"/>
      <c r="K95" s="8">
        <v>17</v>
      </c>
      <c r="L95" s="8">
        <v>8</v>
      </c>
      <c r="M95" s="2"/>
      <c r="N95" s="14">
        <v>10787651</v>
      </c>
      <c r="O95" s="14">
        <v>2636751</v>
      </c>
      <c r="P95" s="16"/>
      <c r="Q95" s="14">
        <v>4368168</v>
      </c>
      <c r="R95" s="12">
        <f t="shared" si="0"/>
        <v>829951.92</v>
      </c>
      <c r="S95" s="19">
        <f>SUM(O95:R95)</f>
        <v>7834870.9199999999</v>
      </c>
      <c r="T95" s="14">
        <v>2185000</v>
      </c>
      <c r="U95" s="16"/>
      <c r="V95" s="12">
        <f t="shared" si="1"/>
        <v>65550</v>
      </c>
      <c r="W95" s="14">
        <v>12454.5</v>
      </c>
      <c r="X95" s="24">
        <f>SUM(T95:W95)</f>
        <v>2263004.5</v>
      </c>
      <c r="Y95" s="14"/>
      <c r="Z95" s="14"/>
      <c r="AA95" s="24">
        <f>SUM(Y95:Z95)</f>
        <v>0</v>
      </c>
      <c r="AB95" s="25">
        <f>+S95+X95+AA95</f>
        <v>10097875.42</v>
      </c>
    </row>
    <row r="96" spans="1:28" x14ac:dyDescent="0.25">
      <c r="A96" s="6">
        <v>143</v>
      </c>
      <c r="B96" s="9" t="s">
        <v>266</v>
      </c>
      <c r="C96" s="2" t="s">
        <v>269</v>
      </c>
      <c r="D96" s="8" t="s">
        <v>267</v>
      </c>
      <c r="E96" s="10" t="s">
        <v>19</v>
      </c>
      <c r="F96" s="8"/>
      <c r="G96" s="8"/>
      <c r="H96" s="8"/>
      <c r="I96" s="8"/>
      <c r="J96" s="8"/>
      <c r="K96" s="8">
        <v>6</v>
      </c>
      <c r="L96" s="8">
        <v>2</v>
      </c>
      <c r="M96" s="2"/>
      <c r="N96" s="14">
        <v>27126420</v>
      </c>
      <c r="O96" s="14">
        <v>7494985</v>
      </c>
      <c r="P96" s="16"/>
      <c r="Q96" s="14">
        <v>3350126</v>
      </c>
      <c r="R96" s="12">
        <f t="shared" si="0"/>
        <v>636523.94000000006</v>
      </c>
      <c r="S96" s="19">
        <f>SUM(O96:R96)</f>
        <v>11481634.939999999</v>
      </c>
      <c r="T96" s="14">
        <v>14638000</v>
      </c>
      <c r="U96" s="16"/>
      <c r="V96" s="12">
        <f t="shared" si="1"/>
        <v>439140</v>
      </c>
      <c r="W96" s="14">
        <v>83436.600000000006</v>
      </c>
      <c r="X96" s="24">
        <f>SUM(T96:W96)</f>
        <v>15160576.6</v>
      </c>
      <c r="Y96" s="14">
        <v>2226027</v>
      </c>
      <c r="Z96" s="14">
        <v>120230</v>
      </c>
      <c r="AA96" s="24">
        <f>SUM(Y96:Z96)</f>
        <v>2346257</v>
      </c>
      <c r="AB96" s="25">
        <f>+S96+X96+AA96</f>
        <v>28988468.539999999</v>
      </c>
    </row>
    <row r="97" spans="1:28" x14ac:dyDescent="0.25">
      <c r="A97" s="7">
        <v>22</v>
      </c>
      <c r="B97" s="9"/>
      <c r="C97" s="2" t="s">
        <v>218</v>
      </c>
      <c r="D97" s="8"/>
      <c r="E97" s="11" t="s">
        <v>19</v>
      </c>
      <c r="F97" s="11" t="s">
        <v>46</v>
      </c>
      <c r="G97" s="11" t="s">
        <v>141</v>
      </c>
      <c r="H97" s="11" t="s">
        <v>141</v>
      </c>
      <c r="I97" s="11" t="s">
        <v>105</v>
      </c>
      <c r="J97" s="11" t="s">
        <v>104</v>
      </c>
      <c r="K97" s="11">
        <v>20</v>
      </c>
      <c r="L97" s="11">
        <v>0</v>
      </c>
      <c r="M97" s="2"/>
      <c r="N97" s="17">
        <v>5626223</v>
      </c>
      <c r="O97" s="17"/>
      <c r="P97" s="17"/>
      <c r="Q97" s="17">
        <v>3881952</v>
      </c>
      <c r="R97" s="17">
        <v>737570.88</v>
      </c>
      <c r="S97" s="21">
        <f>SUM(O97:R97)</f>
        <v>4619522.88</v>
      </c>
      <c r="T97" s="17">
        <v>881000</v>
      </c>
      <c r="U97" s="17">
        <v>0</v>
      </c>
      <c r="V97" s="17">
        <v>26430</v>
      </c>
      <c r="W97" s="17">
        <v>5021.7</v>
      </c>
      <c r="X97" s="26">
        <f>SUM(T97:W97)</f>
        <v>912451.7</v>
      </c>
      <c r="Y97" s="17"/>
      <c r="Z97" s="17"/>
      <c r="AA97" s="26">
        <f>SUM(Y97:Z97)</f>
        <v>0</v>
      </c>
      <c r="AB97" s="26">
        <f>+S97+X97+AA97</f>
        <v>5531974.5800000001</v>
      </c>
    </row>
    <row r="98" spans="1:28" x14ac:dyDescent="0.25">
      <c r="A98" s="7">
        <v>26</v>
      </c>
      <c r="B98" s="9"/>
      <c r="C98" s="2" t="s">
        <v>218</v>
      </c>
      <c r="D98" s="8"/>
      <c r="E98" s="11" t="s">
        <v>19</v>
      </c>
      <c r="F98" s="11" t="s">
        <v>46</v>
      </c>
      <c r="G98" s="11" t="s">
        <v>270</v>
      </c>
      <c r="H98" s="11" t="s">
        <v>270</v>
      </c>
      <c r="I98" s="11" t="s">
        <v>56</v>
      </c>
      <c r="J98" s="11" t="s">
        <v>64</v>
      </c>
      <c r="K98" s="11">
        <v>30</v>
      </c>
      <c r="L98" s="11">
        <v>0</v>
      </c>
      <c r="M98" s="2"/>
      <c r="N98" s="17">
        <v>7724682</v>
      </c>
      <c r="O98" s="17"/>
      <c r="P98" s="17"/>
      <c r="Q98" s="17">
        <v>5303320</v>
      </c>
      <c r="R98" s="17">
        <v>1007630.8</v>
      </c>
      <c r="S98" s="21">
        <f>SUM(O98:R98)</f>
        <v>6310950.7999999998</v>
      </c>
      <c r="T98" s="17">
        <v>1319500</v>
      </c>
      <c r="U98" s="17"/>
      <c r="V98" s="17">
        <v>39585</v>
      </c>
      <c r="W98" s="17">
        <v>7521.15</v>
      </c>
      <c r="X98" s="26">
        <f>SUM(T98:W98)</f>
        <v>1366606.15</v>
      </c>
      <c r="Y98" s="17"/>
      <c r="Z98" s="17"/>
      <c r="AA98" s="26">
        <f>SUM(Y98:Z98)</f>
        <v>0</v>
      </c>
      <c r="AB98" s="26">
        <f>+S98+X98+AA98</f>
        <v>7677556.9499999993</v>
      </c>
    </row>
    <row r="99" spans="1:28" x14ac:dyDescent="0.25">
      <c r="A99" s="7">
        <v>27</v>
      </c>
      <c r="B99" s="9"/>
      <c r="C99" s="2" t="s">
        <v>218</v>
      </c>
      <c r="D99" s="8"/>
      <c r="E99" s="11" t="s">
        <v>19</v>
      </c>
      <c r="F99" s="11" t="s">
        <v>46</v>
      </c>
      <c r="G99" s="11" t="s">
        <v>270</v>
      </c>
      <c r="H99" s="11" t="s">
        <v>270</v>
      </c>
      <c r="I99" s="11" t="s">
        <v>56</v>
      </c>
      <c r="J99" s="11" t="s">
        <v>64</v>
      </c>
      <c r="K99" s="11">
        <v>10</v>
      </c>
      <c r="L99" s="11">
        <v>0</v>
      </c>
      <c r="M99" s="2"/>
      <c r="N99" s="17">
        <v>2683508</v>
      </c>
      <c r="O99" s="17"/>
      <c r="P99" s="17"/>
      <c r="Q99" s="17">
        <v>2096648</v>
      </c>
      <c r="R99" s="17">
        <v>398363.12</v>
      </c>
      <c r="S99" s="21">
        <f>SUM(O99:R99)</f>
        <v>2495011.12</v>
      </c>
      <c r="T99" s="17">
        <v>455000</v>
      </c>
      <c r="U99" s="17"/>
      <c r="V99" s="17">
        <v>13650</v>
      </c>
      <c r="W99" s="17">
        <v>2593.5</v>
      </c>
      <c r="X99" s="26">
        <f>SUM(T99:W99)</f>
        <v>471243.5</v>
      </c>
      <c r="Y99" s="17"/>
      <c r="Z99" s="17"/>
      <c r="AA99" s="26">
        <f>SUM(Y99:Z99)</f>
        <v>0</v>
      </c>
      <c r="AB99" s="26">
        <f>+S99+X99+AA99</f>
        <v>2966254.62</v>
      </c>
    </row>
    <row r="100" spans="1:28" x14ac:dyDescent="0.25">
      <c r="A100" s="7">
        <v>30</v>
      </c>
      <c r="B100" s="9"/>
      <c r="C100" s="2" t="s">
        <v>218</v>
      </c>
      <c r="D100" s="8"/>
      <c r="E100" s="11" t="s">
        <v>19</v>
      </c>
      <c r="F100" s="11" t="s">
        <v>128</v>
      </c>
      <c r="G100" s="11" t="s">
        <v>133</v>
      </c>
      <c r="H100" s="11" t="s">
        <v>271</v>
      </c>
      <c r="I100" s="11" t="s">
        <v>272</v>
      </c>
      <c r="J100" s="11" t="s">
        <v>273</v>
      </c>
      <c r="K100" s="11">
        <v>30</v>
      </c>
      <c r="L100" s="11">
        <v>0</v>
      </c>
      <c r="M100" s="2"/>
      <c r="N100" s="17">
        <v>23671180</v>
      </c>
      <c r="O100" s="17"/>
      <c r="P100" s="17"/>
      <c r="Q100" s="17">
        <v>15909960</v>
      </c>
      <c r="R100" s="17">
        <v>3022892.4</v>
      </c>
      <c r="S100" s="21">
        <f>SUM(O100:R100)</f>
        <v>18932852.399999999</v>
      </c>
      <c r="T100" s="17">
        <v>5319500</v>
      </c>
      <c r="U100" s="17"/>
      <c r="V100" s="17">
        <v>159585</v>
      </c>
      <c r="W100" s="17">
        <v>30321.15</v>
      </c>
      <c r="X100" s="26">
        <f>SUM(T100:W100)</f>
        <v>5509406.1500000004</v>
      </c>
      <c r="Y100" s="17"/>
      <c r="Z100" s="17"/>
      <c r="AA100" s="26">
        <f>SUM(Y100:Z100)</f>
        <v>0</v>
      </c>
      <c r="AB100" s="26">
        <f>+S100+X100+AA100</f>
        <v>24442258.549999997</v>
      </c>
    </row>
    <row r="101" spans="1:28" x14ac:dyDescent="0.25">
      <c r="A101" s="7">
        <v>37</v>
      </c>
      <c r="B101" s="9"/>
      <c r="C101" s="2" t="s">
        <v>218</v>
      </c>
      <c r="D101" s="8"/>
      <c r="E101" s="11" t="s">
        <v>19</v>
      </c>
      <c r="F101" s="11" t="s">
        <v>128</v>
      </c>
      <c r="G101" s="11" t="s">
        <v>141</v>
      </c>
      <c r="H101" s="11" t="s">
        <v>146</v>
      </c>
      <c r="I101" s="11" t="s">
        <v>68</v>
      </c>
      <c r="J101" s="11" t="s">
        <v>67</v>
      </c>
      <c r="K101" s="11">
        <v>7</v>
      </c>
      <c r="L101" s="11">
        <v>0</v>
      </c>
      <c r="M101" s="2"/>
      <c r="N101" s="17">
        <v>7677557</v>
      </c>
      <c r="O101" s="17"/>
      <c r="P101" s="17"/>
      <c r="Q101" s="17">
        <v>5303320</v>
      </c>
      <c r="R101" s="17">
        <v>1007630.8</v>
      </c>
      <c r="S101" s="21">
        <f>SUM(O101:R101)</f>
        <v>6310950.7999999998</v>
      </c>
      <c r="T101" s="17">
        <v>1319500</v>
      </c>
      <c r="U101" s="17"/>
      <c r="V101" s="17">
        <v>39585</v>
      </c>
      <c r="W101" s="17">
        <v>7521.15</v>
      </c>
      <c r="X101" s="26">
        <f>SUM(T101:W101)</f>
        <v>1366606.15</v>
      </c>
      <c r="Y101" s="17"/>
      <c r="Z101" s="17"/>
      <c r="AA101" s="26">
        <f>SUM(Y101:Z101)</f>
        <v>0</v>
      </c>
      <c r="AB101" s="26">
        <f>+S101+X101+AA101</f>
        <v>7677556.9499999993</v>
      </c>
    </row>
    <row r="102" spans="1:28" x14ac:dyDescent="0.25">
      <c r="A102" s="7">
        <v>53</v>
      </c>
      <c r="B102" s="9"/>
      <c r="C102" s="2" t="s">
        <v>218</v>
      </c>
      <c r="D102" s="8"/>
      <c r="E102" s="11" t="s">
        <v>19</v>
      </c>
      <c r="F102" s="11" t="s">
        <v>274</v>
      </c>
      <c r="G102" s="11" t="s">
        <v>54</v>
      </c>
      <c r="H102" s="11" t="s">
        <v>54</v>
      </c>
      <c r="I102" s="11" t="s">
        <v>81</v>
      </c>
      <c r="J102" s="11" t="s">
        <v>82</v>
      </c>
      <c r="K102" s="11">
        <v>30</v>
      </c>
      <c r="L102" s="11">
        <v>0</v>
      </c>
      <c r="M102" s="2"/>
      <c r="N102" s="17">
        <v>7583308</v>
      </c>
      <c r="O102" s="17"/>
      <c r="P102" s="17"/>
      <c r="Q102" s="17">
        <v>5303320</v>
      </c>
      <c r="R102" s="17">
        <v>1007630.8</v>
      </c>
      <c r="S102" s="21">
        <f>SUM(O102:R102)</f>
        <v>6310950.7999999998</v>
      </c>
      <c r="T102" s="17">
        <v>1228500</v>
      </c>
      <c r="U102" s="17"/>
      <c r="V102" s="17">
        <v>36855</v>
      </c>
      <c r="W102" s="17">
        <v>7002.45</v>
      </c>
      <c r="X102" s="26">
        <f>SUM(T102:W102)</f>
        <v>1272357.45</v>
      </c>
      <c r="Y102" s="17"/>
      <c r="Z102" s="17"/>
      <c r="AA102" s="26">
        <f>SUM(Y102:Z102)</f>
        <v>0</v>
      </c>
      <c r="AB102" s="26">
        <f>+S102+X102+AA102</f>
        <v>7583308.25</v>
      </c>
    </row>
    <row r="103" spans="1:28" x14ac:dyDescent="0.25">
      <c r="A103" s="7">
        <v>129</v>
      </c>
      <c r="B103" s="9"/>
      <c r="C103" s="2" t="s">
        <v>218</v>
      </c>
      <c r="D103" s="8"/>
      <c r="E103" s="11" t="s">
        <v>114</v>
      </c>
      <c r="F103" s="11" t="s">
        <v>275</v>
      </c>
      <c r="G103" s="11" t="s">
        <v>256</v>
      </c>
      <c r="H103" s="11" t="s">
        <v>252</v>
      </c>
      <c r="I103" s="11" t="s">
        <v>1</v>
      </c>
      <c r="J103" s="11" t="s">
        <v>276</v>
      </c>
      <c r="K103" s="11">
        <v>90</v>
      </c>
      <c r="L103" s="11">
        <v>0</v>
      </c>
      <c r="M103" s="2"/>
      <c r="N103" s="17">
        <v>3313700</v>
      </c>
      <c r="O103" s="17">
        <v>5621181</v>
      </c>
      <c r="P103" s="17"/>
      <c r="Q103" s="17">
        <v>1620588</v>
      </c>
      <c r="R103" s="17">
        <v>307911.72000000003</v>
      </c>
      <c r="S103" s="21">
        <f>SUM(O103:R103)</f>
        <v>7549680.7199999997</v>
      </c>
      <c r="T103" s="17">
        <v>1398500</v>
      </c>
      <c r="U103" s="17"/>
      <c r="V103" s="17">
        <v>41955</v>
      </c>
      <c r="W103" s="17">
        <v>7971.45</v>
      </c>
      <c r="X103" s="26">
        <f>SUM(T103:W103)</f>
        <v>1448426.45</v>
      </c>
      <c r="Y103" s="17">
        <v>888933</v>
      </c>
      <c r="Z103" s="17">
        <v>47311</v>
      </c>
      <c r="AA103" s="26">
        <f>SUM(Y103:Z103)</f>
        <v>936244</v>
      </c>
      <c r="AB103" s="26">
        <f>+S103+X103+AA103</f>
        <v>9934351.1699999999</v>
      </c>
    </row>
    <row r="104" spans="1:28" x14ac:dyDescent="0.25">
      <c r="A104" s="7">
        <v>130</v>
      </c>
      <c r="B104" s="9"/>
      <c r="C104" s="2" t="s">
        <v>218</v>
      </c>
      <c r="D104" s="8"/>
      <c r="E104" s="11" t="s">
        <v>114</v>
      </c>
      <c r="F104" s="11" t="s">
        <v>261</v>
      </c>
      <c r="G104" s="11" t="s">
        <v>277</v>
      </c>
      <c r="H104" s="11" t="s">
        <v>277</v>
      </c>
      <c r="I104" s="11" t="s">
        <v>112</v>
      </c>
      <c r="J104" s="11" t="s">
        <v>69</v>
      </c>
      <c r="K104" s="11">
        <v>0</v>
      </c>
      <c r="L104" s="11">
        <v>15</v>
      </c>
      <c r="M104" s="2"/>
      <c r="N104" s="17">
        <v>2992565</v>
      </c>
      <c r="O104" s="17">
        <v>842790</v>
      </c>
      <c r="P104" s="17"/>
      <c r="Q104" s="17">
        <v>1806534</v>
      </c>
      <c r="R104" s="17">
        <v>343241.46</v>
      </c>
      <c r="S104" s="21">
        <f>SUM(O104:R104)</f>
        <v>2992565.46</v>
      </c>
      <c r="T104" s="17"/>
      <c r="U104" s="17"/>
      <c r="V104" s="17">
        <v>0</v>
      </c>
      <c r="W104" s="17">
        <v>0</v>
      </c>
      <c r="X104" s="26">
        <f>SUM(T104:W104)</f>
        <v>0</v>
      </c>
      <c r="Y104" s="17"/>
      <c r="Z104" s="23"/>
      <c r="AA104" s="26">
        <f>SUM(Y104:Z104)</f>
        <v>0</v>
      </c>
      <c r="AB104" s="26">
        <f>+S104+X104+AA104</f>
        <v>2992565.46</v>
      </c>
    </row>
    <row r="105" spans="1:28" x14ac:dyDescent="0.25">
      <c r="A105" s="7">
        <v>131</v>
      </c>
      <c r="B105" s="9"/>
      <c r="C105" s="2" t="s">
        <v>218</v>
      </c>
      <c r="D105" s="8"/>
      <c r="E105" s="11" t="s">
        <v>19</v>
      </c>
      <c r="F105" s="11" t="s">
        <v>278</v>
      </c>
      <c r="G105" s="11" t="s">
        <v>266</v>
      </c>
      <c r="H105" s="11" t="s">
        <v>279</v>
      </c>
      <c r="I105" s="11" t="s">
        <v>15</v>
      </c>
      <c r="J105" s="11" t="s">
        <v>14</v>
      </c>
      <c r="K105" s="11">
        <v>27</v>
      </c>
      <c r="L105" s="11">
        <v>12</v>
      </c>
      <c r="M105" s="2"/>
      <c r="N105" s="17">
        <v>69103673</v>
      </c>
      <c r="O105" s="17">
        <v>36234578</v>
      </c>
      <c r="P105" s="17"/>
      <c r="Q105" s="17">
        <v>8274027</v>
      </c>
      <c r="R105" s="17">
        <v>1572065.1300000001</v>
      </c>
      <c r="S105" s="21">
        <f>SUM(O105:R105)</f>
        <v>46080670.130000003</v>
      </c>
      <c r="T105" s="17">
        <v>27569200</v>
      </c>
      <c r="U105" s="17"/>
      <c r="V105" s="17">
        <v>827076</v>
      </c>
      <c r="W105" s="17">
        <v>157144.44</v>
      </c>
      <c r="X105" s="26">
        <f>SUM(T105:W105)</f>
        <v>28553420.440000001</v>
      </c>
      <c r="Y105" s="17">
        <v>22706028</v>
      </c>
      <c r="Z105" s="17">
        <v>1231921</v>
      </c>
      <c r="AA105" s="26">
        <f>SUM(Y105:Z105)</f>
        <v>23937949</v>
      </c>
      <c r="AB105" s="26">
        <f>+S105+X105+AA105</f>
        <v>98572039.570000008</v>
      </c>
    </row>
    <row r="106" spans="1:28" x14ac:dyDescent="0.25">
      <c r="A106" s="7">
        <v>138</v>
      </c>
      <c r="B106" s="9"/>
      <c r="C106" s="2" t="s">
        <v>218</v>
      </c>
      <c r="D106" s="8"/>
      <c r="E106" s="11" t="s">
        <v>19</v>
      </c>
      <c r="F106" s="11" t="s">
        <v>149</v>
      </c>
      <c r="G106" s="11" t="s">
        <v>280</v>
      </c>
      <c r="H106" s="11" t="s">
        <v>268</v>
      </c>
      <c r="I106" s="11" t="s">
        <v>281</v>
      </c>
      <c r="J106" s="11" t="s">
        <v>282</v>
      </c>
      <c r="K106" s="11">
        <v>19</v>
      </c>
      <c r="L106" s="11">
        <v>6</v>
      </c>
      <c r="M106" s="2"/>
      <c r="N106" s="17">
        <v>32445736</v>
      </c>
      <c r="O106" s="17">
        <v>12901945</v>
      </c>
      <c r="P106" s="17"/>
      <c r="Q106" s="17">
        <v>4368168</v>
      </c>
      <c r="R106" s="17">
        <v>829951.92</v>
      </c>
      <c r="S106" s="21">
        <f>SUM(O106:R106)</f>
        <v>18100064.920000002</v>
      </c>
      <c r="T106" s="17">
        <v>3311500</v>
      </c>
      <c r="U106" s="17"/>
      <c r="V106" s="17">
        <v>99345</v>
      </c>
      <c r="W106" s="17">
        <v>18875.55</v>
      </c>
      <c r="X106" s="26">
        <f>SUM(T106:W106)</f>
        <v>3429720.55</v>
      </c>
      <c r="Y106" s="17"/>
      <c r="Z106" s="17"/>
      <c r="AA106" s="26">
        <f>SUM(Y106:Z106)</f>
        <v>0</v>
      </c>
      <c r="AB106" s="26">
        <f>+S106+X106+AA106</f>
        <v>21529785.470000003</v>
      </c>
    </row>
    <row r="107" spans="1:28" x14ac:dyDescent="0.25">
      <c r="A107" s="7">
        <v>147</v>
      </c>
      <c r="B107" s="9"/>
      <c r="C107" s="2" t="s">
        <v>218</v>
      </c>
      <c r="D107" s="8"/>
      <c r="E107" s="11" t="s">
        <v>19</v>
      </c>
      <c r="F107" s="11" t="s">
        <v>283</v>
      </c>
      <c r="G107" s="11" t="s">
        <v>284</v>
      </c>
      <c r="H107" s="11" t="s">
        <v>268</v>
      </c>
      <c r="I107" s="11" t="s">
        <v>86</v>
      </c>
      <c r="J107" s="11" t="s">
        <v>285</v>
      </c>
      <c r="K107" s="11">
        <v>23</v>
      </c>
      <c r="L107" s="11">
        <v>5</v>
      </c>
      <c r="M107" s="2"/>
      <c r="N107" s="17">
        <v>32650682</v>
      </c>
      <c r="O107" s="17">
        <v>22152138</v>
      </c>
      <c r="P107" s="17"/>
      <c r="Q107" s="17">
        <v>5249940</v>
      </c>
      <c r="R107" s="17">
        <v>997488.6</v>
      </c>
      <c r="S107" s="21">
        <f>SUM(O107:R107)</f>
        <v>28399566.600000001</v>
      </c>
      <c r="T107" s="17">
        <v>4863000</v>
      </c>
      <c r="U107" s="17"/>
      <c r="V107" s="17">
        <v>145890</v>
      </c>
      <c r="W107" s="17">
        <v>27719.1</v>
      </c>
      <c r="X107" s="26">
        <f>SUM(T107:W107)</f>
        <v>5036609.0999999996</v>
      </c>
      <c r="Y107" s="17"/>
      <c r="Z107" s="17"/>
      <c r="AA107" s="26">
        <f>SUM(Y107:Z107)</f>
        <v>0</v>
      </c>
      <c r="AB107" s="26">
        <f>+S107+X107+AA107</f>
        <v>33436175.700000003</v>
      </c>
    </row>
    <row r="108" spans="1:28" x14ac:dyDescent="0.25">
      <c r="A108" s="7">
        <v>148</v>
      </c>
      <c r="B108" s="9"/>
      <c r="C108" s="2" t="s">
        <v>218</v>
      </c>
      <c r="D108" s="8"/>
      <c r="E108" s="11" t="s">
        <v>4</v>
      </c>
      <c r="F108" s="11" t="s">
        <v>25</v>
      </c>
      <c r="G108" s="11" t="s">
        <v>266</v>
      </c>
      <c r="H108" s="11" t="s">
        <v>266</v>
      </c>
      <c r="I108" s="11" t="s">
        <v>23</v>
      </c>
      <c r="J108" s="11" t="s">
        <v>44</v>
      </c>
      <c r="K108" s="11">
        <v>0</v>
      </c>
      <c r="L108" s="11">
        <v>20</v>
      </c>
      <c r="M108" s="2"/>
      <c r="N108" s="17">
        <v>532600</v>
      </c>
      <c r="O108" s="17">
        <v>532600</v>
      </c>
      <c r="P108" s="17"/>
      <c r="Q108" s="17"/>
      <c r="R108" s="17">
        <v>0</v>
      </c>
      <c r="S108" s="21">
        <f>SUM(O108:R108)</f>
        <v>532600</v>
      </c>
      <c r="T108" s="17"/>
      <c r="U108" s="17"/>
      <c r="V108" s="17">
        <v>0</v>
      </c>
      <c r="W108" s="17">
        <v>0</v>
      </c>
      <c r="X108" s="26">
        <f>SUM(T108:W108)</f>
        <v>0</v>
      </c>
      <c r="Y108" s="17"/>
      <c r="Z108" s="17"/>
      <c r="AA108" s="26">
        <f>SUM(Y108:Z108)</f>
        <v>0</v>
      </c>
      <c r="AB108" s="26">
        <f>+S108+X108+AA108</f>
        <v>532600</v>
      </c>
    </row>
    <row r="109" spans="1:28" x14ac:dyDescent="0.25">
      <c r="A109" s="7">
        <v>156</v>
      </c>
      <c r="B109" s="9"/>
      <c r="C109" s="2" t="s">
        <v>218</v>
      </c>
      <c r="D109" s="8"/>
      <c r="E109" s="11" t="s">
        <v>19</v>
      </c>
      <c r="F109" s="11" t="s">
        <v>286</v>
      </c>
      <c r="G109" s="11" t="s">
        <v>268</v>
      </c>
      <c r="H109" s="11" t="s">
        <v>287</v>
      </c>
      <c r="I109" s="11" t="s">
        <v>288</v>
      </c>
      <c r="J109" s="11" t="s">
        <v>289</v>
      </c>
      <c r="K109" s="11">
        <v>21</v>
      </c>
      <c r="L109" s="11">
        <v>8</v>
      </c>
      <c r="M109" s="2"/>
      <c r="N109" s="17">
        <v>25363095</v>
      </c>
      <c r="O109" s="17">
        <v>13129602</v>
      </c>
      <c r="P109" s="17"/>
      <c r="Q109" s="17">
        <v>6552252</v>
      </c>
      <c r="R109" s="17">
        <v>1244927.8800000001</v>
      </c>
      <c r="S109" s="21">
        <f>SUM(O109:R109)</f>
        <v>20926781.879999999</v>
      </c>
      <c r="T109" s="17">
        <v>3075500</v>
      </c>
      <c r="U109" s="17"/>
      <c r="V109" s="17">
        <v>92265</v>
      </c>
      <c r="W109" s="17">
        <v>17530.349999999999</v>
      </c>
      <c r="X109" s="26">
        <f>SUM(T109:W109)</f>
        <v>3185295.35</v>
      </c>
      <c r="Y109" s="17"/>
      <c r="Z109" s="17"/>
      <c r="AA109" s="26">
        <f>SUM(Y109:Z109)</f>
        <v>0</v>
      </c>
      <c r="AB109" s="26">
        <f>+S109+X109+AA109</f>
        <v>24112077.23</v>
      </c>
    </row>
    <row r="110" spans="1:28" x14ac:dyDescent="0.25">
      <c r="A110" s="7">
        <v>157</v>
      </c>
      <c r="B110" s="9"/>
      <c r="C110" s="2" t="s">
        <v>218</v>
      </c>
      <c r="D110" s="8"/>
      <c r="E110" s="11" t="s">
        <v>19</v>
      </c>
      <c r="F110" s="11" t="s">
        <v>128</v>
      </c>
      <c r="G110" s="11" t="s">
        <v>254</v>
      </c>
      <c r="H110" s="11" t="s">
        <v>246</v>
      </c>
      <c r="I110" s="11" t="s">
        <v>290</v>
      </c>
      <c r="J110" s="11" t="s">
        <v>229</v>
      </c>
      <c r="K110" s="11">
        <v>40</v>
      </c>
      <c r="L110" s="11">
        <v>20</v>
      </c>
      <c r="M110" s="2"/>
      <c r="N110" s="17">
        <v>147107413</v>
      </c>
      <c r="O110" s="17">
        <v>55792302</v>
      </c>
      <c r="P110" s="17"/>
      <c r="Q110" s="17">
        <v>12215049</v>
      </c>
      <c r="R110" s="17">
        <v>2320859.31</v>
      </c>
      <c r="S110" s="21">
        <f>SUM(O110:R110)</f>
        <v>70328210.310000002</v>
      </c>
      <c r="T110" s="17">
        <v>49807586</v>
      </c>
      <c r="U110" s="17"/>
      <c r="V110" s="17">
        <v>1494227.5799999998</v>
      </c>
      <c r="W110" s="17">
        <v>283903.2402</v>
      </c>
      <c r="X110" s="26">
        <f>SUM(T110:W110)</f>
        <v>51585716.820199996</v>
      </c>
      <c r="Y110" s="17">
        <v>47113612</v>
      </c>
      <c r="Z110" s="17">
        <v>2619478</v>
      </c>
      <c r="AA110" s="26">
        <f>SUM(Y110:Z110)</f>
        <v>49733090</v>
      </c>
      <c r="AB110" s="26">
        <f>+S110+X110+AA110</f>
        <v>171647017.1302</v>
      </c>
    </row>
    <row r="111" spans="1:28" x14ac:dyDescent="0.25">
      <c r="A111" s="7">
        <v>158</v>
      </c>
      <c r="B111" s="9"/>
      <c r="C111" s="2" t="s">
        <v>218</v>
      </c>
      <c r="D111" s="8"/>
      <c r="E111" s="11" t="s">
        <v>19</v>
      </c>
      <c r="F111" s="11" t="s">
        <v>291</v>
      </c>
      <c r="G111" s="11" t="s">
        <v>292</v>
      </c>
      <c r="H111" s="11" t="s">
        <v>293</v>
      </c>
      <c r="I111" s="11" t="s">
        <v>294</v>
      </c>
      <c r="J111" s="11" t="s">
        <v>295</v>
      </c>
      <c r="K111" s="11">
        <v>20</v>
      </c>
      <c r="L111" s="11">
        <v>10</v>
      </c>
      <c r="M111" s="2"/>
      <c r="N111" s="17">
        <v>31354178</v>
      </c>
      <c r="O111" s="17">
        <v>9774380</v>
      </c>
      <c r="P111" s="17"/>
      <c r="Q111" s="17">
        <v>4368168</v>
      </c>
      <c r="R111" s="17">
        <v>829951.92</v>
      </c>
      <c r="S111" s="21">
        <f>SUM(O111:R111)</f>
        <v>14972499.92</v>
      </c>
      <c r="T111" s="17">
        <v>2510000</v>
      </c>
      <c r="U111" s="17"/>
      <c r="V111" s="17">
        <v>75300</v>
      </c>
      <c r="W111" s="17">
        <v>14307</v>
      </c>
      <c r="X111" s="26">
        <f>SUM(T111:W111)</f>
        <v>2599607</v>
      </c>
      <c r="Y111" s="17">
        <v>12326183</v>
      </c>
      <c r="Z111" s="17">
        <v>678077</v>
      </c>
      <c r="AA111" s="26">
        <f>SUM(Y111:Z111)</f>
        <v>13004260</v>
      </c>
      <c r="AB111" s="26">
        <f>+S111+X111+AA111</f>
        <v>30576366.920000002</v>
      </c>
    </row>
    <row r="112" spans="1:28" x14ac:dyDescent="0.25">
      <c r="A112" s="7">
        <v>167</v>
      </c>
      <c r="B112" s="9"/>
      <c r="C112" s="2" t="s">
        <v>218</v>
      </c>
      <c r="D112" s="8"/>
      <c r="E112" s="11" t="s">
        <v>19</v>
      </c>
      <c r="F112" s="11" t="s">
        <v>296</v>
      </c>
      <c r="G112" s="11" t="s">
        <v>297</v>
      </c>
      <c r="H112" s="11" t="s">
        <v>298</v>
      </c>
      <c r="I112" s="11" t="s">
        <v>107</v>
      </c>
      <c r="J112" s="11" t="s">
        <v>106</v>
      </c>
      <c r="K112" s="11">
        <v>26</v>
      </c>
      <c r="L112" s="11">
        <v>4</v>
      </c>
      <c r="M112" s="2"/>
      <c r="N112" s="17">
        <v>19095220</v>
      </c>
      <c r="O112" s="17">
        <v>5725282</v>
      </c>
      <c r="P112" s="17"/>
      <c r="Q112" s="17">
        <v>5249940</v>
      </c>
      <c r="R112" s="17">
        <v>997488.6</v>
      </c>
      <c r="S112" s="21">
        <f>SUM(O112:R112)</f>
        <v>11972710.6</v>
      </c>
      <c r="T112" s="17">
        <v>5872000</v>
      </c>
      <c r="U112" s="17"/>
      <c r="V112" s="17">
        <v>176160</v>
      </c>
      <c r="W112" s="17">
        <v>33470.400000000001</v>
      </c>
      <c r="X112" s="26">
        <f>SUM(T112:W112)</f>
        <v>6081630.4000000004</v>
      </c>
      <c r="Y112" s="17"/>
      <c r="Z112" s="17"/>
      <c r="AA112" s="26">
        <f>SUM(Y112:Z112)</f>
        <v>0</v>
      </c>
      <c r="AB112" s="26">
        <f>+S112+X112+AA112</f>
        <v>18054341</v>
      </c>
    </row>
    <row r="113" spans="1:28" x14ac:dyDescent="0.25">
      <c r="A113" s="7">
        <v>168</v>
      </c>
      <c r="B113" s="9"/>
      <c r="C113" s="2" t="s">
        <v>218</v>
      </c>
      <c r="D113" s="8"/>
      <c r="E113" s="11" t="s">
        <v>118</v>
      </c>
      <c r="F113" s="11" t="s">
        <v>299</v>
      </c>
      <c r="G113" s="11" t="s">
        <v>300</v>
      </c>
      <c r="H113" s="11" t="s">
        <v>301</v>
      </c>
      <c r="I113" s="11" t="s">
        <v>112</v>
      </c>
      <c r="J113" s="11" t="s">
        <v>69</v>
      </c>
      <c r="K113" s="11">
        <v>26</v>
      </c>
      <c r="L113" s="11">
        <v>14</v>
      </c>
      <c r="M113" s="2"/>
      <c r="N113" s="17">
        <v>30220355</v>
      </c>
      <c r="O113" s="17">
        <v>24587564</v>
      </c>
      <c r="P113" s="17"/>
      <c r="Q113" s="17">
        <v>4991689</v>
      </c>
      <c r="R113" s="17">
        <v>948420.91</v>
      </c>
      <c r="S113" s="21">
        <f>SUM(O113:R113)</f>
        <v>30527673.91</v>
      </c>
      <c r="T113" s="17"/>
      <c r="U113" s="17"/>
      <c r="V113" s="17">
        <v>0</v>
      </c>
      <c r="W113" s="17">
        <v>0</v>
      </c>
      <c r="X113" s="26">
        <f>SUM(T113:W113)</f>
        <v>0</v>
      </c>
      <c r="Y113" s="17"/>
      <c r="Z113" s="17"/>
      <c r="AA113" s="26">
        <f>SUM(Y113:Z113)</f>
        <v>0</v>
      </c>
      <c r="AB113" s="26">
        <f>+S113+X113+AA113</f>
        <v>30527673.91</v>
      </c>
    </row>
    <row r="114" spans="1:28" x14ac:dyDescent="0.25">
      <c r="A114" s="7">
        <v>169</v>
      </c>
      <c r="B114" s="9"/>
      <c r="C114" s="2" t="s">
        <v>218</v>
      </c>
      <c r="D114" s="8"/>
      <c r="E114" s="11" t="s">
        <v>19</v>
      </c>
      <c r="F114" s="11" t="s">
        <v>46</v>
      </c>
      <c r="G114" s="11" t="s">
        <v>302</v>
      </c>
      <c r="H114" s="11" t="s">
        <v>303</v>
      </c>
      <c r="I114" s="11" t="s">
        <v>23</v>
      </c>
      <c r="J114" s="11" t="s">
        <v>44</v>
      </c>
      <c r="K114" s="11">
        <v>43</v>
      </c>
      <c r="L114" s="11">
        <v>5</v>
      </c>
      <c r="M114" s="2"/>
      <c r="N114" s="17">
        <v>53851799</v>
      </c>
      <c r="O114" s="17">
        <v>17619670</v>
      </c>
      <c r="P114" s="17"/>
      <c r="Q114" s="17">
        <v>2774970</v>
      </c>
      <c r="R114" s="17">
        <v>527244.30000000005</v>
      </c>
      <c r="S114" s="21">
        <f>SUM(O114:R114)</f>
        <v>20921884.300000001</v>
      </c>
      <c r="T114" s="17">
        <v>29158000</v>
      </c>
      <c r="U114" s="17"/>
      <c r="V114" s="17">
        <v>874740</v>
      </c>
      <c r="W114" s="17">
        <v>166200.6</v>
      </c>
      <c r="X114" s="26">
        <f>SUM(T114:W114)</f>
        <v>30198940.600000001</v>
      </c>
      <c r="Y114" s="17">
        <v>3564375</v>
      </c>
      <c r="Z114" s="17">
        <v>193222</v>
      </c>
      <c r="AA114" s="26">
        <f>SUM(Y114:Z114)</f>
        <v>3757597</v>
      </c>
      <c r="AB114" s="26">
        <f>+S114+X114+AA114</f>
        <v>54878421.900000006</v>
      </c>
    </row>
    <row r="115" spans="1:28" x14ac:dyDescent="0.25">
      <c r="A115" s="7">
        <v>170</v>
      </c>
      <c r="B115" s="9"/>
      <c r="C115" s="2" t="s">
        <v>218</v>
      </c>
      <c r="D115" s="8"/>
      <c r="E115" s="11" t="s">
        <v>19</v>
      </c>
      <c r="F115" s="11" t="s">
        <v>304</v>
      </c>
      <c r="G115" s="11" t="s">
        <v>305</v>
      </c>
      <c r="H115" s="11" t="s">
        <v>305</v>
      </c>
      <c r="I115" s="11" t="s">
        <v>36</v>
      </c>
      <c r="J115" s="11" t="s">
        <v>66</v>
      </c>
      <c r="K115" s="11">
        <v>60</v>
      </c>
      <c r="L115" s="11">
        <v>5</v>
      </c>
      <c r="M115" s="2"/>
      <c r="N115" s="17">
        <v>9154942</v>
      </c>
      <c r="O115" s="17">
        <v>4218800</v>
      </c>
      <c r="P115" s="17"/>
      <c r="Q115" s="17">
        <v>135049</v>
      </c>
      <c r="R115" s="17">
        <v>25659.31</v>
      </c>
      <c r="S115" s="21">
        <f>SUM(O115:R115)</f>
        <v>4379508.3099999996</v>
      </c>
      <c r="T115" s="17">
        <v>5760000</v>
      </c>
      <c r="U115" s="17"/>
      <c r="V115" s="17">
        <v>172800</v>
      </c>
      <c r="W115" s="17">
        <v>32832</v>
      </c>
      <c r="X115" s="26">
        <f>SUM(T115:W115)</f>
        <v>5965632</v>
      </c>
      <c r="Y115" s="17"/>
      <c r="Z115" s="17"/>
      <c r="AA115" s="26">
        <f>SUM(Y115:Z115)</f>
        <v>0</v>
      </c>
      <c r="AB115" s="26">
        <f>+S115+X115+AA115</f>
        <v>10345140.309999999</v>
      </c>
    </row>
    <row r="116" spans="1:28" x14ac:dyDescent="0.25">
      <c r="A116" s="7">
        <v>171</v>
      </c>
      <c r="B116" s="9"/>
      <c r="C116" s="2" t="s">
        <v>218</v>
      </c>
      <c r="D116" s="8"/>
      <c r="E116" s="11" t="s">
        <v>74</v>
      </c>
      <c r="F116" s="11" t="s">
        <v>245</v>
      </c>
      <c r="G116" s="11" t="s">
        <v>302</v>
      </c>
      <c r="H116" s="11" t="s">
        <v>302</v>
      </c>
      <c r="I116" s="11" t="s">
        <v>112</v>
      </c>
      <c r="J116" s="11" t="s">
        <v>69</v>
      </c>
      <c r="K116" s="11">
        <v>2</v>
      </c>
      <c r="L116" s="11">
        <v>13</v>
      </c>
      <c r="M116" s="2"/>
      <c r="N116" s="17">
        <v>1250767</v>
      </c>
      <c r="O116" s="17">
        <v>826421</v>
      </c>
      <c r="P116" s="17"/>
      <c r="Q116" s="17">
        <v>85049</v>
      </c>
      <c r="R116" s="17">
        <v>16159.31</v>
      </c>
      <c r="S116" s="21">
        <f>SUM(O116:R116)</f>
        <v>927629.31</v>
      </c>
      <c r="T116" s="17">
        <v>312000</v>
      </c>
      <c r="U116" s="17"/>
      <c r="V116" s="17">
        <v>9360</v>
      </c>
      <c r="W116" s="17">
        <v>1778.4</v>
      </c>
      <c r="X116" s="26">
        <f>SUM(T116:W116)</f>
        <v>323138.40000000002</v>
      </c>
      <c r="Y116" s="17"/>
      <c r="Z116" s="17"/>
      <c r="AA116" s="26">
        <f>SUM(Y116:Z116)</f>
        <v>0</v>
      </c>
      <c r="AB116" s="26">
        <f>+S116+X116+AA116</f>
        <v>1250767.71</v>
      </c>
    </row>
    <row r="117" spans="1:28" x14ac:dyDescent="0.25">
      <c r="A117" s="7">
        <v>172</v>
      </c>
      <c r="B117" s="9"/>
      <c r="C117" s="2" t="s">
        <v>218</v>
      </c>
      <c r="D117" s="8"/>
      <c r="E117" s="11" t="s">
        <v>19</v>
      </c>
      <c r="F117" s="11" t="s">
        <v>306</v>
      </c>
      <c r="G117" s="11" t="s">
        <v>305</v>
      </c>
      <c r="H117" s="11" t="s">
        <v>302</v>
      </c>
      <c r="I117" s="11" t="s">
        <v>23</v>
      </c>
      <c r="J117" s="11" t="s">
        <v>44</v>
      </c>
      <c r="K117" s="11">
        <v>19</v>
      </c>
      <c r="L117" s="11">
        <v>6</v>
      </c>
      <c r="M117" s="2"/>
      <c r="N117" s="17">
        <v>9681370</v>
      </c>
      <c r="O117" s="17">
        <v>2303875</v>
      </c>
      <c r="P117" s="17"/>
      <c r="Q117" s="17">
        <v>3990662</v>
      </c>
      <c r="R117" s="17">
        <v>758225.78</v>
      </c>
      <c r="S117" s="21">
        <f>SUM(O117:R117)</f>
        <v>7052762.7800000003</v>
      </c>
      <c r="T117" s="17">
        <v>1621000</v>
      </c>
      <c r="U117" s="17"/>
      <c r="V117" s="17">
        <v>48630</v>
      </c>
      <c r="W117" s="17">
        <v>9239.7000000000007</v>
      </c>
      <c r="X117" s="26">
        <f>SUM(T117:W117)</f>
        <v>1678869.7</v>
      </c>
      <c r="Y117" s="17"/>
      <c r="Z117" s="17"/>
      <c r="AA117" s="26">
        <f>SUM(Y117:Z117)</f>
        <v>0</v>
      </c>
      <c r="AB117" s="26">
        <f>+S117+X117+AA117</f>
        <v>8731632.4800000004</v>
      </c>
    </row>
    <row r="118" spans="1:28" x14ac:dyDescent="0.25">
      <c r="A118" s="7">
        <v>173</v>
      </c>
      <c r="B118" s="9"/>
      <c r="C118" s="2" t="s">
        <v>218</v>
      </c>
      <c r="D118" s="8"/>
      <c r="E118" s="11" t="s">
        <v>19</v>
      </c>
      <c r="F118" s="11" t="s">
        <v>306</v>
      </c>
      <c r="G118" s="11" t="s">
        <v>300</v>
      </c>
      <c r="H118" s="11" t="s">
        <v>301</v>
      </c>
      <c r="I118" s="11" t="s">
        <v>23</v>
      </c>
      <c r="J118" s="11" t="s">
        <v>44</v>
      </c>
      <c r="K118" s="11">
        <v>30</v>
      </c>
      <c r="L118" s="11">
        <v>10</v>
      </c>
      <c r="M118" s="2"/>
      <c r="N118" s="17">
        <v>56684766</v>
      </c>
      <c r="O118" s="18">
        <v>28464441</v>
      </c>
      <c r="P118" s="17"/>
      <c r="Q118" s="18">
        <v>4883438</v>
      </c>
      <c r="R118" s="17">
        <v>927853.22</v>
      </c>
      <c r="S118" s="21">
        <f>SUM(O118:R118)</f>
        <v>34275732.219999999</v>
      </c>
      <c r="T118" s="18">
        <v>19592000</v>
      </c>
      <c r="U118" s="17"/>
      <c r="V118" s="17">
        <v>587760</v>
      </c>
      <c r="W118" s="17">
        <v>111674.4</v>
      </c>
      <c r="X118" s="26">
        <f>SUM(T118:W118)</f>
        <v>20291434.399999999</v>
      </c>
      <c r="Y118" s="17">
        <v>2581445</v>
      </c>
      <c r="Z118" s="17">
        <v>137053</v>
      </c>
      <c r="AA118" s="26">
        <f>SUM(Y118:Z118)</f>
        <v>2718498</v>
      </c>
      <c r="AB118" s="26">
        <f>+S118+X118+AA118</f>
        <v>57285664.619999997</v>
      </c>
    </row>
    <row r="119" spans="1:28" x14ac:dyDescent="0.25">
      <c r="A119" s="7">
        <v>176</v>
      </c>
      <c r="B119" s="9"/>
      <c r="C119" s="2" t="s">
        <v>218</v>
      </c>
      <c r="D119" s="8"/>
      <c r="E119" s="11" t="s">
        <v>19</v>
      </c>
      <c r="F119" s="11" t="s">
        <v>46</v>
      </c>
      <c r="G119" s="11" t="s">
        <v>297</v>
      </c>
      <c r="H119" s="11" t="s">
        <v>300</v>
      </c>
      <c r="I119" s="11" t="s">
        <v>82</v>
      </c>
      <c r="J119" s="11" t="s">
        <v>81</v>
      </c>
      <c r="K119" s="11">
        <v>55</v>
      </c>
      <c r="L119" s="11">
        <v>9</v>
      </c>
      <c r="M119" s="2"/>
      <c r="N119" s="17">
        <v>40269742</v>
      </c>
      <c r="O119" s="18">
        <v>19301921</v>
      </c>
      <c r="P119" s="17"/>
      <c r="Q119" s="18">
        <v>3996683</v>
      </c>
      <c r="R119" s="17">
        <v>759369.77</v>
      </c>
      <c r="S119" s="21">
        <f>SUM(O119:R119)</f>
        <v>24057973.77</v>
      </c>
      <c r="T119" s="18">
        <v>13898000</v>
      </c>
      <c r="U119" s="17"/>
      <c r="V119" s="17">
        <v>416940</v>
      </c>
      <c r="W119" s="17">
        <v>79218.600000000006</v>
      </c>
      <c r="X119" s="26">
        <f>SUM(T119:W119)</f>
        <v>14394158.6</v>
      </c>
      <c r="Y119" s="17"/>
      <c r="Z119" s="17"/>
      <c r="AA119" s="26">
        <f>SUM(Y119:Z119)</f>
        <v>0</v>
      </c>
      <c r="AB119" s="26">
        <f>+S119+X119+AA119</f>
        <v>38452132.369999997</v>
      </c>
    </row>
    <row r="120" spans="1:28" x14ac:dyDescent="0.25">
      <c r="A120" s="7">
        <v>177</v>
      </c>
      <c r="B120" s="9"/>
      <c r="C120" s="2" t="s">
        <v>218</v>
      </c>
      <c r="D120" s="8"/>
      <c r="E120" s="11" t="s">
        <v>19</v>
      </c>
      <c r="F120" s="11" t="s">
        <v>307</v>
      </c>
      <c r="G120" s="11" t="s">
        <v>300</v>
      </c>
      <c r="H120" s="11" t="s">
        <v>300</v>
      </c>
      <c r="I120" s="11" t="s">
        <v>28</v>
      </c>
      <c r="J120" s="11" t="s">
        <v>308</v>
      </c>
      <c r="K120" s="11">
        <v>54</v>
      </c>
      <c r="L120" s="11">
        <v>6</v>
      </c>
      <c r="M120" s="2"/>
      <c r="N120" s="17">
        <v>11178294</v>
      </c>
      <c r="O120" s="18">
        <v>3186240</v>
      </c>
      <c r="P120" s="17"/>
      <c r="Q120" s="18">
        <v>631204</v>
      </c>
      <c r="R120" s="17">
        <v>119928.76</v>
      </c>
      <c r="S120" s="21">
        <f>SUM(O120:R120)</f>
        <v>3937372.76</v>
      </c>
      <c r="T120" s="18">
        <v>6814000</v>
      </c>
      <c r="U120" s="17"/>
      <c r="V120" s="17">
        <v>204420</v>
      </c>
      <c r="W120" s="17">
        <v>38839.800000000003</v>
      </c>
      <c r="X120" s="26">
        <f>SUM(T120:W120)</f>
        <v>7057259.7999999998</v>
      </c>
      <c r="Y120" s="17"/>
      <c r="Z120" s="17"/>
      <c r="AA120" s="26">
        <f>SUM(Y120:Z120)</f>
        <v>0</v>
      </c>
      <c r="AB120" s="26">
        <f>+S120+X120+AA120</f>
        <v>10994632.559999999</v>
      </c>
    </row>
    <row r="121" spans="1:28" x14ac:dyDescent="0.25">
      <c r="A121" s="7">
        <v>178</v>
      </c>
      <c r="B121" s="9"/>
      <c r="C121" s="2" t="s">
        <v>218</v>
      </c>
      <c r="D121" s="8"/>
      <c r="E121" s="11" t="s">
        <v>19</v>
      </c>
      <c r="F121" s="11" t="s">
        <v>309</v>
      </c>
      <c r="G121" s="11" t="s">
        <v>310</v>
      </c>
      <c r="H121" s="11" t="s">
        <v>300</v>
      </c>
      <c r="I121" s="11" t="s">
        <v>15</v>
      </c>
      <c r="J121" s="11" t="s">
        <v>311</v>
      </c>
      <c r="K121" s="11">
        <v>55</v>
      </c>
      <c r="L121" s="11">
        <v>5</v>
      </c>
      <c r="M121" s="2"/>
      <c r="N121" s="17">
        <v>17569923</v>
      </c>
      <c r="O121" s="18">
        <v>11399688</v>
      </c>
      <c r="P121" s="17"/>
      <c r="Q121" s="18">
        <v>2012696</v>
      </c>
      <c r="R121" s="17">
        <v>382412.24</v>
      </c>
      <c r="S121" s="21">
        <f>SUM(O121:R121)</f>
        <v>13794796.24</v>
      </c>
      <c r="T121" s="18">
        <v>3050000</v>
      </c>
      <c r="U121" s="17"/>
      <c r="V121" s="17">
        <v>91500</v>
      </c>
      <c r="W121" s="17">
        <v>17385</v>
      </c>
      <c r="X121" s="26">
        <f>SUM(T121:W121)</f>
        <v>3158885</v>
      </c>
      <c r="Y121" s="17"/>
      <c r="Z121" s="17"/>
      <c r="AA121" s="26">
        <f>SUM(Y121:Z121)</f>
        <v>0</v>
      </c>
      <c r="AB121" s="26">
        <f>+S121+X121+AA121</f>
        <v>16953681.240000002</v>
      </c>
    </row>
    <row r="122" spans="1:28" x14ac:dyDescent="0.25">
      <c r="A122" s="7">
        <v>183</v>
      </c>
      <c r="B122" s="9"/>
      <c r="C122" s="2" t="s">
        <v>218</v>
      </c>
      <c r="D122" s="8"/>
      <c r="E122" s="11" t="s">
        <v>74</v>
      </c>
      <c r="F122" s="11" t="s">
        <v>170</v>
      </c>
      <c r="G122" s="11" t="s">
        <v>312</v>
      </c>
      <c r="H122" s="11" t="s">
        <v>313</v>
      </c>
      <c r="I122" s="11" t="s">
        <v>112</v>
      </c>
      <c r="J122" s="11" t="s">
        <v>69</v>
      </c>
      <c r="K122" s="11">
        <v>2</v>
      </c>
      <c r="L122" s="11">
        <v>6</v>
      </c>
      <c r="M122" s="2"/>
      <c r="N122" s="17">
        <v>6146408</v>
      </c>
      <c r="O122" s="18">
        <v>1203282</v>
      </c>
      <c r="P122" s="17"/>
      <c r="Q122" s="18">
        <v>135049</v>
      </c>
      <c r="R122" s="17">
        <v>25659.31</v>
      </c>
      <c r="S122" s="21">
        <f>SUM(O122:R122)</f>
        <v>1363990.31</v>
      </c>
      <c r="T122" s="18">
        <v>1881000</v>
      </c>
      <c r="U122" s="17"/>
      <c r="V122" s="17">
        <v>56430</v>
      </c>
      <c r="W122" s="17">
        <v>10721.7</v>
      </c>
      <c r="X122" s="26">
        <f>SUM(T122:W122)</f>
        <v>1948151.7</v>
      </c>
      <c r="Y122" s="17">
        <v>2812835</v>
      </c>
      <c r="Z122" s="17">
        <v>153763</v>
      </c>
      <c r="AA122" s="26">
        <f>SUM(Y122:Z122)</f>
        <v>2966598</v>
      </c>
      <c r="AB122" s="26">
        <f>+S122+X122+AA122</f>
        <v>6278740.0099999998</v>
      </c>
    </row>
    <row r="123" spans="1:28" x14ac:dyDescent="0.25">
      <c r="A123" s="7">
        <v>187</v>
      </c>
      <c r="B123" s="9"/>
      <c r="C123" s="2" t="s">
        <v>218</v>
      </c>
      <c r="D123" s="8"/>
      <c r="E123" s="11" t="s">
        <v>19</v>
      </c>
      <c r="F123" s="11" t="s">
        <v>314</v>
      </c>
      <c r="G123" s="11" t="s">
        <v>302</v>
      </c>
      <c r="H123" s="11" t="s">
        <v>302</v>
      </c>
      <c r="I123" s="11" t="s">
        <v>60</v>
      </c>
      <c r="J123" s="11" t="s">
        <v>179</v>
      </c>
      <c r="K123" s="11">
        <v>51</v>
      </c>
      <c r="L123" s="11">
        <v>4</v>
      </c>
      <c r="M123" s="2"/>
      <c r="N123" s="17">
        <v>50033258</v>
      </c>
      <c r="O123" s="18">
        <v>27969673</v>
      </c>
      <c r="P123" s="17"/>
      <c r="Q123" s="18">
        <v>3846683</v>
      </c>
      <c r="R123" s="17">
        <v>730869.77</v>
      </c>
      <c r="S123" s="21">
        <f>SUM(O123:R123)</f>
        <v>32547225.77</v>
      </c>
      <c r="T123" s="18">
        <v>13741000</v>
      </c>
      <c r="U123" s="17"/>
      <c r="V123" s="17">
        <v>412230</v>
      </c>
      <c r="W123" s="17">
        <v>78323.7</v>
      </c>
      <c r="X123" s="26">
        <f>SUM(T123:W123)</f>
        <v>14231553.699999999</v>
      </c>
      <c r="Y123" s="17">
        <v>2859429</v>
      </c>
      <c r="Z123" s="17">
        <v>152939</v>
      </c>
      <c r="AA123" s="26">
        <f>SUM(Y123:Z123)</f>
        <v>3012368</v>
      </c>
      <c r="AB123" s="26">
        <f>+S123+X123+AA123</f>
        <v>49791147.469999999</v>
      </c>
    </row>
    <row r="124" spans="1:28" x14ac:dyDescent="0.25">
      <c r="A124" s="7">
        <v>196</v>
      </c>
      <c r="B124" s="9"/>
      <c r="C124" s="2" t="s">
        <v>218</v>
      </c>
      <c r="D124" s="8"/>
      <c r="E124" s="11" t="s">
        <v>19</v>
      </c>
      <c r="F124" s="11" t="s">
        <v>315</v>
      </c>
      <c r="G124" s="11" t="s">
        <v>313</v>
      </c>
      <c r="H124" s="11" t="s">
        <v>316</v>
      </c>
      <c r="I124" s="11" t="s">
        <v>317</v>
      </c>
      <c r="J124" s="11" t="s">
        <v>14</v>
      </c>
      <c r="K124" s="11">
        <v>50</v>
      </c>
      <c r="L124" s="11">
        <v>6</v>
      </c>
      <c r="M124" s="2"/>
      <c r="N124" s="17">
        <v>41322262</v>
      </c>
      <c r="O124" s="18">
        <v>18081265</v>
      </c>
      <c r="P124" s="17"/>
      <c r="Q124" s="18">
        <v>9204546</v>
      </c>
      <c r="R124" s="17">
        <v>1748863.74</v>
      </c>
      <c r="S124" s="21">
        <f>SUM(O124:R124)</f>
        <v>29034674.739999998</v>
      </c>
      <c r="T124" s="18">
        <v>10461500</v>
      </c>
      <c r="U124" s="17"/>
      <c r="V124" s="17">
        <v>313845</v>
      </c>
      <c r="W124" s="17">
        <v>59630.55</v>
      </c>
      <c r="X124" s="26">
        <f>SUM(T124:W124)</f>
        <v>10834975.550000001</v>
      </c>
      <c r="Y124" s="17"/>
      <c r="Z124" s="17"/>
      <c r="AA124" s="26">
        <f>SUM(Y124:Z124)</f>
        <v>0</v>
      </c>
      <c r="AB124" s="26">
        <f>+S124+X124+AA124</f>
        <v>39869650.289999999</v>
      </c>
    </row>
  </sheetData>
  <autoFilter ref="A1:AB96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ejecutado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Univida 2</dc:creator>
  <cp:lastModifiedBy>Univida 2</cp:lastModifiedBy>
  <dcterms:created xsi:type="dcterms:W3CDTF">2021-11-09T16:32:12Z</dcterms:created>
  <dcterms:modified xsi:type="dcterms:W3CDTF">2021-11-09T18:11:44Z</dcterms:modified>
</cp:coreProperties>
</file>