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<sst xmlns="http://schemas.openxmlformats.org/spreadsheetml/2006/main" uniqueCount="540">
  <si>
    <t>Table 1</t>
  </si>
  <si>
    <t>Sıra No</t>
  </si>
  <si>
    <t>Yıl</t>
  </si>
  <si>
    <t>Ay</t>
  </si>
  <si>
    <t>Gün</t>
  </si>
  <si>
    <t>Belge No</t>
  </si>
  <si>
    <t xml:space="preserve"> </t>
  </si>
  <si>
    <t>Marka</t>
  </si>
  <si>
    <t>Kalem</t>
  </si>
  <si>
    <t>Birim</t>
  </si>
  <si>
    <t>Birim Fiyat</t>
  </si>
  <si>
    <t>ID</t>
  </si>
  <si>
    <t>Miktar</t>
  </si>
  <si>
    <t>Toplam Fiyat</t>
  </si>
  <si>
    <t>TAT</t>
  </si>
  <si>
    <t>Toblerone</t>
  </si>
  <si>
    <t>gr</t>
  </si>
  <si>
    <t>SAND</t>
  </si>
  <si>
    <t>Acuka</t>
  </si>
  <si>
    <t>ICE</t>
  </si>
  <si>
    <t>Buz</t>
  </si>
  <si>
    <t>Portakal</t>
  </si>
  <si>
    <t>Buzdolabı Poşeti</t>
  </si>
  <si>
    <t>adet</t>
  </si>
  <si>
    <t>Tuz</t>
  </si>
  <si>
    <t>Kekik</t>
  </si>
  <si>
    <t>ATIŞ</t>
  </si>
  <si>
    <t>Kajun</t>
  </si>
  <si>
    <t>Beyaz Çikolata</t>
  </si>
  <si>
    <t>Pudra Şekeri</t>
  </si>
  <si>
    <t>Mısır Nişastası</t>
  </si>
  <si>
    <t>Karbonat</t>
  </si>
  <si>
    <t>Tarçın</t>
  </si>
  <si>
    <t>Sütlü Çikolata</t>
  </si>
  <si>
    <t>Kabartma Tozu</t>
  </si>
  <si>
    <t>İnstant Maya</t>
  </si>
  <si>
    <t>Esmer Şeker</t>
  </si>
  <si>
    <t>Ezine Peyniri</t>
  </si>
  <si>
    <t>Yaprak Jelatin</t>
  </si>
  <si>
    <t>Tereyağ</t>
  </si>
  <si>
    <t>Krema</t>
  </si>
  <si>
    <t>ml</t>
  </si>
  <si>
    <t>Mascarpone</t>
  </si>
  <si>
    <t>Ekşi Krema</t>
  </si>
  <si>
    <t>Kuru Domates</t>
  </si>
  <si>
    <t>Zeytin Ezmesi</t>
  </si>
  <si>
    <t>Köz Kapya</t>
  </si>
  <si>
    <t>Ceviz</t>
  </si>
  <si>
    <t>Hindi Füme</t>
  </si>
  <si>
    <t>Kedi Dili</t>
  </si>
  <si>
    <t>Lolorosso</t>
  </si>
  <si>
    <t>Tek Kullanımlık Sıkma Torbası</t>
  </si>
  <si>
    <t>Alüminyum Folyo</t>
  </si>
  <si>
    <t>metre</t>
  </si>
  <si>
    <t>Streç Film</t>
  </si>
  <si>
    <t>Burger peyniri</t>
  </si>
  <si>
    <t>Karamel</t>
  </si>
  <si>
    <t>Nar Ekşisi</t>
  </si>
  <si>
    <t>Kakao</t>
  </si>
  <si>
    <t>Balparmak (350 ml)</t>
  </si>
  <si>
    <t>Bal Kırmalı</t>
  </si>
  <si>
    <t>Ihlamur</t>
  </si>
  <si>
    <t>Adaçayı</t>
  </si>
  <si>
    <t>Kış Çayı</t>
  </si>
  <si>
    <t>Yeşil Çay</t>
  </si>
  <si>
    <t>Nane Limon</t>
  </si>
  <si>
    <t>Tomurcuk Çay</t>
  </si>
  <si>
    <t>Lipton Early Grey</t>
  </si>
  <si>
    <t>Salep</t>
  </si>
  <si>
    <t>Türk Kahvesi</t>
  </si>
  <si>
    <t>Filtre Kahve</t>
  </si>
  <si>
    <t>Sıcak Çikolata</t>
  </si>
  <si>
    <t>Sprey Krema</t>
  </si>
  <si>
    <t>Limonlu Soda</t>
  </si>
  <si>
    <t>Elmalı Soda</t>
  </si>
  <si>
    <t>Fuse Tealer</t>
  </si>
  <si>
    <t>Cappy Karışık</t>
  </si>
  <si>
    <t>Cappy Vişne</t>
  </si>
  <si>
    <t>Cappy Kayısı</t>
  </si>
  <si>
    <t>Cappy Şeftali</t>
  </si>
  <si>
    <t>Damla Mango</t>
  </si>
  <si>
    <t>Rulokat</t>
  </si>
  <si>
    <t>Popcorn</t>
  </si>
  <si>
    <t>Stick Şeker</t>
  </si>
  <si>
    <t>Mango</t>
  </si>
  <si>
    <t>Pumpkin Spice</t>
  </si>
  <si>
    <t>Blueberry</t>
  </si>
  <si>
    <t>Nane(Mint)</t>
  </si>
  <si>
    <t>Bisquit</t>
  </si>
  <si>
    <t>Toffee Nut</t>
  </si>
  <si>
    <t>Chai Tea</t>
  </si>
  <si>
    <t>Chocolate</t>
  </si>
  <si>
    <t>Irish</t>
  </si>
  <si>
    <t>Coconut</t>
  </si>
  <si>
    <t>Raspberry</t>
  </si>
  <si>
    <t>Cool Berry</t>
  </si>
  <si>
    <t>Cool Blueberry</t>
  </si>
  <si>
    <t>Peach</t>
  </si>
  <si>
    <t>Red Berries</t>
  </si>
  <si>
    <t>Banana</t>
  </si>
  <si>
    <t>Strawberry</t>
  </si>
  <si>
    <t>Niğde gazozu</t>
  </si>
  <si>
    <t>Kuşburnu</t>
  </si>
  <si>
    <t>Filtre Kahve Kağıdı</t>
  </si>
  <si>
    <t>Toz zencefil</t>
  </si>
  <si>
    <t>Menta Cubano</t>
  </si>
  <si>
    <t>Limonata (handmade için)</t>
  </si>
  <si>
    <t>Çay (handmade için)</t>
  </si>
  <si>
    <t>Çarkıfelek</t>
  </si>
  <si>
    <t>Fesleğen</t>
  </si>
  <si>
    <t>Sandviç ekmeği</t>
  </si>
  <si>
    <t>Metro</t>
  </si>
  <si>
    <t>Laktozsuz Süt</t>
  </si>
  <si>
    <t>Yoğurt</t>
  </si>
  <si>
    <t>Suda Mozarella</t>
  </si>
  <si>
    <t>Yaban Mersini</t>
  </si>
  <si>
    <t>Frambuaz</t>
  </si>
  <si>
    <t>Doritos</t>
  </si>
  <si>
    <t>Ruffles</t>
  </si>
  <si>
    <t>Burçak bisküvi</t>
  </si>
  <si>
    <t>Yağlı Kağıt</t>
  </si>
  <si>
    <t>Frenk Üzümü</t>
  </si>
  <si>
    <t>Öz Rize</t>
  </si>
  <si>
    <t>Şeker</t>
  </si>
  <si>
    <t>Labne</t>
  </si>
  <si>
    <t>Kaşar peyniri</t>
  </si>
  <si>
    <t>Anka Toptan</t>
  </si>
  <si>
    <t>TEM</t>
  </si>
  <si>
    <t>Tuvalet kağıdı</t>
  </si>
  <si>
    <t>Garson Katlama Peçete</t>
  </si>
  <si>
    <t>Çağdaş market</t>
  </si>
  <si>
    <t>Dondurma</t>
  </si>
  <si>
    <t>Sıvı el sabunu</t>
  </si>
  <si>
    <t>Bitter Çikolata</t>
  </si>
  <si>
    <t>Lays</t>
  </si>
  <si>
    <t>Pipet</t>
  </si>
  <si>
    <t>Z katlama havlu peçete</t>
  </si>
  <si>
    <t>Parfümlü Yüzey Temizleyici</t>
  </si>
  <si>
    <t>Yağlı Süt</t>
  </si>
  <si>
    <t>Soda</t>
  </si>
  <si>
    <t>Yumurta</t>
  </si>
  <si>
    <t>Coca Cola</t>
  </si>
  <si>
    <t>Cola</t>
  </si>
  <si>
    <t>Fanta</t>
  </si>
  <si>
    <t>Cola Zero</t>
  </si>
  <si>
    <t>Polonez</t>
  </si>
  <si>
    <t>Dana füme</t>
  </si>
  <si>
    <t>Un</t>
  </si>
  <si>
    <t>Zeytinyağ</t>
  </si>
  <si>
    <t>Şekerli Vanilin</t>
  </si>
  <si>
    <t>Emms kahve</t>
  </si>
  <si>
    <t>Hibiscus</t>
  </si>
  <si>
    <t>Vanilya</t>
  </si>
  <si>
    <t>Mexican Lime</t>
  </si>
  <si>
    <t>White Mocha</t>
  </si>
  <si>
    <t>Espresso Çekirdek</t>
  </si>
  <si>
    <t>Mantar</t>
  </si>
  <si>
    <t>Limon</t>
  </si>
  <si>
    <t>Sprite</t>
  </si>
  <si>
    <t>Su</t>
  </si>
  <si>
    <t>Deniz tuzu</t>
  </si>
  <si>
    <t>Rulo Havlu</t>
  </si>
  <si>
    <t>Süs Karamel</t>
  </si>
  <si>
    <t>N</t>
  </si>
  <si>
    <t>Orta boy çöp poşeti</t>
  </si>
  <si>
    <t>Battal boy çöp poşeti</t>
  </si>
  <si>
    <t>Cam sil</t>
  </si>
  <si>
    <t>Eldiven</t>
  </si>
  <si>
    <t>Klozet kapak örtüsü</t>
  </si>
  <si>
    <t>Islak mendil</t>
  </si>
  <si>
    <t>Mop</t>
  </si>
  <si>
    <t>Teksüt</t>
  </si>
  <si>
    <t>Beypazarı</t>
  </si>
  <si>
    <t>Hekimoğlu</t>
  </si>
  <si>
    <t>Torku</t>
  </si>
  <si>
    <t>Pınar</t>
  </si>
  <si>
    <t>Uğurlu</t>
  </si>
  <si>
    <t>Migros</t>
  </si>
  <si>
    <t>Mcvities</t>
  </si>
  <si>
    <t>Mcvities bisküvi</t>
  </si>
  <si>
    <t>Tadım</t>
  </si>
  <si>
    <t>Tadım karışık kuruyemiş</t>
  </si>
  <si>
    <t>Zuber</t>
  </si>
  <si>
    <t>Zuber fıstık</t>
  </si>
  <si>
    <t>Star Kırtasiye</t>
  </si>
  <si>
    <t>Kırtasiye</t>
  </si>
  <si>
    <t>Kampanya için tahta</t>
  </si>
  <si>
    <t>GEN</t>
  </si>
  <si>
    <t>Personel Su</t>
  </si>
  <si>
    <t>Erikli</t>
  </si>
  <si>
    <t>Balküpü</t>
  </si>
  <si>
    <t>Sütaş</t>
  </si>
  <si>
    <t>Yarabandı</t>
  </si>
  <si>
    <t>Şişman</t>
  </si>
  <si>
    <t>Algida</t>
  </si>
  <si>
    <t>Domestos</t>
  </si>
  <si>
    <t>Çamaşır suyu</t>
  </si>
  <si>
    <t>Fınısh</t>
  </si>
  <si>
    <t>Bulaşık makinesi tableti</t>
  </si>
  <si>
    <t>KUT</t>
  </si>
  <si>
    <t>Aro</t>
  </si>
  <si>
    <t>Arifoğlu</t>
  </si>
  <si>
    <t>Mavi haşhaş</t>
  </si>
  <si>
    <t>Bakkalbaşıoğlu</t>
  </si>
  <si>
    <t>Bauhaus</t>
  </si>
  <si>
    <t>Oda kokusu</t>
  </si>
  <si>
    <t>Çöp kutusu 40 lt</t>
  </si>
  <si>
    <t>Zeki Kırtasiye</t>
  </si>
  <si>
    <t>Afiş taşıyıcı</t>
  </si>
  <si>
    <t>Fotokopi</t>
  </si>
  <si>
    <t>Aroma</t>
  </si>
  <si>
    <t xml:space="preserve">Yıldız inşaat </t>
  </si>
  <si>
    <t>Elektrik malzemeleri</t>
  </si>
  <si>
    <t>Kargo bedeli</t>
  </si>
  <si>
    <t>Ata Elektrik</t>
  </si>
  <si>
    <t>Bizde iyi-Gürkan Aykuş</t>
  </si>
  <si>
    <t>KIWI</t>
  </si>
  <si>
    <t>Kahve Öğütücü</t>
  </si>
  <si>
    <t xml:space="preserve">Ptt avm </t>
  </si>
  <si>
    <t>Savoiardi</t>
  </si>
  <si>
    <t>Bulaşık süngeri</t>
  </si>
  <si>
    <t>Beypazar</t>
  </si>
  <si>
    <t>Eczacıbaşı</t>
  </si>
  <si>
    <t>Kaanlar</t>
  </si>
  <si>
    <t>Metro chef</t>
  </si>
  <si>
    <t>Galeri Ekin</t>
  </si>
  <si>
    <t>Cetvel</t>
  </si>
  <si>
    <t>codenames çıktısı</t>
  </si>
  <si>
    <t>Metrochef</t>
  </si>
  <si>
    <t>Buz (adet)</t>
  </si>
  <si>
    <t>aoç</t>
  </si>
  <si>
    <t>Gimsa</t>
  </si>
  <si>
    <t>Temizlik seti</t>
  </si>
  <si>
    <t>Kek fanusu</t>
  </si>
  <si>
    <t>Tatlı kaşığı</t>
  </si>
  <si>
    <t>45cm*300m</t>
  </si>
  <si>
    <t>Dolphin</t>
  </si>
  <si>
    <t>Kolonya</t>
  </si>
  <si>
    <t>Tat</t>
  </si>
  <si>
    <t>Türe</t>
  </si>
  <si>
    <t>Beybi</t>
  </si>
  <si>
    <t>Ferrosa</t>
  </si>
  <si>
    <t>Eti</t>
  </si>
  <si>
    <t>Motto profesyonel</t>
  </si>
  <si>
    <t>Kahve terazisi</t>
  </si>
  <si>
    <t>Chef</t>
  </si>
  <si>
    <t>aro</t>
  </si>
  <si>
    <t>Vitala</t>
  </si>
  <si>
    <t>Frozen</t>
  </si>
  <si>
    <t>Aoç</t>
  </si>
  <si>
    <t>Zeynem</t>
  </si>
  <si>
    <t>Catering yemek</t>
  </si>
  <si>
    <t>toblerone</t>
  </si>
  <si>
    <t>B</t>
  </si>
  <si>
    <t>Ankara Billuriye</t>
  </si>
  <si>
    <t>Sunum tabağı (176*325)</t>
  </si>
  <si>
    <t>Sunum tabağı (16*40)</t>
  </si>
  <si>
    <t>Tamper Ahşap Saplı</t>
  </si>
  <si>
    <t>Carrefoursa</t>
  </si>
  <si>
    <t>Eva Bilgisayar</t>
  </si>
  <si>
    <t>Bilgisayarı formatı</t>
  </si>
  <si>
    <t>limonata için</t>
  </si>
  <si>
    <t>Naturel temizlik</t>
  </si>
  <si>
    <t>Haşere Temizliği</t>
  </si>
  <si>
    <t>Motto Profesyonel</t>
  </si>
  <si>
    <t>Hassas Terazi</t>
  </si>
  <si>
    <t>Sinerjik Gıda</t>
  </si>
  <si>
    <t>Tchibo</t>
  </si>
  <si>
    <t>(Tchibo) Espresso çekirdek</t>
  </si>
  <si>
    <t>Ağustos splite eklenmiş ?</t>
  </si>
  <si>
    <t>Hirfanlı Mühendislik</t>
  </si>
  <si>
    <t>Arıtma Cihazı Filtre Değişimi</t>
  </si>
  <si>
    <t>Vileda Ucu</t>
  </si>
  <si>
    <t>metro chef</t>
  </si>
  <si>
    <t>Sosluk</t>
  </si>
  <si>
    <t>Emms Kahve</t>
  </si>
  <si>
    <t>Asperox</t>
  </si>
  <si>
    <t>A4 Kağıdı</t>
  </si>
  <si>
    <t>Atlantik Gıda</t>
  </si>
  <si>
    <t>Limonlu Cheescake</t>
  </si>
  <si>
    <t>Çikolatalı Cheescake</t>
  </si>
  <si>
    <t>Brownie</t>
  </si>
  <si>
    <t>Havuçlu Kek</t>
  </si>
  <si>
    <t>Yaban Mersinli Cheescake</t>
  </si>
  <si>
    <t>Tamsan Mutfak</t>
  </si>
  <si>
    <t>End. Bulaşık makinesi deterjanı</t>
  </si>
  <si>
    <t>End. Bulaşık makinesi parlatıcı</t>
  </si>
  <si>
    <t>Atlantik gıda</t>
  </si>
  <si>
    <t>Tiramisu Dilim</t>
  </si>
  <si>
    <t>Çikolatalı Sufle</t>
  </si>
  <si>
    <t>Limon Sıkacağı</t>
  </si>
  <si>
    <t>Ptt kargo</t>
  </si>
  <si>
    <t>MARC</t>
  </si>
  <si>
    <t>Şok market</t>
  </si>
  <si>
    <t>Sentez gıda</t>
  </si>
  <si>
    <t>NAT-POP</t>
  </si>
  <si>
    <t>otomatik sprey</t>
  </si>
  <si>
    <t>sprey</t>
  </si>
  <si>
    <t>4 Peynirli bagel tadım</t>
  </si>
  <si>
    <t>Hindi Füme (dondurulmuş)</t>
  </si>
  <si>
    <t>Dana Jambon Cheddar</t>
  </si>
  <si>
    <t>1*4</t>
  </si>
  <si>
    <t>ASKİ</t>
  </si>
  <si>
    <t>Su faturası</t>
  </si>
  <si>
    <t>Mahir Şaş</t>
  </si>
  <si>
    <t>Duba</t>
  </si>
  <si>
    <t>Bulaşık makinesi temizleme</t>
  </si>
  <si>
    <t>Fanta iadesi</t>
  </si>
  <si>
    <t>Yeni ak plaza eczane</t>
  </si>
  <si>
    <t>Parol</t>
  </si>
  <si>
    <t>Ağrı Kesici</t>
  </si>
  <si>
    <t>?</t>
  </si>
  <si>
    <t>Zerdeçal</t>
  </si>
  <si>
    <t>Yener Endüstriyel</t>
  </si>
  <si>
    <t>End. bulaşık mak. kireç çözücü</t>
  </si>
  <si>
    <t>metro</t>
  </si>
  <si>
    <t>Tatlı tabağı</t>
  </si>
  <si>
    <t>Office Superstore</t>
  </si>
  <si>
    <t>Tatlılar için çıktı</t>
  </si>
  <si>
    <t>Bosch</t>
  </si>
  <si>
    <t>TAT/SAND</t>
  </si>
  <si>
    <t>Derin Dondurucu</t>
  </si>
  <si>
    <t>One Export</t>
  </si>
  <si>
    <t>Donut</t>
  </si>
  <si>
    <t>Star kırtasiye</t>
  </si>
  <si>
    <t>Parti Boy (lays)</t>
  </si>
  <si>
    <t>Şarj Kablosu</t>
  </si>
  <si>
    <t>Duracell</t>
  </si>
  <si>
    <t>Pil</t>
  </si>
  <si>
    <t>32 gb</t>
  </si>
  <si>
    <t>Usb bellek</t>
  </si>
  <si>
    <t>Öğretmenim kırtasiye</t>
  </si>
  <si>
    <t>İKEA</t>
  </si>
  <si>
    <t>Bardak</t>
  </si>
  <si>
    <t>Kupa Bardağı</t>
  </si>
  <si>
    <t>Bıçak (10cm)</t>
  </si>
  <si>
    <t>Tırtıklı Soyma Bıçağı</t>
  </si>
  <si>
    <t>Depozito</t>
  </si>
  <si>
    <t>Ayçiçek Yağı</t>
  </si>
  <si>
    <t>Temizlik bezi</t>
  </si>
  <si>
    <t>Kireç çözücü</t>
  </si>
  <si>
    <t>Öz rize</t>
  </si>
  <si>
    <t>Muz</t>
  </si>
  <si>
    <t>İlhan Kuzucu</t>
  </si>
  <si>
    <t>Sineklik sistemleri</t>
  </si>
  <si>
    <t>Su arıtma cihazı pompası</t>
  </si>
  <si>
    <t>Su arıtma musluğu</t>
  </si>
  <si>
    <t>Edis iç ve dış tic.</t>
  </si>
  <si>
    <t>Engin Öztürk (Trendyol)</t>
  </si>
  <si>
    <t>56*16</t>
  </si>
  <si>
    <t>Pos Rulosu</t>
  </si>
  <si>
    <t>Tree teknoloji</t>
  </si>
  <si>
    <t>Çöp kutusu 60 lt</t>
  </si>
  <si>
    <t>Pully Caff</t>
  </si>
  <si>
    <t>Hokka Sağlık</t>
  </si>
  <si>
    <t>Temizlik arabası presi</t>
  </si>
  <si>
    <t>Morpack</t>
  </si>
  <si>
    <t>OYS</t>
  </si>
  <si>
    <t>Kraft Çanta</t>
  </si>
  <si>
    <t>Eksik depozito</t>
  </si>
  <si>
    <t>Lavabo fırçası</t>
  </si>
  <si>
    <t>Çay Bardağı</t>
  </si>
  <si>
    <t>7 gr</t>
  </si>
  <si>
    <t>Schinitzelli Sandviç</t>
  </si>
  <si>
    <t>Personel meyve</t>
  </si>
  <si>
    <t>mandalina</t>
  </si>
  <si>
    <t>Trendyol</t>
  </si>
  <si>
    <t>Latte art kalemi</t>
  </si>
  <si>
    <t>Karabiber</t>
  </si>
  <si>
    <t>İskontolu hali girildi</t>
  </si>
  <si>
    <t>personel meyve</t>
  </si>
  <si>
    <t>Elit Kırtasiye</t>
  </si>
  <si>
    <t>Kural kitapçıkları</t>
  </si>
  <si>
    <t>iskontolu tutar girildi</t>
  </si>
  <si>
    <t>By Pro (trendyol)</t>
  </si>
  <si>
    <t>Lenovo bilgisayar</t>
  </si>
  <si>
    <t>İskonto (Dondurulmuş tatlı)</t>
  </si>
  <si>
    <t>D&amp;R store</t>
  </si>
  <si>
    <t>Esra Hanım Şahsi harcama</t>
  </si>
  <si>
    <t>Ayşe Gürs (lütfü)</t>
  </si>
  <si>
    <t>A5 Bröşür</t>
  </si>
  <si>
    <t>Etiket</t>
  </si>
  <si>
    <t>Folyo Baskı</t>
  </si>
  <si>
    <t>Babaoğlu İletişim</t>
  </si>
  <si>
    <t>Yüz tanıma sistemi</t>
  </si>
  <si>
    <t>Habib Tunç (trendyol)</t>
  </si>
  <si>
    <t>Sunum Tabağı (trendyol)</t>
  </si>
  <si>
    <t>HDG METAL</t>
  </si>
  <si>
    <t>Boardmarker</t>
  </si>
  <si>
    <t>Hepsiburada</t>
  </si>
  <si>
    <t>Emba Peyzaj</t>
  </si>
  <si>
    <t>Worldline ödeme sistemi</t>
  </si>
  <si>
    <t>Pos Cihazı Pili</t>
  </si>
  <si>
    <t>Fire Help Office</t>
  </si>
  <si>
    <t>Yangın tüpü değişimi</t>
  </si>
  <si>
    <t>Brain Games Publishing</t>
  </si>
  <si>
    <t>Karakum</t>
  </si>
  <si>
    <t>EUR</t>
  </si>
  <si>
    <t>Yenimahalle Belediyesi</t>
  </si>
  <si>
    <t>Çevre ve Temizlik Vergisi</t>
  </si>
  <si>
    <t>Koçtaş</t>
  </si>
  <si>
    <t>Ampul</t>
  </si>
  <si>
    <t>Naras Gümrükleme</t>
  </si>
  <si>
    <t>İthalat gümrük bedeli</t>
  </si>
  <si>
    <t>Mng Airlines</t>
  </si>
  <si>
    <t>Nakliye ve ardiye</t>
  </si>
  <si>
    <t>Shopier</t>
  </si>
  <si>
    <t>Shopier hizmet bedeli</t>
  </si>
  <si>
    <t>Yeşil Beşikdüzü Mandıra</t>
  </si>
  <si>
    <t>Akçalar züc.</t>
  </si>
  <si>
    <t>Dondurma kaşığı</t>
  </si>
  <si>
    <t>Tamsan mutfak</t>
  </si>
  <si>
    <t>Kargo naylonu</t>
  </si>
  <si>
    <t>cm</t>
  </si>
  <si>
    <t>Dizayn peyzaj</t>
  </si>
  <si>
    <t>Paspas halı</t>
  </si>
  <si>
    <t>Bk Hırdavat</t>
  </si>
  <si>
    <t>Kaygan Zemin Levhası</t>
  </si>
  <si>
    <t>Limon (adet)</t>
  </si>
  <si>
    <t>Kule Eczanesi</t>
  </si>
  <si>
    <t>Yanık kremi</t>
  </si>
  <si>
    <t>Ut yemek</t>
  </si>
  <si>
    <t>Serkan Durmaz (trendyol)</t>
  </si>
  <si>
    <t>Yılbaşı için led ışık</t>
  </si>
  <si>
    <t>pınar</t>
  </si>
  <si>
    <t>Fiber temizlik bezi</t>
  </si>
  <si>
    <t>Lavabo açıcı</t>
  </si>
  <si>
    <t>Büyük Boy Çöp Poşeti</t>
  </si>
  <si>
    <t>Pimak gıda</t>
  </si>
  <si>
    <t>Yalçınkaya grup</t>
  </si>
  <si>
    <t>nemli mop</t>
  </si>
  <si>
    <t>Faraş seti</t>
  </si>
  <si>
    <t>mikrofiber cam bezi</t>
  </si>
  <si>
    <t>Fıstıklı Tatlı</t>
  </si>
  <si>
    <t>Cheddar İtalyan Sandviç</t>
  </si>
  <si>
    <t>Plotter Baskı</t>
  </si>
  <si>
    <t>A4 Baskı</t>
  </si>
  <si>
    <t>Nescafe Espresso çekirdek</t>
  </si>
  <si>
    <t>Barış Süs</t>
  </si>
  <si>
    <t>Yılbaşı süsü</t>
  </si>
  <si>
    <t>Krem</t>
  </si>
  <si>
    <t>Medhan medikal (ihsan kaya)</t>
  </si>
  <si>
    <t>Lütfü Gök</t>
  </si>
  <si>
    <t>YMK</t>
  </si>
  <si>
    <t>Yemek Kutusu</t>
  </si>
  <si>
    <t>Gezgin Grup</t>
  </si>
  <si>
    <t>Müşteri Yemek</t>
  </si>
  <si>
    <t>Personel Meyve</t>
  </si>
  <si>
    <t>Nescafe Filtre Kahve</t>
  </si>
  <si>
    <t>Neyzen İnş. San. Tic. A.ş.</t>
  </si>
  <si>
    <t>Yük arabası</t>
  </si>
  <si>
    <t>İlaç</t>
  </si>
  <si>
    <t>Bulaşık mak. temizleyici</t>
  </si>
  <si>
    <t>Sentez</t>
  </si>
  <si>
    <t>Nat-pop</t>
  </si>
  <si>
    <t>Bahçeli popcorn</t>
  </si>
  <si>
    <t>taksi</t>
  </si>
  <si>
    <t>Favorim Gross</t>
  </si>
  <si>
    <t>yılbaşı tabak</t>
  </si>
  <si>
    <t>kitap</t>
  </si>
  <si>
    <t>Çay Termosu</t>
  </si>
  <si>
    <t>UT yemek</t>
  </si>
  <si>
    <t>(ftr. erdem alpay)</t>
  </si>
  <si>
    <t>Harun Hüseyinoğlu</t>
  </si>
  <si>
    <t>catering yemek denemesi</t>
  </si>
  <si>
    <t>Goblin Gaming</t>
  </si>
  <si>
    <t>Viticulture</t>
  </si>
  <si>
    <t>Arnak</t>
  </si>
  <si>
    <t>Codenames</t>
  </si>
  <si>
    <t>karakum k.kitapçığı</t>
  </si>
  <si>
    <t>Tahta karıştırıcı</t>
  </si>
  <si>
    <t>Bob ambalaj (trendyol)</t>
  </si>
  <si>
    <t>kargo kolisi</t>
  </si>
  <si>
    <t>Wordline</t>
  </si>
  <si>
    <t>Pos rulosu kapağı</t>
  </si>
  <si>
    <t>Koli Bandı</t>
  </si>
  <si>
    <t>A101</t>
  </si>
  <si>
    <t>Erdem alpay ftr.</t>
  </si>
  <si>
    <t>Mey Gıda</t>
  </si>
  <si>
    <t>Yaban mersinli şeftalili pasta</t>
  </si>
  <si>
    <t>Papatya Çayı</t>
  </si>
  <si>
    <t>İkbal İlbaş</t>
  </si>
  <si>
    <t>Take Away bardak</t>
  </si>
  <si>
    <t>Take away 8 oz</t>
  </si>
  <si>
    <t>Take away 14 oz</t>
  </si>
  <si>
    <t>Take Away P. bardak 400 cc</t>
  </si>
  <si>
    <t>Veysi Akyıldız</t>
  </si>
  <si>
    <t>Bulaşık Fırçası</t>
  </si>
  <si>
    <t>Toz alıcı püskül</t>
  </si>
  <si>
    <t>Mısır Kovası</t>
  </si>
  <si>
    <t>Tuzluk</t>
  </si>
  <si>
    <t>Cif Sprey</t>
  </si>
  <si>
    <t>Duru Kırtasiye</t>
  </si>
  <si>
    <t>Trendyol komisyon</t>
  </si>
  <si>
    <t>Trendyol kontör</t>
  </si>
  <si>
    <t>Trendyol kargo</t>
  </si>
  <si>
    <t>Gürol inş.</t>
  </si>
  <si>
    <t>Merve Kırtasiye</t>
  </si>
  <si>
    <t>Digital operasyon</t>
  </si>
  <si>
    <t>Wifi burada cihazı</t>
  </si>
  <si>
    <t>Neotech teknoloji a.ş.</t>
  </si>
  <si>
    <t>800 ml chemex</t>
  </si>
  <si>
    <t>Ehediye bilişim a.ş.</t>
  </si>
  <si>
    <t>Kahve İbriği</t>
  </si>
  <si>
    <t>Amazon tr</t>
  </si>
  <si>
    <t>Hario V60</t>
  </si>
  <si>
    <t>Roasting Lab</t>
  </si>
  <si>
    <t>V60 Kahvesi</t>
  </si>
  <si>
    <t>Chemex Kahvesi</t>
  </si>
  <si>
    <t>Hediye Türkeri</t>
  </si>
  <si>
    <t>Buz makinesi tamiri</t>
  </si>
  <si>
    <t>Maf Endüstriyel</t>
  </si>
  <si>
    <t>Portabianco sürahi</t>
  </si>
  <si>
    <t>Esat Hot</t>
  </si>
  <si>
    <t>Pitcher (1000ml)</t>
  </si>
  <si>
    <t>Banu Çadırcı</t>
  </si>
  <si>
    <t>Chemex filtre kağıdı</t>
  </si>
  <si>
    <t>End. bulaşık makinesi tablet</t>
  </si>
  <si>
    <t>Kahve yanı bardak</t>
  </si>
  <si>
    <t>MGEN</t>
  </si>
  <si>
    <t>Boş kasa</t>
  </si>
  <si>
    <t>Led ışık</t>
  </si>
  <si>
    <t>a101</t>
  </si>
  <si>
    <t>Merdivencim lavinya</t>
  </si>
  <si>
    <t>3x3 A tipi merdiven</t>
  </si>
  <si>
    <t>Rüzgar havalandırma sistemleri</t>
  </si>
  <si>
    <t>havalandırma tadilatı</t>
  </si>
  <si>
    <t>Ambalaj gross</t>
  </si>
  <si>
    <t>Age Mutfak</t>
  </si>
  <si>
    <t>Double türk kahvesi fincanı</t>
  </si>
  <si>
    <t>Damla Sakızlı türk kahvesi</t>
  </si>
  <si>
    <t>Kahveciniz (trendyol)</t>
  </si>
  <si>
    <t>Filtre Kahve (mey gıda)</t>
  </si>
  <si>
    <t>Canon yazıcı</t>
  </si>
  <si>
    <r>
      <rPr>
        <u val="single"/>
        <sz val="10"/>
        <color indexed="17"/>
        <rFont val="Arial"/>
      </rPr>
      <t>Kolici.com</t>
    </r>
  </si>
  <si>
    <t>Kargo Kolisi (codenames)</t>
  </si>
  <si>
    <t>Yengeç fat. entegrasyonu</t>
  </si>
  <si>
    <t>Yengeç kontör</t>
  </si>
  <si>
    <t>Yengeç Entegrasyonu</t>
  </si>
  <si>
    <t>21 fatura toplamı</t>
  </si>
</sst>
</file>

<file path=xl/styles.xml><?xml version="1.0" encoding="utf-8"?>
<styleSheet xmlns="http://schemas.openxmlformats.org/spreadsheetml/2006/main">
  <numFmts count="5">
    <numFmt numFmtId="0" formatCode="General"/>
    <numFmt numFmtId="59" formatCode="0.0##%"/>
    <numFmt numFmtId="60" formatCode="0.0%"/>
    <numFmt numFmtId="61" formatCode="0.0#%"/>
    <numFmt numFmtId="62" formatCode="0.0###%"/>
  </numFmts>
  <fonts count="7">
    <font>
      <sz val="10"/>
      <color indexed="8"/>
      <name val="Helvetica Neue"/>
    </font>
    <font>
      <sz val="12"/>
      <color indexed="8"/>
      <name val="Helvetica Neue"/>
    </font>
    <font>
      <sz val="12"/>
      <color indexed="8"/>
      <name val="__Plus_Jakarta_Sans_a182b8"/>
    </font>
    <font>
      <b val="1"/>
      <sz val="10"/>
      <color indexed="8"/>
      <name val="Arial"/>
    </font>
    <font>
      <b val="1"/>
      <sz val="10"/>
      <color indexed="8"/>
      <name val="Helvetica Neue"/>
    </font>
    <font>
      <sz val="10"/>
      <color indexed="13"/>
      <name val="Arial"/>
    </font>
    <font>
      <u val="single"/>
      <sz val="10"/>
      <color indexed="17"/>
      <name val="Arial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21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/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1"/>
      </left>
      <right style="thin">
        <color indexed="10"/>
      </right>
      <top style="thin">
        <color indexed="10"/>
      </top>
      <bottom/>
      <diagonal/>
    </border>
    <border>
      <left/>
      <right/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58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49" fontId="3" fillId="2" borderId="2" applyNumberFormat="1" applyFont="1" applyFill="1" applyBorder="1" applyAlignment="1" applyProtection="0">
      <alignment vertical="top" wrapText="1"/>
    </xf>
    <xf numFmtId="49" fontId="3" fillId="2" borderId="3" applyNumberFormat="1" applyFont="1" applyFill="1" applyBorder="1" applyAlignment="1" applyProtection="0">
      <alignment vertical="top" wrapText="1"/>
    </xf>
    <xf numFmtId="0" fontId="3" fillId="2" borderId="3" applyNumberFormat="0" applyFont="1" applyFill="1" applyBorder="1" applyAlignment="1" applyProtection="0">
      <alignment vertical="top" wrapText="1"/>
    </xf>
    <xf numFmtId="0" fontId="4" fillId="2" borderId="3" applyNumberFormat="0" applyFont="1" applyFill="1" applyBorder="1" applyAlignment="1" applyProtection="0">
      <alignment vertical="top" wrapText="1"/>
    </xf>
    <xf numFmtId="0" fontId="4" fillId="3" borderId="4" applyNumberFormat="1" applyFont="1" applyFill="1" applyBorder="1" applyAlignment="1" applyProtection="0">
      <alignment vertical="top" wrapText="1"/>
    </xf>
    <xf numFmtId="0" fontId="0" borderId="5" applyNumberFormat="1" applyFont="1" applyFill="0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0" fontId="4" fillId="3" borderId="7" applyNumberFormat="1" applyFont="1" applyFill="1" applyBorder="1" applyAlignment="1" applyProtection="0">
      <alignment vertical="top" wrapText="1"/>
    </xf>
    <xf numFmtId="0" fontId="0" borderId="8" applyNumberFormat="1" applyFont="1" applyFill="0" applyBorder="1" applyAlignment="1" applyProtection="0">
      <alignment vertical="top" wrapText="1"/>
    </xf>
    <xf numFmtId="0" fontId="0" borderId="9" applyNumberFormat="1" applyFont="1" applyFill="0" applyBorder="1" applyAlignment="1" applyProtection="0">
      <alignment vertical="top" wrapText="1"/>
    </xf>
    <xf numFmtId="0" fontId="0" borderId="9" applyNumberFormat="0" applyFont="1" applyFill="0" applyBorder="1" applyAlignment="1" applyProtection="0">
      <alignment vertical="top" wrapText="1"/>
    </xf>
    <xf numFmtId="49" fontId="0" borderId="9" applyNumberFormat="1" applyFont="1" applyFill="0" applyBorder="1" applyAlignment="1" applyProtection="0">
      <alignment vertical="top" wrapText="1"/>
    </xf>
    <xf numFmtId="0" fontId="0" borderId="10" applyNumberFormat="1" applyFont="1" applyFill="0" applyBorder="1" applyAlignment="1" applyProtection="0">
      <alignment vertical="top" wrapText="1"/>
    </xf>
    <xf numFmtId="0" fontId="0" borderId="11" applyNumberFormat="1" applyFont="1" applyFill="0" applyBorder="1" applyAlignment="1" applyProtection="0">
      <alignment vertical="top" wrapText="1"/>
    </xf>
    <xf numFmtId="0" fontId="0" fillId="4" borderId="12" applyNumberFormat="1" applyFont="1" applyFill="1" applyBorder="1" applyAlignment="1" applyProtection="0">
      <alignment vertical="bottom"/>
    </xf>
    <xf numFmtId="0" fontId="0" borderId="13" applyNumberFormat="0" applyFont="1" applyFill="0" applyBorder="1" applyAlignment="1" applyProtection="0">
      <alignment vertical="top" wrapText="1"/>
    </xf>
    <xf numFmtId="0" fontId="0" borderId="14" applyNumberFormat="1" applyFont="1" applyFill="0" applyBorder="1" applyAlignment="1" applyProtection="0">
      <alignment vertical="top" wrapText="1"/>
    </xf>
    <xf numFmtId="0" fontId="0" borderId="15" applyNumberFormat="1" applyFont="1" applyFill="0" applyBorder="1" applyAlignment="1" applyProtection="0">
      <alignment vertical="top" wrapText="1"/>
    </xf>
    <xf numFmtId="49" fontId="0" borderId="11" applyNumberFormat="1" applyFont="1" applyFill="0" applyBorder="1" applyAlignment="1" applyProtection="0">
      <alignment vertical="top" wrapText="1"/>
    </xf>
    <xf numFmtId="0" fontId="0" fillId="5" borderId="12" applyNumberFormat="1" applyFont="1" applyFill="1" applyBorder="1" applyAlignment="1" applyProtection="0">
      <alignment vertical="bottom"/>
    </xf>
    <xf numFmtId="0" fontId="0" borderId="13" applyNumberFormat="1" applyFont="1" applyFill="0" applyBorder="1" applyAlignment="1" applyProtection="0">
      <alignment vertical="top" wrapText="1"/>
    </xf>
    <xf numFmtId="0" fontId="0" fillId="6" borderId="12" applyNumberFormat="1" applyFont="1" applyFill="1" applyBorder="1" applyAlignment="1" applyProtection="0">
      <alignment vertical="bottom"/>
    </xf>
    <xf numFmtId="0" fontId="0" borderId="16" applyNumberFormat="1" applyFont="1" applyFill="0" applyBorder="1" applyAlignment="1" applyProtection="0">
      <alignment vertical="top" wrapText="1"/>
    </xf>
    <xf numFmtId="49" fontId="0" borderId="10" applyNumberFormat="1" applyFont="1" applyFill="0" applyBorder="1" applyAlignment="1" applyProtection="0">
      <alignment vertical="top" wrapText="1"/>
    </xf>
    <xf numFmtId="0" fontId="4" fillId="3" borderId="11" applyNumberFormat="1" applyFont="1" applyFill="1" applyBorder="1" applyAlignment="1" applyProtection="0">
      <alignment vertical="top" wrapText="1"/>
    </xf>
    <xf numFmtId="0" fontId="0" borderId="12" applyNumberFormat="1" applyFont="1" applyFill="0" applyBorder="1" applyAlignment="1" applyProtection="0">
      <alignment vertical="top" wrapText="1"/>
    </xf>
    <xf numFmtId="49" fontId="0" borderId="17" applyNumberFormat="1" applyFont="1" applyFill="0" applyBorder="1" applyAlignment="1" applyProtection="0">
      <alignment vertical="top" wrapText="1"/>
    </xf>
    <xf numFmtId="49" fontId="0" borderId="12" applyNumberFormat="1" applyFont="1" applyFill="0" applyBorder="1" applyAlignment="1" applyProtection="0">
      <alignment vertical="top" wrapText="1"/>
    </xf>
    <xf numFmtId="49" fontId="0" borderId="13" applyNumberFormat="1" applyFont="1" applyFill="0" applyBorder="1" applyAlignment="1" applyProtection="0">
      <alignment vertical="top" wrapText="1"/>
    </xf>
    <xf numFmtId="0" fontId="0" borderId="18" applyNumberFormat="1" applyFont="1" applyFill="0" applyBorder="1" applyAlignment="1" applyProtection="0">
      <alignment vertical="top" wrapText="1"/>
    </xf>
    <xf numFmtId="0" fontId="0" borderId="19" applyNumberFormat="1" applyFont="1" applyFill="0" applyBorder="1" applyAlignment="1" applyProtection="0">
      <alignment vertical="top" wrapText="1"/>
    </xf>
    <xf numFmtId="49" fontId="0" borderId="20" applyNumberFormat="1" applyFont="1" applyFill="0" applyBorder="1" applyAlignment="1" applyProtection="0">
      <alignment vertical="top" wrapText="1"/>
    </xf>
    <xf numFmtId="0" fontId="0" borderId="14" applyNumberFormat="0" applyFont="1" applyFill="0" applyBorder="1" applyAlignment="1" applyProtection="0">
      <alignment vertical="top" wrapText="1"/>
    </xf>
    <xf numFmtId="49" fontId="0" borderId="14" applyNumberFormat="1" applyFont="1" applyFill="0" applyBorder="1" applyAlignment="1" applyProtection="0">
      <alignment vertical="top" wrapText="1"/>
    </xf>
    <xf numFmtId="59" fontId="0" borderId="9" applyNumberFormat="1" applyFont="1" applyFill="0" applyBorder="1" applyAlignment="1" applyProtection="0">
      <alignment vertical="top" wrapText="1"/>
    </xf>
    <xf numFmtId="9" fontId="0" borderId="9" applyNumberFormat="1" applyFont="1" applyFill="0" applyBorder="1" applyAlignment="1" applyProtection="0">
      <alignment vertical="top" wrapText="1"/>
    </xf>
    <xf numFmtId="60" fontId="0" borderId="9" applyNumberFormat="1" applyFont="1" applyFill="0" applyBorder="1" applyAlignment="1" applyProtection="0">
      <alignment vertical="top" wrapText="1"/>
    </xf>
    <xf numFmtId="61" fontId="0" borderId="9" applyNumberFormat="1" applyFont="1" applyFill="0" applyBorder="1" applyAlignment="1" applyProtection="0">
      <alignment vertical="top" wrapText="1"/>
    </xf>
    <xf numFmtId="62" fontId="0" borderId="9" applyNumberFormat="1" applyFont="1" applyFill="0" applyBorder="1" applyAlignment="1" applyProtection="0">
      <alignment vertical="top" wrapText="1"/>
    </xf>
    <xf numFmtId="49" fontId="5" borderId="9" applyNumberFormat="1" applyFont="1" applyFill="0" applyBorder="1" applyAlignment="1" applyProtection="0">
      <alignment vertical="top" wrapText="1"/>
    </xf>
    <xf numFmtId="60" fontId="0" fillId="6" borderId="12" applyNumberFormat="1" applyFont="1" applyFill="1" applyBorder="1" applyAlignment="1" applyProtection="0">
      <alignment vertical="bottom"/>
    </xf>
    <xf numFmtId="61" fontId="0" fillId="6" borderId="12" applyNumberFormat="1" applyFont="1" applyFill="1" applyBorder="1" applyAlignment="1" applyProtection="0">
      <alignment vertical="bottom"/>
    </xf>
    <xf numFmtId="9" fontId="0" fillId="6" borderId="12" applyNumberFormat="1" applyFont="1" applyFill="1" applyBorder="1" applyAlignment="1" applyProtection="0">
      <alignment vertical="bottom"/>
    </xf>
    <xf numFmtId="9" fontId="0" borderId="10" applyNumberFormat="1" applyFont="1" applyFill="0" applyBorder="1" applyAlignment="1" applyProtection="0">
      <alignment vertical="top" wrapText="1"/>
    </xf>
    <xf numFmtId="9" fontId="0" borderId="14" applyNumberFormat="1" applyFont="1" applyFill="0" applyBorder="1" applyAlignment="1" applyProtection="0">
      <alignment vertical="top" wrapText="1"/>
    </xf>
    <xf numFmtId="60" fontId="0" fillId="4" borderId="12" applyNumberFormat="1" applyFont="1" applyFill="1" applyBorder="1" applyAlignment="1" applyProtection="0">
      <alignment vertical="bottom"/>
    </xf>
    <xf numFmtId="61" fontId="0" fillId="4" borderId="12" applyNumberFormat="1" applyFont="1" applyFill="1" applyBorder="1" applyAlignment="1" applyProtection="0">
      <alignment vertical="bottom"/>
    </xf>
    <xf numFmtId="60" fontId="0" borderId="14" applyNumberFormat="1" applyFont="1" applyFill="0" applyBorder="1" applyAlignment="1" applyProtection="0">
      <alignment vertical="top" wrapText="1"/>
    </xf>
    <xf numFmtId="60" fontId="0" borderId="10" applyNumberFormat="1" applyFont="1" applyFill="0" applyBorder="1" applyAlignment="1" applyProtection="0">
      <alignment vertical="top" wrapText="1"/>
    </xf>
    <xf numFmtId="0" fontId="0" fillId="7" borderId="12" applyNumberFormat="1" applyFont="1" applyFill="1" applyBorder="1" applyAlignment="1" applyProtection="0">
      <alignment vertical="bottom"/>
    </xf>
    <xf numFmtId="49" fontId="6" borderId="9" applyNumberFormat="1" applyFont="1" applyFill="0" applyBorder="1" applyAlignment="1" applyProtection="0">
      <alignment vertical="top" wrapText="1"/>
    </xf>
    <xf numFmtId="0" fontId="0" borderId="8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f0000"/>
      <rgbColor rgb="ffff9900"/>
      <rgbColor rgb="ffffff00"/>
      <rgbColor rgb="ffffd966"/>
      <rgbColor rgb="ff0000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kolici.com/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Q2485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7" width="16.3516" style="1" customWidth="1"/>
    <col min="18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ht="22.65" customHeight="1">
      <c r="A2" t="s" s="3">
        <v>1</v>
      </c>
      <c r="B2" t="s" s="4">
        <v>2</v>
      </c>
      <c r="C2" t="s" s="5">
        <v>3</v>
      </c>
      <c r="D2" t="s" s="5">
        <v>4</v>
      </c>
      <c r="E2" t="s" s="5">
        <v>5</v>
      </c>
      <c r="F2" t="s" s="5">
        <v>6</v>
      </c>
      <c r="G2" t="s" s="5">
        <v>7</v>
      </c>
      <c r="H2" s="6"/>
      <c r="I2" s="6"/>
      <c r="J2" t="s" s="5">
        <v>8</v>
      </c>
      <c r="K2" t="s" s="5">
        <v>9</v>
      </c>
      <c r="L2" t="s" s="5">
        <v>10</v>
      </c>
      <c r="M2" t="s" s="5">
        <v>10</v>
      </c>
      <c r="N2" t="s" s="5">
        <v>11</v>
      </c>
      <c r="O2" t="s" s="5">
        <v>12</v>
      </c>
      <c r="P2" t="s" s="5">
        <v>13</v>
      </c>
      <c r="Q2" s="7"/>
    </row>
    <row r="3" ht="20.35" customHeight="1">
      <c r="A3" s="8">
        <v>1</v>
      </c>
      <c r="B3" s="9">
        <v>2023</v>
      </c>
      <c r="C3" s="10">
        <v>7</v>
      </c>
      <c r="D3" s="10">
        <v>3</v>
      </c>
      <c r="E3" s="11"/>
      <c r="F3" s="11"/>
      <c r="G3" s="11"/>
      <c r="H3" s="11"/>
      <c r="I3" t="s" s="12">
        <v>14</v>
      </c>
      <c r="J3" t="s" s="12">
        <v>15</v>
      </c>
      <c r="K3" t="s" s="12">
        <v>16</v>
      </c>
      <c r="L3" s="10">
        <f>IF(O3,P3/O3,0)</f>
        <v>0.3954</v>
      </c>
      <c r="M3" s="10">
        <v>0.3954</v>
      </c>
      <c r="N3" s="10">
        <f>A3</f>
        <v>1</v>
      </c>
      <c r="O3" s="10">
        <v>100</v>
      </c>
      <c r="P3" s="10">
        <v>39.54</v>
      </c>
      <c r="Q3" s="11"/>
    </row>
    <row r="4" ht="20.05" customHeight="1">
      <c r="A4" s="13">
        <f>A3+1</f>
        <v>2</v>
      </c>
      <c r="B4" s="14">
        <v>2023</v>
      </c>
      <c r="C4" s="15">
        <v>7</v>
      </c>
      <c r="D4" s="15">
        <v>3</v>
      </c>
      <c r="E4" s="16"/>
      <c r="F4" s="16"/>
      <c r="G4" s="16"/>
      <c r="H4" s="16"/>
      <c r="I4" t="s" s="17">
        <v>17</v>
      </c>
      <c r="J4" t="s" s="17">
        <v>18</v>
      </c>
      <c r="K4" t="s" s="17">
        <v>16</v>
      </c>
      <c r="L4" s="15">
        <f>IF(O4,P4/O4,0)</f>
        <v>0.1525</v>
      </c>
      <c r="M4" s="15">
        <v>0.1525</v>
      </c>
      <c r="N4" s="15">
        <f>A4</f>
        <v>2</v>
      </c>
      <c r="O4" s="15">
        <v>200</v>
      </c>
      <c r="P4" s="15">
        <v>30.5</v>
      </c>
      <c r="Q4" s="16"/>
    </row>
    <row r="5" ht="20.05" customHeight="1">
      <c r="A5" s="13">
        <f>A4+1</f>
        <v>3</v>
      </c>
      <c r="B5" s="14">
        <v>2023</v>
      </c>
      <c r="C5" s="15">
        <v>7</v>
      </c>
      <c r="D5" s="15">
        <v>3</v>
      </c>
      <c r="E5" s="16"/>
      <c r="F5" s="16"/>
      <c r="G5" s="16"/>
      <c r="H5" s="16"/>
      <c r="I5" t="s" s="17">
        <v>19</v>
      </c>
      <c r="J5" t="s" s="17">
        <v>20</v>
      </c>
      <c r="K5" t="s" s="17">
        <v>16</v>
      </c>
      <c r="L5" s="15">
        <f>IF(O5,P5/O5,0)</f>
        <v>0.025</v>
      </c>
      <c r="M5" s="15">
        <v>0.025</v>
      </c>
      <c r="N5" s="15">
        <f>A5</f>
        <v>3</v>
      </c>
      <c r="O5" s="15">
        <v>1000</v>
      </c>
      <c r="P5" s="15">
        <v>25</v>
      </c>
      <c r="Q5" s="16"/>
    </row>
    <row r="6" ht="20.35" customHeight="1">
      <c r="A6" s="13">
        <f>A5+1</f>
        <v>4</v>
      </c>
      <c r="B6" s="14">
        <v>2023</v>
      </c>
      <c r="C6" s="15">
        <v>7</v>
      </c>
      <c r="D6" s="15">
        <v>3</v>
      </c>
      <c r="E6" s="16"/>
      <c r="F6" s="16"/>
      <c r="G6" s="16"/>
      <c r="H6" s="16"/>
      <c r="I6" t="s" s="17">
        <v>14</v>
      </c>
      <c r="J6" t="s" s="17">
        <v>21</v>
      </c>
      <c r="K6" t="s" s="17">
        <v>16</v>
      </c>
      <c r="L6" s="15">
        <f>IF(O6,P6/O6,0)</f>
        <v>0.01995</v>
      </c>
      <c r="M6" s="15">
        <v>0.01995</v>
      </c>
      <c r="N6" s="15">
        <f>A6</f>
        <v>4</v>
      </c>
      <c r="O6" s="15">
        <v>1000</v>
      </c>
      <c r="P6" s="18">
        <v>19.95</v>
      </c>
      <c r="Q6" s="16"/>
    </row>
    <row r="7" ht="20.7" customHeight="1">
      <c r="A7" s="13">
        <f>A6+1</f>
        <v>5</v>
      </c>
      <c r="B7" s="14">
        <v>2023</v>
      </c>
      <c r="C7" s="15">
        <v>7</v>
      </c>
      <c r="D7" s="15">
        <v>3</v>
      </c>
      <c r="E7" s="16"/>
      <c r="F7" s="16"/>
      <c r="G7" s="16"/>
      <c r="H7" s="16"/>
      <c r="I7" t="s" s="17">
        <v>14</v>
      </c>
      <c r="J7" t="s" s="17">
        <v>22</v>
      </c>
      <c r="K7" t="s" s="17">
        <v>23</v>
      </c>
      <c r="L7" s="15">
        <f>IF(O7,P7/O7,0)</f>
        <v>0.3919375</v>
      </c>
      <c r="M7" s="15">
        <v>0.3919375</v>
      </c>
      <c r="N7" s="15">
        <f>A7</f>
        <v>5</v>
      </c>
      <c r="O7" s="19">
        <v>160</v>
      </c>
      <c r="P7" s="20">
        <v>62.71</v>
      </c>
      <c r="Q7" s="21"/>
    </row>
    <row r="8" ht="20.7" customHeight="1">
      <c r="A8" s="13">
        <f>A7+1</f>
        <v>6</v>
      </c>
      <c r="B8" s="14">
        <v>2023</v>
      </c>
      <c r="C8" s="15">
        <v>7</v>
      </c>
      <c r="D8" s="15">
        <v>3</v>
      </c>
      <c r="E8" s="16"/>
      <c r="F8" s="16"/>
      <c r="G8" s="16"/>
      <c r="H8" s="16"/>
      <c r="I8" t="s" s="17">
        <v>14</v>
      </c>
      <c r="J8" t="s" s="17">
        <v>24</v>
      </c>
      <c r="K8" t="s" s="17">
        <v>16</v>
      </c>
      <c r="L8" s="15">
        <f>IF(O8,P8/O8,0)</f>
        <v>0.0185333333333333</v>
      </c>
      <c r="M8" s="15">
        <v>0.0185333333333333</v>
      </c>
      <c r="N8" s="15">
        <f>A8</f>
        <v>6</v>
      </c>
      <c r="O8" s="19">
        <v>750</v>
      </c>
      <c r="P8" s="20">
        <v>13.9</v>
      </c>
      <c r="Q8" s="21"/>
    </row>
    <row r="9" ht="20.7" customHeight="1">
      <c r="A9" s="13">
        <f>A8+1</f>
        <v>7</v>
      </c>
      <c r="B9" s="14">
        <v>2023</v>
      </c>
      <c r="C9" s="15">
        <v>7</v>
      </c>
      <c r="D9" s="15">
        <v>3</v>
      </c>
      <c r="E9" s="16"/>
      <c r="F9" s="16"/>
      <c r="G9" s="16"/>
      <c r="H9" s="16"/>
      <c r="I9" t="s" s="17">
        <v>17</v>
      </c>
      <c r="J9" t="s" s="17">
        <v>25</v>
      </c>
      <c r="K9" t="s" s="17">
        <v>16</v>
      </c>
      <c r="L9" s="15">
        <f>IF(O9,P9/O9,0)</f>
        <v>0.118</v>
      </c>
      <c r="M9" s="15">
        <v>0.118</v>
      </c>
      <c r="N9" s="15">
        <f>A9</f>
        <v>7</v>
      </c>
      <c r="O9" s="19">
        <v>1000</v>
      </c>
      <c r="P9" s="20">
        <v>118</v>
      </c>
      <c r="Q9" s="21"/>
    </row>
    <row r="10" ht="20.35" customHeight="1">
      <c r="A10" s="13">
        <f>A9+1</f>
        <v>8</v>
      </c>
      <c r="B10" s="14">
        <v>2023</v>
      </c>
      <c r="C10" s="15">
        <v>7</v>
      </c>
      <c r="D10" s="15">
        <v>3</v>
      </c>
      <c r="E10" s="16"/>
      <c r="F10" s="16"/>
      <c r="G10" s="16"/>
      <c r="H10" s="16"/>
      <c r="I10" t="s" s="17">
        <v>26</v>
      </c>
      <c r="J10" t="s" s="17">
        <v>27</v>
      </c>
      <c r="K10" t="s" s="17">
        <v>16</v>
      </c>
      <c r="L10" s="15">
        <f>IF(O10,P10/O10,0)</f>
        <v>0.256163636363636</v>
      </c>
      <c r="M10" s="15">
        <v>0.256163636363636</v>
      </c>
      <c r="N10" s="15">
        <f>A10</f>
        <v>8</v>
      </c>
      <c r="O10" s="15">
        <v>550</v>
      </c>
      <c r="P10" s="22">
        <v>140.89</v>
      </c>
      <c r="Q10" s="16"/>
    </row>
    <row r="11" ht="20.35" customHeight="1">
      <c r="A11" s="13">
        <f>A10+1</f>
        <v>9</v>
      </c>
      <c r="B11" s="14">
        <v>2023</v>
      </c>
      <c r="C11" s="15">
        <v>7</v>
      </c>
      <c r="D11" s="15">
        <v>3</v>
      </c>
      <c r="E11" s="16"/>
      <c r="F11" s="16"/>
      <c r="G11" s="16"/>
      <c r="H11" s="16"/>
      <c r="I11" t="s" s="17">
        <v>14</v>
      </c>
      <c r="J11" t="s" s="17">
        <v>28</v>
      </c>
      <c r="K11" t="s" s="17">
        <v>16</v>
      </c>
      <c r="L11" s="15">
        <f>IF(O11,P11/O11,0)</f>
        <v>0.172</v>
      </c>
      <c r="M11" s="15">
        <v>0.172</v>
      </c>
      <c r="N11" s="15">
        <f>A11</f>
        <v>9</v>
      </c>
      <c r="O11" s="15">
        <v>2500</v>
      </c>
      <c r="P11" s="18">
        <v>430</v>
      </c>
      <c r="Q11" s="16"/>
    </row>
    <row r="12" ht="20.7" customHeight="1">
      <c r="A12" s="13">
        <f>A11+1</f>
        <v>10</v>
      </c>
      <c r="B12" s="14">
        <v>2023</v>
      </c>
      <c r="C12" s="15">
        <v>7</v>
      </c>
      <c r="D12" s="15">
        <v>3</v>
      </c>
      <c r="E12" s="16"/>
      <c r="F12" s="16"/>
      <c r="G12" s="16"/>
      <c r="H12" s="16"/>
      <c r="I12" t="s" s="17">
        <v>14</v>
      </c>
      <c r="J12" t="s" s="17">
        <v>29</v>
      </c>
      <c r="K12" t="s" s="17">
        <v>16</v>
      </c>
      <c r="L12" s="15">
        <f>IF(O12,P12/O12,0)</f>
        <v>0.04284</v>
      </c>
      <c r="M12" s="15">
        <v>0.04284</v>
      </c>
      <c r="N12" s="15">
        <f>A12</f>
        <v>10</v>
      </c>
      <c r="O12" s="19">
        <v>1000</v>
      </c>
      <c r="P12" s="20">
        <v>42.84</v>
      </c>
      <c r="Q12" s="21"/>
    </row>
    <row r="13" ht="20.35" customHeight="1">
      <c r="A13" s="13">
        <f>A12+1</f>
        <v>11</v>
      </c>
      <c r="B13" s="14">
        <v>2023</v>
      </c>
      <c r="C13" s="15">
        <v>7</v>
      </c>
      <c r="D13" s="15">
        <v>3</v>
      </c>
      <c r="E13" s="16"/>
      <c r="F13" s="16"/>
      <c r="G13" s="16"/>
      <c r="H13" s="16"/>
      <c r="I13" t="s" s="17">
        <v>14</v>
      </c>
      <c r="J13" t="s" s="17">
        <v>30</v>
      </c>
      <c r="K13" t="s" s="17">
        <v>16</v>
      </c>
      <c r="L13" s="15">
        <f>IF(O13,P13/O13,0)</f>
        <v>0.0176</v>
      </c>
      <c r="M13" s="15">
        <v>0.0176</v>
      </c>
      <c r="N13" s="15">
        <f>A13</f>
        <v>11</v>
      </c>
      <c r="O13" s="15">
        <v>5000</v>
      </c>
      <c r="P13" s="22">
        <v>88</v>
      </c>
      <c r="Q13" s="16"/>
    </row>
    <row r="14" ht="20.35" customHeight="1">
      <c r="A14" s="13">
        <f>A13+1</f>
        <v>12</v>
      </c>
      <c r="B14" s="14">
        <v>2023</v>
      </c>
      <c r="C14" s="15">
        <v>7</v>
      </c>
      <c r="D14" s="15">
        <v>3</v>
      </c>
      <c r="E14" s="16"/>
      <c r="F14" s="16"/>
      <c r="G14" s="16"/>
      <c r="H14" s="16"/>
      <c r="I14" t="s" s="17">
        <v>14</v>
      </c>
      <c r="J14" t="s" s="17">
        <v>31</v>
      </c>
      <c r="K14" t="s" s="17">
        <v>16</v>
      </c>
      <c r="L14" s="15">
        <f>IF(O14,P14/O14,0)</f>
        <v>0.033</v>
      </c>
      <c r="M14" s="15">
        <v>0.033</v>
      </c>
      <c r="N14" s="15">
        <f>A14</f>
        <v>12</v>
      </c>
      <c r="O14" s="15">
        <v>1000</v>
      </c>
      <c r="P14" s="18">
        <v>33</v>
      </c>
      <c r="Q14" s="16"/>
    </row>
    <row r="15" ht="20.7" customHeight="1">
      <c r="A15" s="13">
        <f>A14+1</f>
        <v>13</v>
      </c>
      <c r="B15" s="14">
        <v>2023</v>
      </c>
      <c r="C15" s="15">
        <v>7</v>
      </c>
      <c r="D15" s="15">
        <v>3</v>
      </c>
      <c r="E15" s="16"/>
      <c r="F15" s="16"/>
      <c r="G15" s="16"/>
      <c r="H15" s="16"/>
      <c r="I15" t="s" s="17">
        <v>19</v>
      </c>
      <c r="J15" t="s" s="17">
        <v>32</v>
      </c>
      <c r="K15" t="s" s="17">
        <v>16</v>
      </c>
      <c r="L15" s="15">
        <f>IF(O15,P15/O15,0)</f>
        <v>0.20924</v>
      </c>
      <c r="M15" s="15">
        <v>0.20924</v>
      </c>
      <c r="N15" s="15">
        <f>A15</f>
        <v>13</v>
      </c>
      <c r="O15" s="19">
        <v>250</v>
      </c>
      <c r="P15" s="20">
        <v>52.31</v>
      </c>
      <c r="Q15" s="21"/>
    </row>
    <row r="16" ht="20.7" customHeight="1">
      <c r="A16" s="13">
        <f>A15+1</f>
        <v>14</v>
      </c>
      <c r="B16" s="14">
        <v>2023</v>
      </c>
      <c r="C16" s="15">
        <v>7</v>
      </c>
      <c r="D16" s="15">
        <v>3</v>
      </c>
      <c r="E16" s="16"/>
      <c r="F16" s="16"/>
      <c r="G16" s="16"/>
      <c r="H16" s="16"/>
      <c r="I16" t="s" s="17">
        <v>14</v>
      </c>
      <c r="J16" t="s" s="17">
        <v>33</v>
      </c>
      <c r="K16" t="s" s="17">
        <v>16</v>
      </c>
      <c r="L16" s="15">
        <f>IF(O16,P16/O16,0)</f>
        <v>0.169512</v>
      </c>
      <c r="M16" s="15">
        <v>0.169512</v>
      </c>
      <c r="N16" s="15">
        <f>A16</f>
        <v>14</v>
      </c>
      <c r="O16" s="15">
        <v>2500</v>
      </c>
      <c r="P16" s="23">
        <v>423.78</v>
      </c>
      <c r="Q16" s="16"/>
    </row>
    <row r="17" ht="20.7" customHeight="1">
      <c r="A17" s="13">
        <f>A16+1</f>
        <v>15</v>
      </c>
      <c r="B17" s="14">
        <v>2023</v>
      </c>
      <c r="C17" s="15">
        <v>7</v>
      </c>
      <c r="D17" s="15">
        <v>3</v>
      </c>
      <c r="E17" s="16"/>
      <c r="F17" s="16"/>
      <c r="G17" s="16"/>
      <c r="H17" s="16"/>
      <c r="I17" t="s" s="17">
        <v>14</v>
      </c>
      <c r="J17" t="s" s="17">
        <v>34</v>
      </c>
      <c r="K17" t="s" s="17">
        <v>16</v>
      </c>
      <c r="L17" s="15">
        <f>IF(O17,P17/O17,0)</f>
        <v>0.1246</v>
      </c>
      <c r="M17" s="15">
        <v>0.1246</v>
      </c>
      <c r="N17" s="15">
        <f>A17</f>
        <v>15</v>
      </c>
      <c r="O17" s="19">
        <v>150</v>
      </c>
      <c r="P17" s="20">
        <v>18.69</v>
      </c>
      <c r="Q17" s="21"/>
    </row>
    <row r="18" ht="20.35" customHeight="1">
      <c r="A18" s="13">
        <f>A17+1</f>
        <v>16</v>
      </c>
      <c r="B18" s="14">
        <v>2023</v>
      </c>
      <c r="C18" s="15">
        <v>7</v>
      </c>
      <c r="D18" s="15">
        <v>3</v>
      </c>
      <c r="E18" s="16"/>
      <c r="F18" s="16"/>
      <c r="G18" s="16"/>
      <c r="H18" s="16"/>
      <c r="I18" t="s" s="17">
        <v>17</v>
      </c>
      <c r="J18" t="s" s="17">
        <v>35</v>
      </c>
      <c r="K18" t="s" s="17">
        <v>16</v>
      </c>
      <c r="L18" s="15">
        <f>IF(O18,P18/O18,0)</f>
        <v>0.15</v>
      </c>
      <c r="M18" s="15">
        <v>0.15</v>
      </c>
      <c r="N18" s="15">
        <f>A18</f>
        <v>16</v>
      </c>
      <c r="O18" s="15">
        <v>4000</v>
      </c>
      <c r="P18" s="22">
        <v>600</v>
      </c>
      <c r="Q18" s="16"/>
    </row>
    <row r="19" ht="20.35" customHeight="1">
      <c r="A19" s="13">
        <f>A18+1</f>
        <v>17</v>
      </c>
      <c r="B19" s="14">
        <v>2023</v>
      </c>
      <c r="C19" s="15">
        <v>7</v>
      </c>
      <c r="D19" s="15">
        <v>3</v>
      </c>
      <c r="E19" s="16"/>
      <c r="F19" s="16"/>
      <c r="G19" s="16"/>
      <c r="H19" s="16"/>
      <c r="I19" t="s" s="17">
        <v>14</v>
      </c>
      <c r="J19" t="s" s="17">
        <v>36</v>
      </c>
      <c r="K19" t="s" s="17">
        <v>16</v>
      </c>
      <c r="L19" s="15">
        <f>IF(O19,P19/O19,0)</f>
        <v>0.0498</v>
      </c>
      <c r="M19" s="15">
        <v>0.0498</v>
      </c>
      <c r="N19" s="15">
        <f>A19</f>
        <v>17</v>
      </c>
      <c r="O19" s="15">
        <v>5000</v>
      </c>
      <c r="P19" s="18">
        <v>249</v>
      </c>
      <c r="Q19" s="16"/>
    </row>
    <row r="20" ht="20.7" customHeight="1">
      <c r="A20" s="13">
        <f>A19+1</f>
        <v>18</v>
      </c>
      <c r="B20" s="14">
        <v>2023</v>
      </c>
      <c r="C20" s="15">
        <v>7</v>
      </c>
      <c r="D20" s="15">
        <v>3</v>
      </c>
      <c r="E20" s="16"/>
      <c r="F20" s="16"/>
      <c r="G20" s="16"/>
      <c r="H20" s="16"/>
      <c r="I20" t="s" s="17">
        <v>17</v>
      </c>
      <c r="J20" t="s" s="17">
        <v>37</v>
      </c>
      <c r="K20" t="s" s="17">
        <v>16</v>
      </c>
      <c r="L20" s="15">
        <f>IF(O20,P20/O20,0)</f>
        <v>0.265433333333333</v>
      </c>
      <c r="M20" s="15">
        <v>0.265433333333333</v>
      </c>
      <c r="N20" s="15">
        <f>A20</f>
        <v>18</v>
      </c>
      <c r="O20" s="19">
        <v>600</v>
      </c>
      <c r="P20" s="20">
        <v>159.26</v>
      </c>
      <c r="Q20" s="21"/>
    </row>
    <row r="21" ht="20.7" customHeight="1">
      <c r="A21" s="13">
        <f>A20+1</f>
        <v>19</v>
      </c>
      <c r="B21" s="14">
        <v>2023</v>
      </c>
      <c r="C21" s="15">
        <v>7</v>
      </c>
      <c r="D21" s="15">
        <v>3</v>
      </c>
      <c r="E21" s="16"/>
      <c r="F21" s="16"/>
      <c r="G21" s="16"/>
      <c r="H21" s="16"/>
      <c r="I21" t="s" s="17">
        <v>14</v>
      </c>
      <c r="J21" t="s" s="17">
        <v>38</v>
      </c>
      <c r="K21" t="s" s="17">
        <v>16</v>
      </c>
      <c r="L21" s="15">
        <f>IF(O21,P21/O21,0)</f>
        <v>0.39205</v>
      </c>
      <c r="M21" s="15">
        <v>0.39205</v>
      </c>
      <c r="N21" s="15">
        <f>A21</f>
        <v>19</v>
      </c>
      <c r="O21" s="19">
        <v>1000</v>
      </c>
      <c r="P21" s="20">
        <v>392.05</v>
      </c>
      <c r="Q21" s="21"/>
    </row>
    <row r="22" ht="20.35" customHeight="1">
      <c r="A22" s="13">
        <f>A21+1</f>
        <v>20</v>
      </c>
      <c r="B22" s="14">
        <v>2023</v>
      </c>
      <c r="C22" s="15">
        <v>7</v>
      </c>
      <c r="D22" s="15">
        <v>3</v>
      </c>
      <c r="E22" s="16"/>
      <c r="F22" s="16"/>
      <c r="G22" s="16"/>
      <c r="H22" s="16"/>
      <c r="I22" t="s" s="17">
        <v>14</v>
      </c>
      <c r="J22" t="s" s="17">
        <v>39</v>
      </c>
      <c r="K22" t="s" s="17">
        <v>16</v>
      </c>
      <c r="L22" s="15">
        <f>IF(O22,P22/O22,0)</f>
        <v>0.179</v>
      </c>
      <c r="M22" s="15">
        <v>0.179</v>
      </c>
      <c r="N22" s="15">
        <f>A22</f>
        <v>20</v>
      </c>
      <c r="O22" s="15">
        <v>1000</v>
      </c>
      <c r="P22" s="22">
        <v>179</v>
      </c>
      <c r="Q22" s="16"/>
    </row>
    <row r="23" ht="20.05" customHeight="1">
      <c r="A23" s="13">
        <f>A22+1</f>
        <v>21</v>
      </c>
      <c r="B23" s="14">
        <v>2023</v>
      </c>
      <c r="C23" s="15">
        <v>7</v>
      </c>
      <c r="D23" s="15">
        <v>3</v>
      </c>
      <c r="E23" s="16"/>
      <c r="F23" s="16"/>
      <c r="G23" s="16"/>
      <c r="H23" s="16"/>
      <c r="I23" t="s" s="17">
        <v>14</v>
      </c>
      <c r="J23" t="s" s="17">
        <v>40</v>
      </c>
      <c r="K23" t="s" s="17">
        <v>41</v>
      </c>
      <c r="L23" s="15">
        <f>IF(O23,P23/O23,0)</f>
        <v>0.11304</v>
      </c>
      <c r="M23" s="15">
        <v>0.11304</v>
      </c>
      <c r="N23" s="15">
        <f>A23</f>
        <v>21</v>
      </c>
      <c r="O23" s="15">
        <v>1000</v>
      </c>
      <c r="P23" s="15">
        <v>113.04</v>
      </c>
      <c r="Q23" s="16"/>
    </row>
    <row r="24" ht="20.05" customHeight="1">
      <c r="A24" s="13">
        <f>A23+1</f>
        <v>22</v>
      </c>
      <c r="B24" s="14">
        <v>2023</v>
      </c>
      <c r="C24" s="15">
        <v>7</v>
      </c>
      <c r="D24" s="15">
        <v>3</v>
      </c>
      <c r="E24" s="16"/>
      <c r="F24" s="16"/>
      <c r="G24" s="16"/>
      <c r="H24" s="16"/>
      <c r="I24" t="s" s="17">
        <v>14</v>
      </c>
      <c r="J24" t="s" s="17">
        <v>42</v>
      </c>
      <c r="K24" t="s" s="17">
        <v>16</v>
      </c>
      <c r="L24" s="15">
        <f>IF(O24,P24/O24,0)</f>
        <v>0.55</v>
      </c>
      <c r="M24" s="15">
        <v>0.55</v>
      </c>
      <c r="N24" s="15">
        <f>A24</f>
        <v>22</v>
      </c>
      <c r="O24" s="15">
        <v>400</v>
      </c>
      <c r="P24" s="15">
        <v>220</v>
      </c>
      <c r="Q24" s="16"/>
    </row>
    <row r="25" ht="20.05" customHeight="1">
      <c r="A25" s="13">
        <f>A24+1</f>
        <v>23</v>
      </c>
      <c r="B25" s="14">
        <v>2023</v>
      </c>
      <c r="C25" s="15">
        <v>7</v>
      </c>
      <c r="D25" s="15">
        <v>3</v>
      </c>
      <c r="E25" s="16"/>
      <c r="F25" s="16"/>
      <c r="G25" s="16"/>
      <c r="H25" s="16"/>
      <c r="I25" t="s" s="17">
        <v>14</v>
      </c>
      <c r="J25" t="s" s="17">
        <v>43</v>
      </c>
      <c r="K25" t="s" s="17">
        <v>16</v>
      </c>
      <c r="L25" s="15">
        <f>IF(O25,P25/O25,0)</f>
        <v>0.130923076923077</v>
      </c>
      <c r="M25" s="15">
        <v>0.130923076923077</v>
      </c>
      <c r="N25" s="15">
        <f>A25</f>
        <v>23</v>
      </c>
      <c r="O25" s="15">
        <v>650</v>
      </c>
      <c r="P25" s="15">
        <v>85.09999999999999</v>
      </c>
      <c r="Q25" s="16"/>
    </row>
    <row r="26" ht="20.05" customHeight="1">
      <c r="A26" s="13">
        <f>A25+1</f>
        <v>24</v>
      </c>
      <c r="B26" s="14">
        <v>2023</v>
      </c>
      <c r="C26" s="15">
        <v>7</v>
      </c>
      <c r="D26" s="15">
        <v>3</v>
      </c>
      <c r="E26" s="16"/>
      <c r="F26" s="16"/>
      <c r="G26" s="16"/>
      <c r="H26" s="16"/>
      <c r="I26" t="s" s="17">
        <v>17</v>
      </c>
      <c r="J26" t="s" s="17">
        <v>44</v>
      </c>
      <c r="K26" t="s" s="17">
        <v>16</v>
      </c>
      <c r="L26" s="15">
        <f>IF(O26,P26/O26,0)</f>
        <v>0.12</v>
      </c>
      <c r="M26" s="15">
        <v>0.12</v>
      </c>
      <c r="N26" s="15">
        <f>A26</f>
        <v>24</v>
      </c>
      <c r="O26" s="15">
        <v>1000</v>
      </c>
      <c r="P26" s="15">
        <v>120</v>
      </c>
      <c r="Q26" s="16"/>
    </row>
    <row r="27" ht="20.35" customHeight="1">
      <c r="A27" s="13">
        <f>A26+1</f>
        <v>25</v>
      </c>
      <c r="B27" s="14">
        <v>2023</v>
      </c>
      <c r="C27" s="15">
        <v>7</v>
      </c>
      <c r="D27" s="15">
        <v>3</v>
      </c>
      <c r="E27" s="16"/>
      <c r="F27" s="16"/>
      <c r="G27" s="16"/>
      <c r="H27" s="16"/>
      <c r="I27" t="s" s="17">
        <v>17</v>
      </c>
      <c r="J27" t="s" s="17">
        <v>45</v>
      </c>
      <c r="K27" t="s" s="17">
        <v>16</v>
      </c>
      <c r="L27" s="15">
        <f>IF(O27,P27/O27,0)</f>
        <v>0.0275</v>
      </c>
      <c r="M27" s="15">
        <v>0.0275</v>
      </c>
      <c r="N27" s="15">
        <f>A27</f>
        <v>25</v>
      </c>
      <c r="O27" s="15">
        <v>3000</v>
      </c>
      <c r="P27" s="18">
        <v>82.5</v>
      </c>
      <c r="Q27" s="16"/>
    </row>
    <row r="28" ht="20.7" customHeight="1">
      <c r="A28" s="13">
        <f>A27+1</f>
        <v>26</v>
      </c>
      <c r="B28" s="14">
        <v>2023</v>
      </c>
      <c r="C28" s="15">
        <v>7</v>
      </c>
      <c r="D28" s="15">
        <v>3</v>
      </c>
      <c r="E28" s="16"/>
      <c r="F28" s="16"/>
      <c r="G28" s="16"/>
      <c r="H28" s="16"/>
      <c r="I28" t="s" s="17">
        <v>17</v>
      </c>
      <c r="J28" t="s" s="17">
        <v>46</v>
      </c>
      <c r="K28" t="s" s="17">
        <v>16</v>
      </c>
      <c r="L28" s="15">
        <f>IF(O28,P28/O28,0)</f>
        <v>0.06567647058823529</v>
      </c>
      <c r="M28" s="15">
        <v>0.06567647058823529</v>
      </c>
      <c r="N28" s="15">
        <f>A28</f>
        <v>26</v>
      </c>
      <c r="O28" s="19">
        <v>680</v>
      </c>
      <c r="P28" s="20">
        <v>44.66</v>
      </c>
      <c r="Q28" s="21"/>
    </row>
    <row r="29" ht="20.7" customHeight="1">
      <c r="A29" s="13">
        <f>A28+1</f>
        <v>27</v>
      </c>
      <c r="B29" s="14">
        <v>2023</v>
      </c>
      <c r="C29" s="15">
        <v>7</v>
      </c>
      <c r="D29" s="15">
        <v>3</v>
      </c>
      <c r="E29" s="16"/>
      <c r="F29" s="16"/>
      <c r="G29" s="16"/>
      <c r="H29" s="16"/>
      <c r="I29" t="s" s="17">
        <v>14</v>
      </c>
      <c r="J29" t="s" s="17">
        <v>47</v>
      </c>
      <c r="K29" t="s" s="17">
        <v>16</v>
      </c>
      <c r="L29" s="15">
        <f>IF(O29,P29/O29,0)</f>
        <v>0.21597</v>
      </c>
      <c r="M29" s="15">
        <v>0.21597</v>
      </c>
      <c r="N29" s="15">
        <f>A29</f>
        <v>27</v>
      </c>
      <c r="O29" s="19">
        <v>1000</v>
      </c>
      <c r="P29" s="20">
        <v>215.97</v>
      </c>
      <c r="Q29" s="21"/>
    </row>
    <row r="30" ht="20.7" customHeight="1">
      <c r="A30" s="13">
        <f>A29+1</f>
        <v>28</v>
      </c>
      <c r="B30" s="14">
        <v>2023</v>
      </c>
      <c r="C30" s="15">
        <v>7</v>
      </c>
      <c r="D30" s="15">
        <v>3</v>
      </c>
      <c r="E30" s="16"/>
      <c r="F30" s="16"/>
      <c r="G30" s="16"/>
      <c r="H30" s="16"/>
      <c r="I30" t="s" s="17">
        <v>17</v>
      </c>
      <c r="J30" t="s" s="17">
        <v>48</v>
      </c>
      <c r="K30" t="s" s="17">
        <v>16</v>
      </c>
      <c r="L30" s="15">
        <f>IF(O30,P30/O30,0)</f>
        <v>0.323333333333333</v>
      </c>
      <c r="M30" s="15">
        <v>0.323333333333333</v>
      </c>
      <c r="N30" s="15">
        <f>A30</f>
        <v>28</v>
      </c>
      <c r="O30" s="15">
        <v>150</v>
      </c>
      <c r="P30" s="23">
        <v>48.5</v>
      </c>
      <c r="Q30" s="16"/>
    </row>
    <row r="31" ht="20.7" customHeight="1">
      <c r="A31" s="13">
        <f>A30+1</f>
        <v>29</v>
      </c>
      <c r="B31" s="14">
        <v>2023</v>
      </c>
      <c r="C31" s="15">
        <v>7</v>
      </c>
      <c r="D31" s="15">
        <v>3</v>
      </c>
      <c r="E31" s="16"/>
      <c r="F31" s="16"/>
      <c r="G31" s="16"/>
      <c r="H31" s="16"/>
      <c r="I31" t="s" s="17">
        <v>14</v>
      </c>
      <c r="J31" t="s" s="17">
        <v>49</v>
      </c>
      <c r="K31" t="s" s="17">
        <v>16</v>
      </c>
      <c r="L31" s="15">
        <f>IF(O31,P31/O31,0)</f>
        <v>0.274</v>
      </c>
      <c r="M31" s="15">
        <v>0.274</v>
      </c>
      <c r="N31" s="15">
        <f>A31</f>
        <v>29</v>
      </c>
      <c r="O31" s="19">
        <v>200</v>
      </c>
      <c r="P31" s="20">
        <v>54.8</v>
      </c>
      <c r="Q31" s="21"/>
    </row>
    <row r="32" ht="20.7" customHeight="1">
      <c r="A32" s="13">
        <f>A31+1</f>
        <v>30</v>
      </c>
      <c r="B32" s="14">
        <v>2023</v>
      </c>
      <c r="C32" s="15">
        <v>7</v>
      </c>
      <c r="D32" s="15">
        <v>3</v>
      </c>
      <c r="E32" s="16"/>
      <c r="F32" s="16"/>
      <c r="G32" s="16"/>
      <c r="H32" s="16"/>
      <c r="I32" t="s" s="17">
        <v>14</v>
      </c>
      <c r="J32" t="s" s="17">
        <v>50</v>
      </c>
      <c r="K32" t="s" s="17">
        <v>23</v>
      </c>
      <c r="L32" s="15">
        <f>IF(O32,P32/O32,0)</f>
        <v>31.72</v>
      </c>
      <c r="M32" s="15">
        <v>31.72</v>
      </c>
      <c r="N32" s="15">
        <f>A32</f>
        <v>30</v>
      </c>
      <c r="O32" s="19">
        <v>1</v>
      </c>
      <c r="P32" s="20">
        <v>31.72</v>
      </c>
      <c r="Q32" s="21"/>
    </row>
    <row r="33" ht="32.35" customHeight="1">
      <c r="A33" s="13">
        <f>A32+1</f>
        <v>31</v>
      </c>
      <c r="B33" s="14">
        <v>2023</v>
      </c>
      <c r="C33" s="15">
        <v>7</v>
      </c>
      <c r="D33" s="15">
        <v>3</v>
      </c>
      <c r="E33" s="16"/>
      <c r="F33" s="16"/>
      <c r="G33" s="16"/>
      <c r="H33" s="16"/>
      <c r="I33" t="s" s="17">
        <v>14</v>
      </c>
      <c r="J33" t="s" s="17">
        <v>51</v>
      </c>
      <c r="K33" t="s" s="17">
        <v>23</v>
      </c>
      <c r="L33" s="15">
        <f>IF(O33,P33/O33,0)</f>
        <v>1.23611111111111</v>
      </c>
      <c r="M33" s="15">
        <v>1.23611111111111</v>
      </c>
      <c r="N33" s="15">
        <f>A33</f>
        <v>31</v>
      </c>
      <c r="O33" s="15">
        <v>72</v>
      </c>
      <c r="P33" s="22">
        <v>89</v>
      </c>
      <c r="Q33" s="16"/>
    </row>
    <row r="34" ht="20.05" customHeight="1">
      <c r="A34" s="13">
        <f>A33+1</f>
        <v>32</v>
      </c>
      <c r="B34" s="14">
        <v>2023</v>
      </c>
      <c r="C34" s="15">
        <v>7</v>
      </c>
      <c r="D34" s="15">
        <v>3</v>
      </c>
      <c r="E34" s="16"/>
      <c r="F34" s="16"/>
      <c r="G34" s="16"/>
      <c r="H34" s="16"/>
      <c r="I34" t="s" s="17">
        <v>14</v>
      </c>
      <c r="J34" t="s" s="17">
        <v>52</v>
      </c>
      <c r="K34" t="s" s="17">
        <v>53</v>
      </c>
      <c r="L34" s="15">
        <f>IF(O34,P34/O34,0)</f>
        <v>3.1665</v>
      </c>
      <c r="M34" s="15">
        <v>3.1665</v>
      </c>
      <c r="N34" s="15">
        <f>A34</f>
        <v>32</v>
      </c>
      <c r="O34" s="15">
        <v>20</v>
      </c>
      <c r="P34" s="15">
        <v>63.33</v>
      </c>
      <c r="Q34" s="16"/>
    </row>
    <row r="35" ht="20.05" customHeight="1">
      <c r="A35" s="13">
        <f>A34+1</f>
        <v>33</v>
      </c>
      <c r="B35" s="14">
        <v>2023</v>
      </c>
      <c r="C35" s="15">
        <v>7</v>
      </c>
      <c r="D35" s="15">
        <v>3</v>
      </c>
      <c r="E35" s="16"/>
      <c r="F35" s="16"/>
      <c r="G35" s="16"/>
      <c r="H35" s="16"/>
      <c r="I35" t="s" s="17">
        <v>14</v>
      </c>
      <c r="J35" t="s" s="17">
        <v>54</v>
      </c>
      <c r="K35" t="s" s="17">
        <v>53</v>
      </c>
      <c r="L35" s="15">
        <f>IF(O35,P35/O35,0)</f>
        <v>0.751266666666667</v>
      </c>
      <c r="M35" s="15">
        <v>0.751266666666667</v>
      </c>
      <c r="N35" s="15">
        <f>A35</f>
        <v>33</v>
      </c>
      <c r="O35" s="15">
        <v>300</v>
      </c>
      <c r="P35" s="15">
        <v>225.38</v>
      </c>
      <c r="Q35" s="16"/>
    </row>
    <row r="36" ht="20.05" customHeight="1">
      <c r="A36" s="13">
        <f>A35+1</f>
        <v>34</v>
      </c>
      <c r="B36" s="14">
        <v>2023</v>
      </c>
      <c r="C36" s="15">
        <v>7</v>
      </c>
      <c r="D36" s="15">
        <v>3</v>
      </c>
      <c r="E36" s="16"/>
      <c r="F36" s="16"/>
      <c r="G36" s="16"/>
      <c r="H36" s="16"/>
      <c r="I36" t="s" s="17">
        <v>17</v>
      </c>
      <c r="J36" t="s" s="17">
        <v>55</v>
      </c>
      <c r="K36" t="s" s="17">
        <v>16</v>
      </c>
      <c r="L36" s="15">
        <f>IF(O36,P36/O36,0)</f>
        <v>0.311428571428571</v>
      </c>
      <c r="M36" s="15">
        <v>0.311428571428571</v>
      </c>
      <c r="N36" s="15">
        <f>A36</f>
        <v>34</v>
      </c>
      <c r="O36" s="15">
        <v>350</v>
      </c>
      <c r="P36" s="15">
        <v>109</v>
      </c>
      <c r="Q36" s="16"/>
    </row>
    <row r="37" ht="20.35" customHeight="1">
      <c r="A37" s="13">
        <f>A36+1</f>
        <v>35</v>
      </c>
      <c r="B37" s="14">
        <v>2023</v>
      </c>
      <c r="C37" s="15">
        <v>7</v>
      </c>
      <c r="D37" s="15">
        <v>3</v>
      </c>
      <c r="E37" s="16"/>
      <c r="F37" s="16"/>
      <c r="G37" s="16"/>
      <c r="H37" s="16"/>
      <c r="I37" t="s" s="17">
        <v>19</v>
      </c>
      <c r="J37" t="s" s="17">
        <v>56</v>
      </c>
      <c r="K37" t="s" s="17">
        <v>41</v>
      </c>
      <c r="L37" s="15">
        <f>IF(O37,P37/O37,0)</f>
        <v>0.357333333333333</v>
      </c>
      <c r="M37" s="15">
        <v>0.357333333333333</v>
      </c>
      <c r="N37" s="15">
        <f>A37</f>
        <v>35</v>
      </c>
      <c r="O37" s="15">
        <v>750</v>
      </c>
      <c r="P37" s="18">
        <v>268</v>
      </c>
      <c r="Q37" s="16"/>
    </row>
    <row r="38" ht="20.7" customHeight="1">
      <c r="A38" s="13">
        <f>A37+1</f>
        <v>36</v>
      </c>
      <c r="B38" s="14">
        <v>2023</v>
      </c>
      <c r="C38" s="15">
        <v>7</v>
      </c>
      <c r="D38" s="15">
        <v>3</v>
      </c>
      <c r="E38" s="16"/>
      <c r="F38" s="16"/>
      <c r="G38" s="16"/>
      <c r="H38" s="16"/>
      <c r="I38" t="s" s="17">
        <v>14</v>
      </c>
      <c r="J38" t="s" s="17">
        <v>57</v>
      </c>
      <c r="K38" t="s" s="17">
        <v>41</v>
      </c>
      <c r="L38" s="15">
        <f>IF(O38,P38/O38,0)</f>
        <v>0.03752</v>
      </c>
      <c r="M38" s="15">
        <v>0.03752</v>
      </c>
      <c r="N38" s="15">
        <f>A38</f>
        <v>36</v>
      </c>
      <c r="O38" s="19">
        <v>750</v>
      </c>
      <c r="P38" s="20">
        <v>28.14</v>
      </c>
      <c r="Q38" s="21"/>
    </row>
    <row r="39" ht="20.7" customHeight="1">
      <c r="A39" s="13">
        <f>A38+1</f>
        <v>37</v>
      </c>
      <c r="B39" s="14">
        <v>2023</v>
      </c>
      <c r="C39" s="15">
        <v>7</v>
      </c>
      <c r="D39" s="15">
        <v>3</v>
      </c>
      <c r="E39" s="16"/>
      <c r="F39" s="16"/>
      <c r="G39" s="16"/>
      <c r="H39" s="16"/>
      <c r="I39" t="s" s="17">
        <v>14</v>
      </c>
      <c r="J39" t="s" s="17">
        <v>58</v>
      </c>
      <c r="K39" t="s" s="17">
        <v>16</v>
      </c>
      <c r="L39" s="15">
        <f>IF(O39,P39/O39,0)</f>
        <v>0.15379</v>
      </c>
      <c r="M39" s="15">
        <v>0.15379</v>
      </c>
      <c r="N39" s="15">
        <f>A39</f>
        <v>37</v>
      </c>
      <c r="O39" s="19">
        <v>1000</v>
      </c>
      <c r="P39" s="20">
        <v>153.79</v>
      </c>
      <c r="Q39" s="21"/>
    </row>
    <row r="40" ht="20.7" customHeight="1">
      <c r="A40" s="13">
        <f>A39+1</f>
        <v>38</v>
      </c>
      <c r="B40" s="14">
        <v>2023</v>
      </c>
      <c r="C40" s="15">
        <v>7</v>
      </c>
      <c r="D40" s="15">
        <v>3</v>
      </c>
      <c r="E40" s="16"/>
      <c r="F40" s="16"/>
      <c r="G40" s="16"/>
      <c r="H40" s="16"/>
      <c r="I40" t="s" s="17">
        <v>19</v>
      </c>
      <c r="J40" t="s" s="17">
        <v>59</v>
      </c>
      <c r="K40" t="s" s="17">
        <v>41</v>
      </c>
      <c r="L40" s="15">
        <f>IF(O40,P40/O40,0)</f>
        <v>0.279514285714286</v>
      </c>
      <c r="M40" s="15">
        <v>0.279514285714286</v>
      </c>
      <c r="N40" s="15">
        <f>A40</f>
        <v>38</v>
      </c>
      <c r="O40" s="15">
        <v>350</v>
      </c>
      <c r="P40" s="23">
        <v>97.83</v>
      </c>
      <c r="Q40" s="16"/>
    </row>
    <row r="41" ht="20.7" customHeight="1">
      <c r="A41" s="13">
        <f>A40+1</f>
        <v>39</v>
      </c>
      <c r="B41" s="14">
        <v>2023</v>
      </c>
      <c r="C41" s="15">
        <v>7</v>
      </c>
      <c r="D41" s="15">
        <v>3</v>
      </c>
      <c r="E41" s="16"/>
      <c r="F41" s="16"/>
      <c r="G41" s="16"/>
      <c r="H41" s="16"/>
      <c r="I41" t="s" s="17">
        <v>19</v>
      </c>
      <c r="J41" t="s" s="17">
        <v>60</v>
      </c>
      <c r="K41" t="s" s="17">
        <v>23</v>
      </c>
      <c r="L41" s="15">
        <f>IF(O41,P41/O41,0)</f>
        <v>0.363333333333333</v>
      </c>
      <c r="M41" s="15">
        <v>0.363333333333333</v>
      </c>
      <c r="N41" s="15">
        <f>A41</f>
        <v>39</v>
      </c>
      <c r="O41" s="19">
        <v>18</v>
      </c>
      <c r="P41" s="20">
        <v>6.54</v>
      </c>
      <c r="Q41" s="21"/>
    </row>
    <row r="42" ht="20.7" customHeight="1">
      <c r="A42" s="13">
        <f>A41+1</f>
        <v>40</v>
      </c>
      <c r="B42" s="14">
        <v>2023</v>
      </c>
      <c r="C42" s="15">
        <v>7</v>
      </c>
      <c r="D42" s="15">
        <v>3</v>
      </c>
      <c r="E42" s="16"/>
      <c r="F42" s="16"/>
      <c r="G42" s="16"/>
      <c r="H42" s="16"/>
      <c r="I42" t="s" s="17">
        <v>19</v>
      </c>
      <c r="J42" t="s" s="17">
        <v>61</v>
      </c>
      <c r="K42" t="s" s="17">
        <v>16</v>
      </c>
      <c r="L42" s="15">
        <f>IF(O42,P42/O42,0)</f>
        <v>0.64</v>
      </c>
      <c r="M42" s="15">
        <v>0.64</v>
      </c>
      <c r="N42" s="15">
        <f>A42</f>
        <v>40</v>
      </c>
      <c r="O42" s="19">
        <v>50</v>
      </c>
      <c r="P42" s="20">
        <v>32</v>
      </c>
      <c r="Q42" s="21"/>
    </row>
    <row r="43" ht="20.7" customHeight="1">
      <c r="A43" s="13">
        <f>A42+1</f>
        <v>41</v>
      </c>
      <c r="B43" s="14">
        <v>2023</v>
      </c>
      <c r="C43" s="15">
        <v>7</v>
      </c>
      <c r="D43" s="15">
        <v>3</v>
      </c>
      <c r="E43" s="16"/>
      <c r="F43" s="16"/>
      <c r="G43" s="16"/>
      <c r="H43" s="16"/>
      <c r="I43" t="s" s="17">
        <v>19</v>
      </c>
      <c r="J43" t="s" s="17">
        <v>62</v>
      </c>
      <c r="K43" t="s" s="17">
        <v>16</v>
      </c>
      <c r="L43" s="15">
        <f>IF(O43,P43/O43,0)</f>
        <v>1.0256</v>
      </c>
      <c r="M43" s="15">
        <v>1.0256</v>
      </c>
      <c r="N43" s="15">
        <f>A43</f>
        <v>41</v>
      </c>
      <c r="O43" s="19">
        <v>25</v>
      </c>
      <c r="P43" s="20">
        <v>25.64</v>
      </c>
      <c r="Q43" s="21"/>
    </row>
    <row r="44" ht="20.7" customHeight="1">
      <c r="A44" s="13">
        <f>A43+1</f>
        <v>42</v>
      </c>
      <c r="B44" s="14">
        <v>2023</v>
      </c>
      <c r="C44" s="15">
        <v>7</v>
      </c>
      <c r="D44" s="15">
        <v>3</v>
      </c>
      <c r="E44" s="16"/>
      <c r="F44" s="16"/>
      <c r="G44" s="16"/>
      <c r="H44" s="16"/>
      <c r="I44" t="s" s="17">
        <v>19</v>
      </c>
      <c r="J44" t="s" s="17">
        <v>63</v>
      </c>
      <c r="K44" t="s" s="17">
        <v>16</v>
      </c>
      <c r="L44" s="15">
        <f>IF(O44,P44/O44,0)</f>
        <v>0.59012</v>
      </c>
      <c r="M44" s="15">
        <v>0.59012</v>
      </c>
      <c r="N44" s="15">
        <f>A44</f>
        <v>42</v>
      </c>
      <c r="O44" s="19">
        <v>250</v>
      </c>
      <c r="P44" s="20">
        <v>147.53</v>
      </c>
      <c r="Q44" s="21"/>
    </row>
    <row r="45" ht="20.7" customHeight="1">
      <c r="A45" s="13">
        <f>A44+1</f>
        <v>43</v>
      </c>
      <c r="B45" s="14">
        <v>2023</v>
      </c>
      <c r="C45" s="15">
        <v>7</v>
      </c>
      <c r="D45" s="15">
        <v>3</v>
      </c>
      <c r="E45" s="16"/>
      <c r="F45" s="16"/>
      <c r="G45" s="16"/>
      <c r="H45" s="16"/>
      <c r="I45" t="s" s="17">
        <v>19</v>
      </c>
      <c r="J45" t="s" s="17">
        <v>64</v>
      </c>
      <c r="K45" t="s" s="17">
        <v>16</v>
      </c>
      <c r="L45" s="15">
        <f>IF(O45,P45/O45,0)</f>
        <v>0.395</v>
      </c>
      <c r="M45" s="15">
        <v>0.395</v>
      </c>
      <c r="N45" s="15">
        <f>A45</f>
        <v>43</v>
      </c>
      <c r="O45" s="19">
        <v>100</v>
      </c>
      <c r="P45" s="20">
        <v>39.5</v>
      </c>
      <c r="Q45" s="21"/>
    </row>
    <row r="46" ht="20.7" customHeight="1">
      <c r="A46" s="13">
        <f>A45+1</f>
        <v>44</v>
      </c>
      <c r="B46" s="14">
        <v>2023</v>
      </c>
      <c r="C46" s="15">
        <v>7</v>
      </c>
      <c r="D46" s="15">
        <v>3</v>
      </c>
      <c r="E46" s="16"/>
      <c r="F46" s="16"/>
      <c r="G46" s="16"/>
      <c r="H46" s="16"/>
      <c r="I46" t="s" s="17">
        <v>19</v>
      </c>
      <c r="J46" t="s" s="17">
        <v>65</v>
      </c>
      <c r="K46" t="s" s="17">
        <v>16</v>
      </c>
      <c r="L46" s="15">
        <f>IF(O46,P46/O46,0)</f>
        <v>0.366666666666667</v>
      </c>
      <c r="M46" s="15">
        <v>0.366666666666667</v>
      </c>
      <c r="N46" s="15">
        <f>A46</f>
        <v>44</v>
      </c>
      <c r="O46" s="19">
        <v>150</v>
      </c>
      <c r="P46" s="20">
        <v>55</v>
      </c>
      <c r="Q46" s="21"/>
    </row>
    <row r="47" ht="20.7" customHeight="1">
      <c r="A47" s="13">
        <f>A46+1</f>
        <v>45</v>
      </c>
      <c r="B47" s="14">
        <v>2023</v>
      </c>
      <c r="C47" s="15">
        <v>7</v>
      </c>
      <c r="D47" s="15">
        <v>3</v>
      </c>
      <c r="E47" s="16"/>
      <c r="F47" s="16"/>
      <c r="G47" s="16"/>
      <c r="H47" s="16"/>
      <c r="I47" t="s" s="17">
        <v>19</v>
      </c>
      <c r="J47" t="s" s="17">
        <v>66</v>
      </c>
      <c r="K47" t="s" s="17">
        <v>23</v>
      </c>
      <c r="L47" s="15">
        <f>IF(O47,P47/O47,0)</f>
        <v>0.27336</v>
      </c>
      <c r="M47" s="15">
        <v>0.27336</v>
      </c>
      <c r="N47" s="15">
        <f>A47</f>
        <v>45</v>
      </c>
      <c r="O47" s="19">
        <v>125</v>
      </c>
      <c r="P47" s="20">
        <v>34.17</v>
      </c>
      <c r="Q47" s="21"/>
    </row>
    <row r="48" ht="20.7" customHeight="1">
      <c r="A48" s="13">
        <f>A47+1</f>
        <v>46</v>
      </c>
      <c r="B48" s="14">
        <v>2023</v>
      </c>
      <c r="C48" s="15">
        <v>7</v>
      </c>
      <c r="D48" s="15">
        <v>3</v>
      </c>
      <c r="E48" s="16"/>
      <c r="F48" s="16"/>
      <c r="G48" s="16"/>
      <c r="H48" s="16"/>
      <c r="I48" t="s" s="17">
        <v>19</v>
      </c>
      <c r="J48" t="s" s="17">
        <v>67</v>
      </c>
      <c r="K48" t="s" s="17">
        <v>23</v>
      </c>
      <c r="L48" s="15">
        <f>IF(O48,P48/O48,0)</f>
        <v>1.169</v>
      </c>
      <c r="M48" s="15">
        <v>1.169</v>
      </c>
      <c r="N48" s="15">
        <f>A48</f>
        <v>46</v>
      </c>
      <c r="O48" s="19">
        <v>100</v>
      </c>
      <c r="P48" s="20">
        <v>116.9</v>
      </c>
      <c r="Q48" s="21"/>
    </row>
    <row r="49" ht="20.7" customHeight="1">
      <c r="A49" s="13">
        <f>A48+1</f>
        <v>47</v>
      </c>
      <c r="B49" s="14">
        <v>2023</v>
      </c>
      <c r="C49" s="15">
        <v>7</v>
      </c>
      <c r="D49" s="15">
        <v>3</v>
      </c>
      <c r="E49" s="16"/>
      <c r="F49" s="16"/>
      <c r="G49" s="16"/>
      <c r="H49" s="16"/>
      <c r="I49" t="s" s="17">
        <v>19</v>
      </c>
      <c r="J49" t="s" s="17">
        <v>68</v>
      </c>
      <c r="K49" t="s" s="17">
        <v>16</v>
      </c>
      <c r="L49" s="15">
        <f>IF(O49,P49/O49,0)</f>
        <v>0.14964</v>
      </c>
      <c r="M49" s="15">
        <v>0.14964</v>
      </c>
      <c r="N49" s="15">
        <f>A49</f>
        <v>47</v>
      </c>
      <c r="O49" s="19">
        <v>1000</v>
      </c>
      <c r="P49" s="20">
        <v>149.64</v>
      </c>
      <c r="Q49" s="21"/>
    </row>
    <row r="50" ht="20.7" customHeight="1">
      <c r="A50" s="13">
        <f>A49+1</f>
        <v>48</v>
      </c>
      <c r="B50" s="14">
        <v>2023</v>
      </c>
      <c r="C50" s="15">
        <v>7</v>
      </c>
      <c r="D50" s="15">
        <v>3</v>
      </c>
      <c r="E50" s="16"/>
      <c r="F50" s="16"/>
      <c r="G50" s="16"/>
      <c r="H50" s="16"/>
      <c r="I50" t="s" s="17">
        <v>19</v>
      </c>
      <c r="J50" t="s" s="17">
        <v>69</v>
      </c>
      <c r="K50" t="s" s="17">
        <v>16</v>
      </c>
      <c r="L50" s="15">
        <f>IF(O50,P50/O50,0)</f>
        <v>0.27714</v>
      </c>
      <c r="M50" s="15">
        <v>0.27714</v>
      </c>
      <c r="N50" s="15">
        <f>A50</f>
        <v>48</v>
      </c>
      <c r="O50" s="19">
        <v>1000</v>
      </c>
      <c r="P50" s="20">
        <v>277.14</v>
      </c>
      <c r="Q50" s="21"/>
    </row>
    <row r="51" ht="20.7" customHeight="1">
      <c r="A51" s="13">
        <f>A50+1</f>
        <v>49</v>
      </c>
      <c r="B51" s="14">
        <v>2023</v>
      </c>
      <c r="C51" s="15">
        <v>7</v>
      </c>
      <c r="D51" s="15">
        <v>3</v>
      </c>
      <c r="E51" s="16"/>
      <c r="F51" s="16"/>
      <c r="G51" s="16"/>
      <c r="H51" s="16"/>
      <c r="I51" t="s" s="17">
        <v>19</v>
      </c>
      <c r="J51" t="s" s="17">
        <v>70</v>
      </c>
      <c r="K51" t="s" s="17">
        <v>16</v>
      </c>
      <c r="L51" s="15">
        <f>IF(O51,P51/O51,0)</f>
        <v>0.279</v>
      </c>
      <c r="M51" s="15">
        <v>0.279</v>
      </c>
      <c r="N51" s="15">
        <f>A51</f>
        <v>49</v>
      </c>
      <c r="O51" s="15">
        <v>1000</v>
      </c>
      <c r="P51" s="23">
        <v>279</v>
      </c>
      <c r="Q51" s="16"/>
    </row>
    <row r="52" ht="20.7" customHeight="1">
      <c r="A52" s="13">
        <f>A51+1</f>
        <v>50</v>
      </c>
      <c r="B52" s="14">
        <v>2023</v>
      </c>
      <c r="C52" s="15">
        <v>7</v>
      </c>
      <c r="D52" s="15">
        <v>3</v>
      </c>
      <c r="E52" s="16"/>
      <c r="F52" s="16"/>
      <c r="G52" s="16"/>
      <c r="H52" s="16"/>
      <c r="I52" t="s" s="17">
        <v>19</v>
      </c>
      <c r="J52" t="s" s="17">
        <v>71</v>
      </c>
      <c r="K52" t="s" s="17">
        <v>16</v>
      </c>
      <c r="L52" s="15">
        <f>IF(O52,P52/O52,0)</f>
        <v>0.10864</v>
      </c>
      <c r="M52" s="15">
        <v>0.10864</v>
      </c>
      <c r="N52" s="15">
        <f>A52</f>
        <v>50</v>
      </c>
      <c r="O52" s="19">
        <v>1000</v>
      </c>
      <c r="P52" s="20">
        <v>108.64</v>
      </c>
      <c r="Q52" s="21"/>
    </row>
    <row r="53" ht="20.35" customHeight="1">
      <c r="A53" s="13">
        <f>A52+1</f>
        <v>51</v>
      </c>
      <c r="B53" s="14">
        <v>2023</v>
      </c>
      <c r="C53" s="15">
        <v>7</v>
      </c>
      <c r="D53" s="15">
        <v>3</v>
      </c>
      <c r="E53" s="16"/>
      <c r="F53" s="16"/>
      <c r="G53" s="16"/>
      <c r="H53" s="16"/>
      <c r="I53" t="s" s="17">
        <v>19</v>
      </c>
      <c r="J53" t="s" s="17">
        <v>72</v>
      </c>
      <c r="K53" t="s" s="17">
        <v>41</v>
      </c>
      <c r="L53" s="15">
        <f>IF(O53,P53/O53,0)</f>
        <v>0.23724</v>
      </c>
      <c r="M53" s="15">
        <v>0.23724</v>
      </c>
      <c r="N53" s="15">
        <f>A53</f>
        <v>51</v>
      </c>
      <c r="O53" s="15">
        <v>250</v>
      </c>
      <c r="P53" s="22">
        <v>59.31</v>
      </c>
      <c r="Q53" s="16"/>
    </row>
    <row r="54" ht="20.05" customHeight="1">
      <c r="A54" s="13">
        <f>A53+1</f>
        <v>52</v>
      </c>
      <c r="B54" s="14">
        <v>2023</v>
      </c>
      <c r="C54" s="15">
        <v>7</v>
      </c>
      <c r="D54" s="15">
        <v>3</v>
      </c>
      <c r="E54" s="16"/>
      <c r="F54" s="16"/>
      <c r="G54" s="16"/>
      <c r="H54" s="16"/>
      <c r="I54" t="s" s="17">
        <v>19</v>
      </c>
      <c r="J54" t="s" s="17">
        <v>73</v>
      </c>
      <c r="K54" t="s" s="17">
        <v>23</v>
      </c>
      <c r="L54" s="15">
        <f>IF(O54,P54/O54,0)</f>
        <v>4.29</v>
      </c>
      <c r="M54" s="15">
        <v>4.29</v>
      </c>
      <c r="N54" s="15">
        <f>A54</f>
        <v>52</v>
      </c>
      <c r="O54" s="15">
        <v>1</v>
      </c>
      <c r="P54" s="15">
        <v>4.29</v>
      </c>
      <c r="Q54" s="16"/>
    </row>
    <row r="55" ht="20.05" customHeight="1">
      <c r="A55" s="13">
        <f>A54+1</f>
        <v>53</v>
      </c>
      <c r="B55" s="14">
        <v>2023</v>
      </c>
      <c r="C55" s="15">
        <v>7</v>
      </c>
      <c r="D55" s="15">
        <v>3</v>
      </c>
      <c r="E55" s="16"/>
      <c r="F55" s="16"/>
      <c r="G55" s="16"/>
      <c r="H55" s="16"/>
      <c r="I55" t="s" s="17">
        <v>19</v>
      </c>
      <c r="J55" t="s" s="17">
        <v>74</v>
      </c>
      <c r="K55" t="s" s="17">
        <v>23</v>
      </c>
      <c r="L55" s="15">
        <f>IF(O55,P55/O55,0)</f>
        <v>4.29</v>
      </c>
      <c r="M55" s="15">
        <v>4.29</v>
      </c>
      <c r="N55" s="15">
        <f>A55</f>
        <v>53</v>
      </c>
      <c r="O55" s="15">
        <v>1</v>
      </c>
      <c r="P55" s="15">
        <v>4.29</v>
      </c>
      <c r="Q55" s="16"/>
    </row>
    <row r="56" ht="20.35" customHeight="1">
      <c r="A56" s="13">
        <f>A55+1</f>
        <v>54</v>
      </c>
      <c r="B56" s="14">
        <v>2023</v>
      </c>
      <c r="C56" s="15">
        <v>7</v>
      </c>
      <c r="D56" s="15">
        <v>3</v>
      </c>
      <c r="E56" s="16"/>
      <c r="F56" s="16"/>
      <c r="G56" s="16"/>
      <c r="H56" s="16"/>
      <c r="I56" t="s" s="17">
        <v>19</v>
      </c>
      <c r="J56" t="s" s="17">
        <v>75</v>
      </c>
      <c r="K56" t="s" s="17">
        <v>23</v>
      </c>
      <c r="L56" s="15">
        <f>IF(O56,P56/O56,0)</f>
        <v>16.38</v>
      </c>
      <c r="M56" s="15">
        <v>16.38</v>
      </c>
      <c r="N56" s="15">
        <f>A56</f>
        <v>54</v>
      </c>
      <c r="O56" s="15">
        <v>1</v>
      </c>
      <c r="P56" s="18">
        <v>16.38</v>
      </c>
      <c r="Q56" s="16"/>
    </row>
    <row r="57" ht="20.7" customHeight="1">
      <c r="A57" s="13">
        <f>A56+1</f>
        <v>55</v>
      </c>
      <c r="B57" s="14">
        <v>2023</v>
      </c>
      <c r="C57" s="15">
        <v>7</v>
      </c>
      <c r="D57" s="15">
        <v>3</v>
      </c>
      <c r="E57" s="16"/>
      <c r="F57" s="16"/>
      <c r="G57" s="16"/>
      <c r="H57" s="16"/>
      <c r="I57" t="s" s="17">
        <v>19</v>
      </c>
      <c r="J57" t="s" s="17">
        <v>76</v>
      </c>
      <c r="K57" t="s" s="17">
        <v>23</v>
      </c>
      <c r="L57" s="15">
        <f>IF(O57,P57/O57,0)</f>
        <v>11.82</v>
      </c>
      <c r="M57" s="15">
        <v>11.82</v>
      </c>
      <c r="N57" s="15">
        <f>A57</f>
        <v>55</v>
      </c>
      <c r="O57" s="19">
        <v>1</v>
      </c>
      <c r="P57" s="20">
        <v>11.82</v>
      </c>
      <c r="Q57" s="21"/>
    </row>
    <row r="58" ht="20.7" customHeight="1">
      <c r="A58" s="13">
        <f>A57+1</f>
        <v>56</v>
      </c>
      <c r="B58" s="14">
        <v>2023</v>
      </c>
      <c r="C58" s="15">
        <v>7</v>
      </c>
      <c r="D58" s="15">
        <v>3</v>
      </c>
      <c r="E58" s="16"/>
      <c r="F58" s="16"/>
      <c r="G58" s="16"/>
      <c r="H58" s="16"/>
      <c r="I58" t="s" s="17">
        <v>19</v>
      </c>
      <c r="J58" t="s" s="17">
        <v>77</v>
      </c>
      <c r="K58" t="s" s="17">
        <v>23</v>
      </c>
      <c r="L58" s="15">
        <f>IF(O58,P58/O58,0)</f>
        <v>11.83</v>
      </c>
      <c r="M58" s="15">
        <v>11.83</v>
      </c>
      <c r="N58" s="15">
        <f>A58</f>
        <v>56</v>
      </c>
      <c r="O58" s="19">
        <v>1</v>
      </c>
      <c r="P58" s="20">
        <v>11.83</v>
      </c>
      <c r="Q58" s="21"/>
    </row>
    <row r="59" ht="20.7" customHeight="1">
      <c r="A59" s="13">
        <f>A58+1</f>
        <v>57</v>
      </c>
      <c r="B59" s="14">
        <v>2023</v>
      </c>
      <c r="C59" s="15">
        <v>7</v>
      </c>
      <c r="D59" s="15">
        <v>3</v>
      </c>
      <c r="E59" s="16"/>
      <c r="F59" s="16"/>
      <c r="G59" s="16"/>
      <c r="H59" s="16"/>
      <c r="I59" t="s" s="17">
        <v>19</v>
      </c>
      <c r="J59" t="s" s="17">
        <v>78</v>
      </c>
      <c r="K59" t="s" s="17">
        <v>23</v>
      </c>
      <c r="L59" s="15">
        <f>IF(O59,P59/O59,0)</f>
        <v>18.33</v>
      </c>
      <c r="M59" s="15">
        <v>18.33</v>
      </c>
      <c r="N59" s="15">
        <f>A59</f>
        <v>57</v>
      </c>
      <c r="O59" s="19">
        <v>1</v>
      </c>
      <c r="P59" s="20">
        <v>18.33</v>
      </c>
      <c r="Q59" s="21"/>
    </row>
    <row r="60" ht="20.7" customHeight="1">
      <c r="A60" s="13">
        <f>A59+1</f>
        <v>58</v>
      </c>
      <c r="B60" s="14">
        <v>2023</v>
      </c>
      <c r="C60" s="15">
        <v>7</v>
      </c>
      <c r="D60" s="15">
        <v>3</v>
      </c>
      <c r="E60" s="16"/>
      <c r="F60" s="16"/>
      <c r="G60" s="16"/>
      <c r="H60" s="16"/>
      <c r="I60" t="s" s="17">
        <v>19</v>
      </c>
      <c r="J60" t="s" s="17">
        <v>79</v>
      </c>
      <c r="K60" t="s" s="17">
        <v>23</v>
      </c>
      <c r="L60" s="15">
        <f>IF(O60,P60/O60,0)</f>
        <v>18.92</v>
      </c>
      <c r="M60" s="15">
        <v>18.92</v>
      </c>
      <c r="N60" s="15">
        <f>A60</f>
        <v>58</v>
      </c>
      <c r="O60" s="19">
        <v>1</v>
      </c>
      <c r="P60" s="20">
        <v>18.92</v>
      </c>
      <c r="Q60" s="21"/>
    </row>
    <row r="61" ht="20.7" customHeight="1">
      <c r="A61" s="13">
        <f>A60+1</f>
        <v>59</v>
      </c>
      <c r="B61" s="14">
        <v>2023</v>
      </c>
      <c r="C61" s="15">
        <v>7</v>
      </c>
      <c r="D61" s="15">
        <v>3</v>
      </c>
      <c r="E61" s="16"/>
      <c r="F61" s="16"/>
      <c r="G61" s="16"/>
      <c r="H61" s="16"/>
      <c r="I61" t="s" s="17">
        <v>19</v>
      </c>
      <c r="J61" t="s" s="17">
        <v>80</v>
      </c>
      <c r="K61" t="s" s="17">
        <v>23</v>
      </c>
      <c r="L61" s="15">
        <f>IF(O61,P61/O61,0)</f>
        <v>5.33333333333333</v>
      </c>
      <c r="M61" s="15">
        <v>5.33333333333333</v>
      </c>
      <c r="N61" s="15">
        <f>A61</f>
        <v>59</v>
      </c>
      <c r="O61" s="19">
        <v>6</v>
      </c>
      <c r="P61" s="20">
        <v>32</v>
      </c>
      <c r="Q61" s="21"/>
    </row>
    <row r="62" ht="20.35" customHeight="1">
      <c r="A62" s="13">
        <f>A61+1</f>
        <v>60</v>
      </c>
      <c r="B62" s="14">
        <v>2023</v>
      </c>
      <c r="C62" s="15">
        <v>7</v>
      </c>
      <c r="D62" s="15">
        <v>3</v>
      </c>
      <c r="E62" s="16"/>
      <c r="F62" s="16"/>
      <c r="G62" s="16"/>
      <c r="H62" s="16"/>
      <c r="I62" t="s" s="17">
        <v>19</v>
      </c>
      <c r="J62" t="s" s="17">
        <v>81</v>
      </c>
      <c r="K62" t="s" s="17">
        <v>23</v>
      </c>
      <c r="L62" s="15">
        <f>IF(O62,P62/O62,0)</f>
        <v>0.891111111111111</v>
      </c>
      <c r="M62" s="15">
        <v>0.891111111111111</v>
      </c>
      <c r="N62" s="15">
        <f>A62</f>
        <v>60</v>
      </c>
      <c r="O62" s="15">
        <v>108</v>
      </c>
      <c r="P62" s="22">
        <v>96.23999999999999</v>
      </c>
      <c r="Q62" s="16"/>
    </row>
    <row r="63" ht="20.05" customHeight="1">
      <c r="A63" s="13">
        <f>A62+1</f>
        <v>61</v>
      </c>
      <c r="B63" s="14">
        <v>2023</v>
      </c>
      <c r="C63" s="15">
        <v>7</v>
      </c>
      <c r="D63" s="15">
        <v>3</v>
      </c>
      <c r="E63" s="16"/>
      <c r="F63" s="16"/>
      <c r="G63" s="16"/>
      <c r="H63" s="16"/>
      <c r="I63" t="s" s="17">
        <v>26</v>
      </c>
      <c r="J63" t="s" s="17">
        <v>82</v>
      </c>
      <c r="K63" t="s" s="17">
        <v>16</v>
      </c>
      <c r="L63" s="15">
        <f>IF(O63,P63/O63,0)</f>
        <v>0.0477</v>
      </c>
      <c r="M63" s="15">
        <v>0.0477</v>
      </c>
      <c r="N63" s="15">
        <f>A63</f>
        <v>61</v>
      </c>
      <c r="O63" s="15">
        <v>500</v>
      </c>
      <c r="P63" s="15">
        <v>23.85</v>
      </c>
      <c r="Q63" s="16"/>
    </row>
    <row r="64" ht="20.05" customHeight="1">
      <c r="A64" s="13">
        <f>A63+1</f>
        <v>62</v>
      </c>
      <c r="B64" s="14">
        <v>2023</v>
      </c>
      <c r="C64" s="15">
        <v>7</v>
      </c>
      <c r="D64" s="15">
        <v>3</v>
      </c>
      <c r="E64" s="16"/>
      <c r="F64" s="16"/>
      <c r="G64" s="16"/>
      <c r="H64" s="16"/>
      <c r="I64" t="s" s="17">
        <v>19</v>
      </c>
      <c r="J64" t="s" s="17">
        <v>83</v>
      </c>
      <c r="K64" t="s" s="17">
        <v>23</v>
      </c>
      <c r="L64" s="15">
        <f>IF(O64,P64/O64,0)</f>
        <v>0.1668</v>
      </c>
      <c r="M64" s="15">
        <v>0.1668</v>
      </c>
      <c r="N64" s="15">
        <f>A64</f>
        <v>62</v>
      </c>
      <c r="O64" s="15">
        <v>2500</v>
      </c>
      <c r="P64" s="15">
        <v>417</v>
      </c>
      <c r="Q64" s="16"/>
    </row>
    <row r="65" ht="20.05" customHeight="1">
      <c r="A65" s="13">
        <f>A64+1</f>
        <v>63</v>
      </c>
      <c r="B65" s="14">
        <v>2023</v>
      </c>
      <c r="C65" s="15">
        <v>7</v>
      </c>
      <c r="D65" s="15">
        <v>3</v>
      </c>
      <c r="E65" s="16"/>
      <c r="F65" s="16"/>
      <c r="G65" s="16"/>
      <c r="H65" s="16"/>
      <c r="I65" t="s" s="17">
        <v>19</v>
      </c>
      <c r="J65" t="s" s="17">
        <v>84</v>
      </c>
      <c r="K65" t="s" s="17">
        <v>41</v>
      </c>
      <c r="L65" s="15">
        <f>IF(O65,P65/O65,0)</f>
        <v>0.357333333333333</v>
      </c>
      <c r="M65" s="15">
        <v>0.357333333333333</v>
      </c>
      <c r="N65" s="15">
        <f>A65</f>
        <v>63</v>
      </c>
      <c r="O65" s="15">
        <v>750</v>
      </c>
      <c r="P65" s="15">
        <v>268</v>
      </c>
      <c r="Q65" s="16"/>
    </row>
    <row r="66" ht="20.05" customHeight="1">
      <c r="A66" s="13">
        <f>A65+1</f>
        <v>64</v>
      </c>
      <c r="B66" s="14">
        <v>2023</v>
      </c>
      <c r="C66" s="15">
        <v>7</v>
      </c>
      <c r="D66" s="15">
        <v>3</v>
      </c>
      <c r="E66" s="16"/>
      <c r="F66" s="16"/>
      <c r="G66" s="16"/>
      <c r="H66" s="16"/>
      <c r="I66" t="s" s="17">
        <v>19</v>
      </c>
      <c r="J66" t="s" s="17">
        <v>85</v>
      </c>
      <c r="K66" t="s" s="17">
        <v>41</v>
      </c>
      <c r="L66" s="15">
        <f>IF(O66,P66/O66,0)</f>
        <v>0.357333333333333</v>
      </c>
      <c r="M66" s="15">
        <v>0.357333333333333</v>
      </c>
      <c r="N66" s="15">
        <f>A66</f>
        <v>64</v>
      </c>
      <c r="O66" s="15">
        <v>750</v>
      </c>
      <c r="P66" s="15">
        <v>268</v>
      </c>
      <c r="Q66" s="16"/>
    </row>
    <row r="67" ht="20.05" customHeight="1">
      <c r="A67" s="13">
        <f>A66+1</f>
        <v>65</v>
      </c>
      <c r="B67" s="14">
        <v>2023</v>
      </c>
      <c r="C67" s="15">
        <v>7</v>
      </c>
      <c r="D67" s="15">
        <v>3</v>
      </c>
      <c r="E67" s="16"/>
      <c r="F67" s="16"/>
      <c r="G67" s="16"/>
      <c r="H67" s="16"/>
      <c r="I67" t="s" s="17">
        <v>19</v>
      </c>
      <c r="J67" t="s" s="17">
        <v>86</v>
      </c>
      <c r="K67" t="s" s="17">
        <v>41</v>
      </c>
      <c r="L67" s="15">
        <f>IF(O67,P67/O67,0)</f>
        <v>0.484</v>
      </c>
      <c r="M67" s="15">
        <v>0.484</v>
      </c>
      <c r="N67" s="15">
        <f>A67</f>
        <v>65</v>
      </c>
      <c r="O67" s="15">
        <v>1000</v>
      </c>
      <c r="P67" s="15">
        <v>484</v>
      </c>
      <c r="Q67" s="16"/>
    </row>
    <row r="68" ht="20.05" customHeight="1">
      <c r="A68" s="13">
        <f>A67+1</f>
        <v>66</v>
      </c>
      <c r="B68" s="14">
        <v>2023</v>
      </c>
      <c r="C68" s="15">
        <v>7</v>
      </c>
      <c r="D68" s="15">
        <v>3</v>
      </c>
      <c r="E68" s="16"/>
      <c r="F68" s="16"/>
      <c r="G68" s="16"/>
      <c r="H68" s="16"/>
      <c r="I68" t="s" s="17">
        <v>19</v>
      </c>
      <c r="J68" t="s" s="17">
        <v>87</v>
      </c>
      <c r="K68" t="s" s="17">
        <v>41</v>
      </c>
      <c r="L68" s="15">
        <f>IF(O68,P68/O68,0)</f>
        <v>0.357333333333333</v>
      </c>
      <c r="M68" s="15">
        <v>0.357333333333333</v>
      </c>
      <c r="N68" s="15">
        <f>A68</f>
        <v>66</v>
      </c>
      <c r="O68" s="15">
        <v>750</v>
      </c>
      <c r="P68" s="15">
        <v>268</v>
      </c>
      <c r="Q68" s="16"/>
    </row>
    <row r="69" ht="20.05" customHeight="1">
      <c r="A69" s="13">
        <f>A68+1</f>
        <v>67</v>
      </c>
      <c r="B69" s="14">
        <v>2023</v>
      </c>
      <c r="C69" s="15">
        <v>7</v>
      </c>
      <c r="D69" s="15">
        <v>3</v>
      </c>
      <c r="E69" s="16"/>
      <c r="F69" s="16"/>
      <c r="G69" s="16"/>
      <c r="H69" s="16"/>
      <c r="I69" t="s" s="17">
        <v>19</v>
      </c>
      <c r="J69" t="s" s="17">
        <v>88</v>
      </c>
      <c r="K69" t="s" s="17">
        <v>41</v>
      </c>
      <c r="L69" s="15">
        <f>IF(O69,P69/O69,0)</f>
        <v>0.159</v>
      </c>
      <c r="M69" s="15">
        <v>0.159</v>
      </c>
      <c r="N69" s="15">
        <f>A69</f>
        <v>67</v>
      </c>
      <c r="O69" s="15">
        <v>1000</v>
      </c>
      <c r="P69" s="15">
        <v>159</v>
      </c>
      <c r="Q69" s="16"/>
    </row>
    <row r="70" ht="20.05" customHeight="1">
      <c r="A70" s="13">
        <f>A69+1</f>
        <v>68</v>
      </c>
      <c r="B70" s="14">
        <v>2023</v>
      </c>
      <c r="C70" s="15">
        <v>7</v>
      </c>
      <c r="D70" s="15">
        <v>3</v>
      </c>
      <c r="E70" s="16"/>
      <c r="F70" s="16"/>
      <c r="G70" s="16"/>
      <c r="H70" s="16"/>
      <c r="I70" t="s" s="17">
        <v>19</v>
      </c>
      <c r="J70" t="s" s="17">
        <v>89</v>
      </c>
      <c r="K70" t="s" s="17">
        <v>41</v>
      </c>
      <c r="L70" s="15">
        <f>IF(O70,P70/O70,0)</f>
        <v>0.547142857142857</v>
      </c>
      <c r="M70" s="15">
        <v>0.547142857142857</v>
      </c>
      <c r="N70" s="15">
        <f>A70</f>
        <v>68</v>
      </c>
      <c r="O70" s="15">
        <v>700</v>
      </c>
      <c r="P70" s="15">
        <v>383</v>
      </c>
      <c r="Q70" s="16"/>
    </row>
    <row r="71" ht="20.05" customHeight="1">
      <c r="A71" s="13">
        <f>A70+1</f>
        <v>69</v>
      </c>
      <c r="B71" s="14">
        <v>2023</v>
      </c>
      <c r="C71" s="15">
        <v>7</v>
      </c>
      <c r="D71" s="15">
        <v>3</v>
      </c>
      <c r="E71" s="16"/>
      <c r="F71" s="16"/>
      <c r="G71" s="16"/>
      <c r="H71" s="16"/>
      <c r="I71" t="s" s="17">
        <v>19</v>
      </c>
      <c r="J71" t="s" s="17">
        <v>90</v>
      </c>
      <c r="K71" t="s" s="17">
        <v>41</v>
      </c>
      <c r="L71" s="15">
        <f>IF(O71,P71/O71,0)</f>
        <v>0.541428571428571</v>
      </c>
      <c r="M71" s="15">
        <v>0.541428571428571</v>
      </c>
      <c r="N71" s="15">
        <f>A71</f>
        <v>69</v>
      </c>
      <c r="O71" s="15">
        <v>700</v>
      </c>
      <c r="P71" s="15">
        <v>379</v>
      </c>
      <c r="Q71" s="16"/>
    </row>
    <row r="72" ht="20.05" customHeight="1">
      <c r="A72" s="13">
        <f>A71+1</f>
        <v>70</v>
      </c>
      <c r="B72" s="14">
        <v>2023</v>
      </c>
      <c r="C72" s="15">
        <v>7</v>
      </c>
      <c r="D72" s="15">
        <v>3</v>
      </c>
      <c r="E72" s="16"/>
      <c r="F72" s="16"/>
      <c r="G72" s="16"/>
      <c r="H72" s="16"/>
      <c r="I72" t="s" s="17">
        <v>19</v>
      </c>
      <c r="J72" t="s" s="17">
        <v>91</v>
      </c>
      <c r="K72" t="s" s="17">
        <v>41</v>
      </c>
      <c r="L72" s="15">
        <f>IF(O72,P72/O72,0)</f>
        <v>0.286</v>
      </c>
      <c r="M72" s="15">
        <v>0.286</v>
      </c>
      <c r="N72" s="15">
        <f>A72</f>
        <v>70</v>
      </c>
      <c r="O72" s="15">
        <v>2000</v>
      </c>
      <c r="P72" s="15">
        <v>572</v>
      </c>
      <c r="Q72" s="16"/>
    </row>
    <row r="73" ht="20.05" customHeight="1">
      <c r="A73" s="13">
        <f>A72+1</f>
        <v>71</v>
      </c>
      <c r="B73" s="14">
        <v>2023</v>
      </c>
      <c r="C73" s="15">
        <v>7</v>
      </c>
      <c r="D73" s="15">
        <v>3</v>
      </c>
      <c r="E73" s="16"/>
      <c r="F73" s="16"/>
      <c r="G73" s="16"/>
      <c r="H73" s="16"/>
      <c r="I73" t="s" s="17">
        <v>19</v>
      </c>
      <c r="J73" t="s" s="17">
        <v>92</v>
      </c>
      <c r="K73" t="s" s="17">
        <v>41</v>
      </c>
      <c r="L73" s="15">
        <f>IF(O73,P73/O73,0)</f>
        <v>0.357333333333333</v>
      </c>
      <c r="M73" s="15">
        <v>0.357333333333333</v>
      </c>
      <c r="N73" s="15">
        <f>A73</f>
        <v>71</v>
      </c>
      <c r="O73" s="15">
        <v>750</v>
      </c>
      <c r="P73" s="15">
        <v>268</v>
      </c>
      <c r="Q73" s="16"/>
    </row>
    <row r="74" ht="20.05" customHeight="1">
      <c r="A74" s="13">
        <f>A73+1</f>
        <v>72</v>
      </c>
      <c r="B74" s="14">
        <v>2023</v>
      </c>
      <c r="C74" s="15">
        <v>7</v>
      </c>
      <c r="D74" s="15">
        <v>3</v>
      </c>
      <c r="E74" s="16"/>
      <c r="F74" s="16"/>
      <c r="G74" s="16"/>
      <c r="H74" s="16"/>
      <c r="I74" t="s" s="17">
        <v>19</v>
      </c>
      <c r="J74" t="s" s="17">
        <v>93</v>
      </c>
      <c r="K74" t="s" s="17">
        <v>41</v>
      </c>
      <c r="L74" s="15">
        <f>IF(O74,P74/O74,0)</f>
        <v>0.357333333333333</v>
      </c>
      <c r="M74" s="15">
        <v>0.357333333333333</v>
      </c>
      <c r="N74" s="15">
        <f>A74</f>
        <v>72</v>
      </c>
      <c r="O74" s="15">
        <v>750</v>
      </c>
      <c r="P74" s="15">
        <v>268</v>
      </c>
      <c r="Q74" s="16"/>
    </row>
    <row r="75" ht="20.05" customHeight="1">
      <c r="A75" s="13">
        <f>A74+1</f>
        <v>73</v>
      </c>
      <c r="B75" s="14">
        <v>2023</v>
      </c>
      <c r="C75" s="15">
        <v>7</v>
      </c>
      <c r="D75" s="15">
        <v>3</v>
      </c>
      <c r="E75" s="16"/>
      <c r="F75" s="16"/>
      <c r="G75" s="16"/>
      <c r="H75" s="16"/>
      <c r="I75" t="s" s="17">
        <v>19</v>
      </c>
      <c r="J75" t="s" s="17">
        <v>94</v>
      </c>
      <c r="K75" t="s" s="17">
        <v>41</v>
      </c>
      <c r="L75" s="15">
        <f>IF(O75,P75/O75,0)</f>
        <v>0.357333333333333</v>
      </c>
      <c r="M75" s="15">
        <v>0.357333333333333</v>
      </c>
      <c r="N75" s="15">
        <f>A75</f>
        <v>73</v>
      </c>
      <c r="O75" s="15">
        <v>750</v>
      </c>
      <c r="P75" s="15">
        <v>268</v>
      </c>
      <c r="Q75" s="16"/>
    </row>
    <row r="76" ht="20.05" customHeight="1">
      <c r="A76" s="13">
        <f>A75+1</f>
        <v>74</v>
      </c>
      <c r="B76" s="14">
        <v>2023</v>
      </c>
      <c r="C76" s="15">
        <v>7</v>
      </c>
      <c r="D76" s="15">
        <v>3</v>
      </c>
      <c r="E76" s="16"/>
      <c r="F76" s="16"/>
      <c r="G76" s="16"/>
      <c r="H76" s="16"/>
      <c r="I76" t="s" s="17">
        <v>19</v>
      </c>
      <c r="J76" t="s" s="17">
        <v>95</v>
      </c>
      <c r="K76" t="s" s="17">
        <v>41</v>
      </c>
      <c r="L76" s="15">
        <f>IF(O76,P76/O76,0)</f>
        <v>0.357333333333333</v>
      </c>
      <c r="M76" s="15">
        <v>0.357333333333333</v>
      </c>
      <c r="N76" s="15">
        <f>A76</f>
        <v>74</v>
      </c>
      <c r="O76" s="15">
        <v>750</v>
      </c>
      <c r="P76" s="15">
        <v>268</v>
      </c>
      <c r="Q76" s="16"/>
    </row>
    <row r="77" ht="20.05" customHeight="1">
      <c r="A77" s="13">
        <f>A76+1</f>
        <v>75</v>
      </c>
      <c r="B77" s="14">
        <v>2023</v>
      </c>
      <c r="C77" s="15">
        <v>7</v>
      </c>
      <c r="D77" s="15">
        <v>3</v>
      </c>
      <c r="E77" s="16"/>
      <c r="F77" s="16"/>
      <c r="G77" s="16"/>
      <c r="H77" s="16"/>
      <c r="I77" t="s" s="17">
        <v>19</v>
      </c>
      <c r="J77" t="s" s="17">
        <v>96</v>
      </c>
      <c r="K77" t="s" s="17">
        <v>41</v>
      </c>
      <c r="L77" s="15">
        <f>IF(O77,P77/O77,0)</f>
        <v>0.357333333333333</v>
      </c>
      <c r="M77" s="15">
        <v>0.357333333333333</v>
      </c>
      <c r="N77" s="15">
        <f>A77</f>
        <v>75</v>
      </c>
      <c r="O77" s="15">
        <v>750</v>
      </c>
      <c r="P77" s="15">
        <v>268</v>
      </c>
      <c r="Q77" s="16"/>
    </row>
    <row r="78" ht="20.05" customHeight="1">
      <c r="A78" s="13">
        <f>A77+1</f>
        <v>76</v>
      </c>
      <c r="B78" s="14">
        <v>2023</v>
      </c>
      <c r="C78" s="15">
        <v>7</v>
      </c>
      <c r="D78" s="15">
        <v>3</v>
      </c>
      <c r="E78" s="16"/>
      <c r="F78" s="16"/>
      <c r="G78" s="16"/>
      <c r="H78" s="16"/>
      <c r="I78" t="s" s="17">
        <v>19</v>
      </c>
      <c r="J78" t="s" s="17">
        <v>97</v>
      </c>
      <c r="K78" t="s" s="17">
        <v>41</v>
      </c>
      <c r="L78" s="15">
        <f>IF(O78,P78/O78,0)</f>
        <v>0.357333333333333</v>
      </c>
      <c r="M78" s="15">
        <v>0.357333333333333</v>
      </c>
      <c r="N78" s="15">
        <f>A78</f>
        <v>76</v>
      </c>
      <c r="O78" s="15">
        <v>750</v>
      </c>
      <c r="P78" s="15">
        <v>268</v>
      </c>
      <c r="Q78" s="16"/>
    </row>
    <row r="79" ht="20.05" customHeight="1">
      <c r="A79" s="13">
        <f>A78+1</f>
        <v>77</v>
      </c>
      <c r="B79" s="14">
        <v>2023</v>
      </c>
      <c r="C79" s="15">
        <v>7</v>
      </c>
      <c r="D79" s="15">
        <v>3</v>
      </c>
      <c r="E79" s="16"/>
      <c r="F79" s="16"/>
      <c r="G79" s="16"/>
      <c r="H79" s="16"/>
      <c r="I79" t="s" s="17">
        <v>19</v>
      </c>
      <c r="J79" t="s" s="17">
        <v>98</v>
      </c>
      <c r="K79" t="s" s="17">
        <v>41</v>
      </c>
      <c r="L79" s="15">
        <f>IF(O79,P79/O79,0)</f>
        <v>0.484</v>
      </c>
      <c r="M79" s="15">
        <v>0.484</v>
      </c>
      <c r="N79" s="15">
        <f>A79</f>
        <v>77</v>
      </c>
      <c r="O79" s="15">
        <v>1000</v>
      </c>
      <c r="P79" s="15">
        <v>484</v>
      </c>
      <c r="Q79" s="16"/>
    </row>
    <row r="80" ht="20.05" customHeight="1">
      <c r="A80" s="13">
        <f>A79+1</f>
        <v>78</v>
      </c>
      <c r="B80" s="14">
        <v>2023</v>
      </c>
      <c r="C80" s="15">
        <v>7</v>
      </c>
      <c r="D80" s="15">
        <v>3</v>
      </c>
      <c r="E80" s="16"/>
      <c r="F80" s="16"/>
      <c r="G80" s="16"/>
      <c r="H80" s="16"/>
      <c r="I80" t="s" s="17">
        <v>19</v>
      </c>
      <c r="J80" t="s" s="17">
        <v>99</v>
      </c>
      <c r="K80" t="s" s="17">
        <v>41</v>
      </c>
      <c r="L80" s="15">
        <f>IF(O80,P80/O80,0)</f>
        <v>0.357333333333333</v>
      </c>
      <c r="M80" s="15">
        <v>0.357333333333333</v>
      </c>
      <c r="N80" s="15">
        <f>A80</f>
        <v>78</v>
      </c>
      <c r="O80" s="15">
        <v>750</v>
      </c>
      <c r="P80" s="15">
        <v>268</v>
      </c>
      <c r="Q80" s="16"/>
    </row>
    <row r="81" ht="20.05" customHeight="1">
      <c r="A81" s="13">
        <f>A80+1</f>
        <v>79</v>
      </c>
      <c r="B81" s="14">
        <v>2023</v>
      </c>
      <c r="C81" s="15">
        <v>7</v>
      </c>
      <c r="D81" s="15">
        <v>3</v>
      </c>
      <c r="E81" s="16"/>
      <c r="F81" s="16"/>
      <c r="G81" s="16"/>
      <c r="H81" s="16"/>
      <c r="I81" t="s" s="17">
        <v>19</v>
      </c>
      <c r="J81" t="s" s="17">
        <v>100</v>
      </c>
      <c r="K81" t="s" s="17">
        <v>41</v>
      </c>
      <c r="L81" s="15">
        <f>IF(O81,P81/O81,0)</f>
        <v>0.357333333333333</v>
      </c>
      <c r="M81" s="15">
        <v>0.357333333333333</v>
      </c>
      <c r="N81" s="15">
        <f>A81</f>
        <v>79</v>
      </c>
      <c r="O81" s="15">
        <v>750</v>
      </c>
      <c r="P81" s="15">
        <v>268</v>
      </c>
      <c r="Q81" s="16"/>
    </row>
    <row r="82" ht="20.05" customHeight="1">
      <c r="A82" s="13">
        <f>A81+1</f>
        <v>80</v>
      </c>
      <c r="B82" s="14">
        <v>2023</v>
      </c>
      <c r="C82" s="15">
        <v>7</v>
      </c>
      <c r="D82" s="15">
        <v>3</v>
      </c>
      <c r="E82" s="16"/>
      <c r="F82" s="16"/>
      <c r="G82" s="16"/>
      <c r="H82" s="16"/>
      <c r="I82" t="s" s="17">
        <v>19</v>
      </c>
      <c r="J82" t="s" s="17">
        <v>101</v>
      </c>
      <c r="K82" t="s" s="17">
        <v>23</v>
      </c>
      <c r="L82" s="15">
        <f>IF(O82,P82/O82,0)</f>
        <v>5.68125</v>
      </c>
      <c r="M82" s="15">
        <v>5.68125</v>
      </c>
      <c r="N82" s="15">
        <f>A82</f>
        <v>80</v>
      </c>
      <c r="O82" s="15">
        <v>24</v>
      </c>
      <c r="P82" s="15">
        <v>136.35</v>
      </c>
      <c r="Q82" s="16"/>
    </row>
    <row r="83" ht="20.05" customHeight="1">
      <c r="A83" s="13">
        <f>A82+1</f>
        <v>81</v>
      </c>
      <c r="B83" s="14">
        <v>2023</v>
      </c>
      <c r="C83" s="15">
        <v>7</v>
      </c>
      <c r="D83" s="15">
        <v>3</v>
      </c>
      <c r="E83" s="16"/>
      <c r="F83" s="16"/>
      <c r="G83" s="16"/>
      <c r="H83" s="16"/>
      <c r="I83" t="s" s="17">
        <v>19</v>
      </c>
      <c r="J83" t="s" s="17">
        <v>102</v>
      </c>
      <c r="K83" t="s" s="17">
        <v>16</v>
      </c>
      <c r="L83" s="15">
        <f>IF(O83,P83/O83,0)</f>
        <v>0.3495</v>
      </c>
      <c r="M83" s="15">
        <v>0.3495</v>
      </c>
      <c r="N83" s="15">
        <f>A83</f>
        <v>81</v>
      </c>
      <c r="O83" s="15">
        <v>100</v>
      </c>
      <c r="P83" s="15">
        <v>34.95</v>
      </c>
      <c r="Q83" s="16"/>
    </row>
    <row r="84" ht="20.05" customHeight="1">
      <c r="A84" s="13">
        <f>A83+1</f>
        <v>82</v>
      </c>
      <c r="B84" s="14">
        <v>2023</v>
      </c>
      <c r="C84" s="15">
        <v>7</v>
      </c>
      <c r="D84" s="15">
        <v>3</v>
      </c>
      <c r="E84" s="16"/>
      <c r="F84" s="16"/>
      <c r="G84" s="16"/>
      <c r="H84" s="16"/>
      <c r="I84" t="s" s="17">
        <v>19</v>
      </c>
      <c r="J84" t="s" s="17">
        <v>103</v>
      </c>
      <c r="K84" t="s" s="17">
        <v>23</v>
      </c>
      <c r="L84" s="15">
        <f>IF(O84,P84/O84,0)</f>
        <v>0.5600000000000001</v>
      </c>
      <c r="M84" s="15">
        <v>0.5600000000000001</v>
      </c>
      <c r="N84" s="15">
        <f>A84</f>
        <v>82</v>
      </c>
      <c r="O84" s="15">
        <v>250</v>
      </c>
      <c r="P84" s="15">
        <v>140</v>
      </c>
      <c r="Q84" s="16"/>
    </row>
    <row r="85" ht="20.05" customHeight="1">
      <c r="A85" s="13">
        <f>A84+1</f>
        <v>83</v>
      </c>
      <c r="B85" s="14">
        <v>2023</v>
      </c>
      <c r="C85" s="15">
        <v>7</v>
      </c>
      <c r="D85" s="15">
        <v>3</v>
      </c>
      <c r="E85" s="16"/>
      <c r="F85" s="16"/>
      <c r="G85" s="16"/>
      <c r="H85" s="16"/>
      <c r="I85" t="s" s="17">
        <v>19</v>
      </c>
      <c r="J85" t="s" s="17">
        <v>104</v>
      </c>
      <c r="K85" t="s" s="17">
        <v>16</v>
      </c>
      <c r="L85" s="15">
        <f>IF(O85,P85/O85,0)</f>
        <v>0.099</v>
      </c>
      <c r="M85" s="15">
        <v>0.099</v>
      </c>
      <c r="N85" s="15">
        <f>A85</f>
        <v>83</v>
      </c>
      <c r="O85" s="15">
        <v>1000</v>
      </c>
      <c r="P85" s="15">
        <v>99</v>
      </c>
      <c r="Q85" s="16"/>
    </row>
    <row r="86" ht="20.05" customHeight="1">
      <c r="A86" s="13">
        <f>A85+1</f>
        <v>84</v>
      </c>
      <c r="B86" s="14">
        <v>2023</v>
      </c>
      <c r="C86" s="15">
        <v>7</v>
      </c>
      <c r="D86" s="15">
        <v>3</v>
      </c>
      <c r="E86" s="16"/>
      <c r="F86" s="16"/>
      <c r="G86" s="16"/>
      <c r="H86" s="16"/>
      <c r="I86" t="s" s="17">
        <v>19</v>
      </c>
      <c r="J86" t="s" s="17">
        <v>105</v>
      </c>
      <c r="K86" t="s" s="17">
        <v>41</v>
      </c>
      <c r="L86" s="15">
        <f>IF(O86,P86/O86,0)</f>
        <v>0.357333333333333</v>
      </c>
      <c r="M86" s="15">
        <v>0.357333333333333</v>
      </c>
      <c r="N86" s="15">
        <f>A86</f>
        <v>84</v>
      </c>
      <c r="O86" s="15">
        <v>750</v>
      </c>
      <c r="P86" s="15">
        <v>268</v>
      </c>
      <c r="Q86" s="16"/>
    </row>
    <row r="87" ht="32.05" customHeight="1">
      <c r="A87" s="13">
        <f>A86+1</f>
        <v>85</v>
      </c>
      <c r="B87" s="14">
        <v>2023</v>
      </c>
      <c r="C87" s="15">
        <v>7</v>
      </c>
      <c r="D87" s="15">
        <v>3</v>
      </c>
      <c r="E87" s="16"/>
      <c r="F87" s="16"/>
      <c r="G87" s="16"/>
      <c r="H87" s="16"/>
      <c r="I87" t="s" s="17">
        <v>19</v>
      </c>
      <c r="J87" t="s" s="17">
        <v>106</v>
      </c>
      <c r="K87" t="s" s="17">
        <v>41</v>
      </c>
      <c r="L87" s="15">
        <f>IF(O87,P87/O87,0)</f>
        <v>3.915</v>
      </c>
      <c r="M87" s="15">
        <v>3.915</v>
      </c>
      <c r="N87" s="15">
        <f>A87</f>
        <v>85</v>
      </c>
      <c r="O87" s="15">
        <v>1</v>
      </c>
      <c r="P87" s="15">
        <v>3.915</v>
      </c>
      <c r="Q87" s="16"/>
    </row>
    <row r="88" ht="32.05" customHeight="1">
      <c r="A88" s="13">
        <f>A87+1</f>
        <v>86</v>
      </c>
      <c r="B88" s="14">
        <v>2023</v>
      </c>
      <c r="C88" s="15">
        <v>7</v>
      </c>
      <c r="D88" s="15">
        <v>3</v>
      </c>
      <c r="E88" s="16"/>
      <c r="F88" s="16"/>
      <c r="G88" s="16"/>
      <c r="H88" s="16"/>
      <c r="I88" t="s" s="17">
        <v>19</v>
      </c>
      <c r="J88" t="s" s="17">
        <v>107</v>
      </c>
      <c r="K88" t="s" s="17">
        <v>41</v>
      </c>
      <c r="L88" s="15">
        <f>IF(O88,P88/O88,0)</f>
        <v>0.00308</v>
      </c>
      <c r="M88" s="15">
        <v>0.00308</v>
      </c>
      <c r="N88" s="15">
        <f>A88</f>
        <v>86</v>
      </c>
      <c r="O88" s="15">
        <v>250</v>
      </c>
      <c r="P88" s="15">
        <v>0.77</v>
      </c>
      <c r="Q88" s="16"/>
    </row>
    <row r="89" ht="20.05" customHeight="1">
      <c r="A89" s="13">
        <f>A88+1</f>
        <v>87</v>
      </c>
      <c r="B89" s="14">
        <v>2023</v>
      </c>
      <c r="C89" s="15">
        <v>7</v>
      </c>
      <c r="D89" s="15">
        <v>3</v>
      </c>
      <c r="E89" s="16"/>
      <c r="F89" s="16"/>
      <c r="G89" s="16"/>
      <c r="H89" s="16"/>
      <c r="I89" t="s" s="17">
        <v>19</v>
      </c>
      <c r="J89" t="s" s="17">
        <v>108</v>
      </c>
      <c r="K89" t="s" s="17">
        <v>41</v>
      </c>
      <c r="L89" s="15">
        <f>IF(O89,P89/O89,0)</f>
        <v>0.484</v>
      </c>
      <c r="M89" s="15">
        <v>0.484</v>
      </c>
      <c r="N89" s="15">
        <f>A89</f>
        <v>87</v>
      </c>
      <c r="O89" s="15">
        <v>1000</v>
      </c>
      <c r="P89" s="15">
        <v>484</v>
      </c>
      <c r="Q89" s="16"/>
    </row>
    <row r="90" ht="20.05" customHeight="1">
      <c r="A90" s="13">
        <f>A89+1</f>
        <v>88</v>
      </c>
      <c r="B90" s="14">
        <v>2023</v>
      </c>
      <c r="C90" s="15">
        <v>7</v>
      </c>
      <c r="D90" s="15">
        <v>3</v>
      </c>
      <c r="E90" s="16"/>
      <c r="F90" s="16"/>
      <c r="G90" s="16"/>
      <c r="H90" s="16"/>
      <c r="I90" t="s" s="17">
        <v>17</v>
      </c>
      <c r="J90" t="s" s="17">
        <v>109</v>
      </c>
      <c r="K90" t="s" s="17">
        <v>16</v>
      </c>
      <c r="L90" s="15">
        <f>IF(O90,P90/O90,0)</f>
        <v>0.282647058823529</v>
      </c>
      <c r="M90" s="15">
        <v>0.282647058823529</v>
      </c>
      <c r="N90" s="15">
        <f>A90</f>
        <v>88</v>
      </c>
      <c r="O90" s="15">
        <v>170</v>
      </c>
      <c r="P90" s="15">
        <v>48.05</v>
      </c>
      <c r="Q90" s="16"/>
    </row>
    <row r="91" ht="20.05" customHeight="1">
      <c r="A91" s="13">
        <f>A90+1</f>
        <v>89</v>
      </c>
      <c r="B91" s="14">
        <v>2023</v>
      </c>
      <c r="C91" s="15">
        <v>7</v>
      </c>
      <c r="D91" s="15">
        <v>3</v>
      </c>
      <c r="E91" s="16"/>
      <c r="F91" s="16"/>
      <c r="G91" s="16"/>
      <c r="H91" s="16"/>
      <c r="I91" t="s" s="17">
        <v>17</v>
      </c>
      <c r="J91" t="s" s="17">
        <v>110</v>
      </c>
      <c r="K91" t="s" s="17">
        <v>23</v>
      </c>
      <c r="L91" s="15">
        <f>IF(O91,P91/O91,0)</f>
        <v>2.38</v>
      </c>
      <c r="M91" s="15">
        <v>2.38</v>
      </c>
      <c r="N91" s="15">
        <f>A91</f>
        <v>89</v>
      </c>
      <c r="O91" s="15">
        <v>1</v>
      </c>
      <c r="P91" s="15">
        <v>2.38</v>
      </c>
      <c r="Q91" s="16"/>
    </row>
    <row r="92" ht="20.05" customHeight="1">
      <c r="A92" s="13">
        <f>A91+1</f>
        <v>90</v>
      </c>
      <c r="B92" s="14">
        <v>2023</v>
      </c>
      <c r="C92" s="15">
        <v>7</v>
      </c>
      <c r="D92" s="15">
        <v>4</v>
      </c>
      <c r="E92" s="15">
        <v>173301</v>
      </c>
      <c r="F92" t="s" s="17">
        <v>111</v>
      </c>
      <c r="G92" s="16"/>
      <c r="H92" s="16"/>
      <c r="I92" t="s" s="17">
        <v>19</v>
      </c>
      <c r="J92" t="s" s="17">
        <v>112</v>
      </c>
      <c r="K92" t="s" s="17">
        <v>41</v>
      </c>
      <c r="L92" s="15">
        <f>IF(O92,P92/O92,0)</f>
        <v>0.02762</v>
      </c>
      <c r="M92" s="15">
        <v>0.02762</v>
      </c>
      <c r="N92" s="15">
        <f>A92</f>
        <v>90</v>
      </c>
      <c r="O92" s="15">
        <v>1000</v>
      </c>
      <c r="P92" s="15">
        <v>27.62</v>
      </c>
      <c r="Q92" s="16"/>
    </row>
    <row r="93" ht="20.05" customHeight="1">
      <c r="A93" s="13">
        <f>A92+1</f>
        <v>91</v>
      </c>
      <c r="B93" s="14">
        <v>2023</v>
      </c>
      <c r="C93" s="15">
        <v>7</v>
      </c>
      <c r="D93" s="15">
        <v>4</v>
      </c>
      <c r="E93" s="15">
        <v>173301</v>
      </c>
      <c r="F93" t="s" s="17">
        <v>111</v>
      </c>
      <c r="G93" s="16"/>
      <c r="H93" s="16"/>
      <c r="I93" t="s" s="17">
        <v>26</v>
      </c>
      <c r="J93" t="s" s="17">
        <v>113</v>
      </c>
      <c r="K93" t="s" s="17">
        <v>41</v>
      </c>
      <c r="L93" s="15">
        <f>IF(O93,P93/O93,0)</f>
        <v>0.0247633333333333</v>
      </c>
      <c r="M93" s="15">
        <v>0.0247633333333333</v>
      </c>
      <c r="N93" s="15">
        <f>A93</f>
        <v>91</v>
      </c>
      <c r="O93" s="15">
        <v>3000</v>
      </c>
      <c r="P93" s="15">
        <v>74.29000000000001</v>
      </c>
      <c r="Q93" s="16"/>
    </row>
    <row r="94" ht="20.05" customHeight="1">
      <c r="A94" s="13">
        <f>A93+1</f>
        <v>92</v>
      </c>
      <c r="B94" s="14">
        <v>2023</v>
      </c>
      <c r="C94" s="15">
        <v>7</v>
      </c>
      <c r="D94" s="15">
        <v>4</v>
      </c>
      <c r="E94" s="15">
        <v>173301</v>
      </c>
      <c r="F94" t="s" s="17">
        <v>111</v>
      </c>
      <c r="G94" s="16"/>
      <c r="H94" s="16"/>
      <c r="I94" t="s" s="17">
        <v>17</v>
      </c>
      <c r="J94" t="s" s="17">
        <v>114</v>
      </c>
      <c r="K94" t="s" s="17">
        <v>16</v>
      </c>
      <c r="L94" s="15">
        <f>IF(O94,P94/O94,0)</f>
        <v>0.29892</v>
      </c>
      <c r="M94" s="15">
        <v>0.29892</v>
      </c>
      <c r="N94" s="15">
        <f>A94</f>
        <v>92</v>
      </c>
      <c r="O94" s="15">
        <v>500</v>
      </c>
      <c r="P94" s="15">
        <v>149.46</v>
      </c>
      <c r="Q94" s="16"/>
    </row>
    <row r="95" ht="20.05" customHeight="1">
      <c r="A95" s="13">
        <f>A94+1</f>
        <v>93</v>
      </c>
      <c r="B95" s="14">
        <v>2023</v>
      </c>
      <c r="C95" s="15">
        <v>7</v>
      </c>
      <c r="D95" s="15">
        <v>4</v>
      </c>
      <c r="E95" s="15">
        <v>173301</v>
      </c>
      <c r="F95" t="s" s="17">
        <v>111</v>
      </c>
      <c r="G95" s="16"/>
      <c r="H95" s="16"/>
      <c r="I95" t="s" s="17">
        <v>14</v>
      </c>
      <c r="J95" t="s" s="17">
        <v>115</v>
      </c>
      <c r="K95" t="s" s="17">
        <v>16</v>
      </c>
      <c r="L95" s="15">
        <f>IF(O95,P95/O95,0)</f>
        <v>0.281933333333333</v>
      </c>
      <c r="M95" s="15">
        <v>0.281933333333333</v>
      </c>
      <c r="N95" s="15">
        <f>A95</f>
        <v>93</v>
      </c>
      <c r="O95" s="15">
        <v>450</v>
      </c>
      <c r="P95" s="15">
        <v>126.87</v>
      </c>
      <c r="Q95" s="16"/>
    </row>
    <row r="96" ht="20.05" customHeight="1">
      <c r="A96" s="13">
        <f>A95+1</f>
        <v>94</v>
      </c>
      <c r="B96" s="14">
        <v>2023</v>
      </c>
      <c r="C96" s="15">
        <v>7</v>
      </c>
      <c r="D96" s="15">
        <v>4</v>
      </c>
      <c r="E96" s="15">
        <v>173301</v>
      </c>
      <c r="F96" t="s" s="17">
        <v>111</v>
      </c>
      <c r="G96" s="16"/>
      <c r="H96" s="16"/>
      <c r="I96" t="s" s="17">
        <v>14</v>
      </c>
      <c r="J96" t="s" s="17">
        <v>116</v>
      </c>
      <c r="K96" t="s" s="17">
        <v>16</v>
      </c>
      <c r="L96" s="15">
        <f>IF(O96,P96/O96,0)</f>
        <v>0.2345</v>
      </c>
      <c r="M96" s="15">
        <v>0.2345</v>
      </c>
      <c r="N96" s="15">
        <f>A96</f>
        <v>94</v>
      </c>
      <c r="O96" s="15">
        <v>1000</v>
      </c>
      <c r="P96" s="15">
        <v>234.5</v>
      </c>
      <c r="Q96" s="16"/>
    </row>
    <row r="97" ht="20.05" customHeight="1">
      <c r="A97" s="13">
        <f>A96+1</f>
        <v>95</v>
      </c>
      <c r="B97" s="14">
        <v>2023</v>
      </c>
      <c r="C97" s="15">
        <v>7</v>
      </c>
      <c r="D97" s="15">
        <v>4</v>
      </c>
      <c r="E97" s="15">
        <v>173301</v>
      </c>
      <c r="F97" t="s" s="17">
        <v>111</v>
      </c>
      <c r="G97" s="16"/>
      <c r="H97" s="16"/>
      <c r="I97" t="s" s="17">
        <v>26</v>
      </c>
      <c r="J97" t="s" s="17">
        <v>117</v>
      </c>
      <c r="K97" t="s" s="17">
        <v>23</v>
      </c>
      <c r="L97" s="15">
        <f>IF(O97,P97/O97,0)</f>
        <v>36.01</v>
      </c>
      <c r="M97" s="15">
        <v>36.01</v>
      </c>
      <c r="N97" s="15">
        <f>A97</f>
        <v>95</v>
      </c>
      <c r="O97" s="15">
        <v>1</v>
      </c>
      <c r="P97" s="15">
        <v>36.01</v>
      </c>
      <c r="Q97" s="16"/>
    </row>
    <row r="98" ht="20.05" customHeight="1">
      <c r="A98" s="13">
        <f>A97+1</f>
        <v>96</v>
      </c>
      <c r="B98" s="14">
        <v>2023</v>
      </c>
      <c r="C98" s="15">
        <v>7</v>
      </c>
      <c r="D98" s="15">
        <v>4</v>
      </c>
      <c r="E98" s="15">
        <v>173301</v>
      </c>
      <c r="F98" t="s" s="17">
        <v>111</v>
      </c>
      <c r="G98" s="16"/>
      <c r="H98" s="16"/>
      <c r="I98" t="s" s="17">
        <v>26</v>
      </c>
      <c r="J98" t="s" s="17">
        <v>118</v>
      </c>
      <c r="K98" t="s" s="17">
        <v>23</v>
      </c>
      <c r="L98" s="15">
        <f>IF(O98,P98/O98,0)</f>
        <v>37.13</v>
      </c>
      <c r="M98" s="15">
        <v>37.13</v>
      </c>
      <c r="N98" s="15">
        <f>A98</f>
        <v>96</v>
      </c>
      <c r="O98" s="15">
        <v>1</v>
      </c>
      <c r="P98" s="15">
        <v>37.13</v>
      </c>
      <c r="Q98" s="16"/>
    </row>
    <row r="99" ht="20.05" customHeight="1">
      <c r="A99" s="13">
        <f>A98+1</f>
        <v>97</v>
      </c>
      <c r="B99" s="14">
        <v>2023</v>
      </c>
      <c r="C99" s="15">
        <v>7</v>
      </c>
      <c r="D99" s="15">
        <v>4</v>
      </c>
      <c r="E99" s="15">
        <v>173301</v>
      </c>
      <c r="F99" t="s" s="17">
        <v>111</v>
      </c>
      <c r="G99" s="16"/>
      <c r="H99" s="16"/>
      <c r="I99" t="s" s="17">
        <v>14</v>
      </c>
      <c r="J99" t="s" s="17">
        <v>119</v>
      </c>
      <c r="K99" t="s" s="17">
        <v>16</v>
      </c>
      <c r="L99" s="15">
        <f>IF(O99,P99/O99,0)</f>
        <v>0.0930120865139949</v>
      </c>
      <c r="M99" s="15">
        <v>0.0930120865139949</v>
      </c>
      <c r="N99" s="15">
        <f>A99</f>
        <v>97</v>
      </c>
      <c r="O99" s="15">
        <f t="shared" si="290" ref="O99:O415">24*131</f>
        <v>3144</v>
      </c>
      <c r="P99" s="15">
        <v>292.43</v>
      </c>
      <c r="Q99" s="16"/>
    </row>
    <row r="100" ht="20.05" customHeight="1">
      <c r="A100" s="13">
        <f>A99+1</f>
        <v>98</v>
      </c>
      <c r="B100" s="14">
        <v>2023</v>
      </c>
      <c r="C100" s="15">
        <v>7</v>
      </c>
      <c r="D100" s="15">
        <v>4</v>
      </c>
      <c r="E100" s="15">
        <v>173301</v>
      </c>
      <c r="F100" t="s" s="17">
        <v>111</v>
      </c>
      <c r="G100" s="16"/>
      <c r="H100" s="16"/>
      <c r="I100" t="s" s="17">
        <v>14</v>
      </c>
      <c r="J100" t="s" s="17">
        <v>120</v>
      </c>
      <c r="K100" t="s" s="17">
        <v>23</v>
      </c>
      <c r="L100" s="15">
        <f>IF(O100,P100/O100,0)</f>
        <v>108.76</v>
      </c>
      <c r="M100" s="15">
        <v>108.76</v>
      </c>
      <c r="N100" s="15">
        <f>A100</f>
        <v>98</v>
      </c>
      <c r="O100" s="15">
        <v>1</v>
      </c>
      <c r="P100" s="15">
        <v>108.76</v>
      </c>
      <c r="Q100" s="16"/>
    </row>
    <row r="101" ht="20.05" customHeight="1">
      <c r="A101" s="13">
        <f>A100+1</f>
        <v>99</v>
      </c>
      <c r="B101" s="14">
        <v>2023</v>
      </c>
      <c r="C101" s="15">
        <v>7</v>
      </c>
      <c r="D101" s="15">
        <v>4</v>
      </c>
      <c r="E101" s="15">
        <v>173301</v>
      </c>
      <c r="F101" t="s" s="17">
        <v>111</v>
      </c>
      <c r="G101" s="16"/>
      <c r="H101" s="16"/>
      <c r="I101" t="s" s="17">
        <v>14</v>
      </c>
      <c r="J101" t="s" s="17">
        <v>121</v>
      </c>
      <c r="K101" t="s" s="17">
        <v>16</v>
      </c>
      <c r="L101" s="15">
        <f>IF(O101,P101/O101,0)</f>
        <v>0.172333333333333</v>
      </c>
      <c r="M101" s="15">
        <v>0.172333333333333</v>
      </c>
      <c r="N101" s="15">
        <f>A101</f>
        <v>99</v>
      </c>
      <c r="O101" s="15">
        <v>450</v>
      </c>
      <c r="P101" s="15">
        <v>77.55</v>
      </c>
      <c r="Q101" s="16"/>
    </row>
    <row r="102" ht="20.05" customHeight="1">
      <c r="A102" s="13">
        <f>A101+1</f>
        <v>100</v>
      </c>
      <c r="B102" s="14">
        <v>2023</v>
      </c>
      <c r="C102" s="15">
        <v>7</v>
      </c>
      <c r="D102" s="15">
        <v>5</v>
      </c>
      <c r="E102" s="15">
        <v>19455</v>
      </c>
      <c r="F102" t="s" s="17">
        <v>122</v>
      </c>
      <c r="G102" s="16"/>
      <c r="H102" s="16"/>
      <c r="I102" t="s" s="17">
        <v>19</v>
      </c>
      <c r="J102" t="s" s="17">
        <v>83</v>
      </c>
      <c r="K102" t="s" s="17">
        <v>23</v>
      </c>
      <c r="L102" s="15">
        <f>IF(O102,P102/O102,0)</f>
        <v>0.1668</v>
      </c>
      <c r="M102" s="15">
        <v>0.1668</v>
      </c>
      <c r="N102" s="15">
        <f>A102</f>
        <v>100</v>
      </c>
      <c r="O102" s="15">
        <v>2500</v>
      </c>
      <c r="P102" s="15">
        <v>417</v>
      </c>
      <c r="Q102" s="16"/>
    </row>
    <row r="103" ht="20.05" customHeight="1">
      <c r="A103" s="13">
        <f>A102+1</f>
        <v>101</v>
      </c>
      <c r="B103" s="14">
        <v>2023</v>
      </c>
      <c r="C103" s="15">
        <v>7</v>
      </c>
      <c r="D103" s="15">
        <v>5</v>
      </c>
      <c r="E103" s="15">
        <v>19455</v>
      </c>
      <c r="F103" t="s" s="17">
        <v>122</v>
      </c>
      <c r="G103" s="16"/>
      <c r="H103" s="16"/>
      <c r="I103" t="s" s="17">
        <v>14</v>
      </c>
      <c r="J103" t="s" s="17">
        <v>123</v>
      </c>
      <c r="K103" t="s" s="17">
        <v>16</v>
      </c>
      <c r="L103" s="15">
        <f>IF(O103,P103/O103,0)</f>
        <v>0.027</v>
      </c>
      <c r="M103" s="15">
        <v>0.027</v>
      </c>
      <c r="N103" s="15">
        <f>A103</f>
        <v>101</v>
      </c>
      <c r="O103" s="15">
        <v>5000</v>
      </c>
      <c r="P103" s="15">
        <v>135</v>
      </c>
      <c r="Q103" s="16"/>
    </row>
    <row r="104" ht="20.05" customHeight="1">
      <c r="A104" s="13">
        <f>A103+1</f>
        <v>102</v>
      </c>
      <c r="B104" s="14">
        <v>2023</v>
      </c>
      <c r="C104" s="15">
        <v>7</v>
      </c>
      <c r="D104" s="15">
        <v>5</v>
      </c>
      <c r="E104" s="15">
        <v>19455</v>
      </c>
      <c r="F104" t="s" s="17">
        <v>122</v>
      </c>
      <c r="G104" s="16"/>
      <c r="H104" s="16"/>
      <c r="I104" t="s" s="17">
        <v>14</v>
      </c>
      <c r="J104" t="s" s="17">
        <v>39</v>
      </c>
      <c r="K104" t="s" s="17">
        <v>16</v>
      </c>
      <c r="L104" s="15">
        <f>IF(O104,P104/O104,0)</f>
        <v>0.179</v>
      </c>
      <c r="M104" s="15">
        <v>0.179</v>
      </c>
      <c r="N104" s="15">
        <f>A104</f>
        <v>102</v>
      </c>
      <c r="O104" s="15">
        <v>1000</v>
      </c>
      <c r="P104" s="15">
        <v>179</v>
      </c>
      <c r="Q104" s="16"/>
    </row>
    <row r="105" ht="20.05" customHeight="1">
      <c r="A105" s="13">
        <f>A104+1</f>
        <v>103</v>
      </c>
      <c r="B105" s="14">
        <v>2023</v>
      </c>
      <c r="C105" s="15">
        <v>7</v>
      </c>
      <c r="D105" s="15">
        <v>5</v>
      </c>
      <c r="E105" s="15">
        <v>19455</v>
      </c>
      <c r="F105" t="s" s="17">
        <v>122</v>
      </c>
      <c r="G105" s="16"/>
      <c r="H105" s="16"/>
      <c r="I105" t="s" s="17">
        <v>14</v>
      </c>
      <c r="J105" t="s" s="17">
        <v>124</v>
      </c>
      <c r="K105" t="s" s="17">
        <v>16</v>
      </c>
      <c r="L105" s="15">
        <f>IF(O105,P105/O105,0)</f>
        <v>0.103636363636364</v>
      </c>
      <c r="M105" s="15">
        <v>0.103636363636364</v>
      </c>
      <c r="N105" s="15">
        <f>A105</f>
        <v>103</v>
      </c>
      <c r="O105" s="15">
        <v>2750</v>
      </c>
      <c r="P105" s="15">
        <v>285</v>
      </c>
      <c r="Q105" s="16"/>
    </row>
    <row r="106" ht="20.05" customHeight="1">
      <c r="A106" s="13">
        <f>A105+1</f>
        <v>104</v>
      </c>
      <c r="B106" s="14">
        <v>2023</v>
      </c>
      <c r="C106" s="15">
        <v>7</v>
      </c>
      <c r="D106" s="15">
        <v>5</v>
      </c>
      <c r="E106" s="15">
        <v>19455</v>
      </c>
      <c r="F106" t="s" s="17">
        <v>122</v>
      </c>
      <c r="G106" s="16"/>
      <c r="H106" s="16"/>
      <c r="I106" t="s" s="17">
        <v>17</v>
      </c>
      <c r="J106" t="s" s="17">
        <v>55</v>
      </c>
      <c r="K106" t="s" s="17">
        <v>16</v>
      </c>
      <c r="L106" s="15">
        <f>IF(O106,P106/O106,0)</f>
        <v>0.311428571428571</v>
      </c>
      <c r="M106" s="15">
        <v>0.311428571428571</v>
      </c>
      <c r="N106" s="15">
        <f>A106</f>
        <v>104</v>
      </c>
      <c r="O106" s="15">
        <v>350</v>
      </c>
      <c r="P106" s="15">
        <v>109</v>
      </c>
      <c r="Q106" s="16"/>
    </row>
    <row r="107" ht="20.05" customHeight="1">
      <c r="A107" s="13">
        <f>A106+1</f>
        <v>105</v>
      </c>
      <c r="B107" s="14">
        <v>2023</v>
      </c>
      <c r="C107" s="15">
        <v>7</v>
      </c>
      <c r="D107" s="15">
        <v>5</v>
      </c>
      <c r="E107" s="15">
        <v>19456</v>
      </c>
      <c r="F107" t="s" s="17">
        <v>122</v>
      </c>
      <c r="G107" s="16"/>
      <c r="H107" s="16"/>
      <c r="I107" t="s" s="17">
        <v>17</v>
      </c>
      <c r="J107" t="s" s="17">
        <v>125</v>
      </c>
      <c r="K107" t="s" s="17">
        <v>16</v>
      </c>
      <c r="L107" s="15">
        <f>IF(O107,P107/O107,0)</f>
        <v>0.164</v>
      </c>
      <c r="M107" s="15">
        <v>0.164</v>
      </c>
      <c r="N107" s="15">
        <f>A107</f>
        <v>105</v>
      </c>
      <c r="O107" s="15">
        <v>1500</v>
      </c>
      <c r="P107" s="15">
        <v>246</v>
      </c>
      <c r="Q107" s="16"/>
    </row>
    <row r="108" ht="20.05" customHeight="1">
      <c r="A108" s="13">
        <f>A107+1</f>
        <v>106</v>
      </c>
      <c r="B108" s="14">
        <v>2023</v>
      </c>
      <c r="C108" s="15">
        <v>7</v>
      </c>
      <c r="D108" s="15">
        <v>6</v>
      </c>
      <c r="E108" s="15">
        <v>856</v>
      </c>
      <c r="F108" t="s" s="17">
        <v>126</v>
      </c>
      <c r="G108" s="16"/>
      <c r="H108" s="16"/>
      <c r="I108" t="s" s="17">
        <v>127</v>
      </c>
      <c r="J108" t="s" s="17">
        <v>128</v>
      </c>
      <c r="K108" t="s" s="17">
        <v>23</v>
      </c>
      <c r="L108" s="15">
        <f>IF(O108,P108/O108,0)</f>
        <v>13.9854166666667</v>
      </c>
      <c r="M108" s="15">
        <v>13.9854166666667</v>
      </c>
      <c r="N108" s="15">
        <f>A108</f>
        <v>106</v>
      </c>
      <c r="O108" s="15">
        <v>12</v>
      </c>
      <c r="P108" s="15">
        <v>167.825</v>
      </c>
      <c r="Q108" s="16"/>
    </row>
    <row r="109" ht="32.05" customHeight="1">
      <c r="A109" s="13">
        <f>A108+1</f>
        <v>107</v>
      </c>
      <c r="B109" s="14">
        <v>2023</v>
      </c>
      <c r="C109" s="15">
        <v>7</v>
      </c>
      <c r="D109" s="15">
        <v>6</v>
      </c>
      <c r="E109" s="15">
        <v>856</v>
      </c>
      <c r="F109" t="s" s="17">
        <v>126</v>
      </c>
      <c r="G109" s="16"/>
      <c r="H109" s="16"/>
      <c r="I109" t="s" s="17">
        <v>127</v>
      </c>
      <c r="J109" t="s" s="17">
        <v>129</v>
      </c>
      <c r="K109" t="s" s="17">
        <v>23</v>
      </c>
      <c r="L109" s="15">
        <f>IF(O109,P109/O109,0)</f>
        <v>0.114004625</v>
      </c>
      <c r="M109" s="15">
        <v>0.114004625</v>
      </c>
      <c r="N109" s="15">
        <f>A109</f>
        <v>107</v>
      </c>
      <c r="O109" s="15">
        <v>2400</v>
      </c>
      <c r="P109" s="15">
        <v>273.6111</v>
      </c>
      <c r="Q109" s="16"/>
    </row>
    <row r="110" ht="20.05" customHeight="1">
      <c r="A110" s="13">
        <f>A109+1</f>
        <v>108</v>
      </c>
      <c r="B110" s="14">
        <v>2023</v>
      </c>
      <c r="C110" s="15">
        <v>7</v>
      </c>
      <c r="D110" s="15">
        <v>9</v>
      </c>
      <c r="E110" s="15">
        <v>1</v>
      </c>
      <c r="F110" t="s" s="17">
        <v>130</v>
      </c>
      <c r="G110" s="16"/>
      <c r="H110" s="16"/>
      <c r="I110" t="s" s="17">
        <v>19</v>
      </c>
      <c r="J110" t="s" s="17">
        <v>131</v>
      </c>
      <c r="K110" t="s" s="17">
        <v>41</v>
      </c>
      <c r="L110" s="15">
        <f>IF(O110,P110/O110,0)</f>
        <v>0.0392142857142857</v>
      </c>
      <c r="M110" s="15">
        <v>0.0392142857142857</v>
      </c>
      <c r="N110" s="15">
        <f>A110</f>
        <v>108</v>
      </c>
      <c r="O110" s="15">
        <v>1400</v>
      </c>
      <c r="P110" s="15">
        <v>54.9</v>
      </c>
      <c r="Q110" s="16"/>
    </row>
    <row r="111" ht="20.05" customHeight="1">
      <c r="A111" s="13">
        <f>A110+1</f>
        <v>109</v>
      </c>
      <c r="B111" s="14">
        <v>2023</v>
      </c>
      <c r="C111" s="15">
        <v>7</v>
      </c>
      <c r="D111" s="15">
        <v>11</v>
      </c>
      <c r="E111" s="15">
        <v>174459</v>
      </c>
      <c r="F111" t="s" s="17">
        <v>111</v>
      </c>
      <c r="G111" s="16"/>
      <c r="H111" s="16"/>
      <c r="I111" t="s" s="17">
        <v>127</v>
      </c>
      <c r="J111" t="s" s="17">
        <v>132</v>
      </c>
      <c r="K111" t="s" s="17">
        <v>41</v>
      </c>
      <c r="L111" s="15">
        <f>IF(O111,P111/O111,0)</f>
        <v>0.012145</v>
      </c>
      <c r="M111" s="15">
        <v>0.012145</v>
      </c>
      <c r="N111" s="15">
        <f>A111</f>
        <v>109</v>
      </c>
      <c r="O111" s="15">
        <f>1*4000</f>
        <v>4000</v>
      </c>
      <c r="P111" s="15">
        <v>48.58</v>
      </c>
      <c r="Q111" s="16"/>
    </row>
    <row r="112" ht="20.05" customHeight="1">
      <c r="A112" s="13">
        <f>A111+1</f>
        <v>110</v>
      </c>
      <c r="B112" s="14">
        <v>2023</v>
      </c>
      <c r="C112" s="15">
        <v>7</v>
      </c>
      <c r="D112" s="15">
        <v>11</v>
      </c>
      <c r="E112" s="15">
        <v>174459</v>
      </c>
      <c r="F112" t="s" s="17">
        <v>111</v>
      </c>
      <c r="G112" s="16"/>
      <c r="H112" s="16"/>
      <c r="I112" t="s" s="17">
        <v>14</v>
      </c>
      <c r="J112" t="s" s="17">
        <v>133</v>
      </c>
      <c r="K112" t="s" s="17">
        <v>16</v>
      </c>
      <c r="L112" s="15">
        <f>IF(O112,P112/O112,0)</f>
        <v>0.149504</v>
      </c>
      <c r="M112" s="15">
        <v>0.149504</v>
      </c>
      <c r="N112" s="15">
        <f>A112</f>
        <v>110</v>
      </c>
      <c r="O112" s="15">
        <v>2500</v>
      </c>
      <c r="P112" s="15">
        <v>373.76</v>
      </c>
      <c r="Q112" s="16"/>
    </row>
    <row r="113" ht="20.05" customHeight="1">
      <c r="A113" s="13">
        <f>A112+1</f>
        <v>111</v>
      </c>
      <c r="B113" s="14">
        <v>2023</v>
      </c>
      <c r="C113" s="15">
        <v>7</v>
      </c>
      <c r="D113" s="15">
        <v>11</v>
      </c>
      <c r="E113" s="15">
        <v>174459</v>
      </c>
      <c r="F113" t="s" s="17">
        <v>111</v>
      </c>
      <c r="G113" s="16"/>
      <c r="H113" s="16"/>
      <c r="I113" t="s" s="17">
        <v>26</v>
      </c>
      <c r="J113" t="s" s="17">
        <v>117</v>
      </c>
      <c r="K113" t="s" s="17">
        <v>23</v>
      </c>
      <c r="L113" s="15">
        <f>IF(O113,P113/O113,0)</f>
        <v>36.01</v>
      </c>
      <c r="M113" s="15">
        <v>36.01</v>
      </c>
      <c r="N113" s="15">
        <f>A113</f>
        <v>111</v>
      </c>
      <c r="O113" s="15">
        <v>1</v>
      </c>
      <c r="P113" s="15">
        <v>36.01</v>
      </c>
      <c r="Q113" s="16"/>
    </row>
    <row r="114" ht="20.05" customHeight="1">
      <c r="A114" s="13">
        <f>A113+1</f>
        <v>112</v>
      </c>
      <c r="B114" s="14">
        <v>2023</v>
      </c>
      <c r="C114" s="15">
        <v>7</v>
      </c>
      <c r="D114" s="15">
        <v>11</v>
      </c>
      <c r="E114" s="15">
        <v>174459</v>
      </c>
      <c r="F114" t="s" s="17">
        <v>111</v>
      </c>
      <c r="G114" s="16"/>
      <c r="H114" s="16"/>
      <c r="I114" t="s" s="17">
        <v>26</v>
      </c>
      <c r="J114" t="s" s="17">
        <v>134</v>
      </c>
      <c r="K114" t="s" s="17">
        <v>23</v>
      </c>
      <c r="L114" s="15">
        <f>IF(O114,P114/O114,0)</f>
        <v>37.13</v>
      </c>
      <c r="M114" s="15">
        <v>37.13</v>
      </c>
      <c r="N114" s="15">
        <f>A114</f>
        <v>112</v>
      </c>
      <c r="O114" s="15">
        <v>1</v>
      </c>
      <c r="P114" s="15">
        <v>37.13</v>
      </c>
      <c r="Q114" s="16"/>
    </row>
    <row r="115" ht="20.05" customHeight="1">
      <c r="A115" s="13">
        <f>A114+1</f>
        <v>113</v>
      </c>
      <c r="B115" s="14">
        <v>2023</v>
      </c>
      <c r="C115" s="15">
        <v>7</v>
      </c>
      <c r="D115" s="15">
        <v>11</v>
      </c>
      <c r="E115" s="15">
        <v>174459</v>
      </c>
      <c r="F115" t="s" s="17">
        <v>111</v>
      </c>
      <c r="G115" s="16"/>
      <c r="H115" s="16"/>
      <c r="I115" t="s" s="17">
        <v>26</v>
      </c>
      <c r="J115" t="s" s="17">
        <v>118</v>
      </c>
      <c r="K115" t="s" s="17">
        <v>23</v>
      </c>
      <c r="L115" s="15">
        <f>IF(O115,P115/O115,0)</f>
        <v>37.13</v>
      </c>
      <c r="M115" s="15">
        <v>37.13</v>
      </c>
      <c r="N115" s="15">
        <f>A115</f>
        <v>113</v>
      </c>
      <c r="O115" s="15">
        <v>1</v>
      </c>
      <c r="P115" s="15">
        <v>37.13</v>
      </c>
      <c r="Q115" s="16"/>
    </row>
    <row r="116" ht="20.05" customHeight="1">
      <c r="A116" s="13">
        <f>A115+1</f>
        <v>114</v>
      </c>
      <c r="B116" s="14">
        <v>2023</v>
      </c>
      <c r="C116" s="15">
        <v>7</v>
      </c>
      <c r="D116" s="15">
        <v>11</v>
      </c>
      <c r="E116" s="15">
        <v>174459</v>
      </c>
      <c r="F116" t="s" s="17">
        <v>111</v>
      </c>
      <c r="G116" s="16"/>
      <c r="H116" s="16"/>
      <c r="I116" t="s" s="17">
        <v>19</v>
      </c>
      <c r="J116" t="s" s="17">
        <v>103</v>
      </c>
      <c r="K116" t="s" s="17">
        <v>23</v>
      </c>
      <c r="L116" s="15">
        <f>IF(O116,P116/O116,0)</f>
        <v>140</v>
      </c>
      <c r="M116" s="15">
        <v>140</v>
      </c>
      <c r="N116" s="15">
        <f>A116</f>
        <v>114</v>
      </c>
      <c r="O116" s="15">
        <v>1</v>
      </c>
      <c r="P116" s="15">
        <v>140</v>
      </c>
      <c r="Q116" s="16"/>
    </row>
    <row r="117" ht="20.05" customHeight="1">
      <c r="A117" s="13">
        <f>A116+1</f>
        <v>115</v>
      </c>
      <c r="B117" s="14">
        <v>2023</v>
      </c>
      <c r="C117" s="15">
        <v>7</v>
      </c>
      <c r="D117" s="15">
        <v>11</v>
      </c>
      <c r="E117" s="15">
        <v>174459</v>
      </c>
      <c r="F117" t="s" s="17">
        <v>111</v>
      </c>
      <c r="G117" s="16"/>
      <c r="H117" s="16"/>
      <c r="I117" t="s" s="17">
        <v>19</v>
      </c>
      <c r="J117" t="s" s="17">
        <v>135</v>
      </c>
      <c r="K117" t="s" s="17">
        <v>23</v>
      </c>
      <c r="L117" s="15">
        <f>IF(O117,P117/O117,0)</f>
        <v>0.2454</v>
      </c>
      <c r="M117" s="15">
        <v>0.2454</v>
      </c>
      <c r="N117" s="15">
        <f>A117</f>
        <v>115</v>
      </c>
      <c r="O117" s="15">
        <v>50</v>
      </c>
      <c r="P117" s="15">
        <v>12.27</v>
      </c>
      <c r="Q117" s="16"/>
    </row>
    <row r="118" ht="32.05" customHeight="1">
      <c r="A118" s="13">
        <f>A117+1</f>
        <v>116</v>
      </c>
      <c r="B118" s="14">
        <v>2023</v>
      </c>
      <c r="C118" s="15">
        <v>7</v>
      </c>
      <c r="D118" s="15">
        <v>12</v>
      </c>
      <c r="E118" s="15">
        <v>877</v>
      </c>
      <c r="F118" t="s" s="17">
        <v>126</v>
      </c>
      <c r="G118" s="16"/>
      <c r="H118" s="16"/>
      <c r="I118" t="s" s="17">
        <v>127</v>
      </c>
      <c r="J118" t="s" s="17">
        <v>136</v>
      </c>
      <c r="K118" t="s" s="17">
        <v>23</v>
      </c>
      <c r="L118" s="15">
        <f>IF(O118,P118/O118,0)</f>
        <v>1.24861666666667</v>
      </c>
      <c r="M118" s="15">
        <v>1.24861666666667</v>
      </c>
      <c r="N118" s="15">
        <f>A118</f>
        <v>116</v>
      </c>
      <c r="O118" s="15">
        <v>600</v>
      </c>
      <c r="P118" s="15">
        <v>749.17</v>
      </c>
      <c r="Q118" s="16"/>
    </row>
    <row r="119" ht="32.05" customHeight="1">
      <c r="A119" s="13">
        <f>A118+1</f>
        <v>117</v>
      </c>
      <c r="B119" s="14">
        <v>2023</v>
      </c>
      <c r="C119" s="15">
        <v>7</v>
      </c>
      <c r="D119" s="15">
        <v>12</v>
      </c>
      <c r="E119" s="15">
        <v>877</v>
      </c>
      <c r="F119" t="s" s="17">
        <v>126</v>
      </c>
      <c r="G119" s="16"/>
      <c r="H119" s="16"/>
      <c r="I119" t="s" s="17">
        <v>127</v>
      </c>
      <c r="J119" t="s" s="17">
        <v>137</v>
      </c>
      <c r="K119" t="s" s="17">
        <v>41</v>
      </c>
      <c r="L119" s="15">
        <f>IF(O119,P119/O119,0)</f>
        <v>0.008500000000000001</v>
      </c>
      <c r="M119" s="15">
        <v>0.008500000000000001</v>
      </c>
      <c r="N119" s="15">
        <f>A119</f>
        <v>117</v>
      </c>
      <c r="O119" s="15">
        <f>1*5000</f>
        <v>5000</v>
      </c>
      <c r="P119" s="15">
        <v>42.5</v>
      </c>
      <c r="Q119" s="16"/>
    </row>
    <row r="120" ht="20.05" customHeight="1">
      <c r="A120" s="13">
        <f>A119+1</f>
        <v>118</v>
      </c>
      <c r="B120" s="14">
        <v>2023</v>
      </c>
      <c r="C120" s="15">
        <v>7</v>
      </c>
      <c r="D120" s="15">
        <v>12</v>
      </c>
      <c r="E120" s="15">
        <v>19978</v>
      </c>
      <c r="F120" t="s" s="17">
        <v>122</v>
      </c>
      <c r="G120" s="16"/>
      <c r="H120" s="16"/>
      <c r="I120" t="s" s="17">
        <v>19</v>
      </c>
      <c r="J120" t="s" s="17">
        <v>138</v>
      </c>
      <c r="K120" t="s" s="17">
        <v>41</v>
      </c>
      <c r="L120" s="15">
        <f>IF(O120,P120/O120,0)</f>
        <v>0.0209166666666667</v>
      </c>
      <c r="M120" s="15">
        <v>0.0209166666666667</v>
      </c>
      <c r="N120" s="15">
        <f>A120</f>
        <v>118</v>
      </c>
      <c r="O120" s="15">
        <v>12000</v>
      </c>
      <c r="P120" s="15">
        <v>251</v>
      </c>
      <c r="Q120" s="16"/>
    </row>
    <row r="121" ht="20.05" customHeight="1">
      <c r="A121" s="13">
        <f>A120+1</f>
        <v>119</v>
      </c>
      <c r="B121" s="14">
        <v>2023</v>
      </c>
      <c r="C121" s="15">
        <v>7</v>
      </c>
      <c r="D121" s="15">
        <v>12</v>
      </c>
      <c r="E121" s="15">
        <v>19978</v>
      </c>
      <c r="F121" t="s" s="17">
        <v>122</v>
      </c>
      <c r="G121" s="16"/>
      <c r="H121" s="16"/>
      <c r="I121" t="s" s="17">
        <v>19</v>
      </c>
      <c r="J121" t="s" s="17">
        <v>139</v>
      </c>
      <c r="K121" t="s" s="17">
        <v>23</v>
      </c>
      <c r="L121" s="15">
        <f>IF(O121,P121/O121,0)</f>
        <v>3.4375</v>
      </c>
      <c r="M121" s="15">
        <v>3.4375</v>
      </c>
      <c r="N121" s="15">
        <f>A121</f>
        <v>119</v>
      </c>
      <c r="O121" s="15">
        <v>24</v>
      </c>
      <c r="P121" s="15">
        <v>82.5</v>
      </c>
      <c r="Q121" s="16"/>
    </row>
    <row r="122" ht="20.05" customHeight="1">
      <c r="A122" s="13">
        <f>A121+1</f>
        <v>120</v>
      </c>
      <c r="B122" s="14">
        <v>2023</v>
      </c>
      <c r="C122" s="15">
        <v>7</v>
      </c>
      <c r="D122" s="15">
        <v>12</v>
      </c>
      <c r="E122" s="15">
        <v>19978</v>
      </c>
      <c r="F122" t="s" s="17">
        <v>122</v>
      </c>
      <c r="G122" s="16"/>
      <c r="H122" s="16"/>
      <c r="I122" t="s" s="17">
        <v>14</v>
      </c>
      <c r="J122" t="s" s="17">
        <v>124</v>
      </c>
      <c r="K122" t="s" s="17">
        <v>16</v>
      </c>
      <c r="L122" s="15">
        <f>IF(O122,P122/O122,0)</f>
        <v>0.103636363636364</v>
      </c>
      <c r="M122" s="15">
        <v>0.103636363636364</v>
      </c>
      <c r="N122" s="15">
        <f>A122</f>
        <v>120</v>
      </c>
      <c r="O122" s="15">
        <v>2750</v>
      </c>
      <c r="P122" s="15">
        <v>285</v>
      </c>
      <c r="Q122" s="16"/>
    </row>
    <row r="123" ht="20.05" customHeight="1">
      <c r="A123" s="13">
        <f>A122+1</f>
        <v>121</v>
      </c>
      <c r="B123" s="14">
        <v>2023</v>
      </c>
      <c r="C123" s="15">
        <v>7</v>
      </c>
      <c r="D123" s="15">
        <v>12</v>
      </c>
      <c r="E123" s="15">
        <v>19978</v>
      </c>
      <c r="F123" t="s" s="17">
        <v>122</v>
      </c>
      <c r="G123" s="16"/>
      <c r="H123" s="16"/>
      <c r="I123" t="s" s="17">
        <v>17</v>
      </c>
      <c r="J123" t="s" s="17">
        <v>55</v>
      </c>
      <c r="K123" t="s" s="17">
        <v>16</v>
      </c>
      <c r="L123" s="15">
        <f>IF(O123,P123/O123,0)</f>
        <v>0.311428571428571</v>
      </c>
      <c r="M123" s="15">
        <v>0.311428571428571</v>
      </c>
      <c r="N123" s="15">
        <f>A123</f>
        <v>121</v>
      </c>
      <c r="O123" s="15">
        <v>350</v>
      </c>
      <c r="P123" s="15">
        <v>109</v>
      </c>
      <c r="Q123" s="16"/>
    </row>
    <row r="124" ht="20.05" customHeight="1">
      <c r="A124" s="13">
        <f>A123+1</f>
        <v>122</v>
      </c>
      <c r="B124" s="14">
        <v>2023</v>
      </c>
      <c r="C124" s="15">
        <v>7</v>
      </c>
      <c r="D124" s="15">
        <v>12</v>
      </c>
      <c r="E124" s="15">
        <v>19978</v>
      </c>
      <c r="F124" t="s" s="17">
        <v>122</v>
      </c>
      <c r="G124" s="16"/>
      <c r="H124" s="16"/>
      <c r="I124" t="s" s="17">
        <v>14</v>
      </c>
      <c r="J124" t="s" s="17">
        <v>140</v>
      </c>
      <c r="K124" t="s" s="17">
        <v>23</v>
      </c>
      <c r="L124" s="15">
        <f>IF(O124,P124/O124,0)</f>
        <v>2.6</v>
      </c>
      <c r="M124" s="15">
        <v>2.6</v>
      </c>
      <c r="N124" s="15">
        <f>A124</f>
        <v>122</v>
      </c>
      <c r="O124" s="15">
        <v>30</v>
      </c>
      <c r="P124" s="15">
        <v>78</v>
      </c>
      <c r="Q124" s="16"/>
    </row>
    <row r="125" ht="20.05" customHeight="1">
      <c r="A125" s="13">
        <f>A124+1</f>
        <v>123</v>
      </c>
      <c r="B125" s="14">
        <v>2023</v>
      </c>
      <c r="C125" s="15">
        <v>7</v>
      </c>
      <c r="D125" s="15">
        <v>12</v>
      </c>
      <c r="E125" s="15">
        <v>19978</v>
      </c>
      <c r="F125" t="s" s="17">
        <v>122</v>
      </c>
      <c r="G125" s="16"/>
      <c r="H125" s="16"/>
      <c r="I125" t="s" s="17">
        <v>14</v>
      </c>
      <c r="J125" t="s" s="17">
        <v>39</v>
      </c>
      <c r="K125" t="s" s="17">
        <v>16</v>
      </c>
      <c r="L125" s="15">
        <f>IF(O125,P125/O125,0)</f>
        <v>0.179</v>
      </c>
      <c r="M125" s="15">
        <v>0.179</v>
      </c>
      <c r="N125" s="15">
        <f>A125</f>
        <v>123</v>
      </c>
      <c r="O125" s="15">
        <v>1000</v>
      </c>
      <c r="P125" s="15">
        <v>179</v>
      </c>
      <c r="Q125" s="16"/>
    </row>
    <row r="126" ht="20.05" customHeight="1">
      <c r="A126" s="13">
        <f>A125+1</f>
        <v>124</v>
      </c>
      <c r="B126" s="14">
        <v>2023</v>
      </c>
      <c r="C126" s="15">
        <v>7</v>
      </c>
      <c r="D126" s="15">
        <v>15</v>
      </c>
      <c r="E126" s="15">
        <v>82394</v>
      </c>
      <c r="F126" t="s" s="17">
        <v>141</v>
      </c>
      <c r="G126" s="16"/>
      <c r="H126" s="16"/>
      <c r="I126" t="s" s="17">
        <v>19</v>
      </c>
      <c r="J126" t="s" s="17">
        <v>142</v>
      </c>
      <c r="K126" t="s" s="17">
        <v>23</v>
      </c>
      <c r="L126" s="15">
        <f>IF(O126,P126/O126,0)</f>
        <v>11.53625</v>
      </c>
      <c r="M126" s="15">
        <v>11.53625</v>
      </c>
      <c r="N126" s="15">
        <f>A126</f>
        <v>124</v>
      </c>
      <c r="O126" s="15">
        <f t="shared" si="374" ref="O126:O584">3*24</f>
        <v>72</v>
      </c>
      <c r="P126" s="15">
        <f>1468.8-638.19</f>
        <v>830.61</v>
      </c>
      <c r="Q126" s="16"/>
    </row>
    <row r="127" ht="20.05" customHeight="1">
      <c r="A127" s="13">
        <f>A126+1</f>
        <v>125</v>
      </c>
      <c r="B127" s="14">
        <v>2023</v>
      </c>
      <c r="C127" s="15">
        <v>7</v>
      </c>
      <c r="D127" s="15">
        <v>15</v>
      </c>
      <c r="E127" s="15">
        <v>82394</v>
      </c>
      <c r="F127" t="s" s="17">
        <v>141</v>
      </c>
      <c r="G127" s="16"/>
      <c r="H127" s="16"/>
      <c r="I127" t="s" s="17">
        <v>19</v>
      </c>
      <c r="J127" t="s" s="17">
        <v>143</v>
      </c>
      <c r="K127" t="s" s="17">
        <v>23</v>
      </c>
      <c r="L127" s="15">
        <f>IF(O127,P127/O127,0)</f>
        <v>11.53625</v>
      </c>
      <c r="M127" s="15">
        <v>11.53625</v>
      </c>
      <c r="N127" s="15">
        <f>A127</f>
        <v>125</v>
      </c>
      <c r="O127" s="15">
        <v>24</v>
      </c>
      <c r="P127" s="15">
        <f t="shared" si="379" ref="P127:P148">489.6-212.73</f>
        <v>276.87</v>
      </c>
      <c r="Q127" s="16"/>
    </row>
    <row r="128" ht="20.05" customHeight="1">
      <c r="A128" s="13">
        <f>A127+1</f>
        <v>126</v>
      </c>
      <c r="B128" s="14">
        <v>2023</v>
      </c>
      <c r="C128" s="15">
        <v>7</v>
      </c>
      <c r="D128" s="15">
        <v>15</v>
      </c>
      <c r="E128" s="15">
        <v>82394</v>
      </c>
      <c r="F128" t="s" s="17">
        <v>141</v>
      </c>
      <c r="G128" s="16"/>
      <c r="H128" s="16"/>
      <c r="I128" t="s" s="17">
        <v>19</v>
      </c>
      <c r="J128" t="s" s="17">
        <v>144</v>
      </c>
      <c r="K128" t="s" s="17">
        <v>23</v>
      </c>
      <c r="L128" s="15">
        <f>IF(O128,P128/O128,0)</f>
        <v>11.53625</v>
      </c>
      <c r="M128" s="15">
        <v>11.53625</v>
      </c>
      <c r="N128" s="15">
        <f>A128</f>
        <v>126</v>
      </c>
      <c r="O128" s="15">
        <v>24</v>
      </c>
      <c r="P128" s="15">
        <f t="shared" si="379"/>
        <v>276.87</v>
      </c>
      <c r="Q128" s="16"/>
    </row>
    <row r="129" ht="20.05" customHeight="1">
      <c r="A129" s="13">
        <f>A128+1</f>
        <v>127</v>
      </c>
      <c r="B129" s="14">
        <v>2023</v>
      </c>
      <c r="C129" s="15">
        <v>7</v>
      </c>
      <c r="D129" s="15">
        <v>19</v>
      </c>
      <c r="E129" s="15">
        <v>5585</v>
      </c>
      <c r="F129" t="s" s="17">
        <v>145</v>
      </c>
      <c r="G129" s="16"/>
      <c r="H129" s="16"/>
      <c r="I129" t="s" s="17">
        <v>17</v>
      </c>
      <c r="J129" t="s" s="17">
        <v>146</v>
      </c>
      <c r="K129" t="s" s="17">
        <v>16</v>
      </c>
      <c r="L129" s="15">
        <f>P129/O129</f>
        <v>0.48</v>
      </c>
      <c r="M129" s="15">
        <v>0.48</v>
      </c>
      <c r="N129" s="15">
        <f>A129</f>
        <v>127</v>
      </c>
      <c r="O129" s="15">
        <f t="shared" si="387" ref="O129:O298">12*100</f>
        <v>1200</v>
      </c>
      <c r="P129" s="15">
        <v>576</v>
      </c>
      <c r="Q129" s="16"/>
    </row>
    <row r="130" ht="20.05" customHeight="1">
      <c r="A130" s="13">
        <f>A129+1</f>
        <v>128</v>
      </c>
      <c r="B130" s="14">
        <v>2023</v>
      </c>
      <c r="C130" s="15">
        <v>7</v>
      </c>
      <c r="D130" s="15">
        <v>19</v>
      </c>
      <c r="E130" s="15">
        <v>20430</v>
      </c>
      <c r="F130" t="s" s="17">
        <v>122</v>
      </c>
      <c r="G130" s="16"/>
      <c r="H130" s="16"/>
      <c r="I130" t="s" s="17">
        <v>19</v>
      </c>
      <c r="J130" t="s" s="17">
        <v>138</v>
      </c>
      <c r="K130" t="s" s="17">
        <v>41</v>
      </c>
      <c r="L130" s="15">
        <f>IF(O130,P130/O130,0)</f>
        <v>0.0228333333333333</v>
      </c>
      <c r="M130" s="15">
        <v>0.0228333333333333</v>
      </c>
      <c r="N130" s="15">
        <f>A130</f>
        <v>128</v>
      </c>
      <c r="O130" s="15">
        <f t="shared" si="391" ref="O130:O399">12*1000</f>
        <v>12000</v>
      </c>
      <c r="P130" s="15">
        <v>274</v>
      </c>
      <c r="Q130" s="16"/>
    </row>
    <row r="131" ht="20.05" customHeight="1">
      <c r="A131" s="13">
        <f>A130+1</f>
        <v>129</v>
      </c>
      <c r="B131" s="14">
        <v>2023</v>
      </c>
      <c r="C131" s="15">
        <v>7</v>
      </c>
      <c r="D131" s="15">
        <v>19</v>
      </c>
      <c r="E131" s="15">
        <v>20430</v>
      </c>
      <c r="F131" t="s" s="17">
        <v>122</v>
      </c>
      <c r="G131" s="16"/>
      <c r="H131" s="16"/>
      <c r="I131" t="s" s="17">
        <v>19</v>
      </c>
      <c r="J131" t="s" s="17">
        <v>139</v>
      </c>
      <c r="K131" t="s" s="17">
        <v>23</v>
      </c>
      <c r="L131" s="15">
        <f>IF(O131,P131/O131,0)</f>
        <v>3.4375</v>
      </c>
      <c r="M131" s="15">
        <v>3.4375</v>
      </c>
      <c r="N131" s="15">
        <f>A131</f>
        <v>129</v>
      </c>
      <c r="O131" s="15">
        <v>24</v>
      </c>
      <c r="P131" s="15">
        <v>82.5</v>
      </c>
      <c r="Q131" s="16"/>
    </row>
    <row r="132" ht="20.05" customHeight="1">
      <c r="A132" s="13">
        <f>A131+1</f>
        <v>130</v>
      </c>
      <c r="B132" s="14">
        <v>2023</v>
      </c>
      <c r="C132" s="15">
        <v>7</v>
      </c>
      <c r="D132" s="15">
        <v>19</v>
      </c>
      <c r="E132" s="15">
        <v>20430</v>
      </c>
      <c r="F132" t="s" s="17">
        <v>122</v>
      </c>
      <c r="G132" s="16"/>
      <c r="H132" s="16"/>
      <c r="I132" t="s" s="17">
        <v>14</v>
      </c>
      <c r="J132" t="s" s="17">
        <v>123</v>
      </c>
      <c r="K132" t="s" s="17">
        <v>16</v>
      </c>
      <c r="L132" s="15">
        <f>IF(O132,P132/O132,0)</f>
        <v>0.027</v>
      </c>
      <c r="M132" s="15">
        <v>0.027</v>
      </c>
      <c r="N132" s="15">
        <f>A132</f>
        <v>130</v>
      </c>
      <c r="O132" s="15">
        <v>5000</v>
      </c>
      <c r="P132" s="15">
        <v>135</v>
      </c>
      <c r="Q132" s="16"/>
    </row>
    <row r="133" ht="20.05" customHeight="1">
      <c r="A133" s="13">
        <f>A132+1</f>
        <v>131</v>
      </c>
      <c r="B133" s="14">
        <v>2023</v>
      </c>
      <c r="C133" s="15">
        <v>7</v>
      </c>
      <c r="D133" s="15">
        <v>19</v>
      </c>
      <c r="E133" s="15">
        <v>20430</v>
      </c>
      <c r="F133" t="s" s="17">
        <v>122</v>
      </c>
      <c r="G133" s="16"/>
      <c r="H133" s="16"/>
      <c r="I133" t="s" s="17">
        <v>14</v>
      </c>
      <c r="J133" t="s" s="17">
        <v>147</v>
      </c>
      <c r="K133" t="s" s="17">
        <v>16</v>
      </c>
      <c r="L133" s="15">
        <f>IF(O133,P133/O133,0)</f>
        <v>0.0148</v>
      </c>
      <c r="M133" s="15">
        <v>0.0148</v>
      </c>
      <c r="N133" s="15">
        <f>A133</f>
        <v>131</v>
      </c>
      <c r="O133" s="15">
        <v>5000</v>
      </c>
      <c r="P133" s="15">
        <v>74</v>
      </c>
      <c r="Q133" s="16"/>
    </row>
    <row r="134" ht="20.05" customHeight="1">
      <c r="A134" s="13">
        <f>A133+1</f>
        <v>132</v>
      </c>
      <c r="B134" s="14">
        <v>2023</v>
      </c>
      <c r="C134" s="15">
        <v>7</v>
      </c>
      <c r="D134" s="15">
        <v>19</v>
      </c>
      <c r="E134" s="15">
        <v>20430</v>
      </c>
      <c r="F134" t="s" s="17">
        <v>122</v>
      </c>
      <c r="G134" s="16"/>
      <c r="H134" s="16"/>
      <c r="I134" t="s" s="17">
        <v>14</v>
      </c>
      <c r="J134" t="s" s="17">
        <v>124</v>
      </c>
      <c r="K134" t="s" s="17">
        <v>16</v>
      </c>
      <c r="L134" s="15">
        <f>IF(O134,P134/O134,0)</f>
        <v>0.103636363636364</v>
      </c>
      <c r="M134" s="15">
        <v>0.103636363636364</v>
      </c>
      <c r="N134" s="15">
        <f>A134</f>
        <v>132</v>
      </c>
      <c r="O134" s="15">
        <v>2750</v>
      </c>
      <c r="P134" s="15">
        <v>285</v>
      </c>
      <c r="Q134" s="16"/>
    </row>
    <row r="135" ht="20.05" customHeight="1">
      <c r="A135" s="13">
        <f>A134+1</f>
        <v>133</v>
      </c>
      <c r="B135" s="14">
        <v>2023</v>
      </c>
      <c r="C135" s="15">
        <v>7</v>
      </c>
      <c r="D135" s="15">
        <v>19</v>
      </c>
      <c r="E135" s="15">
        <v>20430</v>
      </c>
      <c r="F135" t="s" s="17">
        <v>122</v>
      </c>
      <c r="G135" s="16"/>
      <c r="H135" s="16"/>
      <c r="I135" t="s" s="17">
        <v>14</v>
      </c>
      <c r="J135" t="s" s="17">
        <v>140</v>
      </c>
      <c r="K135" t="s" s="17">
        <v>23</v>
      </c>
      <c r="L135" s="15">
        <f>IF(O135,P135/O135,0)</f>
        <v>2.5</v>
      </c>
      <c r="M135" s="15">
        <v>2.5</v>
      </c>
      <c r="N135" s="15">
        <f>A135</f>
        <v>133</v>
      </c>
      <c r="O135" s="15">
        <v>30</v>
      </c>
      <c r="P135" s="15">
        <v>75</v>
      </c>
      <c r="Q135" s="16"/>
    </row>
    <row r="136" ht="20.05" customHeight="1">
      <c r="A136" s="13">
        <f>A135+1</f>
        <v>134</v>
      </c>
      <c r="B136" s="14">
        <v>2023</v>
      </c>
      <c r="C136" s="15">
        <v>7</v>
      </c>
      <c r="D136" s="15">
        <v>19</v>
      </c>
      <c r="E136" s="15">
        <v>20430</v>
      </c>
      <c r="F136" t="s" s="17">
        <v>122</v>
      </c>
      <c r="G136" s="16"/>
      <c r="H136" s="16"/>
      <c r="I136" t="s" s="17">
        <v>14</v>
      </c>
      <c r="J136" t="s" s="17">
        <v>148</v>
      </c>
      <c r="K136" t="s" s="17">
        <v>41</v>
      </c>
      <c r="L136" s="15">
        <f>IF(O136,P136/O136,0)</f>
        <v>0.198</v>
      </c>
      <c r="M136" s="15">
        <v>0.198</v>
      </c>
      <c r="N136" s="15">
        <f>A136</f>
        <v>134</v>
      </c>
      <c r="O136" s="15">
        <v>5000</v>
      </c>
      <c r="P136" s="15">
        <v>990</v>
      </c>
      <c r="Q136" s="16"/>
    </row>
    <row r="137" ht="20.05" customHeight="1">
      <c r="A137" s="13">
        <f>A136+1</f>
        <v>135</v>
      </c>
      <c r="B137" s="14">
        <v>2023</v>
      </c>
      <c r="C137" s="15">
        <v>7</v>
      </c>
      <c r="D137" s="15">
        <v>19</v>
      </c>
      <c r="E137" s="15">
        <v>20430</v>
      </c>
      <c r="F137" t="s" s="17">
        <v>122</v>
      </c>
      <c r="G137" s="16"/>
      <c r="H137" s="16"/>
      <c r="I137" t="s" s="17">
        <v>17</v>
      </c>
      <c r="J137" t="s" s="17">
        <v>125</v>
      </c>
      <c r="K137" t="s" s="17">
        <v>16</v>
      </c>
      <c r="L137" s="15">
        <f>IF(O137,P137/O137,0)</f>
        <v>0.164</v>
      </c>
      <c r="M137" s="15">
        <v>0.164</v>
      </c>
      <c r="N137" s="15">
        <f>A137</f>
        <v>135</v>
      </c>
      <c r="O137" s="15">
        <v>1500</v>
      </c>
      <c r="P137" s="15">
        <v>246</v>
      </c>
      <c r="Q137" s="16"/>
    </row>
    <row r="138" ht="20.05" customHeight="1">
      <c r="A138" s="13">
        <f>A137+1</f>
        <v>136</v>
      </c>
      <c r="B138" s="14">
        <v>2023</v>
      </c>
      <c r="C138" s="15">
        <v>7</v>
      </c>
      <c r="D138" s="15">
        <v>19</v>
      </c>
      <c r="E138" s="15">
        <v>20430</v>
      </c>
      <c r="F138" t="s" s="17">
        <v>122</v>
      </c>
      <c r="G138" s="16"/>
      <c r="H138" s="16"/>
      <c r="I138" t="s" s="17">
        <v>14</v>
      </c>
      <c r="J138" t="s" s="17">
        <v>149</v>
      </c>
      <c r="K138" t="s" s="17">
        <v>16</v>
      </c>
      <c r="L138" s="15">
        <f>IF(O138,P138/O138,0)</f>
        <v>0.08</v>
      </c>
      <c r="M138" s="15">
        <v>0.08</v>
      </c>
      <c r="N138" s="15">
        <f>A138</f>
        <v>136</v>
      </c>
      <c r="O138" s="15">
        <v>1000</v>
      </c>
      <c r="P138" s="15">
        <v>80</v>
      </c>
      <c r="Q138" s="16"/>
    </row>
    <row r="139" ht="20.05" customHeight="1">
      <c r="A139" s="13">
        <f>A138+1</f>
        <v>137</v>
      </c>
      <c r="B139" s="14">
        <v>2023</v>
      </c>
      <c r="C139" s="15">
        <v>7</v>
      </c>
      <c r="D139" s="15">
        <v>19</v>
      </c>
      <c r="E139" s="15">
        <v>756</v>
      </c>
      <c r="F139" t="s" s="17">
        <v>150</v>
      </c>
      <c r="G139" s="16"/>
      <c r="H139" s="16"/>
      <c r="I139" t="s" s="17">
        <v>19</v>
      </c>
      <c r="J139" t="s" s="17">
        <v>151</v>
      </c>
      <c r="K139" t="s" s="17">
        <v>41</v>
      </c>
      <c r="L139" s="15">
        <f>IF(O139,P139/O139,0)</f>
        <v>0.421428571428571</v>
      </c>
      <c r="M139" s="15">
        <v>0.421428571428571</v>
      </c>
      <c r="N139" s="15">
        <f>A139</f>
        <v>137</v>
      </c>
      <c r="O139" s="15">
        <v>700</v>
      </c>
      <c r="P139" s="15">
        <v>295</v>
      </c>
      <c r="Q139" s="16"/>
    </row>
    <row r="140" ht="20.05" customHeight="1">
      <c r="A140" s="13">
        <f>A139+1</f>
        <v>138</v>
      </c>
      <c r="B140" s="14">
        <v>2023</v>
      </c>
      <c r="C140" s="15">
        <v>7</v>
      </c>
      <c r="D140" s="15">
        <v>19</v>
      </c>
      <c r="E140" s="15">
        <v>756</v>
      </c>
      <c r="F140" t="s" s="17">
        <v>150</v>
      </c>
      <c r="G140" s="16"/>
      <c r="H140" s="16"/>
      <c r="I140" t="s" s="17">
        <v>19</v>
      </c>
      <c r="J140" t="s" s="17">
        <v>152</v>
      </c>
      <c r="K140" t="s" s="17">
        <v>41</v>
      </c>
      <c r="L140" s="15">
        <f>IF(O140,P140/O140,0)</f>
        <v>0.357333333333333</v>
      </c>
      <c r="M140" s="15">
        <v>0.357333333333333</v>
      </c>
      <c r="N140" s="15">
        <f>A140</f>
        <v>138</v>
      </c>
      <c r="O140" s="15">
        <v>750</v>
      </c>
      <c r="P140" s="15">
        <v>268</v>
      </c>
      <c r="Q140" s="16"/>
    </row>
    <row r="141" ht="20.05" customHeight="1">
      <c r="A141" s="13">
        <f>A140+1</f>
        <v>139</v>
      </c>
      <c r="B141" s="14">
        <v>2023</v>
      </c>
      <c r="C141" s="15">
        <v>7</v>
      </c>
      <c r="D141" s="15">
        <v>19</v>
      </c>
      <c r="E141" s="15">
        <v>756</v>
      </c>
      <c r="F141" t="s" s="17">
        <v>150</v>
      </c>
      <c r="G141" s="16"/>
      <c r="H141" s="16"/>
      <c r="I141" t="s" s="17">
        <v>19</v>
      </c>
      <c r="J141" t="s" s="17">
        <v>153</v>
      </c>
      <c r="K141" t="s" s="17">
        <v>41</v>
      </c>
      <c r="L141" s="15">
        <f>IF(O141,P141/O141,0)</f>
        <v>0.864</v>
      </c>
      <c r="M141" s="15">
        <v>0.864</v>
      </c>
      <c r="N141" s="15">
        <f>A141</f>
        <v>139</v>
      </c>
      <c r="O141" s="15">
        <v>375</v>
      </c>
      <c r="P141" s="15">
        <v>324</v>
      </c>
      <c r="Q141" s="16"/>
    </row>
    <row r="142" ht="20.05" customHeight="1">
      <c r="A142" s="13">
        <f>A141+1</f>
        <v>140</v>
      </c>
      <c r="B142" s="14">
        <v>2023</v>
      </c>
      <c r="C142" s="15">
        <v>7</v>
      </c>
      <c r="D142" s="15">
        <v>19</v>
      </c>
      <c r="E142" s="15">
        <v>756</v>
      </c>
      <c r="F142" t="s" s="17">
        <v>150</v>
      </c>
      <c r="G142" s="16"/>
      <c r="H142" s="16"/>
      <c r="I142" t="s" s="17">
        <v>19</v>
      </c>
      <c r="J142" t="s" s="17">
        <v>154</v>
      </c>
      <c r="K142" t="s" s="17">
        <v>41</v>
      </c>
      <c r="L142" s="15">
        <f>IF(O142,P142/O142,0)</f>
        <v>0.286</v>
      </c>
      <c r="M142" s="15">
        <v>0.286</v>
      </c>
      <c r="N142" s="15">
        <f>A142</f>
        <v>140</v>
      </c>
      <c r="O142" s="15">
        <v>2000</v>
      </c>
      <c r="P142" s="15">
        <v>572</v>
      </c>
      <c r="Q142" s="16"/>
    </row>
    <row r="143" ht="20.05" customHeight="1">
      <c r="A143" s="13">
        <f>A142+1</f>
        <v>141</v>
      </c>
      <c r="B143" s="14">
        <v>2023</v>
      </c>
      <c r="C143" s="15">
        <v>7</v>
      </c>
      <c r="D143" s="15">
        <v>19</v>
      </c>
      <c r="E143" s="15">
        <v>756</v>
      </c>
      <c r="F143" t="s" s="17">
        <v>150</v>
      </c>
      <c r="G143" s="16"/>
      <c r="H143" s="16"/>
      <c r="I143" t="s" s="17">
        <v>19</v>
      </c>
      <c r="J143" t="s" s="17">
        <v>155</v>
      </c>
      <c r="K143" t="s" s="17">
        <v>16</v>
      </c>
      <c r="L143" s="15">
        <f>IF(O143,P143/O143,0)</f>
        <v>0.296</v>
      </c>
      <c r="M143" s="15">
        <v>0.296</v>
      </c>
      <c r="N143" s="15">
        <f>A143</f>
        <v>141</v>
      </c>
      <c r="O143" s="15">
        <v>1000</v>
      </c>
      <c r="P143" s="15">
        <f>370-74</f>
        <v>296</v>
      </c>
      <c r="Q143" s="16"/>
    </row>
    <row r="144" ht="20.05" customHeight="1">
      <c r="A144" s="13">
        <f>A143+1</f>
        <v>142</v>
      </c>
      <c r="B144" s="14">
        <v>2023</v>
      </c>
      <c r="C144" s="15">
        <v>7</v>
      </c>
      <c r="D144" s="15">
        <v>19</v>
      </c>
      <c r="E144" s="15">
        <v>896</v>
      </c>
      <c r="F144" t="s" s="17">
        <v>126</v>
      </c>
      <c r="G144" s="16"/>
      <c r="H144" s="16"/>
      <c r="I144" t="s" s="17">
        <v>127</v>
      </c>
      <c r="J144" t="s" s="17">
        <v>128</v>
      </c>
      <c r="K144" t="s" s="17">
        <v>23</v>
      </c>
      <c r="L144" s="15">
        <f>IF(O144,P144/O144,0)</f>
        <v>9.2578125</v>
      </c>
      <c r="M144" s="15">
        <v>9.2578125</v>
      </c>
      <c r="N144" s="15">
        <f>A144</f>
        <v>142</v>
      </c>
      <c r="O144" s="15">
        <v>32</v>
      </c>
      <c r="P144" s="15">
        <v>296.25</v>
      </c>
      <c r="Q144" s="16"/>
    </row>
    <row r="145" ht="20.05" customHeight="1">
      <c r="A145" s="13">
        <f>A144+1</f>
        <v>143</v>
      </c>
      <c r="B145" s="14">
        <v>2023</v>
      </c>
      <c r="C145" s="15">
        <v>7</v>
      </c>
      <c r="D145" s="15">
        <v>20</v>
      </c>
      <c r="E145" s="15">
        <v>158</v>
      </c>
      <c r="F145" t="s" s="17">
        <v>130</v>
      </c>
      <c r="G145" s="16"/>
      <c r="H145" s="16"/>
      <c r="I145" t="s" s="17">
        <v>17</v>
      </c>
      <c r="J145" t="s" s="17">
        <v>156</v>
      </c>
      <c r="K145" t="s" s="17">
        <v>16</v>
      </c>
      <c r="L145" s="15">
        <f>IF(O145,P145/O145,0)</f>
        <v>0.08737499999999999</v>
      </c>
      <c r="M145" s="15">
        <v>0.08737499999999999</v>
      </c>
      <c r="N145" s="15">
        <f>A145</f>
        <v>143</v>
      </c>
      <c r="O145" s="15">
        <v>400</v>
      </c>
      <c r="P145" s="15">
        <v>34.95</v>
      </c>
      <c r="Q145" s="16"/>
    </row>
    <row r="146" ht="20.05" customHeight="1">
      <c r="A146" s="13">
        <f>A145+1</f>
        <v>144</v>
      </c>
      <c r="B146" s="14">
        <v>2023</v>
      </c>
      <c r="C146" s="15">
        <v>7</v>
      </c>
      <c r="D146" s="15">
        <v>20</v>
      </c>
      <c r="E146" s="15">
        <v>7</v>
      </c>
      <c r="F146" t="s" s="17">
        <v>130</v>
      </c>
      <c r="G146" s="16"/>
      <c r="H146" s="16"/>
      <c r="I146" t="s" s="17">
        <v>19</v>
      </c>
      <c r="J146" t="s" s="17">
        <v>157</v>
      </c>
      <c r="K146" t="s" s="17">
        <v>16</v>
      </c>
      <c r="L146" s="15">
        <f>IF(O146,P146/O146,0)</f>
        <v>0.02295</v>
      </c>
      <c r="M146" s="15">
        <v>0.02295</v>
      </c>
      <c r="N146" s="15">
        <f>A146</f>
        <v>144</v>
      </c>
      <c r="O146" s="15">
        <v>1000</v>
      </c>
      <c r="P146" s="15">
        <v>22.95</v>
      </c>
      <c r="Q146" s="16"/>
    </row>
    <row r="147" ht="20.05" customHeight="1">
      <c r="A147" s="13">
        <f>A146+1</f>
        <v>145</v>
      </c>
      <c r="B147" s="14">
        <v>2023</v>
      </c>
      <c r="C147" s="15">
        <v>7</v>
      </c>
      <c r="D147" s="15">
        <v>21</v>
      </c>
      <c r="E147" s="15">
        <v>519617</v>
      </c>
      <c r="F147" t="s" s="17">
        <v>141</v>
      </c>
      <c r="G147" s="16"/>
      <c r="H147" s="16"/>
      <c r="I147" t="s" s="17">
        <v>19</v>
      </c>
      <c r="J147" t="s" s="17">
        <v>142</v>
      </c>
      <c r="K147" t="s" s="17">
        <v>23</v>
      </c>
      <c r="L147" s="15">
        <f>IF(O147,P147/O147,0)</f>
        <v>11.53625</v>
      </c>
      <c r="M147" s="15">
        <v>11.53625</v>
      </c>
      <c r="N147" s="15">
        <f>A147</f>
        <v>145</v>
      </c>
      <c r="O147" s="15">
        <v>24</v>
      </c>
      <c r="P147" s="15">
        <f t="shared" si="379"/>
        <v>276.87</v>
      </c>
      <c r="Q147" s="16"/>
    </row>
    <row r="148" ht="20.05" customHeight="1">
      <c r="A148" s="13">
        <f>A147+1</f>
        <v>146</v>
      </c>
      <c r="B148" s="14">
        <v>2023</v>
      </c>
      <c r="C148" s="15">
        <v>7</v>
      </c>
      <c r="D148" s="15">
        <v>21</v>
      </c>
      <c r="E148" s="15">
        <v>419617</v>
      </c>
      <c r="F148" t="s" s="17">
        <v>141</v>
      </c>
      <c r="G148" s="16"/>
      <c r="H148" s="16"/>
      <c r="I148" t="s" s="17">
        <v>19</v>
      </c>
      <c r="J148" t="s" s="17">
        <v>158</v>
      </c>
      <c r="K148" t="s" s="17">
        <v>23</v>
      </c>
      <c r="L148" s="15">
        <f>IF(O148,P148/O148,0)</f>
        <v>11.53625</v>
      </c>
      <c r="M148" s="15">
        <v>11.53625</v>
      </c>
      <c r="N148" s="15">
        <f>A148</f>
        <v>146</v>
      </c>
      <c r="O148" s="15">
        <v>24</v>
      </c>
      <c r="P148" s="15">
        <f t="shared" si="379"/>
        <v>276.87</v>
      </c>
      <c r="Q148" s="16"/>
    </row>
    <row r="149" ht="20.05" customHeight="1">
      <c r="A149" s="13">
        <f>A148+1</f>
        <v>147</v>
      </c>
      <c r="B149" s="14">
        <v>2023</v>
      </c>
      <c r="C149" s="15">
        <v>7</v>
      </c>
      <c r="D149" s="15">
        <v>21</v>
      </c>
      <c r="E149" s="15">
        <v>419617</v>
      </c>
      <c r="F149" t="s" s="17">
        <v>141</v>
      </c>
      <c r="G149" s="16"/>
      <c r="H149" s="16"/>
      <c r="I149" t="s" s="17">
        <v>19</v>
      </c>
      <c r="J149" t="s" s="17">
        <v>159</v>
      </c>
      <c r="K149" t="s" s="17">
        <v>23</v>
      </c>
      <c r="L149" s="15">
        <f>IF(O149,P149/O149,0)</f>
        <v>1.8565625</v>
      </c>
      <c r="M149" s="15">
        <v>1.8565625</v>
      </c>
      <c r="N149" s="15">
        <f>A149</f>
        <v>147</v>
      </c>
      <c r="O149" s="15">
        <v>480</v>
      </c>
      <c r="P149" s="15">
        <f>2208-1316.85</f>
        <v>891.15</v>
      </c>
      <c r="Q149" s="16"/>
    </row>
    <row r="150" ht="20.05" customHeight="1">
      <c r="A150" s="13">
        <f>A149+1</f>
        <v>148</v>
      </c>
      <c r="B150" s="14">
        <v>2023</v>
      </c>
      <c r="C150" s="15">
        <v>7</v>
      </c>
      <c r="D150" s="15">
        <v>22</v>
      </c>
      <c r="E150" s="15">
        <v>85115</v>
      </c>
      <c r="F150" t="s" s="17">
        <v>141</v>
      </c>
      <c r="G150" s="16"/>
      <c r="H150" s="16"/>
      <c r="I150" t="s" s="17">
        <v>19</v>
      </c>
      <c r="J150" t="s" s="17">
        <v>142</v>
      </c>
      <c r="K150" t="s" s="17">
        <v>23</v>
      </c>
      <c r="L150" s="15">
        <f>IF(O150,P150/O150,0)</f>
        <v>11.53625</v>
      </c>
      <c r="M150" s="15">
        <v>11.53625</v>
      </c>
      <c r="N150" s="15">
        <f>A150</f>
        <v>148</v>
      </c>
      <c r="O150" s="15">
        <v>24</v>
      </c>
      <c r="P150" s="15">
        <v>276.87</v>
      </c>
      <c r="Q150" s="16"/>
    </row>
    <row r="151" ht="20.05" customHeight="1">
      <c r="A151" s="13">
        <f>A150+1</f>
        <v>149</v>
      </c>
      <c r="B151" s="14">
        <v>2023</v>
      </c>
      <c r="C151" s="15">
        <v>7</v>
      </c>
      <c r="D151" s="15">
        <v>22</v>
      </c>
      <c r="E151" s="15">
        <v>85115</v>
      </c>
      <c r="F151" t="s" s="17">
        <v>141</v>
      </c>
      <c r="G151" s="16"/>
      <c r="H151" s="16"/>
      <c r="I151" t="s" s="17">
        <v>19</v>
      </c>
      <c r="J151" t="s" s="17">
        <v>158</v>
      </c>
      <c r="K151" t="s" s="17">
        <v>23</v>
      </c>
      <c r="L151" s="15">
        <f>IF(O151,P151/O151,0)</f>
        <v>11.53625</v>
      </c>
      <c r="M151" s="15">
        <v>11.53625</v>
      </c>
      <c r="N151" s="15">
        <f>A151</f>
        <v>149</v>
      </c>
      <c r="O151" s="15">
        <v>24</v>
      </c>
      <c r="P151" s="15">
        <v>276.87</v>
      </c>
      <c r="Q151" s="16"/>
    </row>
    <row r="152" ht="20.05" customHeight="1">
      <c r="A152" s="13">
        <f>A151+1</f>
        <v>150</v>
      </c>
      <c r="B152" s="14">
        <v>2023</v>
      </c>
      <c r="C152" s="15">
        <v>7</v>
      </c>
      <c r="D152" s="15">
        <v>22</v>
      </c>
      <c r="E152" s="15">
        <v>85115</v>
      </c>
      <c r="F152" t="s" s="17">
        <v>141</v>
      </c>
      <c r="G152" s="16"/>
      <c r="H152" s="16"/>
      <c r="I152" t="s" s="17">
        <v>19</v>
      </c>
      <c r="J152" t="s" s="17">
        <v>159</v>
      </c>
      <c r="K152" t="s" s="17">
        <v>23</v>
      </c>
      <c r="L152" s="15">
        <f>IF(O152,P152/O152,0)</f>
        <v>1.8565625</v>
      </c>
      <c r="M152" s="15">
        <v>1.8565625</v>
      </c>
      <c r="N152" s="15">
        <f>A152</f>
        <v>150</v>
      </c>
      <c r="O152" s="15">
        <v>480</v>
      </c>
      <c r="P152" s="15">
        <v>891.15</v>
      </c>
      <c r="Q152" s="16"/>
    </row>
    <row r="153" ht="20.05" customHeight="1">
      <c r="A153" s="13">
        <f>A152+1</f>
        <v>151</v>
      </c>
      <c r="B153" s="14">
        <v>2023</v>
      </c>
      <c r="C153" s="15">
        <v>7</v>
      </c>
      <c r="D153" s="15">
        <v>22</v>
      </c>
      <c r="E153" s="15">
        <v>143</v>
      </c>
      <c r="F153" t="s" s="17">
        <v>130</v>
      </c>
      <c r="G153" s="16"/>
      <c r="H153" s="16"/>
      <c r="I153" t="s" s="17">
        <v>19</v>
      </c>
      <c r="J153" t="s" s="17">
        <v>157</v>
      </c>
      <c r="K153" t="s" s="17">
        <v>16</v>
      </c>
      <c r="L153" s="15">
        <f>IF(O153,P153/O153,0)</f>
        <v>0.02295</v>
      </c>
      <c r="M153" s="15">
        <v>0.02295</v>
      </c>
      <c r="N153" s="15">
        <f>A153</f>
        <v>151</v>
      </c>
      <c r="O153" s="15">
        <v>1000</v>
      </c>
      <c r="P153" s="15">
        <v>22.95</v>
      </c>
      <c r="Q153" s="16"/>
    </row>
    <row r="154" ht="20.05" customHeight="1">
      <c r="A154" s="13">
        <f>A153+1</f>
        <v>152</v>
      </c>
      <c r="B154" s="14">
        <v>2023</v>
      </c>
      <c r="C154" s="15">
        <v>7</v>
      </c>
      <c r="D154" s="15">
        <v>23</v>
      </c>
      <c r="E154" s="15">
        <v>139</v>
      </c>
      <c r="F154" t="s" s="17">
        <v>130</v>
      </c>
      <c r="G154" s="16"/>
      <c r="H154" s="16"/>
      <c r="I154" t="s" s="17">
        <v>26</v>
      </c>
      <c r="J154" t="s" s="17">
        <v>82</v>
      </c>
      <c r="K154" t="s" s="17">
        <v>16</v>
      </c>
      <c r="L154" s="15">
        <f>IF(O154,P154/O154,0)</f>
        <v>0.02775</v>
      </c>
      <c r="M154" s="15">
        <v>0.02775</v>
      </c>
      <c r="N154" s="15">
        <f>A154</f>
        <v>152</v>
      </c>
      <c r="O154" s="15">
        <v>1000</v>
      </c>
      <c r="P154" s="15">
        <v>27.75</v>
      </c>
      <c r="Q154" s="16"/>
    </row>
    <row r="155" ht="20.05" customHeight="1">
      <c r="A155" s="13">
        <f>A154+1</f>
        <v>153</v>
      </c>
      <c r="B155" s="14">
        <v>2023</v>
      </c>
      <c r="C155" s="15">
        <v>7</v>
      </c>
      <c r="D155" s="15">
        <v>23</v>
      </c>
      <c r="E155" s="15">
        <v>39</v>
      </c>
      <c r="F155" t="s" s="17">
        <v>130</v>
      </c>
      <c r="G155" s="16"/>
      <c r="H155" s="16"/>
      <c r="I155" t="s" s="17">
        <v>14</v>
      </c>
      <c r="J155" t="s" s="17">
        <v>21</v>
      </c>
      <c r="K155" t="s" s="17">
        <v>16</v>
      </c>
      <c r="L155" s="15">
        <f>IF(O155,P155/O155,0)</f>
        <v>0.02495</v>
      </c>
      <c r="M155" s="15">
        <v>0.02495</v>
      </c>
      <c r="N155" s="15">
        <f>A155</f>
        <v>153</v>
      </c>
      <c r="O155" s="15">
        <v>1000</v>
      </c>
      <c r="P155" s="15">
        <v>24.95</v>
      </c>
      <c r="Q155" s="16"/>
    </row>
    <row r="156" ht="20.05" customHeight="1">
      <c r="A156" s="13">
        <f>A155+1</f>
        <v>154</v>
      </c>
      <c r="B156" s="14">
        <v>2023</v>
      </c>
      <c r="C156" s="15">
        <v>7</v>
      </c>
      <c r="D156" s="15">
        <v>26</v>
      </c>
      <c r="E156" s="15">
        <v>61</v>
      </c>
      <c r="F156" t="s" s="17">
        <v>130</v>
      </c>
      <c r="G156" s="16"/>
      <c r="H156" s="16"/>
      <c r="I156" t="s" s="17">
        <v>19</v>
      </c>
      <c r="J156" t="s" s="17">
        <v>157</v>
      </c>
      <c r="K156" t="s" s="17">
        <v>16</v>
      </c>
      <c r="L156" s="15">
        <f>IF(O156,P156/O156,0)</f>
        <v>0.0229490708878183</v>
      </c>
      <c r="M156" s="15">
        <v>0.0229490708878183</v>
      </c>
      <c r="N156" s="15">
        <f>A156</f>
        <v>154</v>
      </c>
      <c r="O156" s="15">
        <v>2906</v>
      </c>
      <c r="P156" s="15">
        <v>66.69</v>
      </c>
      <c r="Q156" s="16"/>
    </row>
    <row r="157" ht="20.05" customHeight="1">
      <c r="A157" s="13">
        <f>A156+1</f>
        <v>155</v>
      </c>
      <c r="B157" s="14">
        <v>2023</v>
      </c>
      <c r="C157" s="15">
        <v>7</v>
      </c>
      <c r="D157" s="15">
        <v>26</v>
      </c>
      <c r="E157" s="15">
        <v>790</v>
      </c>
      <c r="F157" t="s" s="17">
        <v>150</v>
      </c>
      <c r="G157" s="16"/>
      <c r="H157" s="16"/>
      <c r="I157" t="s" s="17">
        <v>19</v>
      </c>
      <c r="J157" t="s" s="17">
        <v>56</v>
      </c>
      <c r="K157" t="s" s="17">
        <v>41</v>
      </c>
      <c r="L157" s="15">
        <f>IF(O157,P157/O157,0)</f>
        <v>0.357333333333333</v>
      </c>
      <c r="M157" s="15">
        <v>0.357333333333333</v>
      </c>
      <c r="N157" s="15">
        <f>A157</f>
        <v>155</v>
      </c>
      <c r="O157" s="15">
        <v>750</v>
      </c>
      <c r="P157" s="15">
        <v>268</v>
      </c>
      <c r="Q157" s="16"/>
    </row>
    <row r="158" ht="20.05" customHeight="1">
      <c r="A158" s="13">
        <f>A157+1</f>
        <v>156</v>
      </c>
      <c r="B158" s="14">
        <v>2023</v>
      </c>
      <c r="C158" s="15">
        <v>7</v>
      </c>
      <c r="D158" s="15">
        <v>26</v>
      </c>
      <c r="E158" s="15">
        <v>790</v>
      </c>
      <c r="F158" t="s" s="17">
        <v>150</v>
      </c>
      <c r="G158" s="16"/>
      <c r="H158" s="16"/>
      <c r="I158" t="s" s="17">
        <v>19</v>
      </c>
      <c r="J158" t="s" s="17">
        <v>105</v>
      </c>
      <c r="K158" t="s" s="17">
        <v>41</v>
      </c>
      <c r="L158" s="15">
        <f>IF(O158,P158/O158,0)</f>
        <v>0.357333333333333</v>
      </c>
      <c r="M158" s="15">
        <v>0.357333333333333</v>
      </c>
      <c r="N158" s="15">
        <f>A158</f>
        <v>156</v>
      </c>
      <c r="O158" s="15">
        <v>750</v>
      </c>
      <c r="P158" s="15">
        <v>268</v>
      </c>
      <c r="Q158" s="16"/>
    </row>
    <row r="159" ht="20.05" customHeight="1">
      <c r="A159" s="13">
        <f>A158+1</f>
        <v>157</v>
      </c>
      <c r="B159" s="14">
        <v>2023</v>
      </c>
      <c r="C159" s="15">
        <v>7</v>
      </c>
      <c r="D159" s="15">
        <v>26</v>
      </c>
      <c r="E159" s="15">
        <v>790</v>
      </c>
      <c r="F159" t="s" s="17">
        <v>150</v>
      </c>
      <c r="G159" s="16"/>
      <c r="H159" s="16"/>
      <c r="I159" t="s" s="17">
        <v>19</v>
      </c>
      <c r="J159" t="s" s="17">
        <v>153</v>
      </c>
      <c r="K159" t="s" s="17">
        <v>41</v>
      </c>
      <c r="L159" s="15">
        <f>IF(O159,P159/O159,0)</f>
        <v>0.864</v>
      </c>
      <c r="M159" s="15">
        <v>0.864</v>
      </c>
      <c r="N159" s="15">
        <f>A159</f>
        <v>157</v>
      </c>
      <c r="O159" s="15">
        <v>375</v>
      </c>
      <c r="P159" s="15">
        <v>324</v>
      </c>
      <c r="Q159" s="16"/>
    </row>
    <row r="160" ht="20.05" customHeight="1">
      <c r="A160" s="13">
        <f>A159+1</f>
        <v>158</v>
      </c>
      <c r="B160" s="14">
        <v>2023</v>
      </c>
      <c r="C160" s="15">
        <v>7</v>
      </c>
      <c r="D160" s="15">
        <v>26</v>
      </c>
      <c r="E160" s="15">
        <v>790</v>
      </c>
      <c r="F160" t="s" s="17">
        <v>150</v>
      </c>
      <c r="G160" s="16"/>
      <c r="H160" s="16"/>
      <c r="I160" t="s" s="17">
        <v>19</v>
      </c>
      <c r="J160" t="s" s="17">
        <v>154</v>
      </c>
      <c r="K160" t="s" s="17">
        <v>41</v>
      </c>
      <c r="L160" s="15">
        <f>IF(O160,P160/O160,0)</f>
        <v>0.286</v>
      </c>
      <c r="M160" s="15">
        <v>0.286</v>
      </c>
      <c r="N160" s="15">
        <f>A160</f>
        <v>158</v>
      </c>
      <c r="O160" s="15">
        <v>2000</v>
      </c>
      <c r="P160" s="15">
        <v>572</v>
      </c>
      <c r="Q160" s="16"/>
    </row>
    <row r="161" ht="20.05" customHeight="1">
      <c r="A161" s="13">
        <f>A160+1</f>
        <v>159</v>
      </c>
      <c r="B161" s="14">
        <v>2023</v>
      </c>
      <c r="C161" s="15">
        <v>7</v>
      </c>
      <c r="D161" s="15">
        <v>26</v>
      </c>
      <c r="E161" s="15">
        <v>790</v>
      </c>
      <c r="F161" t="s" s="17">
        <v>150</v>
      </c>
      <c r="G161" s="16"/>
      <c r="H161" s="16"/>
      <c r="I161" t="s" s="17">
        <v>19</v>
      </c>
      <c r="J161" t="s" s="17">
        <v>91</v>
      </c>
      <c r="K161" t="s" s="17">
        <v>41</v>
      </c>
      <c r="L161" s="15">
        <f>IF(O161,P161/O161,0)</f>
        <v>0.357333333333333</v>
      </c>
      <c r="M161" s="15">
        <v>0.357333333333333</v>
      </c>
      <c r="N161" s="15">
        <f>A161</f>
        <v>159</v>
      </c>
      <c r="O161" s="15">
        <v>750</v>
      </c>
      <c r="P161" s="15">
        <v>268</v>
      </c>
      <c r="Q161" s="16"/>
    </row>
    <row r="162" ht="20.05" customHeight="1">
      <c r="A162" s="13">
        <f>A161+1</f>
        <v>160</v>
      </c>
      <c r="B162" s="14">
        <v>2023</v>
      </c>
      <c r="C162" s="15">
        <v>7</v>
      </c>
      <c r="D162" s="15">
        <v>26</v>
      </c>
      <c r="E162" s="15">
        <v>790</v>
      </c>
      <c r="F162" t="s" s="17">
        <v>150</v>
      </c>
      <c r="G162" s="16"/>
      <c r="H162" s="16"/>
      <c r="I162" t="s" s="17">
        <v>19</v>
      </c>
      <c r="J162" t="s" s="17">
        <v>92</v>
      </c>
      <c r="K162" t="s" s="17">
        <v>41</v>
      </c>
      <c r="L162" s="15">
        <f>IF(O162,P162/O162,0)</f>
        <v>0.357333333333333</v>
      </c>
      <c r="M162" s="15">
        <v>0.357333333333333</v>
      </c>
      <c r="N162" s="15">
        <f>A162</f>
        <v>160</v>
      </c>
      <c r="O162" s="15">
        <v>750</v>
      </c>
      <c r="P162" s="15">
        <v>268</v>
      </c>
      <c r="Q162" s="16"/>
    </row>
    <row r="163" ht="20.05" customHeight="1">
      <c r="A163" s="13">
        <f>A162+1</f>
        <v>161</v>
      </c>
      <c r="B163" s="14">
        <v>2023</v>
      </c>
      <c r="C163" s="15">
        <v>7</v>
      </c>
      <c r="D163" s="15">
        <v>26</v>
      </c>
      <c r="E163" s="15">
        <v>790</v>
      </c>
      <c r="F163" t="s" s="17">
        <v>150</v>
      </c>
      <c r="G163" s="16"/>
      <c r="H163" s="16"/>
      <c r="I163" t="s" s="17">
        <v>19</v>
      </c>
      <c r="J163" t="s" s="17">
        <v>155</v>
      </c>
      <c r="K163" t="s" s="17">
        <v>16</v>
      </c>
      <c r="L163" s="15">
        <f>IF(O163,P163/O163,0)</f>
        <v>0.296</v>
      </c>
      <c r="M163" s="15">
        <v>0.296</v>
      </c>
      <c r="N163" s="15">
        <f>A163</f>
        <v>161</v>
      </c>
      <c r="O163" s="15">
        <v>1000</v>
      </c>
      <c r="P163" s="15">
        <v>296</v>
      </c>
      <c r="Q163" s="16"/>
    </row>
    <row r="164" ht="20.05" customHeight="1">
      <c r="A164" s="13">
        <f>A163+1</f>
        <v>162</v>
      </c>
      <c r="B164" s="14">
        <v>2023</v>
      </c>
      <c r="C164" s="15">
        <v>7</v>
      </c>
      <c r="D164" s="15">
        <v>26</v>
      </c>
      <c r="E164" s="15">
        <v>200</v>
      </c>
      <c r="F164" t="s" s="17">
        <v>130</v>
      </c>
      <c r="G164" s="16"/>
      <c r="H164" s="16"/>
      <c r="I164" t="s" s="17">
        <v>14</v>
      </c>
      <c r="J164" t="s" s="17">
        <v>15</v>
      </c>
      <c r="K164" t="s" s="17">
        <v>16</v>
      </c>
      <c r="L164" s="15">
        <f>IF(O164,P164/O164,0)</f>
        <v>0.5685714285714289</v>
      </c>
      <c r="M164" s="15">
        <v>0.5685714285714289</v>
      </c>
      <c r="N164" s="15">
        <f>A164</f>
        <v>162</v>
      </c>
      <c r="O164" s="15">
        <v>35</v>
      </c>
      <c r="P164" s="15">
        <v>19.9</v>
      </c>
      <c r="Q164" s="16"/>
    </row>
    <row r="165" ht="20.05" customHeight="1">
      <c r="A165" s="13">
        <f>A164+1</f>
        <v>163</v>
      </c>
      <c r="B165" s="14">
        <v>2023</v>
      </c>
      <c r="C165" s="15">
        <v>7</v>
      </c>
      <c r="D165" s="15">
        <v>26</v>
      </c>
      <c r="E165" s="15">
        <v>200</v>
      </c>
      <c r="F165" t="s" s="17">
        <v>130</v>
      </c>
      <c r="G165" s="16"/>
      <c r="H165" s="16"/>
      <c r="I165" t="s" s="17">
        <v>14</v>
      </c>
      <c r="J165" t="s" s="17">
        <v>160</v>
      </c>
      <c r="K165" t="s" s="17">
        <v>16</v>
      </c>
      <c r="L165" s="15">
        <f>IF(O165,P165/O165,0)</f>
        <v>0.0266</v>
      </c>
      <c r="M165" s="15">
        <v>0.0266</v>
      </c>
      <c r="N165" s="15">
        <f>A165</f>
        <v>163</v>
      </c>
      <c r="O165" s="15">
        <v>1500</v>
      </c>
      <c r="P165" s="15">
        <v>39.9</v>
      </c>
      <c r="Q165" s="16"/>
    </row>
    <row r="166" ht="20.05" customHeight="1">
      <c r="A166" s="13">
        <f>A165+1</f>
        <v>164</v>
      </c>
      <c r="B166" s="14">
        <v>2023</v>
      </c>
      <c r="C166" s="15">
        <v>7</v>
      </c>
      <c r="D166" s="15">
        <v>26</v>
      </c>
      <c r="E166" s="15">
        <v>906</v>
      </c>
      <c r="F166" t="s" s="17">
        <v>126</v>
      </c>
      <c r="G166" s="16"/>
      <c r="H166" s="16"/>
      <c r="I166" t="s" s="17">
        <v>127</v>
      </c>
      <c r="J166" t="s" s="17">
        <v>161</v>
      </c>
      <c r="K166" t="s" s="17">
        <v>23</v>
      </c>
      <c r="L166" s="15">
        <f>IF(O166,P166/O166,0)</f>
        <v>11.597225</v>
      </c>
      <c r="M166" s="15">
        <v>11.597225</v>
      </c>
      <c r="N166" s="15">
        <f>A166</f>
        <v>164</v>
      </c>
      <c r="O166" s="15">
        <v>12</v>
      </c>
      <c r="P166" s="15">
        <v>139.1667</v>
      </c>
      <c r="Q166" s="16"/>
    </row>
    <row r="167" ht="32.05" customHeight="1">
      <c r="A167" s="13">
        <f>A166+1</f>
        <v>165</v>
      </c>
      <c r="B167" s="14">
        <v>2023</v>
      </c>
      <c r="C167" s="15">
        <v>7</v>
      </c>
      <c r="D167" s="15">
        <v>26</v>
      </c>
      <c r="E167" s="15">
        <v>906</v>
      </c>
      <c r="F167" t="s" s="17">
        <v>126</v>
      </c>
      <c r="G167" s="16"/>
      <c r="H167" s="16"/>
      <c r="I167" t="s" s="17">
        <v>127</v>
      </c>
      <c r="J167" t="s" s="17">
        <v>136</v>
      </c>
      <c r="K167" t="s" s="17">
        <v>23</v>
      </c>
      <c r="L167" s="15">
        <f>IF(O167,P167/O167,0)</f>
        <v>1.2479</v>
      </c>
      <c r="M167" s="15">
        <v>1.2479</v>
      </c>
      <c r="N167" s="15">
        <f>A167</f>
        <v>165</v>
      </c>
      <c r="O167" s="15">
        <v>200</v>
      </c>
      <c r="P167" s="15">
        <v>249.58</v>
      </c>
      <c r="Q167" s="16"/>
    </row>
    <row r="168" ht="20.05" customHeight="1">
      <c r="A168" s="13">
        <f>A167+1</f>
        <v>166</v>
      </c>
      <c r="B168" s="14">
        <v>2023</v>
      </c>
      <c r="C168" s="15">
        <v>7</v>
      </c>
      <c r="D168" s="15">
        <v>26</v>
      </c>
      <c r="E168" s="15">
        <v>5589</v>
      </c>
      <c r="F168" t="s" s="17">
        <v>145</v>
      </c>
      <c r="G168" s="16"/>
      <c r="H168" s="16"/>
      <c r="I168" t="s" s="17">
        <v>17</v>
      </c>
      <c r="J168" t="s" s="17">
        <v>48</v>
      </c>
      <c r="K168" t="s" s="17">
        <v>16</v>
      </c>
      <c r="L168" s="15">
        <f>IF(O168,P168/O168,0)</f>
        <v>0.272666666666667</v>
      </c>
      <c r="M168" s="15">
        <v>0.272666666666667</v>
      </c>
      <c r="N168" s="15">
        <f>A168</f>
        <v>166</v>
      </c>
      <c r="O168" s="15">
        <v>150</v>
      </c>
      <c r="P168" s="15">
        <v>40.9</v>
      </c>
      <c r="Q168" s="16"/>
    </row>
    <row r="169" ht="20.05" customHeight="1">
      <c r="A169" s="13">
        <f>A168+1</f>
        <v>167</v>
      </c>
      <c r="B169" s="14">
        <v>2023</v>
      </c>
      <c r="C169" s="15">
        <v>7</v>
      </c>
      <c r="D169" s="15">
        <v>26</v>
      </c>
      <c r="E169" s="15">
        <v>5589</v>
      </c>
      <c r="F169" t="s" s="17">
        <v>145</v>
      </c>
      <c r="G169" s="16"/>
      <c r="H169" s="16"/>
      <c r="I169" t="s" s="17">
        <v>17</v>
      </c>
      <c r="J169" t="s" s="17">
        <v>146</v>
      </c>
      <c r="K169" t="s" s="17">
        <v>16</v>
      </c>
      <c r="L169" s="15">
        <f>IF(O169,P169/O169,0)</f>
        <v>0.484</v>
      </c>
      <c r="M169" s="15">
        <v>0.484</v>
      </c>
      <c r="N169" s="15">
        <f>A169</f>
        <v>167</v>
      </c>
      <c r="O169" s="15">
        <v>100</v>
      </c>
      <c r="P169" s="15">
        <v>48.4</v>
      </c>
      <c r="Q169" s="16"/>
    </row>
    <row r="170" ht="20.05" customHeight="1">
      <c r="A170" s="13">
        <f>A169+1</f>
        <v>168</v>
      </c>
      <c r="B170" s="14">
        <v>2023</v>
      </c>
      <c r="C170" s="15">
        <v>7</v>
      </c>
      <c r="D170" s="15">
        <v>26</v>
      </c>
      <c r="E170" s="15">
        <v>176667</v>
      </c>
      <c r="F170" t="s" s="17">
        <v>111</v>
      </c>
      <c r="G170" s="16"/>
      <c r="H170" s="16"/>
      <c r="I170" t="s" s="17">
        <v>19</v>
      </c>
      <c r="J170" t="s" s="17">
        <v>112</v>
      </c>
      <c r="K170" t="s" s="17">
        <v>41</v>
      </c>
      <c r="L170" s="15">
        <f>IF(O170,P170/O170,0)</f>
        <v>0.02762</v>
      </c>
      <c r="M170" s="15">
        <v>0.02762</v>
      </c>
      <c r="N170" s="15">
        <f>A170</f>
        <v>168</v>
      </c>
      <c r="O170" s="15">
        <v>1000</v>
      </c>
      <c r="P170" s="15">
        <v>27.62</v>
      </c>
      <c r="Q170" s="16"/>
    </row>
    <row r="171" ht="20.05" customHeight="1">
      <c r="A171" s="13">
        <f>A170+1</f>
        <v>169</v>
      </c>
      <c r="B171" s="14">
        <v>2023</v>
      </c>
      <c r="C171" s="15">
        <v>7</v>
      </c>
      <c r="D171" s="15">
        <v>26</v>
      </c>
      <c r="E171" s="15">
        <v>176667</v>
      </c>
      <c r="F171" t="s" s="17">
        <v>111</v>
      </c>
      <c r="G171" s="16"/>
      <c r="H171" s="16"/>
      <c r="I171" t="s" s="17">
        <v>26</v>
      </c>
      <c r="J171" t="s" s="17">
        <v>113</v>
      </c>
      <c r="K171" t="s" s="17">
        <v>41</v>
      </c>
      <c r="L171" s="15">
        <f>IF(O171,P171/O171,0)</f>
        <v>0.0247633333333333</v>
      </c>
      <c r="M171" s="15">
        <v>0.0247633333333333</v>
      </c>
      <c r="N171" s="15">
        <f>A171</f>
        <v>169</v>
      </c>
      <c r="O171" s="15">
        <v>3000</v>
      </c>
      <c r="P171" s="15">
        <v>74.29000000000001</v>
      </c>
      <c r="Q171" s="16"/>
    </row>
    <row r="172" ht="20.05" customHeight="1">
      <c r="A172" s="13">
        <f>A171+1</f>
        <v>170</v>
      </c>
      <c r="B172" s="14">
        <v>2023</v>
      </c>
      <c r="C172" s="15">
        <v>7</v>
      </c>
      <c r="D172" s="15">
        <v>26</v>
      </c>
      <c r="E172" s="15">
        <v>176667</v>
      </c>
      <c r="F172" t="s" s="17">
        <v>111</v>
      </c>
      <c r="G172" s="16"/>
      <c r="H172" s="16"/>
      <c r="I172" t="s" s="17">
        <v>14</v>
      </c>
      <c r="J172" t="s" s="17">
        <v>40</v>
      </c>
      <c r="K172" t="s" s="17">
        <v>41</v>
      </c>
      <c r="L172" s="15">
        <f>IF(O172,P172/O172,0)</f>
        <v>0.11304</v>
      </c>
      <c r="M172" s="15">
        <v>0.11304</v>
      </c>
      <c r="N172" s="15">
        <f>A172</f>
        <v>170</v>
      </c>
      <c r="O172" s="15">
        <v>1000</v>
      </c>
      <c r="P172" s="15">
        <v>113.04</v>
      </c>
      <c r="Q172" s="16"/>
    </row>
    <row r="173" ht="20.05" customHeight="1">
      <c r="A173" s="13">
        <f>A172+1</f>
        <v>171</v>
      </c>
      <c r="B173" s="14">
        <v>2023</v>
      </c>
      <c r="C173" s="15">
        <v>7</v>
      </c>
      <c r="D173" s="15">
        <v>26</v>
      </c>
      <c r="E173" s="15">
        <v>176667</v>
      </c>
      <c r="F173" t="s" s="17">
        <v>111</v>
      </c>
      <c r="G173" s="16"/>
      <c r="H173" s="16"/>
      <c r="I173" t="s" s="17">
        <v>17</v>
      </c>
      <c r="J173" t="s" s="17">
        <v>114</v>
      </c>
      <c r="K173" t="s" s="17">
        <v>16</v>
      </c>
      <c r="L173" s="15">
        <f>IF(O173,P173/O173,0)</f>
        <v>0.29892</v>
      </c>
      <c r="M173" s="15">
        <v>0.29892</v>
      </c>
      <c r="N173" s="15">
        <f>A173</f>
        <v>171</v>
      </c>
      <c r="O173" s="15">
        <v>500</v>
      </c>
      <c r="P173" s="15">
        <v>149.46</v>
      </c>
      <c r="Q173" s="16"/>
    </row>
    <row r="174" ht="20.05" customHeight="1">
      <c r="A174" s="13">
        <f>A173+1</f>
        <v>172</v>
      </c>
      <c r="B174" s="14">
        <v>2023</v>
      </c>
      <c r="C174" s="15">
        <v>7</v>
      </c>
      <c r="D174" s="15">
        <v>26</v>
      </c>
      <c r="E174" s="15">
        <v>176667</v>
      </c>
      <c r="F174" t="s" s="17">
        <v>111</v>
      </c>
      <c r="G174" s="16"/>
      <c r="H174" s="16"/>
      <c r="I174" t="s" s="17">
        <v>26</v>
      </c>
      <c r="J174" t="s" s="17">
        <v>82</v>
      </c>
      <c r="K174" t="s" s="17">
        <v>16</v>
      </c>
      <c r="L174" s="15">
        <f>IF(O174,P174/O174,0)</f>
        <v>0.0477</v>
      </c>
      <c r="M174" s="15">
        <v>0.0477</v>
      </c>
      <c r="N174" s="15">
        <f>A174</f>
        <v>172</v>
      </c>
      <c r="O174" s="15">
        <v>500</v>
      </c>
      <c r="P174" s="15">
        <v>23.85</v>
      </c>
      <c r="Q174" s="16"/>
    </row>
    <row r="175" ht="20.05" customHeight="1">
      <c r="A175" s="13">
        <f>A174+1</f>
        <v>173</v>
      </c>
      <c r="B175" s="14">
        <v>2023</v>
      </c>
      <c r="C175" s="15">
        <v>7</v>
      </c>
      <c r="D175" s="15">
        <v>26</v>
      </c>
      <c r="E175" s="15">
        <v>176667</v>
      </c>
      <c r="F175" t="s" s="17">
        <v>111</v>
      </c>
      <c r="G175" s="16"/>
      <c r="H175" s="16"/>
      <c r="I175" t="s" s="17">
        <v>19</v>
      </c>
      <c r="J175" t="s" s="17">
        <v>162</v>
      </c>
      <c r="K175" t="s" s="17">
        <v>41</v>
      </c>
      <c r="L175" s="15">
        <f>IF(O175,P175/O175,0)</f>
        <v>0.07976999999999999</v>
      </c>
      <c r="M175" s="15">
        <v>0.07976999999999999</v>
      </c>
      <c r="N175" s="15">
        <f>A175</f>
        <v>173</v>
      </c>
      <c r="O175" s="15">
        <v>1000</v>
      </c>
      <c r="P175" s="15">
        <v>79.77</v>
      </c>
      <c r="Q175" s="16"/>
    </row>
    <row r="176" ht="20.05" customHeight="1">
      <c r="A176" s="13">
        <f>A175+1</f>
        <v>174</v>
      </c>
      <c r="B176" s="14">
        <v>2023</v>
      </c>
      <c r="C176" s="15">
        <v>7</v>
      </c>
      <c r="D176" s="15">
        <v>26</v>
      </c>
      <c r="E176" s="15">
        <v>176667</v>
      </c>
      <c r="F176" t="s" s="17">
        <v>111</v>
      </c>
      <c r="G176" s="16"/>
      <c r="H176" s="16"/>
      <c r="I176" t="s" s="17">
        <v>14</v>
      </c>
      <c r="J176" t="s" s="17">
        <v>133</v>
      </c>
      <c r="K176" t="s" s="17">
        <v>16</v>
      </c>
      <c r="L176" s="15">
        <f>IF(O176,P176/O176,0)</f>
        <v>0.149504</v>
      </c>
      <c r="M176" s="15">
        <v>0.149504</v>
      </c>
      <c r="N176" s="15">
        <f>A176</f>
        <v>174</v>
      </c>
      <c r="O176" s="15">
        <v>2500</v>
      </c>
      <c r="P176" s="15">
        <v>373.76</v>
      </c>
      <c r="Q176" s="16"/>
    </row>
    <row r="177" ht="20.05" customHeight="1">
      <c r="A177" s="13">
        <f>A176+1</f>
        <v>175</v>
      </c>
      <c r="B177" s="14">
        <v>2023</v>
      </c>
      <c r="C177" s="15">
        <v>7</v>
      </c>
      <c r="D177" s="15">
        <v>26</v>
      </c>
      <c r="E177" s="15">
        <v>176667</v>
      </c>
      <c r="F177" t="s" s="17">
        <v>111</v>
      </c>
      <c r="G177" s="16"/>
      <c r="H177" s="16"/>
      <c r="I177" t="s" s="17">
        <v>14</v>
      </c>
      <c r="J177" t="s" s="17">
        <v>28</v>
      </c>
      <c r="K177" t="s" s="17">
        <v>16</v>
      </c>
      <c r="L177" s="15">
        <f>IF(O177,P177/O177,0)</f>
        <v>0.172012</v>
      </c>
      <c r="M177" s="15">
        <v>0.172012</v>
      </c>
      <c r="N177" s="15">
        <f>A177</f>
        <v>175</v>
      </c>
      <c r="O177" s="15">
        <v>2500</v>
      </c>
      <c r="P177" s="15">
        <v>430.03</v>
      </c>
      <c r="Q177" s="16"/>
    </row>
    <row r="178" ht="20.05" customHeight="1">
      <c r="A178" s="13">
        <f>A177+1</f>
        <v>176</v>
      </c>
      <c r="B178" s="14">
        <v>2023</v>
      </c>
      <c r="C178" s="15">
        <v>7</v>
      </c>
      <c r="D178" s="15">
        <v>26</v>
      </c>
      <c r="E178" s="15">
        <v>176667</v>
      </c>
      <c r="F178" t="s" s="17">
        <v>111</v>
      </c>
      <c r="G178" s="16"/>
      <c r="H178" s="16"/>
      <c r="I178" t="s" s="17">
        <v>26</v>
      </c>
      <c r="J178" t="s" s="17">
        <v>117</v>
      </c>
      <c r="K178" t="s" s="17">
        <v>23</v>
      </c>
      <c r="L178" s="15">
        <f>IF(O178,P178/O178,0)</f>
        <v>36.01</v>
      </c>
      <c r="M178" s="15">
        <v>36.01</v>
      </c>
      <c r="N178" s="15">
        <f>A178</f>
        <v>176</v>
      </c>
      <c r="O178" s="15">
        <v>1</v>
      </c>
      <c r="P178" s="15">
        <v>36.01</v>
      </c>
      <c r="Q178" s="16"/>
    </row>
    <row r="179" ht="20.05" customHeight="1">
      <c r="A179" s="13">
        <f>A178+1</f>
        <v>177</v>
      </c>
      <c r="B179" s="14">
        <v>2023</v>
      </c>
      <c r="C179" s="15">
        <v>7</v>
      </c>
      <c r="D179" s="15">
        <v>26</v>
      </c>
      <c r="E179" s="15">
        <v>176667</v>
      </c>
      <c r="F179" t="s" s="17">
        <v>111</v>
      </c>
      <c r="G179" s="16"/>
      <c r="H179" s="16"/>
      <c r="I179" t="s" s="17">
        <v>26</v>
      </c>
      <c r="J179" t="s" s="17">
        <v>118</v>
      </c>
      <c r="K179" t="s" s="17">
        <v>23</v>
      </c>
      <c r="L179" s="15">
        <f>IF(O179,P179/O179,0)</f>
        <v>37.13</v>
      </c>
      <c r="M179" s="15">
        <v>37.13</v>
      </c>
      <c r="N179" s="15">
        <f>A179</f>
        <v>177</v>
      </c>
      <c r="O179" s="15">
        <v>1</v>
      </c>
      <c r="P179" s="15">
        <v>37.13</v>
      </c>
      <c r="Q179" s="16"/>
    </row>
    <row r="180" ht="20.05" customHeight="1">
      <c r="A180" s="13">
        <f>A179+1</f>
        <v>178</v>
      </c>
      <c r="B180" s="14">
        <v>2023</v>
      </c>
      <c r="C180" s="15">
        <v>7</v>
      </c>
      <c r="D180" s="15">
        <v>26</v>
      </c>
      <c r="E180" s="15">
        <v>176667</v>
      </c>
      <c r="F180" t="s" s="17">
        <v>111</v>
      </c>
      <c r="G180" s="16"/>
      <c r="H180" s="16"/>
      <c r="I180" t="s" s="17">
        <v>19</v>
      </c>
      <c r="J180" t="s" s="17">
        <v>101</v>
      </c>
      <c r="K180" t="s" s="17">
        <v>23</v>
      </c>
      <c r="L180" s="15">
        <f>IF(O180,P180/O180,0)</f>
        <v>5.66666666666667</v>
      </c>
      <c r="M180" s="15">
        <v>5.66666666666667</v>
      </c>
      <c r="N180" s="15">
        <f>A180</f>
        <v>178</v>
      </c>
      <c r="O180" s="15">
        <v>24</v>
      </c>
      <c r="P180" s="15">
        <v>136</v>
      </c>
      <c r="Q180" s="16"/>
    </row>
    <row r="181" ht="20.05" customHeight="1">
      <c r="A181" s="13">
        <f>A180+1</f>
        <v>179</v>
      </c>
      <c r="B181" s="14">
        <v>2023</v>
      </c>
      <c r="C181" s="15">
        <v>7</v>
      </c>
      <c r="D181" s="15">
        <v>26</v>
      </c>
      <c r="E181" s="15">
        <v>21147</v>
      </c>
      <c r="F181" t="s" s="17">
        <v>122</v>
      </c>
      <c r="G181" s="16"/>
      <c r="H181" s="16"/>
      <c r="I181" t="s" s="17">
        <v>19</v>
      </c>
      <c r="J181" t="s" s="17">
        <v>138</v>
      </c>
      <c r="K181" t="s" s="17">
        <v>41</v>
      </c>
      <c r="L181" s="15">
        <f>IF(O181,P181/O181,0)</f>
        <v>0.0228333333333333</v>
      </c>
      <c r="M181" s="15">
        <v>0.0228333333333333</v>
      </c>
      <c r="N181" s="15">
        <f>A181</f>
        <v>179</v>
      </c>
      <c r="O181" s="15">
        <v>12000</v>
      </c>
      <c r="P181" s="15">
        <v>274</v>
      </c>
      <c r="Q181" s="16"/>
    </row>
    <row r="182" ht="20.05" customHeight="1">
      <c r="A182" s="13">
        <f>A181+1</f>
        <v>180</v>
      </c>
      <c r="B182" s="14">
        <v>2023</v>
      </c>
      <c r="C182" s="15">
        <v>7</v>
      </c>
      <c r="D182" s="15">
        <v>26</v>
      </c>
      <c r="E182" s="15">
        <v>21147</v>
      </c>
      <c r="F182" t="s" s="17">
        <v>122</v>
      </c>
      <c r="G182" s="16"/>
      <c r="H182" s="16"/>
      <c r="I182" t="s" s="17">
        <v>19</v>
      </c>
      <c r="J182" t="s" s="17">
        <v>139</v>
      </c>
      <c r="K182" t="s" s="17">
        <v>23</v>
      </c>
      <c r="L182" s="15">
        <f>IF(O182,P182/O182,0)</f>
        <v>3.4375</v>
      </c>
      <c r="M182" s="15">
        <v>3.4375</v>
      </c>
      <c r="N182" s="15">
        <f>A182</f>
        <v>180</v>
      </c>
      <c r="O182" s="15">
        <v>24</v>
      </c>
      <c r="P182" s="15">
        <v>82.5</v>
      </c>
      <c r="Q182" s="16"/>
    </row>
    <row r="183" ht="20.05" customHeight="1">
      <c r="A183" s="13">
        <f>A182+1</f>
        <v>181</v>
      </c>
      <c r="B183" s="14">
        <v>2023</v>
      </c>
      <c r="C183" s="15">
        <v>7</v>
      </c>
      <c r="D183" s="15">
        <v>26</v>
      </c>
      <c r="E183" s="15">
        <v>21147</v>
      </c>
      <c r="F183" t="s" s="17">
        <v>122</v>
      </c>
      <c r="G183" s="16"/>
      <c r="H183" s="16"/>
      <c r="I183" t="s" s="17">
        <v>14</v>
      </c>
      <c r="J183" t="s" s="17">
        <v>123</v>
      </c>
      <c r="K183" t="s" s="17">
        <v>16</v>
      </c>
      <c r="L183" s="15">
        <f>IF(O183,P183/O183,0)</f>
        <v>0.0354</v>
      </c>
      <c r="M183" s="15">
        <v>0.0354</v>
      </c>
      <c r="N183" s="15">
        <f>A183</f>
        <v>181</v>
      </c>
      <c r="O183" s="15">
        <v>5000</v>
      </c>
      <c r="P183" s="15">
        <v>177</v>
      </c>
      <c r="Q183" s="16"/>
    </row>
    <row r="184" ht="20.05" customHeight="1">
      <c r="A184" s="13">
        <f>A183+1</f>
        <v>182</v>
      </c>
      <c r="B184" s="14">
        <v>2023</v>
      </c>
      <c r="C184" s="15">
        <v>7</v>
      </c>
      <c r="D184" s="15">
        <v>26</v>
      </c>
      <c r="E184" s="15">
        <v>21147</v>
      </c>
      <c r="F184" t="s" s="17">
        <v>122</v>
      </c>
      <c r="G184" s="16"/>
      <c r="H184" s="16"/>
      <c r="I184" t="s" s="17">
        <v>14</v>
      </c>
      <c r="J184" t="s" s="17">
        <v>147</v>
      </c>
      <c r="K184" t="s" s="17">
        <v>16</v>
      </c>
      <c r="L184" s="15">
        <f>IF(O184,P184/O184,0)</f>
        <v>0.0148</v>
      </c>
      <c r="M184" s="15">
        <v>0.0148</v>
      </c>
      <c r="N184" s="15">
        <f>A184</f>
        <v>182</v>
      </c>
      <c r="O184" s="15">
        <v>5000</v>
      </c>
      <c r="P184" s="15">
        <v>74</v>
      </c>
      <c r="Q184" s="16"/>
    </row>
    <row r="185" ht="20.05" customHeight="1">
      <c r="A185" s="13">
        <f>A184+1</f>
        <v>183</v>
      </c>
      <c r="B185" s="14">
        <v>2023</v>
      </c>
      <c r="C185" s="15">
        <v>7</v>
      </c>
      <c r="D185" s="15">
        <v>26</v>
      </c>
      <c r="E185" s="15">
        <v>21147</v>
      </c>
      <c r="F185" t="s" s="17">
        <v>122</v>
      </c>
      <c r="G185" s="16"/>
      <c r="H185" s="16"/>
      <c r="I185" t="s" s="17">
        <v>17</v>
      </c>
      <c r="J185" t="s" s="17">
        <v>35</v>
      </c>
      <c r="K185" t="s" s="17">
        <v>16</v>
      </c>
      <c r="L185" s="15">
        <f>IF(O185,P185/O185,0)</f>
        <v>0.15</v>
      </c>
      <c r="M185" s="15">
        <v>0.15</v>
      </c>
      <c r="N185" s="15">
        <f>A185</f>
        <v>183</v>
      </c>
      <c r="O185" s="15">
        <v>4000</v>
      </c>
      <c r="P185" s="15">
        <v>600</v>
      </c>
      <c r="Q185" s="16"/>
    </row>
    <row r="186" ht="20.05" customHeight="1">
      <c r="A186" s="13">
        <f>A185+1</f>
        <v>184</v>
      </c>
      <c r="B186" s="14">
        <v>2023</v>
      </c>
      <c r="C186" s="15">
        <v>7</v>
      </c>
      <c r="D186" s="15">
        <v>26</v>
      </c>
      <c r="E186" s="15">
        <v>21147</v>
      </c>
      <c r="F186" t="s" s="17">
        <v>122</v>
      </c>
      <c r="G186" s="16"/>
      <c r="H186" s="16"/>
      <c r="I186" t="s" s="17">
        <v>14</v>
      </c>
      <c r="J186" t="s" s="17">
        <v>36</v>
      </c>
      <c r="K186" t="s" s="17">
        <v>16</v>
      </c>
      <c r="L186" s="15">
        <f>IF(O186,P186/O186,0)</f>
        <v>0.0498</v>
      </c>
      <c r="M186" s="15">
        <v>0.0498</v>
      </c>
      <c r="N186" s="15">
        <f>A186</f>
        <v>184</v>
      </c>
      <c r="O186" s="15">
        <v>5000</v>
      </c>
      <c r="P186" s="15">
        <v>249</v>
      </c>
      <c r="Q186" s="16"/>
    </row>
    <row r="187" ht="20.05" customHeight="1">
      <c r="A187" s="13">
        <f>A186+1</f>
        <v>185</v>
      </c>
      <c r="B187" s="14">
        <v>2023</v>
      </c>
      <c r="C187" s="15">
        <v>7</v>
      </c>
      <c r="D187" s="15">
        <v>26</v>
      </c>
      <c r="E187" s="15">
        <v>21147</v>
      </c>
      <c r="F187" t="s" s="17">
        <v>122</v>
      </c>
      <c r="G187" s="16"/>
      <c r="H187" s="16"/>
      <c r="I187" t="s" s="17">
        <v>14</v>
      </c>
      <c r="J187" t="s" s="17">
        <v>39</v>
      </c>
      <c r="K187" t="s" s="17">
        <v>16</v>
      </c>
      <c r="L187" s="15">
        <f>IF(O187,P187/O187,0)</f>
        <v>0.179</v>
      </c>
      <c r="M187" s="15">
        <v>0.179</v>
      </c>
      <c r="N187" s="15">
        <f>A187</f>
        <v>185</v>
      </c>
      <c r="O187" s="15">
        <v>1000</v>
      </c>
      <c r="P187" s="15">
        <v>179</v>
      </c>
      <c r="Q187" s="16"/>
    </row>
    <row r="188" ht="20.05" customHeight="1">
      <c r="A188" s="13">
        <f>A187+1</f>
        <v>186</v>
      </c>
      <c r="B188" s="14">
        <v>2023</v>
      </c>
      <c r="C188" s="15">
        <v>7</v>
      </c>
      <c r="D188" s="15">
        <v>26</v>
      </c>
      <c r="E188" s="15">
        <v>21147</v>
      </c>
      <c r="F188" t="s" s="17">
        <v>122</v>
      </c>
      <c r="G188" s="16"/>
      <c r="H188" s="16"/>
      <c r="I188" t="s" s="17">
        <v>14</v>
      </c>
      <c r="J188" t="s" s="17">
        <v>124</v>
      </c>
      <c r="K188" t="s" s="17">
        <v>16</v>
      </c>
      <c r="L188" s="15">
        <f>IF(O188,P188/O188,0)</f>
        <v>0.106</v>
      </c>
      <c r="M188" s="15">
        <v>0.106</v>
      </c>
      <c r="N188" s="15">
        <f>A188</f>
        <v>186</v>
      </c>
      <c r="O188" s="15">
        <v>2750</v>
      </c>
      <c r="P188" s="15">
        <v>291.5</v>
      </c>
      <c r="Q188" s="16"/>
    </row>
    <row r="189" ht="20.05" customHeight="1">
      <c r="A189" s="13">
        <f>A188+1</f>
        <v>187</v>
      </c>
      <c r="B189" s="14">
        <v>2023</v>
      </c>
      <c r="C189" s="15">
        <v>7</v>
      </c>
      <c r="D189" s="15">
        <v>26</v>
      </c>
      <c r="E189" s="15">
        <v>21147</v>
      </c>
      <c r="F189" t="s" s="17">
        <v>122</v>
      </c>
      <c r="G189" s="16"/>
      <c r="H189" s="16"/>
      <c r="I189" t="s" s="17">
        <v>14</v>
      </c>
      <c r="J189" t="s" s="17">
        <v>140</v>
      </c>
      <c r="K189" t="s" s="17">
        <v>23</v>
      </c>
      <c r="L189" s="15">
        <f>IF(O189,P189/O189,0)</f>
        <v>2.76666666666667</v>
      </c>
      <c r="M189" s="15">
        <v>2.76666666666667</v>
      </c>
      <c r="N189" s="15">
        <f>A189</f>
        <v>187</v>
      </c>
      <c r="O189" s="15">
        <v>30</v>
      </c>
      <c r="P189" s="15">
        <v>83</v>
      </c>
      <c r="Q189" s="16"/>
    </row>
    <row r="190" ht="20.05" customHeight="1">
      <c r="A190" s="13">
        <f>A189+1</f>
        <v>188</v>
      </c>
      <c r="B190" s="14">
        <v>2023</v>
      </c>
      <c r="C190" s="15">
        <v>7</v>
      </c>
      <c r="D190" s="15">
        <v>26</v>
      </c>
      <c r="E190" s="15">
        <v>21147</v>
      </c>
      <c r="F190" t="s" s="17">
        <v>122</v>
      </c>
      <c r="G190" s="16"/>
      <c r="H190" s="16"/>
      <c r="I190" t="s" s="17">
        <v>17</v>
      </c>
      <c r="J190" t="s" s="17">
        <v>44</v>
      </c>
      <c r="K190" t="s" s="17">
        <v>16</v>
      </c>
      <c r="L190" s="15">
        <f>IF(O190,P190/O190,0)</f>
        <v>0.12</v>
      </c>
      <c r="M190" s="15">
        <v>0.12</v>
      </c>
      <c r="N190" s="15">
        <f>A190</f>
        <v>188</v>
      </c>
      <c r="O190" s="15">
        <v>1000</v>
      </c>
      <c r="P190" s="15">
        <v>120</v>
      </c>
      <c r="Q190" s="16"/>
    </row>
    <row r="191" ht="20.05" customHeight="1">
      <c r="A191" s="13">
        <f>A190+1</f>
        <v>189</v>
      </c>
      <c r="B191" s="14">
        <v>2023</v>
      </c>
      <c r="C191" s="15">
        <v>7</v>
      </c>
      <c r="D191" s="15">
        <v>26</v>
      </c>
      <c r="E191" s="15">
        <v>21147</v>
      </c>
      <c r="F191" t="s" s="17">
        <v>122</v>
      </c>
      <c r="G191" s="16"/>
      <c r="H191" s="16"/>
      <c r="I191" t="s" s="17">
        <v>14</v>
      </c>
      <c r="J191" t="s" s="17">
        <v>45</v>
      </c>
      <c r="K191" t="s" s="17">
        <v>16</v>
      </c>
      <c r="L191" s="15">
        <f>IF(O191,P191/O191,0)</f>
        <v>0.0275</v>
      </c>
      <c r="M191" s="15">
        <v>0.0275</v>
      </c>
      <c r="N191" s="15">
        <f>A191</f>
        <v>189</v>
      </c>
      <c r="O191" s="15">
        <v>3000</v>
      </c>
      <c r="P191" s="15">
        <v>82.5</v>
      </c>
      <c r="Q191" s="16"/>
    </row>
    <row r="192" ht="20.05" customHeight="1">
      <c r="A192" s="13">
        <f>A191+1</f>
        <v>190</v>
      </c>
      <c r="B192" s="14">
        <v>2023</v>
      </c>
      <c r="C192" s="15">
        <v>7</v>
      </c>
      <c r="D192" s="15">
        <v>26</v>
      </c>
      <c r="E192" s="15">
        <v>21147</v>
      </c>
      <c r="F192" t="s" s="17">
        <v>122</v>
      </c>
      <c r="G192" s="16"/>
      <c r="H192" s="16"/>
      <c r="I192" t="s" s="17">
        <v>14</v>
      </c>
      <c r="J192" t="s" s="17">
        <v>31</v>
      </c>
      <c r="K192" t="s" s="17">
        <v>16</v>
      </c>
      <c r="L192" s="15">
        <f>IF(O192,P192/O192,0)</f>
        <v>0.033</v>
      </c>
      <c r="M192" s="15">
        <v>0.033</v>
      </c>
      <c r="N192" s="15">
        <f>A192</f>
        <v>190</v>
      </c>
      <c r="O192" s="15">
        <v>1000</v>
      </c>
      <c r="P192" s="15">
        <v>33</v>
      </c>
      <c r="Q192" s="16"/>
    </row>
    <row r="193" ht="20.05" customHeight="1">
      <c r="A193" s="13">
        <f>A192+1</f>
        <v>191</v>
      </c>
      <c r="B193" s="14">
        <v>2023</v>
      </c>
      <c r="C193" s="15">
        <v>7</v>
      </c>
      <c r="D193" s="15">
        <v>26</v>
      </c>
      <c r="E193" s="15">
        <v>21147</v>
      </c>
      <c r="F193" t="s" s="17">
        <v>122</v>
      </c>
      <c r="G193" s="16"/>
      <c r="H193" s="16"/>
      <c r="I193" t="s" s="17">
        <v>14</v>
      </c>
      <c r="J193" t="s" s="17">
        <v>30</v>
      </c>
      <c r="K193" t="s" s="17">
        <v>16</v>
      </c>
      <c r="L193" s="15">
        <f>IF(O193,P193/O193,0)</f>
        <v>0.0176</v>
      </c>
      <c r="M193" s="15">
        <v>0.0176</v>
      </c>
      <c r="N193" s="15">
        <f>A193</f>
        <v>191</v>
      </c>
      <c r="O193" s="15">
        <v>5000</v>
      </c>
      <c r="P193" s="15">
        <v>88</v>
      </c>
      <c r="Q193" s="16"/>
    </row>
    <row r="194" ht="20.05" customHeight="1">
      <c r="A194" s="13">
        <f>A193+1</f>
        <v>192</v>
      </c>
      <c r="B194" s="14">
        <v>2023</v>
      </c>
      <c r="C194" s="15">
        <v>7</v>
      </c>
      <c r="D194" s="15">
        <v>28</v>
      </c>
      <c r="E194" s="15">
        <v>229</v>
      </c>
      <c r="F194" t="s" s="17">
        <v>130</v>
      </c>
      <c r="G194" s="16"/>
      <c r="H194" s="16"/>
      <c r="I194" t="s" s="17">
        <v>19</v>
      </c>
      <c r="J194" t="s" s="17">
        <v>20</v>
      </c>
      <c r="K194" t="s" s="17">
        <v>16</v>
      </c>
      <c r="L194" s="15">
        <f>IF(O194,P194/O194,0)</f>
        <v>0.025</v>
      </c>
      <c r="M194" s="15">
        <v>0.025</v>
      </c>
      <c r="N194" s="15">
        <f>A194</f>
        <v>192</v>
      </c>
      <c r="O194" s="15">
        <v>1000</v>
      </c>
      <c r="P194" s="15">
        <v>25</v>
      </c>
      <c r="Q194" s="16"/>
    </row>
    <row r="195" ht="20.05" customHeight="1">
      <c r="A195" s="13">
        <f>A194+1</f>
        <v>193</v>
      </c>
      <c r="B195" s="14">
        <v>2023</v>
      </c>
      <c r="C195" s="15">
        <v>7</v>
      </c>
      <c r="D195" s="15">
        <v>28</v>
      </c>
      <c r="E195" s="15">
        <v>94</v>
      </c>
      <c r="F195" t="s" s="17">
        <v>130</v>
      </c>
      <c r="G195" s="16"/>
      <c r="H195" s="16"/>
      <c r="I195" t="s" s="17">
        <v>19</v>
      </c>
      <c r="J195" t="s" s="17">
        <v>157</v>
      </c>
      <c r="K195" t="s" s="17">
        <v>16</v>
      </c>
      <c r="L195" s="15">
        <f>IF(O195,P195/O195,0)</f>
        <v>0.0249505649717514</v>
      </c>
      <c r="M195" s="15">
        <v>0.0249505649717514</v>
      </c>
      <c r="N195" s="15">
        <f>A195</f>
        <v>193</v>
      </c>
      <c r="O195" s="15">
        <v>2832</v>
      </c>
      <c r="P195" s="15">
        <v>70.66</v>
      </c>
      <c r="Q195" s="16"/>
    </row>
    <row r="196" ht="20.05" customHeight="1">
      <c r="A196" s="13">
        <f>A195+1</f>
        <v>194</v>
      </c>
      <c r="B196" s="14">
        <v>2023</v>
      </c>
      <c r="C196" s="15">
        <v>7</v>
      </c>
      <c r="D196" s="15">
        <v>29</v>
      </c>
      <c r="E196" s="15">
        <v>88414</v>
      </c>
      <c r="F196" t="s" s="17">
        <v>141</v>
      </c>
      <c r="G196" s="16"/>
      <c r="H196" s="16"/>
      <c r="I196" t="s" s="17">
        <v>19</v>
      </c>
      <c r="J196" t="s" s="17">
        <v>142</v>
      </c>
      <c r="K196" t="s" s="17">
        <v>23</v>
      </c>
      <c r="L196" s="15">
        <f>IF(O196,P196/O196,0)</f>
        <v>11.53625</v>
      </c>
      <c r="M196" s="15">
        <v>11.53625</v>
      </c>
      <c r="N196" s="15">
        <f>A196</f>
        <v>194</v>
      </c>
      <c r="O196" s="15">
        <v>72</v>
      </c>
      <c r="P196" s="15">
        <v>830.61</v>
      </c>
      <c r="Q196" s="16"/>
    </row>
    <row r="197" ht="20.05" customHeight="1">
      <c r="A197" s="13">
        <f>A196+1</f>
        <v>195</v>
      </c>
      <c r="B197" s="14">
        <v>2023</v>
      </c>
      <c r="C197" s="15">
        <v>7</v>
      </c>
      <c r="D197" s="15">
        <v>29</v>
      </c>
      <c r="E197" s="15">
        <v>88414</v>
      </c>
      <c r="F197" t="s" s="17">
        <v>141</v>
      </c>
      <c r="G197" s="16"/>
      <c r="H197" s="16"/>
      <c r="I197" t="s" s="17">
        <v>19</v>
      </c>
      <c r="J197" t="s" s="17">
        <v>144</v>
      </c>
      <c r="K197" t="s" s="17">
        <v>23</v>
      </c>
      <c r="L197" s="15">
        <f>IF(O197,P197/O197,0)</f>
        <v>11.53625</v>
      </c>
      <c r="M197" s="15">
        <v>11.53625</v>
      </c>
      <c r="N197" s="15">
        <f>A197</f>
        <v>195</v>
      </c>
      <c r="O197" s="15">
        <v>48</v>
      </c>
      <c r="P197" s="15">
        <v>553.74</v>
      </c>
      <c r="Q197" s="16"/>
    </row>
    <row r="198" ht="20.05" customHeight="1">
      <c r="A198" s="13">
        <f>A197+1</f>
        <v>196</v>
      </c>
      <c r="B198" s="14">
        <v>2023</v>
      </c>
      <c r="C198" s="15">
        <v>7</v>
      </c>
      <c r="D198" s="15">
        <v>29</v>
      </c>
      <c r="E198" s="15">
        <v>88414</v>
      </c>
      <c r="F198" t="s" s="17">
        <v>141</v>
      </c>
      <c r="G198" s="16"/>
      <c r="H198" s="16"/>
      <c r="I198" t="s" s="17">
        <v>19</v>
      </c>
      <c r="J198" t="s" s="17">
        <v>159</v>
      </c>
      <c r="K198" t="s" s="17">
        <v>23</v>
      </c>
      <c r="L198" s="15">
        <f>IF(O198,P198/O198,0)</f>
        <v>1.85655555555556</v>
      </c>
      <c r="M198" s="15">
        <v>1.85655555555556</v>
      </c>
      <c r="N198" s="15">
        <f>A198</f>
        <v>196</v>
      </c>
      <c r="O198" s="15">
        <v>360</v>
      </c>
      <c r="P198" s="15">
        <v>668.36</v>
      </c>
      <c r="Q198" s="16"/>
    </row>
    <row r="199" ht="20.05" customHeight="1">
      <c r="A199" s="13">
        <f>A198+1</f>
        <v>197</v>
      </c>
      <c r="B199" s="14">
        <v>2023</v>
      </c>
      <c r="C199" s="15">
        <v>8</v>
      </c>
      <c r="D199" s="15">
        <v>1</v>
      </c>
      <c r="E199" s="15">
        <v>177728</v>
      </c>
      <c r="F199" t="s" s="17">
        <v>111</v>
      </c>
      <c r="G199" s="16"/>
      <c r="H199" t="s" s="17">
        <v>163</v>
      </c>
      <c r="I199" t="s" s="17">
        <v>19</v>
      </c>
      <c r="J199" t="s" s="17">
        <v>112</v>
      </c>
      <c r="K199" t="s" s="17">
        <v>41</v>
      </c>
      <c r="L199" s="15">
        <f>IF(O199,P199/O199,0)</f>
        <v>0.03453</v>
      </c>
      <c r="M199" s="15">
        <v>0.03453</v>
      </c>
      <c r="N199" s="15">
        <f>A199</f>
        <v>197</v>
      </c>
      <c r="O199" s="15">
        <v>1000</v>
      </c>
      <c r="P199" s="15">
        <v>34.53</v>
      </c>
      <c r="Q199" s="16"/>
    </row>
    <row r="200" ht="20.05" customHeight="1">
      <c r="A200" s="13">
        <f>A199+1</f>
        <v>198</v>
      </c>
      <c r="B200" s="14">
        <v>2023</v>
      </c>
      <c r="C200" s="15">
        <v>8</v>
      </c>
      <c r="D200" s="15">
        <v>1</v>
      </c>
      <c r="E200" s="15">
        <v>177728</v>
      </c>
      <c r="F200" t="s" s="17">
        <v>111</v>
      </c>
      <c r="G200" s="16"/>
      <c r="H200" t="s" s="17">
        <v>163</v>
      </c>
      <c r="I200" t="s" s="17">
        <v>14</v>
      </c>
      <c r="J200" t="s" s="17">
        <v>133</v>
      </c>
      <c r="K200" t="s" s="17">
        <v>16</v>
      </c>
      <c r="L200" s="15">
        <f>IF(O200,P200/O200,0)</f>
        <v>0.149504</v>
      </c>
      <c r="M200" s="15">
        <v>0.149504</v>
      </c>
      <c r="N200" s="15">
        <f>A200</f>
        <v>198</v>
      </c>
      <c r="O200" s="15">
        <v>2500</v>
      </c>
      <c r="P200" s="15">
        <v>373.76</v>
      </c>
      <c r="Q200" s="16"/>
    </row>
    <row r="201" ht="20.05" customHeight="1">
      <c r="A201" s="13">
        <f>A200+1</f>
        <v>199</v>
      </c>
      <c r="B201" s="14">
        <v>2023</v>
      </c>
      <c r="C201" s="15">
        <v>8</v>
      </c>
      <c r="D201" s="15">
        <v>1</v>
      </c>
      <c r="E201" s="15">
        <v>177728</v>
      </c>
      <c r="F201" t="s" s="17">
        <v>111</v>
      </c>
      <c r="G201" s="16"/>
      <c r="H201" t="s" s="17">
        <v>163</v>
      </c>
      <c r="I201" t="s" s="17">
        <v>26</v>
      </c>
      <c r="J201" t="s" s="17">
        <v>117</v>
      </c>
      <c r="K201" t="s" s="17">
        <v>23</v>
      </c>
      <c r="L201" s="15">
        <f>IF(O201,P201/O201,0)</f>
        <v>31.6</v>
      </c>
      <c r="M201" s="15">
        <v>31.6</v>
      </c>
      <c r="N201" s="15">
        <f>A201</f>
        <v>199</v>
      </c>
      <c r="O201" s="15">
        <v>1</v>
      </c>
      <c r="P201" s="15">
        <v>31.6</v>
      </c>
      <c r="Q201" s="16"/>
    </row>
    <row r="202" ht="20.05" customHeight="1">
      <c r="A202" s="13">
        <f>A201+1</f>
        <v>200</v>
      </c>
      <c r="B202" s="14">
        <v>2023</v>
      </c>
      <c r="C202" s="15">
        <v>8</v>
      </c>
      <c r="D202" s="15">
        <v>1</v>
      </c>
      <c r="E202" s="15">
        <v>177728</v>
      </c>
      <c r="F202" t="s" s="17">
        <v>111</v>
      </c>
      <c r="G202" s="16"/>
      <c r="H202" t="s" s="17">
        <v>163</v>
      </c>
      <c r="I202" t="s" s="17">
        <v>26</v>
      </c>
      <c r="J202" t="s" s="17">
        <v>134</v>
      </c>
      <c r="K202" t="s" s="17">
        <v>23</v>
      </c>
      <c r="L202" s="15">
        <f>IF(O202,P202/O202,0)</f>
        <v>32.58</v>
      </c>
      <c r="M202" s="15">
        <v>32.58</v>
      </c>
      <c r="N202" s="15">
        <f>A202</f>
        <v>200</v>
      </c>
      <c r="O202" s="15">
        <v>1</v>
      </c>
      <c r="P202" s="15">
        <v>32.58</v>
      </c>
      <c r="Q202" s="16"/>
    </row>
    <row r="203" ht="20.05" customHeight="1">
      <c r="A203" s="13">
        <f>A202+1</f>
        <v>201</v>
      </c>
      <c r="B203" s="14">
        <v>2023</v>
      </c>
      <c r="C203" s="15">
        <v>8</v>
      </c>
      <c r="D203" s="15">
        <v>1</v>
      </c>
      <c r="E203" s="15">
        <v>177728</v>
      </c>
      <c r="F203" t="s" s="17">
        <v>111</v>
      </c>
      <c r="G203" s="16"/>
      <c r="H203" t="s" s="17">
        <v>163</v>
      </c>
      <c r="I203" t="s" s="17">
        <v>26</v>
      </c>
      <c r="J203" t="s" s="17">
        <v>118</v>
      </c>
      <c r="K203" t="s" s="17">
        <v>23</v>
      </c>
      <c r="L203" s="15">
        <f>IF(O203,P203/O203,0)</f>
        <v>32.58</v>
      </c>
      <c r="M203" s="15">
        <v>32.58</v>
      </c>
      <c r="N203" s="15">
        <f>A203</f>
        <v>201</v>
      </c>
      <c r="O203" s="15">
        <v>1</v>
      </c>
      <c r="P203" s="15">
        <v>32.58</v>
      </c>
      <c r="Q203" s="16"/>
    </row>
    <row r="204" ht="20.05" customHeight="1">
      <c r="A204" s="13">
        <f>A203+1</f>
        <v>202</v>
      </c>
      <c r="B204" s="14">
        <v>2023</v>
      </c>
      <c r="C204" s="15">
        <v>8</v>
      </c>
      <c r="D204" s="15">
        <v>1</v>
      </c>
      <c r="E204" s="15">
        <v>177728</v>
      </c>
      <c r="F204" t="s" s="17">
        <v>111</v>
      </c>
      <c r="G204" s="16"/>
      <c r="H204" t="s" s="17">
        <v>163</v>
      </c>
      <c r="I204" t="s" s="17">
        <v>19</v>
      </c>
      <c r="J204" t="s" s="17">
        <v>135</v>
      </c>
      <c r="K204" t="s" s="17">
        <v>23</v>
      </c>
      <c r="L204" s="15">
        <f>IF(O204,P204/O204,0)</f>
        <v>0.3164</v>
      </c>
      <c r="M204" s="15">
        <v>0.3164</v>
      </c>
      <c r="N204" s="15">
        <f>A204</f>
        <v>202</v>
      </c>
      <c r="O204" s="15">
        <v>50</v>
      </c>
      <c r="P204" s="15">
        <v>15.82</v>
      </c>
      <c r="Q204" s="16"/>
    </row>
    <row r="205" ht="20.05" customHeight="1">
      <c r="A205" s="13">
        <f>A204+1</f>
        <v>203</v>
      </c>
      <c r="B205" s="14">
        <v>2023</v>
      </c>
      <c r="C205" s="15">
        <v>8</v>
      </c>
      <c r="D205" s="15">
        <v>2</v>
      </c>
      <c r="E205" s="15">
        <v>919</v>
      </c>
      <c r="F205" t="s" s="17">
        <v>126</v>
      </c>
      <c r="G205" s="16"/>
      <c r="H205" t="s" s="17">
        <v>163</v>
      </c>
      <c r="I205" t="s" s="17">
        <v>127</v>
      </c>
      <c r="J205" t="s" s="17">
        <v>164</v>
      </c>
      <c r="K205" t="s" s="17">
        <v>23</v>
      </c>
      <c r="L205" s="15">
        <f>IF(O205,P205/O205,0)</f>
        <v>0.2975</v>
      </c>
      <c r="M205" s="15">
        <v>0.2975</v>
      </c>
      <c r="N205" s="15">
        <f>A205</f>
        <v>203</v>
      </c>
      <c r="O205" s="15">
        <v>20</v>
      </c>
      <c r="P205" s="15">
        <v>5.95</v>
      </c>
      <c r="Q205" s="16"/>
    </row>
    <row r="206" ht="32.05" customHeight="1">
      <c r="A206" s="13">
        <f>A205+1</f>
        <v>204</v>
      </c>
      <c r="B206" s="14">
        <v>2023</v>
      </c>
      <c r="C206" s="15">
        <v>8</v>
      </c>
      <c r="D206" s="15">
        <v>2</v>
      </c>
      <c r="E206" s="15">
        <v>919</v>
      </c>
      <c r="F206" t="s" s="17">
        <v>126</v>
      </c>
      <c r="G206" s="16"/>
      <c r="H206" t="s" s="17">
        <v>163</v>
      </c>
      <c r="I206" t="s" s="17">
        <v>127</v>
      </c>
      <c r="J206" t="s" s="17">
        <v>165</v>
      </c>
      <c r="K206" t="s" s="17">
        <v>23</v>
      </c>
      <c r="L206" s="15">
        <f>IF(O206,P206/O206,0)</f>
        <v>2.5833</v>
      </c>
      <c r="M206" s="15">
        <v>2.5833</v>
      </c>
      <c r="N206" s="15">
        <f>A206</f>
        <v>204</v>
      </c>
      <c r="O206" s="15">
        <v>10</v>
      </c>
      <c r="P206" s="15">
        <v>25.833</v>
      </c>
      <c r="Q206" s="16"/>
    </row>
    <row r="207" ht="32.05" customHeight="1">
      <c r="A207" s="13">
        <f>A206+1</f>
        <v>205</v>
      </c>
      <c r="B207" s="14">
        <v>2023</v>
      </c>
      <c r="C207" s="15">
        <v>8</v>
      </c>
      <c r="D207" s="15">
        <v>2</v>
      </c>
      <c r="E207" s="15">
        <v>919</v>
      </c>
      <c r="F207" t="s" s="17">
        <v>126</v>
      </c>
      <c r="G207" s="16"/>
      <c r="H207" t="s" s="17">
        <v>163</v>
      </c>
      <c r="I207" t="s" s="17">
        <v>127</v>
      </c>
      <c r="J207" t="s" s="17">
        <v>137</v>
      </c>
      <c r="K207" t="s" s="17">
        <v>41</v>
      </c>
      <c r="L207" s="15">
        <f>IF(O207,P207/O207,0)</f>
        <v>0.008500000000000001</v>
      </c>
      <c r="M207" s="15">
        <v>0.008500000000000001</v>
      </c>
      <c r="N207" s="15">
        <f>A207</f>
        <v>205</v>
      </c>
      <c r="O207" s="15">
        <v>5000</v>
      </c>
      <c r="P207" s="15">
        <v>42.5</v>
      </c>
      <c r="Q207" s="16"/>
    </row>
    <row r="208" ht="20.05" customHeight="1">
      <c r="A208" s="13">
        <f>A207+1</f>
        <v>206</v>
      </c>
      <c r="B208" s="14">
        <v>2023</v>
      </c>
      <c r="C208" s="15">
        <v>8</v>
      </c>
      <c r="D208" s="15">
        <v>2</v>
      </c>
      <c r="E208" s="15">
        <v>919</v>
      </c>
      <c r="F208" t="s" s="17">
        <v>126</v>
      </c>
      <c r="G208" s="16"/>
      <c r="H208" t="s" s="17">
        <v>163</v>
      </c>
      <c r="I208" t="s" s="17">
        <v>127</v>
      </c>
      <c r="J208" t="s" s="17">
        <v>166</v>
      </c>
      <c r="K208" t="s" s="17">
        <v>41</v>
      </c>
      <c r="L208" s="15">
        <f>IF(O208,P208/O208,0)</f>
        <v>0.021875</v>
      </c>
      <c r="M208" s="15">
        <v>0.021875</v>
      </c>
      <c r="N208" s="15">
        <f>A208</f>
        <v>206</v>
      </c>
      <c r="O208" s="15">
        <v>1000</v>
      </c>
      <c r="P208" s="15">
        <v>21.875</v>
      </c>
      <c r="Q208" s="16"/>
    </row>
    <row r="209" ht="20.05" customHeight="1">
      <c r="A209" s="13">
        <f>A208+1</f>
        <v>207</v>
      </c>
      <c r="B209" s="14">
        <v>2023</v>
      </c>
      <c r="C209" s="15">
        <v>8</v>
      </c>
      <c r="D209" s="15">
        <v>2</v>
      </c>
      <c r="E209" s="15">
        <v>919</v>
      </c>
      <c r="F209" t="s" s="17">
        <v>126</v>
      </c>
      <c r="G209" s="16"/>
      <c r="H209" t="s" s="17">
        <v>163</v>
      </c>
      <c r="I209" t="s" s="17">
        <v>127</v>
      </c>
      <c r="J209" t="s" s="17">
        <v>167</v>
      </c>
      <c r="K209" t="s" s="17">
        <v>23</v>
      </c>
      <c r="L209" s="15">
        <f>IF(O209,P209/O209,0)</f>
        <v>0.6979</v>
      </c>
      <c r="M209" s="15">
        <v>0.6979</v>
      </c>
      <c r="N209" s="15">
        <f>A209</f>
        <v>207</v>
      </c>
      <c r="O209" s="15">
        <v>100</v>
      </c>
      <c r="P209" s="15">
        <v>69.79000000000001</v>
      </c>
      <c r="Q209" s="16"/>
    </row>
    <row r="210" ht="20.05" customHeight="1">
      <c r="A210" s="13">
        <f>A209+1</f>
        <v>208</v>
      </c>
      <c r="B210" s="14">
        <v>2023</v>
      </c>
      <c r="C210" s="15">
        <v>8</v>
      </c>
      <c r="D210" s="15">
        <v>2</v>
      </c>
      <c r="E210" s="15">
        <v>919</v>
      </c>
      <c r="F210" t="s" s="17">
        <v>126</v>
      </c>
      <c r="G210" s="16"/>
      <c r="H210" t="s" s="17">
        <v>163</v>
      </c>
      <c r="I210" t="s" s="17">
        <v>127</v>
      </c>
      <c r="J210" t="s" s="17">
        <v>168</v>
      </c>
      <c r="K210" t="s" s="17">
        <v>23</v>
      </c>
      <c r="L210" s="15">
        <f>IF(O210,P210/O210,0)</f>
        <v>0.25416</v>
      </c>
      <c r="M210" s="15">
        <v>0.25416</v>
      </c>
      <c r="N210" s="15">
        <f>A210</f>
        <v>208</v>
      </c>
      <c r="O210" s="15">
        <v>250</v>
      </c>
      <c r="P210" s="15">
        <v>63.54</v>
      </c>
      <c r="Q210" s="16"/>
    </row>
    <row r="211" ht="20.05" customHeight="1">
      <c r="A211" s="13">
        <f>A210+1</f>
        <v>209</v>
      </c>
      <c r="B211" s="14">
        <v>2023</v>
      </c>
      <c r="C211" s="15">
        <v>8</v>
      </c>
      <c r="D211" s="15">
        <v>2</v>
      </c>
      <c r="E211" s="15">
        <v>919</v>
      </c>
      <c r="F211" t="s" s="17">
        <v>126</v>
      </c>
      <c r="G211" s="16"/>
      <c r="H211" t="s" s="17">
        <v>163</v>
      </c>
      <c r="I211" t="s" s="17">
        <v>127</v>
      </c>
      <c r="J211" t="s" s="17">
        <v>169</v>
      </c>
      <c r="K211" t="s" s="17">
        <v>23</v>
      </c>
      <c r="L211" s="15">
        <f>IF(O211,P211/O211,0)</f>
        <v>0.20833</v>
      </c>
      <c r="M211" s="15">
        <v>0.20833</v>
      </c>
      <c r="N211" s="15">
        <f>A211</f>
        <v>209</v>
      </c>
      <c r="O211" s="15">
        <v>100</v>
      </c>
      <c r="P211" s="15">
        <v>20.833</v>
      </c>
      <c r="Q211" s="16"/>
    </row>
    <row r="212" ht="20.05" customHeight="1">
      <c r="A212" s="13">
        <f>A211+1</f>
        <v>210</v>
      </c>
      <c r="B212" s="14">
        <v>2023</v>
      </c>
      <c r="C212" s="15">
        <v>8</v>
      </c>
      <c r="D212" s="15">
        <v>2</v>
      </c>
      <c r="E212" s="15">
        <v>919</v>
      </c>
      <c r="F212" t="s" s="17">
        <v>126</v>
      </c>
      <c r="G212" s="16"/>
      <c r="H212" t="s" s="17">
        <v>163</v>
      </c>
      <c r="I212" t="s" s="17">
        <v>127</v>
      </c>
      <c r="J212" t="s" s="17">
        <v>170</v>
      </c>
      <c r="K212" t="s" s="17">
        <v>23</v>
      </c>
      <c r="L212" s="15">
        <f>IF(O212,P212/O212,0)</f>
        <v>23.635</v>
      </c>
      <c r="M212" s="15">
        <v>23.635</v>
      </c>
      <c r="N212" s="15">
        <f>A212</f>
        <v>210</v>
      </c>
      <c r="O212" s="15">
        <v>2</v>
      </c>
      <c r="P212" s="15">
        <v>47.27</v>
      </c>
      <c r="Q212" s="16"/>
    </row>
    <row r="213" ht="20.05" customHeight="1">
      <c r="A213" s="13">
        <f>A212+1</f>
        <v>211</v>
      </c>
      <c r="B213" s="14">
        <v>2023</v>
      </c>
      <c r="C213" s="15">
        <v>8</v>
      </c>
      <c r="D213" s="15">
        <v>2</v>
      </c>
      <c r="E213" s="15">
        <v>21571</v>
      </c>
      <c r="F213" t="s" s="17">
        <v>122</v>
      </c>
      <c r="G213" t="s" s="17">
        <v>171</v>
      </c>
      <c r="H213" t="s" s="17">
        <v>163</v>
      </c>
      <c r="I213" t="s" s="17">
        <v>19</v>
      </c>
      <c r="J213" t="s" s="17">
        <v>138</v>
      </c>
      <c r="K213" t="s" s="17">
        <v>41</v>
      </c>
      <c r="L213" s="15">
        <f>IF(O213,P213/O213,0)</f>
        <v>0.0228333333333333</v>
      </c>
      <c r="M213" s="15">
        <v>0.0228333333333333</v>
      </c>
      <c r="N213" s="15">
        <f>A213</f>
        <v>211</v>
      </c>
      <c r="O213" s="15">
        <f t="shared" si="645" ref="O213:O448">2*12*1000</f>
        <v>24000</v>
      </c>
      <c r="P213" s="15">
        <v>548</v>
      </c>
      <c r="Q213" s="16"/>
    </row>
    <row r="214" ht="20.05" customHeight="1">
      <c r="A214" s="13">
        <f>A213+1</f>
        <v>212</v>
      </c>
      <c r="B214" s="14">
        <v>2023</v>
      </c>
      <c r="C214" s="15">
        <v>8</v>
      </c>
      <c r="D214" s="15">
        <v>2</v>
      </c>
      <c r="E214" s="15">
        <v>21571</v>
      </c>
      <c r="F214" t="s" s="17">
        <v>122</v>
      </c>
      <c r="G214" t="s" s="17">
        <v>172</v>
      </c>
      <c r="H214" t="s" s="17">
        <v>163</v>
      </c>
      <c r="I214" t="s" s="17">
        <v>19</v>
      </c>
      <c r="J214" t="s" s="17">
        <v>139</v>
      </c>
      <c r="K214" t="s" s="17">
        <v>23</v>
      </c>
      <c r="L214" s="15">
        <f>IF(O214,P214/O214,0)</f>
        <v>3.4375</v>
      </c>
      <c r="M214" s="15">
        <v>3.4375</v>
      </c>
      <c r="N214" s="15">
        <f>A214</f>
        <v>212</v>
      </c>
      <c r="O214" s="15">
        <f t="shared" si="649" ref="O214:O396">4*24</f>
        <v>96</v>
      </c>
      <c r="P214" s="15">
        <v>330</v>
      </c>
      <c r="Q214" s="16"/>
    </row>
    <row r="215" ht="20.05" customHeight="1">
      <c r="A215" s="13">
        <f>A214+1</f>
        <v>213</v>
      </c>
      <c r="B215" s="14">
        <v>2023</v>
      </c>
      <c r="C215" s="15">
        <v>8</v>
      </c>
      <c r="D215" s="15">
        <v>2</v>
      </c>
      <c r="E215" s="15">
        <v>21571</v>
      </c>
      <c r="F215" t="s" s="17">
        <v>122</v>
      </c>
      <c r="G215" t="s" s="17">
        <v>173</v>
      </c>
      <c r="H215" t="s" s="17">
        <v>163</v>
      </c>
      <c r="I215" t="s" s="17">
        <v>14</v>
      </c>
      <c r="J215" t="s" s="17">
        <v>147</v>
      </c>
      <c r="K215" t="s" s="17">
        <v>16</v>
      </c>
      <c r="L215" s="15">
        <f>IF(O215,P215/O215,0)</f>
        <v>0.0148</v>
      </c>
      <c r="M215" s="15">
        <v>0.0148</v>
      </c>
      <c r="N215" s="15">
        <f>A215</f>
        <v>213</v>
      </c>
      <c r="O215" s="15">
        <f t="shared" si="653" ref="O215:O453">2*5000</f>
        <v>10000</v>
      </c>
      <c r="P215" s="15">
        <v>148</v>
      </c>
      <c r="Q215" s="16"/>
    </row>
    <row r="216" ht="20.05" customHeight="1">
      <c r="A216" s="13">
        <f>A215+1</f>
        <v>214</v>
      </c>
      <c r="B216" s="14">
        <v>2023</v>
      </c>
      <c r="C216" s="15">
        <v>8</v>
      </c>
      <c r="D216" s="15">
        <v>2</v>
      </c>
      <c r="E216" s="15">
        <v>21571</v>
      </c>
      <c r="F216" t="s" s="17">
        <v>122</v>
      </c>
      <c r="G216" t="s" s="17">
        <v>174</v>
      </c>
      <c r="H216" t="s" s="17">
        <v>163</v>
      </c>
      <c r="I216" t="s" s="17">
        <v>14</v>
      </c>
      <c r="J216" t="s" s="17">
        <v>39</v>
      </c>
      <c r="K216" t="s" s="17">
        <v>16</v>
      </c>
      <c r="L216" s="15">
        <f>IF(O216,P216/O216,0)</f>
        <v>0.179</v>
      </c>
      <c r="M216" s="15">
        <v>0.179</v>
      </c>
      <c r="N216" s="15">
        <f>A216</f>
        <v>214</v>
      </c>
      <c r="O216" s="15">
        <f t="shared" si="657" ref="O216:O458">3*1000</f>
        <v>3000</v>
      </c>
      <c r="P216" s="15">
        <v>537</v>
      </c>
      <c r="Q216" s="16"/>
    </row>
    <row r="217" ht="20.05" customHeight="1">
      <c r="A217" s="13">
        <f>A216+1</f>
        <v>215</v>
      </c>
      <c r="B217" s="14">
        <v>2023</v>
      </c>
      <c r="C217" s="15">
        <v>8</v>
      </c>
      <c r="D217" s="15">
        <v>2</v>
      </c>
      <c r="E217" s="15">
        <v>21571</v>
      </c>
      <c r="F217" t="s" s="17">
        <v>122</v>
      </c>
      <c r="G217" t="s" s="17">
        <v>175</v>
      </c>
      <c r="H217" t="s" s="17">
        <v>163</v>
      </c>
      <c r="I217" t="s" s="17">
        <v>14</v>
      </c>
      <c r="J217" t="s" s="17">
        <v>124</v>
      </c>
      <c r="K217" t="s" s="17">
        <v>16</v>
      </c>
      <c r="L217" s="15">
        <f>IF(O217,P217/O217,0)</f>
        <v>0.106</v>
      </c>
      <c r="M217" s="15">
        <v>0.106</v>
      </c>
      <c r="N217" s="15">
        <f>A217</f>
        <v>215</v>
      </c>
      <c r="O217" s="15">
        <v>2750</v>
      </c>
      <c r="P217" s="15">
        <v>291.5</v>
      </c>
      <c r="Q217" s="16"/>
    </row>
    <row r="218" ht="20.05" customHeight="1">
      <c r="A218" s="13">
        <f>A217+1</f>
        <v>216</v>
      </c>
      <c r="B218" s="14">
        <v>2023</v>
      </c>
      <c r="C218" s="15">
        <v>8</v>
      </c>
      <c r="D218" s="15">
        <v>2</v>
      </c>
      <c r="E218" s="15">
        <v>21571</v>
      </c>
      <c r="F218" t="s" s="17">
        <v>122</v>
      </c>
      <c r="G218" t="s" s="17">
        <v>175</v>
      </c>
      <c r="H218" t="s" s="17">
        <v>163</v>
      </c>
      <c r="I218" t="s" s="17">
        <v>17</v>
      </c>
      <c r="J218" t="s" s="17">
        <v>55</v>
      </c>
      <c r="K218" t="s" s="17">
        <v>16</v>
      </c>
      <c r="L218" s="15">
        <f>IF(O218,P218/O218,0)</f>
        <v>0.311428571428571</v>
      </c>
      <c r="M218" s="15">
        <v>0.311428571428571</v>
      </c>
      <c r="N218" s="15">
        <f>A218</f>
        <v>216</v>
      </c>
      <c r="O218" s="15">
        <f>3*350</f>
        <v>1050</v>
      </c>
      <c r="P218" s="15">
        <v>327</v>
      </c>
      <c r="Q218" s="16"/>
    </row>
    <row r="219" ht="20.05" customHeight="1">
      <c r="A219" s="13">
        <f>A218+1</f>
        <v>217</v>
      </c>
      <c r="B219" s="14">
        <v>2023</v>
      </c>
      <c r="C219" s="15">
        <v>8</v>
      </c>
      <c r="D219" s="15">
        <v>2</v>
      </c>
      <c r="E219" s="15">
        <v>21571</v>
      </c>
      <c r="F219" t="s" s="17">
        <v>122</v>
      </c>
      <c r="G219" t="s" s="17">
        <v>176</v>
      </c>
      <c r="H219" t="s" s="17">
        <v>163</v>
      </c>
      <c r="I219" t="s" s="17">
        <v>14</v>
      </c>
      <c r="J219" t="s" s="17">
        <v>18</v>
      </c>
      <c r="K219" t="s" s="17">
        <v>16</v>
      </c>
      <c r="L219" s="15">
        <f>IF(O219,P219/O219,0)</f>
        <v>0.105</v>
      </c>
      <c r="M219" s="15">
        <v>0.105</v>
      </c>
      <c r="N219" s="15">
        <f>A219</f>
        <v>217</v>
      </c>
      <c r="O219" s="15">
        <f>5*200</f>
        <v>1000</v>
      </c>
      <c r="P219" s="15">
        <v>105</v>
      </c>
      <c r="Q219" s="16"/>
    </row>
    <row r="220" ht="20.05" customHeight="1">
      <c r="A220" s="13">
        <f>A219+1</f>
        <v>218</v>
      </c>
      <c r="B220" s="14">
        <v>2023</v>
      </c>
      <c r="C220" s="15">
        <v>8</v>
      </c>
      <c r="D220" s="15">
        <v>2</v>
      </c>
      <c r="E220" s="15">
        <v>170</v>
      </c>
      <c r="F220" t="s" s="17">
        <v>177</v>
      </c>
      <c r="G220" t="s" s="17">
        <v>178</v>
      </c>
      <c r="H220" t="s" s="17">
        <v>163</v>
      </c>
      <c r="I220" t="s" s="17">
        <v>14</v>
      </c>
      <c r="J220" t="s" s="17">
        <v>179</v>
      </c>
      <c r="K220" t="s" s="17">
        <v>23</v>
      </c>
      <c r="L220" s="15">
        <f>IF(O220,P220/O220,0)</f>
        <v>17</v>
      </c>
      <c r="M220" s="15">
        <v>17</v>
      </c>
      <c r="N220" s="15">
        <f>A220</f>
        <v>218</v>
      </c>
      <c r="O220" s="15">
        <v>1</v>
      </c>
      <c r="P220" s="15">
        <v>17</v>
      </c>
      <c r="Q220" s="16"/>
    </row>
    <row r="221" ht="32.05" customHeight="1">
      <c r="A221" s="13">
        <f>A220+1</f>
        <v>219</v>
      </c>
      <c r="B221" s="14">
        <v>2023</v>
      </c>
      <c r="C221" s="15">
        <v>8</v>
      </c>
      <c r="D221" s="15">
        <v>2</v>
      </c>
      <c r="E221" s="15">
        <v>170</v>
      </c>
      <c r="F221" t="s" s="17">
        <v>177</v>
      </c>
      <c r="G221" t="s" s="17">
        <v>180</v>
      </c>
      <c r="H221" t="s" s="17">
        <v>163</v>
      </c>
      <c r="I221" t="s" s="17">
        <v>14</v>
      </c>
      <c r="J221" t="s" s="17">
        <v>181</v>
      </c>
      <c r="K221" t="s" s="17">
        <v>23</v>
      </c>
      <c r="L221" s="15">
        <f>IF(O221,P221/O221,0)</f>
        <v>63.9</v>
      </c>
      <c r="M221" s="15">
        <v>63.9</v>
      </c>
      <c r="N221" s="15">
        <f>A221</f>
        <v>219</v>
      </c>
      <c r="O221" s="15">
        <v>1</v>
      </c>
      <c r="P221" s="15">
        <v>63.9</v>
      </c>
      <c r="Q221" s="16"/>
    </row>
    <row r="222" ht="20.05" customHeight="1">
      <c r="A222" s="13">
        <f>A221+1</f>
        <v>220</v>
      </c>
      <c r="B222" s="14">
        <v>2023</v>
      </c>
      <c r="C222" s="15">
        <v>8</v>
      </c>
      <c r="D222" s="15">
        <v>2</v>
      </c>
      <c r="E222" s="15">
        <v>170</v>
      </c>
      <c r="F222" t="s" s="17">
        <v>177</v>
      </c>
      <c r="G222" t="s" s="17">
        <v>182</v>
      </c>
      <c r="H222" t="s" s="17">
        <v>163</v>
      </c>
      <c r="I222" t="s" s="17">
        <v>14</v>
      </c>
      <c r="J222" t="s" s="17">
        <v>183</v>
      </c>
      <c r="K222" t="s" s="17">
        <v>23</v>
      </c>
      <c r="L222" s="15">
        <f>IF(O222,P222/O222,0)</f>
        <v>99.90000000000001</v>
      </c>
      <c r="M222" s="15">
        <v>99.90000000000001</v>
      </c>
      <c r="N222" s="15">
        <f>A222</f>
        <v>220</v>
      </c>
      <c r="O222" s="15">
        <v>1</v>
      </c>
      <c r="P222" s="15">
        <v>99.90000000000001</v>
      </c>
      <c r="Q222" s="16"/>
    </row>
    <row r="223" ht="20.05" customHeight="1">
      <c r="A223" s="13">
        <f>A222+1</f>
        <v>221</v>
      </c>
      <c r="B223" s="14">
        <v>2023</v>
      </c>
      <c r="C223" s="15">
        <v>8</v>
      </c>
      <c r="D223" s="15">
        <v>3</v>
      </c>
      <c r="E223" s="15">
        <v>6</v>
      </c>
      <c r="F223" t="s" s="17">
        <v>130</v>
      </c>
      <c r="G223" s="16"/>
      <c r="H223" t="s" s="17">
        <v>163</v>
      </c>
      <c r="I223" t="s" s="17">
        <v>14</v>
      </c>
      <c r="J223" t="s" s="17">
        <v>21</v>
      </c>
      <c r="K223" t="s" s="17">
        <v>16</v>
      </c>
      <c r="L223" s="15">
        <f>IF(O223,P223/O223,0)</f>
        <v>0.0299522900763359</v>
      </c>
      <c r="M223" s="15">
        <v>0.0299522900763359</v>
      </c>
      <c r="N223" s="15">
        <f>A223</f>
        <v>221</v>
      </c>
      <c r="O223" s="15">
        <v>1048</v>
      </c>
      <c r="P223" s="15">
        <v>31.39</v>
      </c>
      <c r="Q223" s="16"/>
    </row>
    <row r="224" ht="20.05" customHeight="1">
      <c r="A224" s="13">
        <f>A223+1</f>
        <v>222</v>
      </c>
      <c r="B224" s="14">
        <v>2023</v>
      </c>
      <c r="C224" s="15">
        <v>8</v>
      </c>
      <c r="D224" s="15">
        <v>3</v>
      </c>
      <c r="E224" s="15">
        <v>6</v>
      </c>
      <c r="F224" t="s" s="17">
        <v>130</v>
      </c>
      <c r="G224" s="16"/>
      <c r="H224" t="s" s="17">
        <v>163</v>
      </c>
      <c r="I224" t="s" s="17">
        <v>19</v>
      </c>
      <c r="J224" t="s" s="17">
        <v>157</v>
      </c>
      <c r="K224" t="s" s="17">
        <v>16</v>
      </c>
      <c r="L224" s="15">
        <f>IF(O224,P224/O224,0)</f>
        <v>0.0249496306245803</v>
      </c>
      <c r="M224" s="15">
        <v>0.0249496306245803</v>
      </c>
      <c r="N224" s="15">
        <f>A224</f>
        <v>222</v>
      </c>
      <c r="O224" s="15">
        <v>2978</v>
      </c>
      <c r="P224" s="15">
        <v>74.3</v>
      </c>
      <c r="Q224" s="16"/>
    </row>
    <row r="225" ht="20.05" customHeight="1">
      <c r="A225" s="13">
        <f>A224+1</f>
        <v>223</v>
      </c>
      <c r="B225" s="14">
        <v>2023</v>
      </c>
      <c r="C225" s="15">
        <v>8</v>
      </c>
      <c r="D225" s="15">
        <v>3</v>
      </c>
      <c r="E225" s="15">
        <v>454</v>
      </c>
      <c r="F225" t="s" s="17">
        <v>130</v>
      </c>
      <c r="G225" s="16"/>
      <c r="H225" t="s" s="17">
        <v>163</v>
      </c>
      <c r="I225" t="s" s="17">
        <v>26</v>
      </c>
      <c r="J225" t="s" s="17">
        <v>113</v>
      </c>
      <c r="K225" t="s" s="17">
        <v>41</v>
      </c>
      <c r="L225" s="15">
        <f>IF(O225,P225/O225,0)</f>
        <v>0.03205</v>
      </c>
      <c r="M225" s="15">
        <v>0.03205</v>
      </c>
      <c r="N225" s="15">
        <f>A225</f>
        <v>223</v>
      </c>
      <c r="O225" s="15">
        <v>2000</v>
      </c>
      <c r="P225" s="15">
        <v>64.09999999999999</v>
      </c>
      <c r="Q225" s="16"/>
    </row>
    <row r="226" ht="32.05" customHeight="1">
      <c r="A226" s="13">
        <f>A225+1</f>
        <v>224</v>
      </c>
      <c r="B226" s="14">
        <v>2023</v>
      </c>
      <c r="C226" s="15">
        <v>8</v>
      </c>
      <c r="D226" s="15">
        <v>3</v>
      </c>
      <c r="E226" s="15">
        <v>9</v>
      </c>
      <c r="F226" t="s" s="17">
        <v>184</v>
      </c>
      <c r="G226" s="16"/>
      <c r="H226" t="s" s="17">
        <v>163</v>
      </c>
      <c r="I226" t="s" s="17">
        <v>14</v>
      </c>
      <c r="J226" t="s" s="17">
        <v>185</v>
      </c>
      <c r="K226" t="s" s="17">
        <v>23</v>
      </c>
      <c r="L226" s="15">
        <f>IF(O226,P226/O226,0)</f>
        <v>450</v>
      </c>
      <c r="M226" s="15">
        <v>450</v>
      </c>
      <c r="N226" s="15">
        <f>A226</f>
        <v>224</v>
      </c>
      <c r="O226" s="15">
        <v>1</v>
      </c>
      <c r="P226" s="15">
        <v>450</v>
      </c>
      <c r="Q226" t="s" s="17">
        <v>186</v>
      </c>
    </row>
    <row r="227" ht="20.05" customHeight="1">
      <c r="A227" s="13">
        <f>A226+1</f>
        <v>225</v>
      </c>
      <c r="B227" s="14">
        <v>2023</v>
      </c>
      <c r="C227" s="15">
        <v>8</v>
      </c>
      <c r="D227" s="15">
        <v>3</v>
      </c>
      <c r="E227" s="15">
        <v>6</v>
      </c>
      <c r="F227" t="s" s="17">
        <v>130</v>
      </c>
      <c r="G227" s="16"/>
      <c r="H227" t="s" s="17">
        <v>163</v>
      </c>
      <c r="I227" t="s" s="17">
        <v>187</v>
      </c>
      <c r="J227" t="s" s="17">
        <v>188</v>
      </c>
      <c r="K227" t="s" s="17">
        <v>23</v>
      </c>
      <c r="L227" s="15">
        <f>IF(O227,P227/O227,0)</f>
        <v>3.5</v>
      </c>
      <c r="M227" s="15">
        <v>3.5</v>
      </c>
      <c r="N227" s="15">
        <f>A227</f>
        <v>225</v>
      </c>
      <c r="O227" s="15">
        <v>4</v>
      </c>
      <c r="P227" s="15">
        <v>14</v>
      </c>
      <c r="Q227" s="16"/>
    </row>
    <row r="228" ht="20.05" customHeight="1">
      <c r="A228" s="13">
        <f>A227+1</f>
        <v>226</v>
      </c>
      <c r="B228" s="14">
        <v>2023</v>
      </c>
      <c r="C228" s="15">
        <v>8</v>
      </c>
      <c r="D228" s="15">
        <v>4</v>
      </c>
      <c r="E228" s="15">
        <v>138</v>
      </c>
      <c r="F228" t="s" s="17">
        <v>130</v>
      </c>
      <c r="G228" s="16"/>
      <c r="H228" t="s" s="17">
        <v>163</v>
      </c>
      <c r="I228" t="s" s="17">
        <v>187</v>
      </c>
      <c r="J228" t="s" s="17">
        <v>188</v>
      </c>
      <c r="K228" t="s" s="17">
        <v>23</v>
      </c>
      <c r="L228" s="15">
        <f>IF(O228,P228/O228,0)</f>
        <v>3.31666666666667</v>
      </c>
      <c r="M228" s="15">
        <v>3.31666666666667</v>
      </c>
      <c r="N228" s="15">
        <f>A228</f>
        <v>226</v>
      </c>
      <c r="O228" s="15">
        <v>6</v>
      </c>
      <c r="P228" s="15">
        <v>19.9</v>
      </c>
      <c r="Q228" s="16"/>
    </row>
    <row r="229" ht="20.35" customHeight="1">
      <c r="A229" s="13">
        <f>A228+1</f>
        <v>227</v>
      </c>
      <c r="B229" s="14">
        <v>2023</v>
      </c>
      <c r="C229" s="15">
        <v>8</v>
      </c>
      <c r="D229" s="15">
        <v>5</v>
      </c>
      <c r="E229" s="15">
        <v>90908</v>
      </c>
      <c r="F229" t="s" s="17">
        <v>141</v>
      </c>
      <c r="G229" s="16"/>
      <c r="H229" t="s" s="17">
        <v>163</v>
      </c>
      <c r="I229" t="s" s="17">
        <v>19</v>
      </c>
      <c r="J229" t="s" s="17">
        <v>158</v>
      </c>
      <c r="K229" t="s" s="17">
        <v>23</v>
      </c>
      <c r="L229" s="18">
        <f>IF(O229,P229/O229,0)</f>
        <v>11.53625</v>
      </c>
      <c r="M229" s="18">
        <v>11.53625</v>
      </c>
      <c r="N229" s="15">
        <f>A229</f>
        <v>227</v>
      </c>
      <c r="O229" s="15">
        <v>24</v>
      </c>
      <c r="P229" s="15">
        <v>276.87</v>
      </c>
      <c r="Q229" s="16"/>
    </row>
    <row r="230" ht="20.7" customHeight="1">
      <c r="A230" s="13">
        <f>A229+1</f>
        <v>228</v>
      </c>
      <c r="B230" s="14">
        <v>2023</v>
      </c>
      <c r="C230" s="15">
        <v>8</v>
      </c>
      <c r="D230" s="15">
        <v>5</v>
      </c>
      <c r="E230" s="15">
        <v>90908</v>
      </c>
      <c r="F230" t="s" s="17">
        <v>141</v>
      </c>
      <c r="G230" s="16"/>
      <c r="H230" t="s" s="17">
        <v>163</v>
      </c>
      <c r="I230" t="s" s="17">
        <v>19</v>
      </c>
      <c r="J230" t="s" s="17">
        <v>159</v>
      </c>
      <c r="K230" t="s" s="24">
        <v>23</v>
      </c>
      <c r="L230" s="25">
        <f>IF(O230,P230/O230,0)</f>
        <v>2.26895833333333</v>
      </c>
      <c r="M230" s="25">
        <v>2.26895833333333</v>
      </c>
      <c r="N230" s="26">
        <f>A230</f>
        <v>228</v>
      </c>
      <c r="O230" s="15">
        <v>96</v>
      </c>
      <c r="P230" s="15">
        <v>217.82</v>
      </c>
      <c r="Q230" s="16"/>
    </row>
    <row r="231" ht="20.35" customHeight="1">
      <c r="A231" s="13">
        <f>A230+1</f>
        <v>229</v>
      </c>
      <c r="B231" s="14">
        <v>2023</v>
      </c>
      <c r="C231" s="15">
        <v>8</v>
      </c>
      <c r="D231" s="15">
        <v>6</v>
      </c>
      <c r="E231" s="15">
        <v>41</v>
      </c>
      <c r="F231" t="s" s="17">
        <v>130</v>
      </c>
      <c r="G231" t="s" s="17">
        <v>189</v>
      </c>
      <c r="H231" t="s" s="17">
        <v>163</v>
      </c>
      <c r="I231" t="s" s="17">
        <v>187</v>
      </c>
      <c r="J231" t="s" s="17">
        <v>188</v>
      </c>
      <c r="K231" t="s" s="17">
        <v>23</v>
      </c>
      <c r="L231" s="22">
        <f>IF(O231,P231/O231,0)</f>
        <v>7.08333333333333</v>
      </c>
      <c r="M231" s="22">
        <v>7.08333333333333</v>
      </c>
      <c r="N231" s="15">
        <f>A231</f>
        <v>229</v>
      </c>
      <c r="O231" s="15">
        <v>6</v>
      </c>
      <c r="P231" s="15">
        <v>42.5</v>
      </c>
      <c r="Q231" s="16"/>
    </row>
    <row r="232" ht="20.05" customHeight="1">
      <c r="A232" s="13">
        <f>A231+1</f>
        <v>230</v>
      </c>
      <c r="B232" s="14">
        <v>2023</v>
      </c>
      <c r="C232" s="15">
        <v>8</v>
      </c>
      <c r="D232" s="15">
        <v>6</v>
      </c>
      <c r="E232" s="15">
        <v>41</v>
      </c>
      <c r="F232" t="s" s="17">
        <v>130</v>
      </c>
      <c r="G232" t="s" s="17">
        <v>190</v>
      </c>
      <c r="H232" t="s" s="17">
        <v>163</v>
      </c>
      <c r="I232" t="s" s="17">
        <v>14</v>
      </c>
      <c r="J232" t="s" s="17">
        <v>123</v>
      </c>
      <c r="K232" t="s" s="17">
        <v>16</v>
      </c>
      <c r="L232" s="15">
        <f>IF(O232,P232/O232,0)</f>
        <v>0.05796</v>
      </c>
      <c r="M232" s="15">
        <v>0.05796</v>
      </c>
      <c r="N232" s="15">
        <f>A232</f>
        <v>230</v>
      </c>
      <c r="O232" s="15">
        <v>2500</v>
      </c>
      <c r="P232" s="15">
        <v>144.9</v>
      </c>
      <c r="Q232" s="16"/>
    </row>
    <row r="233" ht="20.05" customHeight="1">
      <c r="A233" s="13">
        <f>A232+1</f>
        <v>231</v>
      </c>
      <c r="B233" s="14">
        <v>2023</v>
      </c>
      <c r="C233" s="15">
        <v>8</v>
      </c>
      <c r="D233" s="15">
        <v>6</v>
      </c>
      <c r="E233" s="15">
        <v>41</v>
      </c>
      <c r="F233" t="s" s="17">
        <v>130</v>
      </c>
      <c r="G233" s="16"/>
      <c r="H233" t="s" s="17">
        <v>163</v>
      </c>
      <c r="I233" t="s" s="17">
        <v>19</v>
      </c>
      <c r="J233" t="s" s="17">
        <v>157</v>
      </c>
      <c r="K233" t="s" s="17">
        <v>16</v>
      </c>
      <c r="L233" s="15">
        <f>IF(O233,P233/O233,0)</f>
        <v>0.0249476439790576</v>
      </c>
      <c r="M233" s="15">
        <v>0.0249476439790576</v>
      </c>
      <c r="N233" s="15">
        <f>A233</f>
        <v>231</v>
      </c>
      <c r="O233" s="15">
        <v>1910</v>
      </c>
      <c r="P233" s="15">
        <v>47.65</v>
      </c>
      <c r="Q233" s="16"/>
    </row>
    <row r="234" ht="20.05" customHeight="1">
      <c r="A234" s="13">
        <f>A233+1</f>
        <v>232</v>
      </c>
      <c r="B234" s="14">
        <v>2023</v>
      </c>
      <c r="C234" s="15">
        <v>8</v>
      </c>
      <c r="D234" s="15">
        <v>6</v>
      </c>
      <c r="E234" s="15">
        <v>91</v>
      </c>
      <c r="F234" t="s" s="17">
        <v>130</v>
      </c>
      <c r="G234" s="16"/>
      <c r="H234" t="s" s="17">
        <v>163</v>
      </c>
      <c r="I234" t="s" s="17">
        <v>19</v>
      </c>
      <c r="J234" t="s" s="17">
        <v>157</v>
      </c>
      <c r="K234" t="s" s="17">
        <v>16</v>
      </c>
      <c r="L234" s="15">
        <f>IF(O234,P234/O234,0)</f>
        <v>0.0249491353001017</v>
      </c>
      <c r="M234" s="15">
        <v>0.0249491353001017</v>
      </c>
      <c r="N234" s="15">
        <f>A234</f>
        <v>232</v>
      </c>
      <c r="O234" s="15">
        <v>1966</v>
      </c>
      <c r="P234" s="15">
        <v>49.05</v>
      </c>
      <c r="Q234" s="16"/>
    </row>
    <row r="235" ht="20.05" customHeight="1">
      <c r="A235" s="13">
        <f>A234+1</f>
        <v>233</v>
      </c>
      <c r="B235" s="14">
        <v>2023</v>
      </c>
      <c r="C235" s="15">
        <v>8</v>
      </c>
      <c r="D235" s="15">
        <v>7</v>
      </c>
      <c r="E235" s="15">
        <v>440</v>
      </c>
      <c r="F235" t="s" s="17">
        <v>130</v>
      </c>
      <c r="G235" t="s" s="17">
        <v>191</v>
      </c>
      <c r="H235" t="s" s="17">
        <v>163</v>
      </c>
      <c r="I235" t="s" s="17">
        <v>26</v>
      </c>
      <c r="J235" t="s" s="17">
        <v>113</v>
      </c>
      <c r="K235" t="s" s="17">
        <v>41</v>
      </c>
      <c r="L235" s="15">
        <f>IF(O235,P235/O235,0)</f>
        <v>0.03225</v>
      </c>
      <c r="M235" s="15">
        <v>0.03225</v>
      </c>
      <c r="N235" s="15">
        <f>A235</f>
        <v>233</v>
      </c>
      <c r="O235" s="15">
        <v>2000</v>
      </c>
      <c r="P235" s="15">
        <v>64.5</v>
      </c>
      <c r="Q235" s="16"/>
    </row>
    <row r="236" ht="20.05" customHeight="1">
      <c r="A236" s="13">
        <f>A235+1</f>
        <v>234</v>
      </c>
      <c r="B236" s="14">
        <v>2023</v>
      </c>
      <c r="C236" s="15">
        <v>8</v>
      </c>
      <c r="D236" s="15">
        <v>7</v>
      </c>
      <c r="E236" s="15">
        <v>146</v>
      </c>
      <c r="F236" t="s" s="17">
        <v>130</v>
      </c>
      <c r="G236" s="16"/>
      <c r="H236" t="s" s="17">
        <v>163</v>
      </c>
      <c r="I236" t="s" s="17">
        <v>19</v>
      </c>
      <c r="J236" t="s" s="17">
        <v>157</v>
      </c>
      <c r="K236" t="s" s="17">
        <v>16</v>
      </c>
      <c r="L236" s="15">
        <f>IF(O236,P236/O236,0)</f>
        <v>0.0249023255813953</v>
      </c>
      <c r="M236" s="15">
        <v>0.0249023255813953</v>
      </c>
      <c r="N236" s="15">
        <f>A236</f>
        <v>234</v>
      </c>
      <c r="O236" s="15">
        <v>2150</v>
      </c>
      <c r="P236" s="15">
        <v>53.54</v>
      </c>
      <c r="Q236" s="16"/>
    </row>
    <row r="237" ht="20.05" customHeight="1">
      <c r="A237" s="13">
        <f>A236+1</f>
        <v>235</v>
      </c>
      <c r="B237" s="14">
        <v>2023</v>
      </c>
      <c r="C237" s="15">
        <v>8</v>
      </c>
      <c r="D237" s="15">
        <v>7</v>
      </c>
      <c r="E237" s="15">
        <v>146</v>
      </c>
      <c r="F237" t="s" s="17">
        <v>130</v>
      </c>
      <c r="G237" s="16"/>
      <c r="H237" t="s" s="17">
        <v>163</v>
      </c>
      <c r="I237" t="s" s="17">
        <v>17</v>
      </c>
      <c r="J237" t="s" s="17">
        <v>156</v>
      </c>
      <c r="K237" t="s" s="17">
        <v>16</v>
      </c>
      <c r="L237" s="15">
        <f>IF(O237,P237/O237,0)</f>
        <v>0.094875</v>
      </c>
      <c r="M237" s="15">
        <v>0.094875</v>
      </c>
      <c r="N237" s="15">
        <f>A237</f>
        <v>235</v>
      </c>
      <c r="O237" s="15">
        <v>400</v>
      </c>
      <c r="P237" s="15">
        <v>37.95</v>
      </c>
      <c r="Q237" s="16"/>
    </row>
    <row r="238" ht="20.05" customHeight="1">
      <c r="A238" s="13">
        <f>A237+1</f>
        <v>236</v>
      </c>
      <c r="B238" s="14">
        <v>2023</v>
      </c>
      <c r="C238" s="15">
        <v>8</v>
      </c>
      <c r="D238" s="15">
        <v>7</v>
      </c>
      <c r="E238" s="15">
        <v>146</v>
      </c>
      <c r="F238" t="s" s="17">
        <v>130</v>
      </c>
      <c r="G238" s="16"/>
      <c r="H238" t="s" s="17">
        <v>163</v>
      </c>
      <c r="I238" t="s" s="17">
        <v>187</v>
      </c>
      <c r="J238" t="s" s="17">
        <v>192</v>
      </c>
      <c r="K238" t="s" s="17">
        <v>23</v>
      </c>
      <c r="L238" s="15">
        <f>IF(O238,P238/O238,0)</f>
        <v>7.9</v>
      </c>
      <c r="M238" s="15">
        <v>7.9</v>
      </c>
      <c r="N238" s="15">
        <f>A238</f>
        <v>236</v>
      </c>
      <c r="O238" s="15">
        <v>1</v>
      </c>
      <c r="P238" s="15">
        <v>7.9</v>
      </c>
      <c r="Q238" s="16"/>
    </row>
    <row r="239" ht="20.05" customHeight="1">
      <c r="A239" s="13">
        <f>A238+1</f>
        <v>237</v>
      </c>
      <c r="B239" s="14">
        <v>2023</v>
      </c>
      <c r="C239" s="15">
        <v>8</v>
      </c>
      <c r="D239" s="15">
        <v>7</v>
      </c>
      <c r="E239" s="15">
        <v>146</v>
      </c>
      <c r="F239" t="s" s="17">
        <v>130</v>
      </c>
      <c r="G239" t="s" s="17">
        <v>193</v>
      </c>
      <c r="H239" t="s" s="17">
        <v>163</v>
      </c>
      <c r="I239" t="s" s="17">
        <v>14</v>
      </c>
      <c r="J239" t="s" s="17">
        <v>140</v>
      </c>
      <c r="K239" t="s" s="17">
        <v>23</v>
      </c>
      <c r="L239" s="15">
        <f>IF(O239,P239/O239,0)</f>
        <v>2.66333333333333</v>
      </c>
      <c r="M239" s="15">
        <v>2.66333333333333</v>
      </c>
      <c r="N239" s="15">
        <f>A239</f>
        <v>237</v>
      </c>
      <c r="O239" s="15">
        <v>30</v>
      </c>
      <c r="P239" s="15">
        <v>79.90000000000001</v>
      </c>
      <c r="Q239" s="16"/>
    </row>
    <row r="240" ht="20.05" customHeight="1">
      <c r="A240" s="13">
        <f>A239+1</f>
        <v>238</v>
      </c>
      <c r="B240" s="14">
        <v>2023</v>
      </c>
      <c r="C240" s="15">
        <v>8</v>
      </c>
      <c r="D240" s="15">
        <v>9</v>
      </c>
      <c r="E240" s="15">
        <v>85</v>
      </c>
      <c r="F240" t="s" s="17">
        <v>130</v>
      </c>
      <c r="G240" t="s" s="17">
        <v>194</v>
      </c>
      <c r="H240" t="s" s="17">
        <v>163</v>
      </c>
      <c r="I240" t="s" s="17">
        <v>19</v>
      </c>
      <c r="J240" t="s" s="17">
        <v>131</v>
      </c>
      <c r="K240" t="s" s="17">
        <v>41</v>
      </c>
      <c r="L240" s="15">
        <f>IF(O240,P240/O240,0)</f>
        <v>0.0389285714285714</v>
      </c>
      <c r="M240" s="15">
        <v>0.0389285714285714</v>
      </c>
      <c r="N240" s="15">
        <f>A240</f>
        <v>238</v>
      </c>
      <c r="O240" s="15">
        <v>1400</v>
      </c>
      <c r="P240" s="15">
        <v>54.5</v>
      </c>
      <c r="Q240" s="16"/>
    </row>
    <row r="241" ht="20.05" customHeight="1">
      <c r="A241" s="13">
        <f>A240+1</f>
        <v>239</v>
      </c>
      <c r="B241" s="14">
        <v>2023</v>
      </c>
      <c r="C241" s="15">
        <v>8</v>
      </c>
      <c r="D241" s="15">
        <v>9</v>
      </c>
      <c r="E241" s="15">
        <v>85</v>
      </c>
      <c r="F241" t="s" s="17">
        <v>130</v>
      </c>
      <c r="G241" s="16"/>
      <c r="H241" t="s" s="17">
        <v>163</v>
      </c>
      <c r="I241" t="s" s="17">
        <v>19</v>
      </c>
      <c r="J241" t="s" s="17">
        <v>157</v>
      </c>
      <c r="K241" t="s" s="17">
        <v>16</v>
      </c>
      <c r="L241" s="15">
        <f>IF(O241,P241/O241,0)</f>
        <v>0.0249491869918699</v>
      </c>
      <c r="M241" s="15">
        <v>0.0249491869918699</v>
      </c>
      <c r="N241" s="15">
        <f>A241</f>
        <v>239</v>
      </c>
      <c r="O241" s="15">
        <v>984</v>
      </c>
      <c r="P241" s="15">
        <v>24.55</v>
      </c>
      <c r="Q241" s="16"/>
    </row>
    <row r="242" ht="20.05" customHeight="1">
      <c r="A242" s="13">
        <f>A241+1</f>
        <v>240</v>
      </c>
      <c r="B242" s="14">
        <v>2023</v>
      </c>
      <c r="C242" s="15">
        <v>8</v>
      </c>
      <c r="D242" s="15">
        <v>9</v>
      </c>
      <c r="E242" s="15">
        <v>107</v>
      </c>
      <c r="F242" t="s" s="17">
        <v>130</v>
      </c>
      <c r="G242" t="s" s="17">
        <v>15</v>
      </c>
      <c r="H242" t="s" s="17">
        <v>163</v>
      </c>
      <c r="I242" t="s" s="17">
        <v>14</v>
      </c>
      <c r="J242" t="s" s="17">
        <v>15</v>
      </c>
      <c r="K242" t="s" s="17">
        <v>16</v>
      </c>
      <c r="L242" s="15">
        <f>IF(O242,P242/O242,0)</f>
        <v>0.284285714285714</v>
      </c>
      <c r="M242" s="15">
        <v>0.284285714285714</v>
      </c>
      <c r="N242" s="15">
        <f>A242</f>
        <v>240</v>
      </c>
      <c r="O242" s="15">
        <v>350</v>
      </c>
      <c r="P242" s="15">
        <v>99.5</v>
      </c>
      <c r="Q242" s="16"/>
    </row>
    <row r="243" ht="20.05" customHeight="1">
      <c r="A243" s="13">
        <f>A242+1</f>
        <v>241</v>
      </c>
      <c r="B243" s="14">
        <v>2023</v>
      </c>
      <c r="C243" s="15">
        <v>8</v>
      </c>
      <c r="D243" s="15">
        <v>9</v>
      </c>
      <c r="E243" s="15">
        <v>867</v>
      </c>
      <c r="F243" t="s" s="17">
        <v>150</v>
      </c>
      <c r="G243" s="16"/>
      <c r="H243" t="s" s="17">
        <v>163</v>
      </c>
      <c r="I243" t="s" s="17">
        <v>19</v>
      </c>
      <c r="J243" t="s" s="17">
        <v>155</v>
      </c>
      <c r="K243" t="s" s="17">
        <v>16</v>
      </c>
      <c r="L243" s="15">
        <f>IF(O243,P243/O243,0)</f>
        <v>0.336</v>
      </c>
      <c r="M243" s="15">
        <v>0.336</v>
      </c>
      <c r="N243" s="15">
        <f>A243</f>
        <v>241</v>
      </c>
      <c r="O243" s="15">
        <v>3000</v>
      </c>
      <c r="P243" s="15">
        <v>1008</v>
      </c>
      <c r="Q243" s="16"/>
    </row>
    <row r="244" ht="20.05" customHeight="1">
      <c r="A244" s="13">
        <f>A243+1</f>
        <v>242</v>
      </c>
      <c r="B244" s="14">
        <v>2023</v>
      </c>
      <c r="C244" s="15">
        <v>8</v>
      </c>
      <c r="D244" s="15">
        <v>9</v>
      </c>
      <c r="E244" s="15">
        <v>867</v>
      </c>
      <c r="F244" t="s" s="17">
        <v>150</v>
      </c>
      <c r="G244" s="16"/>
      <c r="H244" t="s" s="17">
        <v>163</v>
      </c>
      <c r="I244" t="s" s="17">
        <v>19</v>
      </c>
      <c r="J244" t="s" s="17">
        <v>70</v>
      </c>
      <c r="K244" t="s" s="17">
        <v>16</v>
      </c>
      <c r="L244" s="15">
        <f>IF(O244,P244/O244,0)</f>
        <v>0.336</v>
      </c>
      <c r="M244" s="15">
        <v>0.336</v>
      </c>
      <c r="N244" s="15">
        <f>A244</f>
        <v>242</v>
      </c>
      <c r="O244" s="15">
        <v>3000</v>
      </c>
      <c r="P244" s="15">
        <v>1008</v>
      </c>
      <c r="Q244" s="16"/>
    </row>
    <row r="245" ht="20.05" customHeight="1">
      <c r="A245" s="13">
        <f>A244+1</f>
        <v>243</v>
      </c>
      <c r="B245" s="14">
        <v>2023</v>
      </c>
      <c r="C245" s="15">
        <v>8</v>
      </c>
      <c r="D245" s="15">
        <v>9</v>
      </c>
      <c r="E245" s="15">
        <v>27</v>
      </c>
      <c r="F245" t="s" s="17">
        <v>130</v>
      </c>
      <c r="G245" t="s" s="17">
        <v>195</v>
      </c>
      <c r="H245" t="s" s="17">
        <v>163</v>
      </c>
      <c r="I245" t="s" s="17">
        <v>127</v>
      </c>
      <c r="J245" t="s" s="17">
        <v>196</v>
      </c>
      <c r="K245" t="s" s="17">
        <v>41</v>
      </c>
      <c r="L245" s="15">
        <f>IF(O245,P245/O245,0)</f>
        <v>0.0246604938271605</v>
      </c>
      <c r="M245" s="15">
        <v>0.0246604938271605</v>
      </c>
      <c r="N245" s="15">
        <f>A245</f>
        <v>243</v>
      </c>
      <c r="O245" s="15">
        <v>3240</v>
      </c>
      <c r="P245" s="15">
        <v>79.90000000000001</v>
      </c>
      <c r="Q245" s="16"/>
    </row>
    <row r="246" ht="32.05" customHeight="1">
      <c r="A246" s="13">
        <f>A245+1</f>
        <v>244</v>
      </c>
      <c r="B246" s="14">
        <v>2023</v>
      </c>
      <c r="C246" s="15">
        <v>8</v>
      </c>
      <c r="D246" s="15">
        <v>9</v>
      </c>
      <c r="E246" s="15">
        <v>71</v>
      </c>
      <c r="F246" t="s" s="17">
        <v>130</v>
      </c>
      <c r="G246" t="s" s="17">
        <v>197</v>
      </c>
      <c r="H246" t="s" s="17">
        <v>163</v>
      </c>
      <c r="I246" t="s" s="17">
        <v>127</v>
      </c>
      <c r="J246" t="s" s="17">
        <v>198</v>
      </c>
      <c r="K246" t="s" s="17">
        <v>23</v>
      </c>
      <c r="L246" s="15">
        <f>IF(O246,P246/O246,0)</f>
        <v>1.78125</v>
      </c>
      <c r="M246" s="15">
        <v>1.78125</v>
      </c>
      <c r="N246" s="15">
        <f>A246</f>
        <v>244</v>
      </c>
      <c r="O246" s="15">
        <v>40</v>
      </c>
      <c r="P246" s="15">
        <v>71.25</v>
      </c>
      <c r="Q246" s="16"/>
    </row>
    <row r="247" ht="20.05" customHeight="1">
      <c r="A247" s="13">
        <f>A246+1</f>
        <v>245</v>
      </c>
      <c r="B247" s="14">
        <v>2023</v>
      </c>
      <c r="C247" s="15">
        <v>8</v>
      </c>
      <c r="D247" s="15">
        <v>9</v>
      </c>
      <c r="E247" s="15">
        <v>2</v>
      </c>
      <c r="F247" t="s" s="17">
        <v>184</v>
      </c>
      <c r="G247" s="16"/>
      <c r="H247" t="s" s="17">
        <v>163</v>
      </c>
      <c r="I247" t="s" s="17">
        <v>199</v>
      </c>
      <c r="J247" t="s" s="17">
        <v>185</v>
      </c>
      <c r="K247" t="s" s="17">
        <v>23</v>
      </c>
      <c r="L247" s="15">
        <f>IF(O247,P247/O247,0)</f>
        <v>150</v>
      </c>
      <c r="M247" s="15">
        <v>150</v>
      </c>
      <c r="N247" s="15">
        <f>A247</f>
        <v>245</v>
      </c>
      <c r="O247" s="15">
        <v>1</v>
      </c>
      <c r="P247" s="15">
        <v>150</v>
      </c>
      <c r="Q247" s="16"/>
    </row>
    <row r="248" ht="20.05" customHeight="1">
      <c r="A248" s="13">
        <f>A247+1</f>
        <v>246</v>
      </c>
      <c r="B248" s="14">
        <v>2023</v>
      </c>
      <c r="C248" s="15">
        <v>8</v>
      </c>
      <c r="D248" s="15">
        <v>10</v>
      </c>
      <c r="E248" s="15">
        <v>178966</v>
      </c>
      <c r="F248" t="s" s="17">
        <v>111</v>
      </c>
      <c r="G248" t="s" s="17">
        <v>175</v>
      </c>
      <c r="H248" t="s" s="17">
        <v>163</v>
      </c>
      <c r="I248" t="s" s="17">
        <v>19</v>
      </c>
      <c r="J248" t="s" s="17">
        <v>112</v>
      </c>
      <c r="K248" t="s" s="17">
        <v>41</v>
      </c>
      <c r="L248" s="15">
        <f>IF(O248,P248/O248,0)</f>
        <v>34.53</v>
      </c>
      <c r="M248" s="15">
        <v>34.53</v>
      </c>
      <c r="N248" s="15">
        <f>A248</f>
        <v>246</v>
      </c>
      <c r="O248" s="15">
        <v>1</v>
      </c>
      <c r="P248" s="15">
        <v>34.53</v>
      </c>
      <c r="Q248" s="16"/>
    </row>
    <row r="249" ht="20.05" customHeight="1">
      <c r="A249" s="13">
        <f>A248+1</f>
        <v>247</v>
      </c>
      <c r="B249" s="14">
        <v>2023</v>
      </c>
      <c r="C249" s="15">
        <v>8</v>
      </c>
      <c r="D249" s="15">
        <v>10</v>
      </c>
      <c r="E249" s="15">
        <v>178966</v>
      </c>
      <c r="F249" t="s" s="17">
        <v>111</v>
      </c>
      <c r="G249" t="s" s="17">
        <v>200</v>
      </c>
      <c r="H249" t="s" s="17">
        <v>163</v>
      </c>
      <c r="I249" t="s" s="17">
        <v>14</v>
      </c>
      <c r="J249" t="s" s="17">
        <v>40</v>
      </c>
      <c r="K249" t="s" s="17">
        <v>41</v>
      </c>
      <c r="L249" s="15">
        <f>IF(O249,P249/O249,0)</f>
        <v>0.0589933333333333</v>
      </c>
      <c r="M249" s="15">
        <v>0.0589933333333333</v>
      </c>
      <c r="N249" s="15">
        <f>A249</f>
        <v>247</v>
      </c>
      <c r="O249" s="15">
        <v>12000</v>
      </c>
      <c r="P249" s="15">
        <v>707.92</v>
      </c>
      <c r="Q249" s="16"/>
    </row>
    <row r="250" ht="20.05" customHeight="1">
      <c r="A250" s="13">
        <f>A249+1</f>
        <v>248</v>
      </c>
      <c r="B250" s="14">
        <v>2023</v>
      </c>
      <c r="C250" s="15">
        <v>8</v>
      </c>
      <c r="D250" s="15">
        <v>10</v>
      </c>
      <c r="E250" s="15">
        <v>178966</v>
      </c>
      <c r="F250" t="s" s="17">
        <v>111</v>
      </c>
      <c r="G250" t="s" s="17">
        <v>201</v>
      </c>
      <c r="H250" t="s" s="17">
        <v>163</v>
      </c>
      <c r="I250" t="s" s="17">
        <v>14</v>
      </c>
      <c r="J250" t="s" s="17">
        <v>202</v>
      </c>
      <c r="K250" t="s" s="17">
        <v>16</v>
      </c>
      <c r="L250" s="15">
        <f>IF(O250,P250/O250,0)</f>
        <v>0.19385</v>
      </c>
      <c r="M250" s="15">
        <v>0.19385</v>
      </c>
      <c r="N250" s="15">
        <f>A250</f>
        <v>248</v>
      </c>
      <c r="O250" s="15">
        <v>1000</v>
      </c>
      <c r="P250" s="15">
        <v>193.85</v>
      </c>
      <c r="Q250" s="16"/>
    </row>
    <row r="251" ht="20.05" customHeight="1">
      <c r="A251" s="13">
        <f>A250+1</f>
        <v>249</v>
      </c>
      <c r="B251" s="14">
        <v>2023</v>
      </c>
      <c r="C251" s="15">
        <v>8</v>
      </c>
      <c r="D251" s="15">
        <v>10</v>
      </c>
      <c r="E251" s="15">
        <v>178966</v>
      </c>
      <c r="F251" t="s" s="17">
        <v>111</v>
      </c>
      <c r="G251" s="16"/>
      <c r="H251" t="s" s="17">
        <v>163</v>
      </c>
      <c r="I251" t="s" s="17">
        <v>26</v>
      </c>
      <c r="J251" t="s" s="17">
        <v>117</v>
      </c>
      <c r="K251" t="s" s="17">
        <v>23</v>
      </c>
      <c r="L251" s="15">
        <f>IF(O251,P251/O251,0)</f>
        <v>31.6</v>
      </c>
      <c r="M251" s="15">
        <v>31.6</v>
      </c>
      <c r="N251" s="15">
        <f>A251</f>
        <v>249</v>
      </c>
      <c r="O251" s="15">
        <v>1</v>
      </c>
      <c r="P251" s="15">
        <v>31.6</v>
      </c>
      <c r="Q251" s="16"/>
    </row>
    <row r="252" ht="20.05" customHeight="1">
      <c r="A252" s="13">
        <f>A251+1</f>
        <v>250</v>
      </c>
      <c r="B252" s="14">
        <v>2023</v>
      </c>
      <c r="C252" s="15">
        <v>8</v>
      </c>
      <c r="D252" s="15">
        <v>10</v>
      </c>
      <c r="E252" s="15">
        <v>178966</v>
      </c>
      <c r="F252" t="s" s="17">
        <v>111</v>
      </c>
      <c r="G252" s="16"/>
      <c r="H252" t="s" s="17">
        <v>163</v>
      </c>
      <c r="I252" t="s" s="17">
        <v>26</v>
      </c>
      <c r="J252" t="s" s="17">
        <v>134</v>
      </c>
      <c r="K252" t="s" s="17">
        <v>23</v>
      </c>
      <c r="L252" s="15">
        <f>IF(O252,P252/O252,0)</f>
        <v>32.58</v>
      </c>
      <c r="M252" s="15">
        <v>32.58</v>
      </c>
      <c r="N252" s="15">
        <f>A252</f>
        <v>250</v>
      </c>
      <c r="O252" s="15">
        <v>1</v>
      </c>
      <c r="P252" s="15">
        <v>32.58</v>
      </c>
      <c r="Q252" s="16"/>
    </row>
    <row r="253" ht="20.35" customHeight="1">
      <c r="A253" s="13">
        <f>A252+1</f>
        <v>251</v>
      </c>
      <c r="B253" s="14">
        <v>2023</v>
      </c>
      <c r="C253" s="15">
        <v>8</v>
      </c>
      <c r="D253" s="15">
        <v>10</v>
      </c>
      <c r="E253" s="15">
        <v>178966</v>
      </c>
      <c r="F253" t="s" s="17">
        <v>111</v>
      </c>
      <c r="G253" s="16"/>
      <c r="H253" t="s" s="17">
        <v>163</v>
      </c>
      <c r="I253" t="s" s="17">
        <v>26</v>
      </c>
      <c r="J253" t="s" s="17">
        <v>118</v>
      </c>
      <c r="K253" t="s" s="17">
        <v>23</v>
      </c>
      <c r="L253" s="15">
        <f>IF(O253,P253/O253,0)</f>
        <v>32.58</v>
      </c>
      <c r="M253" s="15">
        <v>32.58</v>
      </c>
      <c r="N253" s="15">
        <f>A253</f>
        <v>251</v>
      </c>
      <c r="O253" s="15">
        <v>1</v>
      </c>
      <c r="P253" s="18">
        <v>32.58</v>
      </c>
      <c r="Q253" s="16"/>
    </row>
    <row r="254" ht="20.7" customHeight="1">
      <c r="A254" s="13">
        <f>A253+1</f>
        <v>252</v>
      </c>
      <c r="B254" s="14">
        <v>2023</v>
      </c>
      <c r="C254" s="15">
        <v>8</v>
      </c>
      <c r="D254" s="15">
        <v>10</v>
      </c>
      <c r="E254" s="15">
        <v>47724</v>
      </c>
      <c r="F254" t="s" s="17">
        <v>122</v>
      </c>
      <c r="G254" s="16"/>
      <c r="H254" t="s" s="17">
        <v>163</v>
      </c>
      <c r="I254" t="s" s="17">
        <v>14</v>
      </c>
      <c r="J254" t="s" s="17">
        <v>123</v>
      </c>
      <c r="K254" t="s" s="17">
        <v>16</v>
      </c>
      <c r="L254" s="15">
        <f>IF(O254,P254/O254,0)</f>
        <v>0.0354</v>
      </c>
      <c r="M254" s="15">
        <v>0.0354</v>
      </c>
      <c r="N254" s="15">
        <f>A254</f>
        <v>252</v>
      </c>
      <c r="O254" s="19">
        <v>5000</v>
      </c>
      <c r="P254" s="27">
        <v>177</v>
      </c>
      <c r="Q254" s="21"/>
    </row>
    <row r="255" ht="20.7" customHeight="1">
      <c r="A255" s="13">
        <f>A254+1</f>
        <v>253</v>
      </c>
      <c r="B255" s="14">
        <v>2023</v>
      </c>
      <c r="C255" s="15">
        <v>8</v>
      </c>
      <c r="D255" s="15">
        <v>10</v>
      </c>
      <c r="E255" s="15">
        <v>47724</v>
      </c>
      <c r="F255" t="s" s="17">
        <v>122</v>
      </c>
      <c r="G255" t="s" s="17">
        <v>173</v>
      </c>
      <c r="H255" t="s" s="17">
        <v>163</v>
      </c>
      <c r="I255" t="s" s="17">
        <v>14</v>
      </c>
      <c r="J255" t="s" s="17">
        <v>147</v>
      </c>
      <c r="K255" t="s" s="17">
        <v>16</v>
      </c>
      <c r="L255" s="15">
        <f>IF(O255,P255/O255,0)</f>
        <v>0.0148</v>
      </c>
      <c r="M255" s="15">
        <v>0.0148</v>
      </c>
      <c r="N255" s="15">
        <f>A255</f>
        <v>253</v>
      </c>
      <c r="O255" s="19">
        <v>5000</v>
      </c>
      <c r="P255" s="27">
        <v>74</v>
      </c>
      <c r="Q255" s="21"/>
    </row>
    <row r="256" ht="20.7" customHeight="1">
      <c r="A256" s="13">
        <f>A255+1</f>
        <v>254</v>
      </c>
      <c r="B256" s="14">
        <v>2023</v>
      </c>
      <c r="C256" s="15">
        <v>8</v>
      </c>
      <c r="D256" s="15">
        <v>10</v>
      </c>
      <c r="E256" s="15">
        <v>47724</v>
      </c>
      <c r="F256" t="s" s="17">
        <v>122</v>
      </c>
      <c r="G256" t="s" s="17">
        <v>175</v>
      </c>
      <c r="H256" t="s" s="17">
        <v>163</v>
      </c>
      <c r="I256" t="s" s="17">
        <v>17</v>
      </c>
      <c r="J256" t="s" s="17">
        <v>55</v>
      </c>
      <c r="K256" t="s" s="17">
        <v>16</v>
      </c>
      <c r="L256" s="15">
        <f>IF(O256,P256/O256,0)</f>
        <v>0.377142857142857</v>
      </c>
      <c r="M256" s="15">
        <v>0.377142857142857</v>
      </c>
      <c r="N256" s="15">
        <f>A256</f>
        <v>254</v>
      </c>
      <c r="O256" s="19">
        <v>350</v>
      </c>
      <c r="P256" s="27">
        <v>132</v>
      </c>
      <c r="Q256" s="21"/>
    </row>
    <row r="257" ht="20.7" customHeight="1">
      <c r="A257" s="13">
        <f>A256+1</f>
        <v>255</v>
      </c>
      <c r="B257" s="14">
        <v>2023</v>
      </c>
      <c r="C257" s="15">
        <v>8</v>
      </c>
      <c r="D257" s="15">
        <v>10</v>
      </c>
      <c r="E257" s="15">
        <v>47724</v>
      </c>
      <c r="F257" t="s" s="17">
        <v>122</v>
      </c>
      <c r="G257" t="s" s="17">
        <v>203</v>
      </c>
      <c r="H257" t="s" s="17">
        <v>163</v>
      </c>
      <c r="I257" t="s" s="17">
        <v>17</v>
      </c>
      <c r="J257" t="s" s="17">
        <v>125</v>
      </c>
      <c r="K257" t="s" s="17">
        <v>16</v>
      </c>
      <c r="L257" s="15">
        <f>IF(O257,P257/O257,0)</f>
        <v>0.192</v>
      </c>
      <c r="M257" s="15">
        <v>0.192</v>
      </c>
      <c r="N257" s="15">
        <f>A257</f>
        <v>255</v>
      </c>
      <c r="O257" s="19">
        <v>1500</v>
      </c>
      <c r="P257" s="27">
        <v>288</v>
      </c>
      <c r="Q257" s="21"/>
    </row>
    <row r="258" ht="20.7" customHeight="1">
      <c r="A258" s="13">
        <f>A257+1</f>
        <v>256</v>
      </c>
      <c r="B258" s="14">
        <v>2023</v>
      </c>
      <c r="C258" s="15">
        <v>8</v>
      </c>
      <c r="D258" s="15">
        <v>10</v>
      </c>
      <c r="E258" s="15">
        <v>47724</v>
      </c>
      <c r="F258" t="s" s="17">
        <v>122</v>
      </c>
      <c r="G258" t="s" s="17">
        <v>175</v>
      </c>
      <c r="H258" t="s" s="17">
        <v>163</v>
      </c>
      <c r="I258" t="s" s="17">
        <v>14</v>
      </c>
      <c r="J258" t="s" s="17">
        <v>124</v>
      </c>
      <c r="K258" t="s" s="17">
        <v>16</v>
      </c>
      <c r="L258" s="15">
        <f>IF(O258,P258/O258,0)</f>
        <v>0.106</v>
      </c>
      <c r="M258" s="15">
        <v>0.106</v>
      </c>
      <c r="N258" s="15">
        <f>A258</f>
        <v>256</v>
      </c>
      <c r="O258" s="19">
        <v>2750</v>
      </c>
      <c r="P258" s="27">
        <v>291.5</v>
      </c>
      <c r="Q258" s="21"/>
    </row>
    <row r="259" ht="20.35" customHeight="1">
      <c r="A259" s="13">
        <f>A258+1</f>
        <v>257</v>
      </c>
      <c r="B259" s="14">
        <v>2023</v>
      </c>
      <c r="C259" s="15">
        <v>8</v>
      </c>
      <c r="D259" s="15">
        <v>10</v>
      </c>
      <c r="E259" s="15">
        <v>107</v>
      </c>
      <c r="F259" t="s" s="17">
        <v>130</v>
      </c>
      <c r="G259" s="16"/>
      <c r="H259" t="s" s="17">
        <v>163</v>
      </c>
      <c r="I259" t="s" s="17">
        <v>14</v>
      </c>
      <c r="J259" t="s" s="17">
        <v>140</v>
      </c>
      <c r="K259" t="s" s="17">
        <v>23</v>
      </c>
      <c r="L259" s="15">
        <f>IF(O259,P259/O259,0)</f>
        <v>2.62333333333333</v>
      </c>
      <c r="M259" s="15">
        <v>2.62333333333333</v>
      </c>
      <c r="N259" s="15">
        <f>A259</f>
        <v>257</v>
      </c>
      <c r="O259" s="15">
        <v>60</v>
      </c>
      <c r="P259" s="22">
        <v>157.4</v>
      </c>
      <c r="Q259" s="16"/>
    </row>
    <row r="260" ht="20.05" customHeight="1">
      <c r="A260" s="13">
        <f>A259+1</f>
        <v>258</v>
      </c>
      <c r="B260" s="14">
        <v>2023</v>
      </c>
      <c r="C260" s="15">
        <v>8</v>
      </c>
      <c r="D260" s="15">
        <v>11</v>
      </c>
      <c r="E260" s="15">
        <v>28357476002</v>
      </c>
      <c r="F260" t="s" s="17">
        <v>204</v>
      </c>
      <c r="G260" s="16"/>
      <c r="H260" t="s" s="17">
        <v>163</v>
      </c>
      <c r="I260" t="s" s="17">
        <v>127</v>
      </c>
      <c r="J260" t="s" s="17">
        <v>205</v>
      </c>
      <c r="K260" t="s" s="17">
        <v>23</v>
      </c>
      <c r="L260" s="15">
        <f>IF(O260,P260/O260,0)</f>
        <v>195</v>
      </c>
      <c r="M260" s="15">
        <v>195</v>
      </c>
      <c r="N260" s="15">
        <f>A260</f>
        <v>258</v>
      </c>
      <c r="O260" s="15">
        <v>1</v>
      </c>
      <c r="P260" s="15">
        <v>195</v>
      </c>
      <c r="Q260" s="16"/>
    </row>
    <row r="261" ht="20.05" customHeight="1">
      <c r="A261" s="13">
        <f>A260+1</f>
        <v>259</v>
      </c>
      <c r="B261" s="14">
        <v>2023</v>
      </c>
      <c r="C261" s="15">
        <v>8</v>
      </c>
      <c r="D261" s="15">
        <v>11</v>
      </c>
      <c r="E261" s="15">
        <v>28357476002</v>
      </c>
      <c r="F261" t="s" s="17">
        <v>204</v>
      </c>
      <c r="G261" s="16"/>
      <c r="H261" t="s" s="17">
        <v>163</v>
      </c>
      <c r="I261" t="s" s="17">
        <v>127</v>
      </c>
      <c r="J261" t="s" s="17">
        <v>206</v>
      </c>
      <c r="K261" t="s" s="17">
        <v>23</v>
      </c>
      <c r="L261" s="15">
        <f>IF(O261,P261/O261,0)</f>
        <v>250</v>
      </c>
      <c r="M261" s="15">
        <v>250</v>
      </c>
      <c r="N261" s="15">
        <f>A261</f>
        <v>259</v>
      </c>
      <c r="O261" s="15">
        <v>1</v>
      </c>
      <c r="P261" s="15">
        <v>250</v>
      </c>
      <c r="Q261" s="16"/>
    </row>
    <row r="262" ht="20.05" customHeight="1">
      <c r="A262" s="13">
        <f>A261+1</f>
        <v>260</v>
      </c>
      <c r="B262" s="14">
        <v>2023</v>
      </c>
      <c r="C262" s="15">
        <v>8</v>
      </c>
      <c r="D262" s="15">
        <v>11</v>
      </c>
      <c r="E262" s="15">
        <v>787</v>
      </c>
      <c r="F262" t="s" s="17">
        <v>207</v>
      </c>
      <c r="G262" s="16"/>
      <c r="H262" t="s" s="17">
        <v>163</v>
      </c>
      <c r="I262" t="s" s="17">
        <v>14</v>
      </c>
      <c r="J262" t="s" s="17">
        <v>208</v>
      </c>
      <c r="K262" t="s" s="17">
        <v>23</v>
      </c>
      <c r="L262" s="15">
        <f>IF(O262,P262/O262,0)</f>
        <v>53.33</v>
      </c>
      <c r="M262" s="15">
        <v>53.33</v>
      </c>
      <c r="N262" s="15">
        <f>A262</f>
        <v>260</v>
      </c>
      <c r="O262" s="15">
        <v>17</v>
      </c>
      <c r="P262" s="15">
        <v>906.61</v>
      </c>
      <c r="Q262" s="16"/>
    </row>
    <row r="263" ht="20.05" customHeight="1">
      <c r="A263" s="13">
        <f>A262+1</f>
        <v>261</v>
      </c>
      <c r="B263" s="14">
        <v>2023</v>
      </c>
      <c r="C263" s="15">
        <v>8</v>
      </c>
      <c r="D263" s="15">
        <v>11</v>
      </c>
      <c r="E263" s="15">
        <v>787</v>
      </c>
      <c r="F263" t="s" s="17">
        <v>207</v>
      </c>
      <c r="G263" s="16"/>
      <c r="H263" t="s" s="17">
        <v>163</v>
      </c>
      <c r="I263" t="s" s="17">
        <v>187</v>
      </c>
      <c r="J263" t="s" s="17">
        <v>209</v>
      </c>
      <c r="K263" t="s" s="17">
        <v>23</v>
      </c>
      <c r="L263" s="15">
        <f>IF(O263,P263/O263,0)</f>
        <v>2.08315789473684</v>
      </c>
      <c r="M263" s="15">
        <v>2.08315789473684</v>
      </c>
      <c r="N263" s="15">
        <f>A263</f>
        <v>261</v>
      </c>
      <c r="O263" s="15">
        <v>19</v>
      </c>
      <c r="P263" s="15">
        <v>39.58</v>
      </c>
      <c r="Q263" s="16"/>
    </row>
    <row r="264" ht="20.05" customHeight="1">
      <c r="A264" s="13">
        <f>A263+1</f>
        <v>262</v>
      </c>
      <c r="B264" s="14">
        <v>2023</v>
      </c>
      <c r="C264" s="15">
        <v>8</v>
      </c>
      <c r="D264" s="15">
        <v>11</v>
      </c>
      <c r="E264" s="15">
        <v>129</v>
      </c>
      <c r="F264" t="s" s="17">
        <v>130</v>
      </c>
      <c r="G264" t="s" s="17">
        <v>210</v>
      </c>
      <c r="H264" t="s" s="17">
        <v>163</v>
      </c>
      <c r="I264" t="s" s="17">
        <v>187</v>
      </c>
      <c r="J264" t="s" s="17">
        <v>188</v>
      </c>
      <c r="K264" t="s" s="17">
        <v>23</v>
      </c>
      <c r="L264" s="15">
        <f>IF(O264,P264/O264,0)</f>
        <v>3.58333333333333</v>
      </c>
      <c r="M264" s="15">
        <v>3.58333333333333</v>
      </c>
      <c r="N264" s="15">
        <f>A264</f>
        <v>262</v>
      </c>
      <c r="O264" s="15">
        <v>6</v>
      </c>
      <c r="P264" s="15">
        <v>21.5</v>
      </c>
      <c r="Q264" s="16"/>
    </row>
    <row r="265" ht="20.05" customHeight="1">
      <c r="A265" s="13">
        <f>A264+1</f>
        <v>263</v>
      </c>
      <c r="B265" s="14">
        <v>2023</v>
      </c>
      <c r="C265" s="15">
        <v>8</v>
      </c>
      <c r="D265" s="15">
        <v>11</v>
      </c>
      <c r="E265" s="15">
        <v>216</v>
      </c>
      <c r="F265" t="s" s="17">
        <v>130</v>
      </c>
      <c r="G265" s="16"/>
      <c r="H265" t="s" s="17">
        <v>163</v>
      </c>
      <c r="I265" t="s" s="17">
        <v>19</v>
      </c>
      <c r="J265" t="s" s="17">
        <v>157</v>
      </c>
      <c r="K265" t="s" s="17">
        <v>16</v>
      </c>
      <c r="L265" s="15">
        <f>IF(O265,P265/O265,0)</f>
        <v>0.0249515972894482</v>
      </c>
      <c r="M265" s="15">
        <v>0.0249515972894482</v>
      </c>
      <c r="N265" s="15">
        <f>A265</f>
        <v>263</v>
      </c>
      <c r="O265" s="15">
        <v>2066</v>
      </c>
      <c r="P265" s="15">
        <v>51.55</v>
      </c>
      <c r="Q265" s="16"/>
    </row>
    <row r="266" ht="20.05" customHeight="1">
      <c r="A266" s="13">
        <f>A265+1</f>
        <v>264</v>
      </c>
      <c r="B266" s="14">
        <v>2023</v>
      </c>
      <c r="C266" s="15">
        <v>8</v>
      </c>
      <c r="D266" s="15">
        <v>12</v>
      </c>
      <c r="E266" s="15">
        <v>61</v>
      </c>
      <c r="F266" t="s" s="17">
        <v>130</v>
      </c>
      <c r="G266" s="16"/>
      <c r="H266" t="s" s="17">
        <v>163</v>
      </c>
      <c r="I266" t="s" s="17">
        <v>19</v>
      </c>
      <c r="J266" t="s" s="17">
        <v>157</v>
      </c>
      <c r="K266" t="s" s="17">
        <v>16</v>
      </c>
      <c r="L266" s="15">
        <f>IF(O266,P266/O266,0)</f>
        <v>0.024948132780083</v>
      </c>
      <c r="M266" s="15">
        <v>0.024948132780083</v>
      </c>
      <c r="N266" s="15">
        <f>A266</f>
        <v>264</v>
      </c>
      <c r="O266" s="15">
        <v>1928</v>
      </c>
      <c r="P266" s="15">
        <v>48.1</v>
      </c>
      <c r="Q266" s="16"/>
    </row>
    <row r="267" ht="20.05" customHeight="1">
      <c r="A267" s="13">
        <f>A266+1</f>
        <v>265</v>
      </c>
      <c r="B267" s="14">
        <v>2023</v>
      </c>
      <c r="C267" s="15">
        <v>8</v>
      </c>
      <c r="D267" s="15">
        <v>12</v>
      </c>
      <c r="E267" s="15">
        <v>19222</v>
      </c>
      <c r="F267" t="s" s="17">
        <v>211</v>
      </c>
      <c r="G267" s="16"/>
      <c r="H267" t="s" s="17">
        <v>163</v>
      </c>
      <c r="I267" t="s" s="17">
        <v>187</v>
      </c>
      <c r="J267" t="s" s="17">
        <v>212</v>
      </c>
      <c r="K267" t="s" s="17">
        <v>23</v>
      </c>
      <c r="L267" s="15">
        <f>IF(O267,P267/O267,0)</f>
        <v>225.5</v>
      </c>
      <c r="M267" s="15">
        <v>225.5</v>
      </c>
      <c r="N267" s="15">
        <f>A267</f>
        <v>265</v>
      </c>
      <c r="O267" s="15">
        <v>2</v>
      </c>
      <c r="P267" s="15">
        <v>451</v>
      </c>
      <c r="Q267" s="16"/>
    </row>
    <row r="268" ht="20.05" customHeight="1">
      <c r="A268" s="13">
        <f>A267+1</f>
        <v>266</v>
      </c>
      <c r="B268" s="14">
        <v>2023</v>
      </c>
      <c r="C268" s="15">
        <v>8</v>
      </c>
      <c r="D268" s="15">
        <v>12</v>
      </c>
      <c r="E268" s="15">
        <v>19222</v>
      </c>
      <c r="F268" t="s" s="17">
        <v>211</v>
      </c>
      <c r="G268" s="16"/>
      <c r="H268" t="s" s="17">
        <v>163</v>
      </c>
      <c r="I268" t="s" s="17">
        <v>187</v>
      </c>
      <c r="J268" t="s" s="17">
        <v>213</v>
      </c>
      <c r="K268" t="s" s="17">
        <v>23</v>
      </c>
      <c r="L268" s="15">
        <f>IF(O268,P268/O268,0)</f>
        <v>58.25</v>
      </c>
      <c r="M268" s="15">
        <v>58.25</v>
      </c>
      <c r="N268" s="15">
        <f>A268</f>
        <v>266</v>
      </c>
      <c r="O268" s="15">
        <v>1</v>
      </c>
      <c r="P268" s="15">
        <v>58.25</v>
      </c>
      <c r="Q268" s="16"/>
    </row>
    <row r="269" ht="20.05" customHeight="1">
      <c r="A269" s="13">
        <f>A268+1</f>
        <v>267</v>
      </c>
      <c r="B269" s="14">
        <v>2023</v>
      </c>
      <c r="C269" s="15">
        <v>8</v>
      </c>
      <c r="D269" s="15">
        <v>13</v>
      </c>
      <c r="E269" s="15">
        <v>8</v>
      </c>
      <c r="F269" t="s" s="17">
        <v>177</v>
      </c>
      <c r="G269" s="16"/>
      <c r="H269" t="s" s="17">
        <v>163</v>
      </c>
      <c r="I269" t="s" s="17">
        <v>14</v>
      </c>
      <c r="J269" t="s" s="17">
        <v>15</v>
      </c>
      <c r="K269" t="s" s="17">
        <v>16</v>
      </c>
      <c r="L269" s="15">
        <f>IF(O269,P269/O269,0)</f>
        <v>0.659</v>
      </c>
      <c r="M269" s="15">
        <v>0.659</v>
      </c>
      <c r="N269" s="15">
        <f>A269</f>
        <v>267</v>
      </c>
      <c r="O269" s="15">
        <f t="shared" si="819" ref="O269:O447">2*100</f>
        <v>200</v>
      </c>
      <c r="P269" s="15">
        <f>65.9*2</f>
        <v>131.8</v>
      </c>
      <c r="Q269" s="16"/>
    </row>
    <row r="270" ht="20.05" customHeight="1">
      <c r="A270" s="13">
        <f>A269+1</f>
        <v>268</v>
      </c>
      <c r="B270" s="14">
        <v>2023</v>
      </c>
      <c r="C270" s="15">
        <v>8</v>
      </c>
      <c r="D270" s="15">
        <v>13</v>
      </c>
      <c r="E270" s="15">
        <v>35</v>
      </c>
      <c r="F270" t="s" s="17">
        <v>130</v>
      </c>
      <c r="G270" s="16"/>
      <c r="H270" t="s" s="17">
        <v>163</v>
      </c>
      <c r="I270" t="s" s="17">
        <v>17</v>
      </c>
      <c r="J270" t="s" s="17">
        <v>156</v>
      </c>
      <c r="K270" t="s" s="17">
        <v>16</v>
      </c>
      <c r="L270" s="15">
        <f>IF(O270,P270/O270,0)</f>
        <v>0.094875</v>
      </c>
      <c r="M270" s="15">
        <v>0.094875</v>
      </c>
      <c r="N270" s="15">
        <f>A270</f>
        <v>268</v>
      </c>
      <c r="O270" s="15">
        <v>400</v>
      </c>
      <c r="P270" s="15">
        <v>37.95</v>
      </c>
      <c r="Q270" s="16"/>
    </row>
    <row r="271" ht="20.05" customHeight="1">
      <c r="A271" s="13">
        <f>A270+1</f>
        <v>269</v>
      </c>
      <c r="B271" s="14">
        <v>2023</v>
      </c>
      <c r="C271" s="15">
        <v>8</v>
      </c>
      <c r="D271" s="15">
        <v>14</v>
      </c>
      <c r="E271" s="15">
        <v>93999</v>
      </c>
      <c r="F271" t="s" s="17">
        <v>141</v>
      </c>
      <c r="G271" s="16"/>
      <c r="H271" t="s" s="17">
        <v>163</v>
      </c>
      <c r="I271" t="s" s="17">
        <v>19</v>
      </c>
      <c r="J271" t="s" s="17">
        <v>142</v>
      </c>
      <c r="K271" t="s" s="17">
        <v>23</v>
      </c>
      <c r="L271" s="15">
        <f>IF(O271,P271/O271,0)</f>
        <v>11.53625</v>
      </c>
      <c r="M271" s="15">
        <v>11.53625</v>
      </c>
      <c r="N271" s="15">
        <f>A271</f>
        <v>269</v>
      </c>
      <c r="O271" s="15">
        <v>48</v>
      </c>
      <c r="P271" s="15">
        <v>553.74</v>
      </c>
      <c r="Q271" s="16"/>
    </row>
    <row r="272" ht="20.05" customHeight="1">
      <c r="A272" s="13">
        <f>A271+1</f>
        <v>270</v>
      </c>
      <c r="B272" s="14">
        <v>2023</v>
      </c>
      <c r="C272" s="15">
        <v>8</v>
      </c>
      <c r="D272" s="15">
        <v>14</v>
      </c>
      <c r="E272" s="15">
        <v>93999</v>
      </c>
      <c r="F272" t="s" s="17">
        <v>141</v>
      </c>
      <c r="G272" s="16"/>
      <c r="H272" t="s" s="17">
        <v>163</v>
      </c>
      <c r="I272" t="s" s="17">
        <v>19</v>
      </c>
      <c r="J272" t="s" s="17">
        <v>158</v>
      </c>
      <c r="K272" t="s" s="17">
        <v>23</v>
      </c>
      <c r="L272" s="15">
        <f>IF(O272,P272/O272,0)</f>
        <v>11.53625</v>
      </c>
      <c r="M272" s="15">
        <v>11.53625</v>
      </c>
      <c r="N272" s="15">
        <f>A272</f>
        <v>270</v>
      </c>
      <c r="O272" s="15">
        <v>24</v>
      </c>
      <c r="P272" s="15">
        <v>276.87</v>
      </c>
      <c r="Q272" s="16"/>
    </row>
    <row r="273" ht="20.05" customHeight="1">
      <c r="A273" s="13">
        <f>A272+1</f>
        <v>271</v>
      </c>
      <c r="B273" s="14">
        <v>2023</v>
      </c>
      <c r="C273" s="15">
        <v>8</v>
      </c>
      <c r="D273" s="15">
        <v>14</v>
      </c>
      <c r="E273" s="15">
        <v>93999</v>
      </c>
      <c r="F273" t="s" s="17">
        <v>141</v>
      </c>
      <c r="G273" s="16"/>
      <c r="H273" t="s" s="17">
        <v>163</v>
      </c>
      <c r="I273" t="s" s="17">
        <v>19</v>
      </c>
      <c r="J273" t="s" s="17">
        <v>159</v>
      </c>
      <c r="K273" t="s" s="17">
        <v>23</v>
      </c>
      <c r="L273" s="15">
        <f>IF(O273,P273/O273,0)</f>
        <v>2.26895833333333</v>
      </c>
      <c r="M273" s="15">
        <v>2.26895833333333</v>
      </c>
      <c r="N273" s="15">
        <f>A273</f>
        <v>271</v>
      </c>
      <c r="O273" s="15">
        <v>240</v>
      </c>
      <c r="P273" s="15">
        <v>544.55</v>
      </c>
      <c r="Q273" s="16"/>
    </row>
    <row r="274" ht="20.05" customHeight="1">
      <c r="A274" s="13">
        <f>A273+1</f>
        <v>272</v>
      </c>
      <c r="B274" s="14">
        <v>2023</v>
      </c>
      <c r="C274" s="15">
        <v>8</v>
      </c>
      <c r="D274" s="15">
        <v>14</v>
      </c>
      <c r="E274" s="15">
        <v>103</v>
      </c>
      <c r="F274" t="s" s="17">
        <v>130</v>
      </c>
      <c r="G274" s="16"/>
      <c r="H274" t="s" s="17">
        <v>163</v>
      </c>
      <c r="I274" t="s" s="17">
        <v>19</v>
      </c>
      <c r="J274" t="s" s="17">
        <v>157</v>
      </c>
      <c r="K274" t="s" s="17">
        <v>16</v>
      </c>
      <c r="L274" s="15">
        <f>IF(O274,P274/O274,0)</f>
        <v>0.024950884086444</v>
      </c>
      <c r="M274" s="15">
        <v>0.024950884086444</v>
      </c>
      <c r="N274" s="15">
        <f>A274</f>
        <v>272</v>
      </c>
      <c r="O274" s="15">
        <v>1018</v>
      </c>
      <c r="P274" s="15">
        <v>25.4</v>
      </c>
      <c r="Q274" s="16"/>
    </row>
    <row r="275" ht="20.05" customHeight="1">
      <c r="A275" s="13">
        <f>A274+1</f>
        <v>273</v>
      </c>
      <c r="B275" s="14">
        <v>2023</v>
      </c>
      <c r="C275" s="15">
        <v>8</v>
      </c>
      <c r="D275" s="15">
        <v>14</v>
      </c>
      <c r="E275" s="15">
        <v>4</v>
      </c>
      <c r="F275" t="s" s="17">
        <v>214</v>
      </c>
      <c r="G275" s="16"/>
      <c r="H275" t="s" s="17">
        <v>163</v>
      </c>
      <c r="I275" t="s" s="17">
        <v>187</v>
      </c>
      <c r="J275" t="s" s="17">
        <v>212</v>
      </c>
      <c r="K275" t="s" s="17">
        <v>23</v>
      </c>
      <c r="L275" s="15">
        <f>IF(O275,P275/O275,0)</f>
        <v>200</v>
      </c>
      <c r="M275" s="15">
        <v>200</v>
      </c>
      <c r="N275" s="15">
        <f>A275</f>
        <v>273</v>
      </c>
      <c r="O275" s="15">
        <v>1</v>
      </c>
      <c r="P275" s="15">
        <v>200</v>
      </c>
      <c r="Q275" s="16"/>
    </row>
    <row r="276" ht="32.05" customHeight="1">
      <c r="A276" s="13">
        <f>A275+1</f>
        <v>274</v>
      </c>
      <c r="B276" s="14">
        <v>2023</v>
      </c>
      <c r="C276" s="15">
        <v>8</v>
      </c>
      <c r="D276" s="15">
        <v>14</v>
      </c>
      <c r="E276" s="15">
        <v>1952</v>
      </c>
      <c r="F276" t="s" s="17">
        <v>215</v>
      </c>
      <c r="G276" t="s" s="17">
        <v>216</v>
      </c>
      <c r="H276" t="s" s="17">
        <v>163</v>
      </c>
      <c r="I276" t="s" s="17">
        <v>14</v>
      </c>
      <c r="J276" t="s" s="17">
        <v>217</v>
      </c>
      <c r="K276" t="s" s="17">
        <v>23</v>
      </c>
      <c r="L276" s="15">
        <f>IF(O276,P276/O276,0)</f>
        <v>374.17</v>
      </c>
      <c r="M276" s="15">
        <v>374.17</v>
      </c>
      <c r="N276" s="15">
        <f>A276</f>
        <v>274</v>
      </c>
      <c r="O276" s="15">
        <v>1</v>
      </c>
      <c r="P276" s="15">
        <v>374.17</v>
      </c>
      <c r="Q276" s="16"/>
    </row>
    <row r="277" ht="20.05" customHeight="1">
      <c r="A277" s="13">
        <f>A276+1</f>
        <v>275</v>
      </c>
      <c r="B277" s="14">
        <v>2023</v>
      </c>
      <c r="C277" s="15">
        <v>8</v>
      </c>
      <c r="D277" s="15">
        <v>16</v>
      </c>
      <c r="E277" s="16"/>
      <c r="F277" t="s" s="17">
        <v>218</v>
      </c>
      <c r="G277" t="s" s="17">
        <v>219</v>
      </c>
      <c r="H277" t="s" s="17">
        <v>163</v>
      </c>
      <c r="I277" t="s" s="17">
        <v>14</v>
      </c>
      <c r="J277" t="s" s="17">
        <v>49</v>
      </c>
      <c r="K277" t="s" s="17">
        <v>16</v>
      </c>
      <c r="L277" s="15">
        <f>IF(O277,P277/O277,0)</f>
        <v>0.1276</v>
      </c>
      <c r="M277" s="15">
        <v>0.1276</v>
      </c>
      <c r="N277" s="15">
        <f>A277</f>
        <v>275</v>
      </c>
      <c r="O277" s="15">
        <v>200</v>
      </c>
      <c r="P277" s="15">
        <v>25.52</v>
      </c>
      <c r="Q277" s="16"/>
    </row>
    <row r="278" ht="20.05" customHeight="1">
      <c r="A278" s="13">
        <f>A277+1</f>
        <v>276</v>
      </c>
      <c r="B278" s="14">
        <v>2023</v>
      </c>
      <c r="C278" s="15">
        <v>8</v>
      </c>
      <c r="D278" s="15">
        <v>16</v>
      </c>
      <c r="E278" s="15">
        <v>898</v>
      </c>
      <c r="F278" t="s" s="17">
        <v>150</v>
      </c>
      <c r="G278" s="16"/>
      <c r="H278" t="s" s="17">
        <v>163</v>
      </c>
      <c r="I278" t="s" s="17">
        <v>19</v>
      </c>
      <c r="J278" t="s" s="17">
        <v>155</v>
      </c>
      <c r="K278" t="s" s="17">
        <v>16</v>
      </c>
      <c r="L278" s="15">
        <f>IF(O278,P278/O278,0)</f>
        <v>0.336</v>
      </c>
      <c r="M278" s="15">
        <v>0.336</v>
      </c>
      <c r="N278" s="15">
        <f>A278</f>
        <v>276</v>
      </c>
      <c r="O278" s="15">
        <v>5000</v>
      </c>
      <c r="P278" s="15">
        <v>1680</v>
      </c>
      <c r="Q278" s="16"/>
    </row>
    <row r="279" ht="20.05" customHeight="1">
      <c r="A279" s="13">
        <f>A278+1</f>
        <v>277</v>
      </c>
      <c r="B279" s="14">
        <v>2023</v>
      </c>
      <c r="C279" s="15">
        <v>8</v>
      </c>
      <c r="D279" s="15">
        <v>16</v>
      </c>
      <c r="E279" s="15">
        <v>898</v>
      </c>
      <c r="F279" t="s" s="17">
        <v>150</v>
      </c>
      <c r="G279" s="16"/>
      <c r="H279" t="s" s="17">
        <v>163</v>
      </c>
      <c r="I279" t="s" s="17">
        <v>19</v>
      </c>
      <c r="J279" t="s" s="17">
        <v>105</v>
      </c>
      <c r="K279" t="s" s="17">
        <v>41</v>
      </c>
      <c r="L279" s="15">
        <f>IF(O279,P279/O279,0)</f>
        <v>0.357333333333333</v>
      </c>
      <c r="M279" s="15">
        <v>0.357333333333333</v>
      </c>
      <c r="N279" s="15">
        <f>A279</f>
        <v>277</v>
      </c>
      <c r="O279" s="15">
        <v>750</v>
      </c>
      <c r="P279" s="15">
        <v>268</v>
      </c>
      <c r="Q279" s="16"/>
    </row>
    <row r="280" ht="20.05" customHeight="1">
      <c r="A280" s="13">
        <f>A279+1</f>
        <v>278</v>
      </c>
      <c r="B280" s="14">
        <v>2023</v>
      </c>
      <c r="C280" s="15">
        <v>8</v>
      </c>
      <c r="D280" s="15">
        <v>16</v>
      </c>
      <c r="E280" s="15">
        <v>950</v>
      </c>
      <c r="F280" t="s" s="17">
        <v>126</v>
      </c>
      <c r="G280" s="16"/>
      <c r="H280" t="s" s="17">
        <v>163</v>
      </c>
      <c r="I280" t="s" s="17">
        <v>127</v>
      </c>
      <c r="J280" t="s" s="17">
        <v>169</v>
      </c>
      <c r="K280" t="s" s="17">
        <v>23</v>
      </c>
      <c r="L280" s="15">
        <f>IF(O280,P280/O280,0)</f>
        <v>0.259</v>
      </c>
      <c r="M280" s="15">
        <v>0.259</v>
      </c>
      <c r="N280" s="15">
        <f>A280</f>
        <v>278</v>
      </c>
      <c r="O280" s="15">
        <v>300</v>
      </c>
      <c r="P280" s="15">
        <v>77.7</v>
      </c>
      <c r="Q280" s="16"/>
    </row>
    <row r="281" ht="20.05" customHeight="1">
      <c r="A281" s="13">
        <f>A280+1</f>
        <v>279</v>
      </c>
      <c r="B281" s="14">
        <v>2023</v>
      </c>
      <c r="C281" s="15">
        <v>8</v>
      </c>
      <c r="D281" s="15">
        <v>16</v>
      </c>
      <c r="E281" s="15">
        <v>950</v>
      </c>
      <c r="F281" t="s" s="17">
        <v>126</v>
      </c>
      <c r="G281" s="16"/>
      <c r="H281" t="s" s="17">
        <v>163</v>
      </c>
      <c r="I281" t="s" s="17">
        <v>127</v>
      </c>
      <c r="J281" t="s" s="17">
        <v>196</v>
      </c>
      <c r="K281" t="s" s="17">
        <v>41</v>
      </c>
      <c r="L281" s="15">
        <f>IF(O281,P281/O281,0)</f>
        <v>0.02153125</v>
      </c>
      <c r="M281" s="15">
        <v>0.02153125</v>
      </c>
      <c r="N281" s="15">
        <f>A281</f>
        <v>279</v>
      </c>
      <c r="O281" s="15">
        <v>3200</v>
      </c>
      <c r="P281" s="15">
        <v>68.90000000000001</v>
      </c>
      <c r="Q281" s="16"/>
    </row>
    <row r="282" ht="20.05" customHeight="1">
      <c r="A282" s="13">
        <f>A281+1</f>
        <v>280</v>
      </c>
      <c r="B282" s="14">
        <v>2023</v>
      </c>
      <c r="C282" s="15">
        <v>8</v>
      </c>
      <c r="D282" s="15">
        <v>16</v>
      </c>
      <c r="E282" s="15">
        <v>950</v>
      </c>
      <c r="F282" t="s" s="17">
        <v>126</v>
      </c>
      <c r="G282" s="16"/>
      <c r="H282" t="s" s="17">
        <v>163</v>
      </c>
      <c r="I282" t="s" s="17">
        <v>127</v>
      </c>
      <c r="J282" t="s" s="17">
        <v>220</v>
      </c>
      <c r="K282" t="s" s="17">
        <v>23</v>
      </c>
      <c r="L282" s="15">
        <f>IF(O282,P282/O282,0)</f>
        <v>2.58</v>
      </c>
      <c r="M282" s="15">
        <v>2.58</v>
      </c>
      <c r="N282" s="15">
        <f>A282</f>
        <v>280</v>
      </c>
      <c r="O282" s="15">
        <v>5</v>
      </c>
      <c r="P282" s="15">
        <v>12.9</v>
      </c>
      <c r="Q282" s="16"/>
    </row>
    <row r="283" ht="20.05" customHeight="1">
      <c r="A283" s="13">
        <f>A282+1</f>
        <v>281</v>
      </c>
      <c r="B283" s="14">
        <v>2023</v>
      </c>
      <c r="C283" s="15">
        <v>8</v>
      </c>
      <c r="D283" s="15">
        <v>16</v>
      </c>
      <c r="E283" s="15">
        <v>179909</v>
      </c>
      <c r="F283" t="s" s="17">
        <v>111</v>
      </c>
      <c r="G283" s="16"/>
      <c r="H283" t="s" s="17">
        <v>163</v>
      </c>
      <c r="I283" t="s" s="17">
        <v>19</v>
      </c>
      <c r="J283" t="s" s="17">
        <v>112</v>
      </c>
      <c r="K283" t="s" s="17">
        <v>41</v>
      </c>
      <c r="L283" s="15">
        <f>IF(O283,P283/O283,0)</f>
        <v>34.53</v>
      </c>
      <c r="M283" s="15">
        <v>34.53</v>
      </c>
      <c r="N283" s="15">
        <f>A283</f>
        <v>281</v>
      </c>
      <c r="O283" s="15">
        <v>10</v>
      </c>
      <c r="P283" s="15">
        <v>345.3</v>
      </c>
      <c r="Q283" s="16"/>
    </row>
    <row r="284" ht="20.05" customHeight="1">
      <c r="A284" s="13">
        <f>A283+1</f>
        <v>282</v>
      </c>
      <c r="B284" s="14">
        <v>2023</v>
      </c>
      <c r="C284" s="15">
        <v>8</v>
      </c>
      <c r="D284" s="15">
        <v>16</v>
      </c>
      <c r="E284" s="15">
        <v>179909</v>
      </c>
      <c r="F284" t="s" s="17">
        <v>111</v>
      </c>
      <c r="G284" s="16"/>
      <c r="H284" t="s" s="17">
        <v>163</v>
      </c>
      <c r="I284" t="s" s="17">
        <v>26</v>
      </c>
      <c r="J284" t="s" s="17">
        <v>113</v>
      </c>
      <c r="K284" t="s" s="17">
        <v>41</v>
      </c>
      <c r="L284" s="15">
        <f>IF(O284,P284/O284,0)</f>
        <v>0.02835</v>
      </c>
      <c r="M284" s="15">
        <v>0.02835</v>
      </c>
      <c r="N284" s="15">
        <f>A284</f>
        <v>282</v>
      </c>
      <c r="O284" s="15">
        <v>3000</v>
      </c>
      <c r="P284" s="15">
        <v>85.05</v>
      </c>
      <c r="Q284" s="16"/>
    </row>
    <row r="285" ht="20.05" customHeight="1">
      <c r="A285" s="13">
        <f>A284+1</f>
        <v>283</v>
      </c>
      <c r="B285" s="14">
        <v>2023</v>
      </c>
      <c r="C285" s="15">
        <v>8</v>
      </c>
      <c r="D285" s="15">
        <v>16</v>
      </c>
      <c r="E285" s="15">
        <v>179909</v>
      </c>
      <c r="F285" t="s" s="17">
        <v>111</v>
      </c>
      <c r="G285" s="16"/>
      <c r="H285" t="s" s="17">
        <v>163</v>
      </c>
      <c r="I285" t="s" s="17">
        <v>26</v>
      </c>
      <c r="J285" t="s" s="17">
        <v>134</v>
      </c>
      <c r="K285" t="s" s="17">
        <v>23</v>
      </c>
      <c r="L285" s="15">
        <f>IF(O285,P285/O285,0)</f>
        <v>32.58</v>
      </c>
      <c r="M285" s="15">
        <v>32.58</v>
      </c>
      <c r="N285" s="15">
        <f>A285</f>
        <v>283</v>
      </c>
      <c r="O285" s="15">
        <v>5</v>
      </c>
      <c r="P285" s="15">
        <v>162.9</v>
      </c>
      <c r="Q285" s="16"/>
    </row>
    <row r="286" ht="20.05" customHeight="1">
      <c r="A286" s="13">
        <f>A285+1</f>
        <v>284</v>
      </c>
      <c r="B286" s="14">
        <v>2023</v>
      </c>
      <c r="C286" s="15">
        <v>8</v>
      </c>
      <c r="D286" s="15">
        <v>16</v>
      </c>
      <c r="E286" s="15">
        <v>179909</v>
      </c>
      <c r="F286" t="s" s="17">
        <v>111</v>
      </c>
      <c r="G286" s="16"/>
      <c r="H286" t="s" s="17">
        <v>163</v>
      </c>
      <c r="I286" t="s" s="17">
        <v>26</v>
      </c>
      <c r="J286" t="s" s="17">
        <v>118</v>
      </c>
      <c r="K286" t="s" s="17">
        <v>23</v>
      </c>
      <c r="L286" s="15">
        <f>IF(O286,P286/O286,0)</f>
        <v>32.58</v>
      </c>
      <c r="M286" s="15">
        <v>32.58</v>
      </c>
      <c r="N286" s="15">
        <f>A286</f>
        <v>284</v>
      </c>
      <c r="O286" s="15">
        <v>5</v>
      </c>
      <c r="P286" s="15">
        <v>162.9</v>
      </c>
      <c r="Q286" s="16"/>
    </row>
    <row r="287" ht="20.05" customHeight="1">
      <c r="A287" s="13">
        <f>A286+1</f>
        <v>285</v>
      </c>
      <c r="B287" s="14">
        <v>2023</v>
      </c>
      <c r="C287" s="15">
        <v>8</v>
      </c>
      <c r="D287" s="15">
        <v>16</v>
      </c>
      <c r="E287" s="15">
        <v>33</v>
      </c>
      <c r="F287" t="s" s="17">
        <v>130</v>
      </c>
      <c r="G287" t="s" s="17">
        <v>193</v>
      </c>
      <c r="H287" t="s" s="17">
        <v>163</v>
      </c>
      <c r="I287" t="s" s="17">
        <v>14</v>
      </c>
      <c r="J287" t="s" s="17">
        <v>140</v>
      </c>
      <c r="K287" t="s" s="17">
        <v>23</v>
      </c>
      <c r="L287" s="15">
        <f>IF(O287,P287/O287,0)</f>
        <v>2.62333333333333</v>
      </c>
      <c r="M287" s="15">
        <v>2.62333333333333</v>
      </c>
      <c r="N287" s="15">
        <f>A287</f>
        <v>285</v>
      </c>
      <c r="O287" s="15">
        <v>30</v>
      </c>
      <c r="P287" s="15">
        <v>78.7</v>
      </c>
      <c r="Q287" s="16"/>
    </row>
    <row r="288" ht="20.35" customHeight="1">
      <c r="A288" s="13">
        <f>A287+1</f>
        <v>286</v>
      </c>
      <c r="B288" s="28">
        <v>2023</v>
      </c>
      <c r="C288" s="18">
        <v>8</v>
      </c>
      <c r="D288" s="18">
        <v>16</v>
      </c>
      <c r="E288" s="18">
        <v>49037</v>
      </c>
      <c r="F288" t="s" s="17">
        <v>122</v>
      </c>
      <c r="G288" t="s" s="29">
        <v>221</v>
      </c>
      <c r="H288" t="s" s="17">
        <v>163</v>
      </c>
      <c r="I288" t="s" s="29">
        <v>19</v>
      </c>
      <c r="J288" t="s" s="29">
        <v>139</v>
      </c>
      <c r="K288" t="s" s="17">
        <v>23</v>
      </c>
      <c r="L288" s="15">
        <f>IF(O288,P288/O288,0)</f>
        <v>3.4375</v>
      </c>
      <c r="M288" s="15">
        <v>3.4375</v>
      </c>
      <c r="N288" s="15">
        <f>A288</f>
        <v>286</v>
      </c>
      <c r="O288" s="15">
        <f t="shared" si="878" ref="O288:O479">5*24</f>
        <v>120</v>
      </c>
      <c r="P288" s="15">
        <v>412.5</v>
      </c>
      <c r="Q288" s="16"/>
    </row>
    <row r="289" ht="32.7" customHeight="1">
      <c r="A289" s="30">
        <f>A288+1</f>
        <v>287</v>
      </c>
      <c r="B289" s="31">
        <v>2023</v>
      </c>
      <c r="C289" s="31">
        <v>8</v>
      </c>
      <c r="D289" s="31">
        <v>16</v>
      </c>
      <c r="E289" s="31">
        <v>49037</v>
      </c>
      <c r="F289" t="s" s="32">
        <v>122</v>
      </c>
      <c r="G289" t="s" s="33">
        <v>222</v>
      </c>
      <c r="H289" t="s" s="32">
        <v>163</v>
      </c>
      <c r="I289" t="s" s="33">
        <v>127</v>
      </c>
      <c r="J289" t="s" s="33">
        <v>136</v>
      </c>
      <c r="K289" t="s" s="34">
        <v>23</v>
      </c>
      <c r="L289" s="15">
        <f>IF(O289,P289/O289,0)</f>
        <v>0.14504875</v>
      </c>
      <c r="M289" s="15">
        <v>0.14504875</v>
      </c>
      <c r="N289" s="15">
        <f>A289</f>
        <v>287</v>
      </c>
      <c r="O289" s="15">
        <f t="shared" si="882" ref="O289:O339">12*200</f>
        <v>2400</v>
      </c>
      <c r="P289" s="15">
        <v>348.117</v>
      </c>
      <c r="Q289" s="16"/>
    </row>
    <row r="290" ht="20.7" customHeight="1">
      <c r="A290" s="13">
        <f>A289+1</f>
        <v>288</v>
      </c>
      <c r="B290" s="35">
        <v>2023</v>
      </c>
      <c r="C290" s="22">
        <v>8</v>
      </c>
      <c r="D290" s="36">
        <v>16</v>
      </c>
      <c r="E290" s="31">
        <v>49037</v>
      </c>
      <c r="F290" t="s" s="32">
        <v>122</v>
      </c>
      <c r="G290" t="s" s="33">
        <v>222</v>
      </c>
      <c r="H290" t="s" s="32">
        <v>163</v>
      </c>
      <c r="I290" t="s" s="33">
        <v>127</v>
      </c>
      <c r="J290" t="s" s="37">
        <v>161</v>
      </c>
      <c r="K290" t="s" s="17">
        <v>23</v>
      </c>
      <c r="L290" s="15">
        <f>IF(O290,P290/O290,0)</f>
        <v>9.84541666666667</v>
      </c>
      <c r="M290" s="15">
        <v>9.84541666666667</v>
      </c>
      <c r="N290" s="15">
        <f>A290</f>
        <v>288</v>
      </c>
      <c r="O290" s="15">
        <v>24</v>
      </c>
      <c r="P290" s="15">
        <v>236.29</v>
      </c>
      <c r="Q290" s="16"/>
    </row>
    <row r="291" ht="20.35" customHeight="1">
      <c r="A291" s="13">
        <f>A290+1</f>
        <v>289</v>
      </c>
      <c r="B291" s="14">
        <v>2023</v>
      </c>
      <c r="C291" s="15">
        <v>8</v>
      </c>
      <c r="D291" s="15">
        <v>16</v>
      </c>
      <c r="E291" s="22">
        <v>109</v>
      </c>
      <c r="F291" t="s" s="17">
        <v>130</v>
      </c>
      <c r="G291" s="38"/>
      <c r="H291" t="s" s="17">
        <v>163</v>
      </c>
      <c r="I291" t="s" s="39">
        <v>19</v>
      </c>
      <c r="J291" t="s" s="17">
        <v>157</v>
      </c>
      <c r="K291" t="s" s="17">
        <v>16</v>
      </c>
      <c r="L291" s="15">
        <f>IF(O291,P291/O291,0)</f>
        <v>0.02495004995005</v>
      </c>
      <c r="M291" s="15">
        <v>0.02495004995005</v>
      </c>
      <c r="N291" s="15">
        <f>A291</f>
        <v>289</v>
      </c>
      <c r="O291" s="15">
        <v>2002</v>
      </c>
      <c r="P291" s="15">
        <v>49.95</v>
      </c>
      <c r="Q291" s="16"/>
    </row>
    <row r="292" ht="20.05" customHeight="1">
      <c r="A292" s="13">
        <f>A291+1</f>
        <v>290</v>
      </c>
      <c r="B292" s="14">
        <v>2023</v>
      </c>
      <c r="C292" s="15">
        <v>8</v>
      </c>
      <c r="D292" s="15">
        <v>16</v>
      </c>
      <c r="E292" s="15">
        <v>33</v>
      </c>
      <c r="F292" t="s" s="17">
        <v>130</v>
      </c>
      <c r="G292" s="16"/>
      <c r="H292" t="s" s="17">
        <v>163</v>
      </c>
      <c r="I292" t="s" s="17">
        <v>187</v>
      </c>
      <c r="J292" t="s" s="17">
        <v>188</v>
      </c>
      <c r="K292" t="s" s="17">
        <v>23</v>
      </c>
      <c r="L292" s="15">
        <f>IF(O292,P292/O292,0)</f>
        <v>3.91666666666667</v>
      </c>
      <c r="M292" s="15">
        <v>3.91666666666667</v>
      </c>
      <c r="N292" s="15">
        <f>A292</f>
        <v>290</v>
      </c>
      <c r="O292" s="15">
        <v>6</v>
      </c>
      <c r="P292" s="15">
        <v>23.5</v>
      </c>
      <c r="Q292" s="16"/>
    </row>
    <row r="293" ht="20.05" customHeight="1">
      <c r="A293" s="13">
        <f>A292+1</f>
        <v>291</v>
      </c>
      <c r="B293" s="14">
        <v>2023</v>
      </c>
      <c r="C293" s="15">
        <v>8</v>
      </c>
      <c r="D293" s="15">
        <v>16</v>
      </c>
      <c r="E293" s="15">
        <v>33</v>
      </c>
      <c r="F293" t="s" s="17">
        <v>130</v>
      </c>
      <c r="G293" s="16"/>
      <c r="H293" t="s" s="17">
        <v>163</v>
      </c>
      <c r="I293" t="s" s="17">
        <v>14</v>
      </c>
      <c r="J293" t="s" s="17">
        <v>124</v>
      </c>
      <c r="K293" t="s" s="17">
        <v>16</v>
      </c>
      <c r="L293" s="15">
        <f>IF(O293,P293/O293,0)</f>
        <v>0.14975</v>
      </c>
      <c r="M293" s="15">
        <v>0.14975</v>
      </c>
      <c r="N293" s="15">
        <f>A293</f>
        <v>291</v>
      </c>
      <c r="O293" s="15">
        <v>400</v>
      </c>
      <c r="P293" s="15">
        <v>59.9</v>
      </c>
      <c r="Q293" s="16"/>
    </row>
    <row r="294" ht="20.05" customHeight="1">
      <c r="A294" s="13">
        <f>A293+1</f>
        <v>292</v>
      </c>
      <c r="B294" s="14">
        <v>2023</v>
      </c>
      <c r="C294" s="15">
        <v>8</v>
      </c>
      <c r="D294" s="15">
        <v>17</v>
      </c>
      <c r="E294" s="16"/>
      <c r="F294" t="s" s="17">
        <v>177</v>
      </c>
      <c r="G294" t="s" s="17">
        <v>194</v>
      </c>
      <c r="H294" t="s" s="17">
        <v>163</v>
      </c>
      <c r="I294" t="s" s="17">
        <v>19</v>
      </c>
      <c r="J294" t="s" s="17">
        <v>131</v>
      </c>
      <c r="K294" t="s" s="17">
        <v>41</v>
      </c>
      <c r="L294" s="15">
        <f>IF(O294,P294/O294,0)</f>
        <v>0.0532</v>
      </c>
      <c r="M294" s="15">
        <v>0.0532</v>
      </c>
      <c r="N294" s="15">
        <f>A294</f>
        <v>292</v>
      </c>
      <c r="O294" s="15">
        <v>750</v>
      </c>
      <c r="P294" s="15">
        <v>39.9</v>
      </c>
      <c r="Q294" s="16"/>
    </row>
    <row r="295" ht="20.05" customHeight="1">
      <c r="A295" s="13">
        <f>A294+1</f>
        <v>293</v>
      </c>
      <c r="B295" s="14">
        <v>2023</v>
      </c>
      <c r="C295" s="15">
        <v>8</v>
      </c>
      <c r="D295" s="15">
        <v>17</v>
      </c>
      <c r="E295" s="16"/>
      <c r="F295" t="s" s="17">
        <v>177</v>
      </c>
      <c r="G295" s="16"/>
      <c r="H295" t="s" s="17">
        <v>163</v>
      </c>
      <c r="I295" t="s" s="17">
        <v>19</v>
      </c>
      <c r="J295" t="s" s="17">
        <v>157</v>
      </c>
      <c r="K295" t="s" s="17">
        <v>16</v>
      </c>
      <c r="L295" s="15">
        <f>IF(O295,P295/O295,0)</f>
        <v>0.0239</v>
      </c>
      <c r="M295" s="15">
        <v>0.0239</v>
      </c>
      <c r="N295" s="15">
        <f>A295</f>
        <v>293</v>
      </c>
      <c r="O295" s="15">
        <v>1000</v>
      </c>
      <c r="P295" s="15">
        <v>23.9</v>
      </c>
      <c r="Q295" s="16"/>
    </row>
    <row r="296" ht="20.05" customHeight="1">
      <c r="A296" s="13">
        <f>A295+1</f>
        <v>294</v>
      </c>
      <c r="B296" s="14">
        <v>2023</v>
      </c>
      <c r="C296" s="15">
        <v>8</v>
      </c>
      <c r="D296" s="15">
        <v>17</v>
      </c>
      <c r="E296" s="16"/>
      <c r="F296" t="s" s="17">
        <v>177</v>
      </c>
      <c r="G296" t="s" s="17">
        <v>15</v>
      </c>
      <c r="H296" t="s" s="17">
        <v>163</v>
      </c>
      <c r="I296" t="s" s="17">
        <v>14</v>
      </c>
      <c r="J296" t="s" s="17">
        <v>15</v>
      </c>
      <c r="K296" t="s" s="17">
        <v>16</v>
      </c>
      <c r="L296" s="15">
        <f>IF(O296,P296/O296,0)</f>
        <v>0.5738</v>
      </c>
      <c r="M296" s="15">
        <v>0.5738</v>
      </c>
      <c r="N296" s="15">
        <f>A296</f>
        <v>294</v>
      </c>
      <c r="O296" s="15">
        <v>100</v>
      </c>
      <c r="P296" s="15">
        <v>57.38</v>
      </c>
      <c r="Q296" s="16"/>
    </row>
    <row r="297" ht="20.05" customHeight="1">
      <c r="A297" s="13">
        <f>A296+1</f>
        <v>295</v>
      </c>
      <c r="B297" s="14">
        <v>2023</v>
      </c>
      <c r="C297" s="15">
        <v>8</v>
      </c>
      <c r="D297" s="15">
        <v>17</v>
      </c>
      <c r="E297" s="15">
        <v>2009</v>
      </c>
      <c r="F297" t="s" s="17">
        <v>145</v>
      </c>
      <c r="G297" s="16"/>
      <c r="H297" t="s" s="17">
        <v>163</v>
      </c>
      <c r="I297" t="s" s="17">
        <v>17</v>
      </c>
      <c r="J297" t="s" s="17">
        <v>48</v>
      </c>
      <c r="K297" t="s" s="17">
        <v>16</v>
      </c>
      <c r="L297" s="15">
        <f>IF(O297,P297/O297,0)</f>
        <v>0.272666666666667</v>
      </c>
      <c r="M297" s="15">
        <v>0.272666666666667</v>
      </c>
      <c r="N297" s="15">
        <f>A297</f>
        <v>295</v>
      </c>
      <c r="O297" s="15">
        <f t="shared" si="907" ref="O297:O523">17*150</f>
        <v>2550</v>
      </c>
      <c r="P297" s="15">
        <v>695.3</v>
      </c>
      <c r="Q297" s="16"/>
    </row>
    <row r="298" ht="20.35" customHeight="1">
      <c r="A298" s="13">
        <f>A297+1</f>
        <v>296</v>
      </c>
      <c r="B298" s="14">
        <v>2023</v>
      </c>
      <c r="C298" s="15">
        <v>8</v>
      </c>
      <c r="D298" s="15">
        <v>17</v>
      </c>
      <c r="E298" s="15">
        <v>2009</v>
      </c>
      <c r="F298" t="s" s="17">
        <v>145</v>
      </c>
      <c r="G298" s="16"/>
      <c r="H298" t="s" s="17">
        <v>163</v>
      </c>
      <c r="I298" t="s" s="17">
        <v>17</v>
      </c>
      <c r="J298" t="s" s="17">
        <v>146</v>
      </c>
      <c r="K298" t="s" s="17">
        <v>16</v>
      </c>
      <c r="L298" s="15">
        <f>IF(O298,P298/O298,0)</f>
        <v>0.484</v>
      </c>
      <c r="M298" s="15">
        <v>0.484</v>
      </c>
      <c r="N298" s="15">
        <f>A298</f>
        <v>296</v>
      </c>
      <c r="O298" s="15">
        <f t="shared" si="387"/>
        <v>1200</v>
      </c>
      <c r="P298" s="18">
        <v>580.8</v>
      </c>
      <c r="Q298" s="16"/>
    </row>
    <row r="299" ht="20.7" customHeight="1">
      <c r="A299" s="13">
        <f>A298+1</f>
        <v>297</v>
      </c>
      <c r="B299" s="14">
        <v>2023</v>
      </c>
      <c r="C299" s="15">
        <v>8</v>
      </c>
      <c r="D299" s="15">
        <v>17</v>
      </c>
      <c r="E299" s="15">
        <v>13886</v>
      </c>
      <c r="F299" t="s" s="17">
        <v>122</v>
      </c>
      <c r="G299" t="s" s="17">
        <v>175</v>
      </c>
      <c r="H299" t="s" s="17">
        <v>163</v>
      </c>
      <c r="I299" t="s" s="17">
        <v>17</v>
      </c>
      <c r="J299" t="s" s="17">
        <v>55</v>
      </c>
      <c r="K299" t="s" s="17">
        <v>16</v>
      </c>
      <c r="L299" s="15">
        <f>IF(O299,P299/O299,0)</f>
        <v>0.377142857142857</v>
      </c>
      <c r="M299" s="15">
        <v>0.377142857142857</v>
      </c>
      <c r="N299" s="15">
        <f>A299</f>
        <v>297</v>
      </c>
      <c r="O299" s="19">
        <f>350*5</f>
        <v>1750</v>
      </c>
      <c r="P299" s="27">
        <v>660</v>
      </c>
      <c r="Q299" s="21"/>
    </row>
    <row r="300" ht="20.7" customHeight="1">
      <c r="A300" s="13">
        <f>A299+1</f>
        <v>298</v>
      </c>
      <c r="B300" s="14">
        <v>2023</v>
      </c>
      <c r="C300" s="15">
        <v>8</v>
      </c>
      <c r="D300" s="15">
        <v>17</v>
      </c>
      <c r="E300" s="15">
        <v>13886</v>
      </c>
      <c r="F300" t="s" s="17">
        <v>122</v>
      </c>
      <c r="G300" s="16"/>
      <c r="H300" t="s" s="17">
        <v>163</v>
      </c>
      <c r="I300" t="s" s="17">
        <v>14</v>
      </c>
      <c r="J300" t="s" s="17">
        <v>140</v>
      </c>
      <c r="K300" t="s" s="17">
        <v>23</v>
      </c>
      <c r="L300" s="15">
        <f>IF(O300,P300/O300,0)</f>
        <v>2.86666666666667</v>
      </c>
      <c r="M300" s="15">
        <v>2.86666666666667</v>
      </c>
      <c r="N300" s="15">
        <f>A300</f>
        <v>298</v>
      </c>
      <c r="O300" s="19">
        <f>30*4</f>
        <v>120</v>
      </c>
      <c r="P300" s="27">
        <v>344</v>
      </c>
      <c r="Q300" s="21"/>
    </row>
    <row r="301" ht="20.7" customHeight="1">
      <c r="A301" s="13">
        <f>A300+1</f>
        <v>299</v>
      </c>
      <c r="B301" s="14">
        <v>2023</v>
      </c>
      <c r="C301" s="15">
        <v>8</v>
      </c>
      <c r="D301" s="15">
        <v>17</v>
      </c>
      <c r="E301" s="15">
        <v>13886</v>
      </c>
      <c r="F301" t="s" s="17">
        <v>122</v>
      </c>
      <c r="G301" t="s" s="17">
        <v>175</v>
      </c>
      <c r="H301" t="s" s="17">
        <v>163</v>
      </c>
      <c r="I301" t="s" s="17">
        <v>14</v>
      </c>
      <c r="J301" t="s" s="17">
        <v>124</v>
      </c>
      <c r="K301" t="s" s="17">
        <v>16</v>
      </c>
      <c r="L301" s="15">
        <f>IF(O301,P301/O301,0)</f>
        <v>0.106</v>
      </c>
      <c r="M301" s="15">
        <v>0.106</v>
      </c>
      <c r="N301" s="15">
        <f>A301</f>
        <v>299</v>
      </c>
      <c r="O301" s="19">
        <f>2750*2</f>
        <v>5500</v>
      </c>
      <c r="P301" s="27">
        <v>583</v>
      </c>
      <c r="Q301" s="21"/>
    </row>
    <row r="302" ht="20.7" customHeight="1">
      <c r="A302" s="13">
        <f>A301+1</f>
        <v>300</v>
      </c>
      <c r="B302" s="14">
        <v>2023</v>
      </c>
      <c r="C302" s="15">
        <v>8</v>
      </c>
      <c r="D302" s="15">
        <v>17</v>
      </c>
      <c r="E302" s="15">
        <v>13886</v>
      </c>
      <c r="F302" t="s" s="17">
        <v>122</v>
      </c>
      <c r="G302" t="s" s="17">
        <v>173</v>
      </c>
      <c r="H302" t="s" s="17">
        <v>163</v>
      </c>
      <c r="I302" t="s" s="17">
        <v>14</v>
      </c>
      <c r="J302" t="s" s="17">
        <v>147</v>
      </c>
      <c r="K302" t="s" s="17">
        <v>16</v>
      </c>
      <c r="L302" s="15">
        <f>IF(O302,P302/O302,0)</f>
        <v>0.015</v>
      </c>
      <c r="M302" s="15">
        <v>0.015</v>
      </c>
      <c r="N302" s="15">
        <f>A302</f>
        <v>300</v>
      </c>
      <c r="O302" s="19">
        <f t="shared" si="927" ref="O302:O342">1000*10</f>
        <v>10000</v>
      </c>
      <c r="P302" s="27">
        <v>150</v>
      </c>
      <c r="Q302" s="21"/>
    </row>
    <row r="303" ht="20.35" customHeight="1">
      <c r="A303" s="13">
        <f>A302+1</f>
        <v>301</v>
      </c>
      <c r="B303" s="14">
        <v>2023</v>
      </c>
      <c r="C303" s="15">
        <v>8</v>
      </c>
      <c r="D303" s="15">
        <v>17</v>
      </c>
      <c r="E303" s="15">
        <v>180064</v>
      </c>
      <c r="F303" t="s" s="17">
        <v>111</v>
      </c>
      <c r="G303" t="s" s="17">
        <v>223</v>
      </c>
      <c r="H303" t="s" s="17">
        <v>163</v>
      </c>
      <c r="I303" t="s" s="17">
        <v>17</v>
      </c>
      <c r="J303" t="s" s="17">
        <v>114</v>
      </c>
      <c r="K303" t="s" s="17">
        <v>16</v>
      </c>
      <c r="L303" s="15">
        <f>IF(O303,P303/O303,0)</f>
        <v>0.36868</v>
      </c>
      <c r="M303" s="15">
        <v>0.36868</v>
      </c>
      <c r="N303" s="15">
        <f>A303</f>
        <v>301</v>
      </c>
      <c r="O303" s="15">
        <f>500*2</f>
        <v>1000</v>
      </c>
      <c r="P303" s="22">
        <v>368.68</v>
      </c>
      <c r="Q303" s="16"/>
    </row>
    <row r="304" ht="20.05" customHeight="1">
      <c r="A304" s="13">
        <f>A303+1</f>
        <v>302</v>
      </c>
      <c r="B304" s="14">
        <v>2023</v>
      </c>
      <c r="C304" s="15">
        <v>8</v>
      </c>
      <c r="D304" s="15">
        <v>17</v>
      </c>
      <c r="E304" s="15">
        <v>180064</v>
      </c>
      <c r="F304" t="s" s="17">
        <v>111</v>
      </c>
      <c r="G304" t="s" s="17">
        <v>224</v>
      </c>
      <c r="H304" t="s" s="17">
        <v>163</v>
      </c>
      <c r="I304" t="s" s="17">
        <v>14</v>
      </c>
      <c r="J304" t="s" s="17">
        <v>133</v>
      </c>
      <c r="K304" t="s" s="17">
        <v>16</v>
      </c>
      <c r="L304" s="15">
        <f>IF(O304,P304/O304,0)</f>
        <v>0.149504</v>
      </c>
      <c r="M304" s="15">
        <v>0.149504</v>
      </c>
      <c r="N304" s="15">
        <f>A304</f>
        <v>302</v>
      </c>
      <c r="O304" s="15">
        <v>2500</v>
      </c>
      <c r="P304" s="15">
        <v>373.76</v>
      </c>
      <c r="Q304" s="16"/>
    </row>
    <row r="305" ht="20.05" customHeight="1">
      <c r="A305" s="13">
        <f>A304+1</f>
        <v>303</v>
      </c>
      <c r="B305" s="14">
        <v>2023</v>
      </c>
      <c r="C305" s="15">
        <v>8</v>
      </c>
      <c r="D305" s="15">
        <v>17</v>
      </c>
      <c r="E305" s="15">
        <v>23</v>
      </c>
      <c r="F305" t="s" s="17">
        <v>130</v>
      </c>
      <c r="G305" s="16"/>
      <c r="H305" t="s" s="17">
        <v>163</v>
      </c>
      <c r="I305" t="s" s="17">
        <v>17</v>
      </c>
      <c r="J305" t="s" s="17">
        <v>156</v>
      </c>
      <c r="K305" t="s" s="17">
        <v>16</v>
      </c>
      <c r="L305" s="15">
        <f>IF(O305,P305/O305,0)</f>
        <v>0.094875</v>
      </c>
      <c r="M305" s="15">
        <v>0.094875</v>
      </c>
      <c r="N305" s="15">
        <f>A305</f>
        <v>303</v>
      </c>
      <c r="O305" s="15">
        <v>400</v>
      </c>
      <c r="P305" s="15">
        <v>37.95</v>
      </c>
      <c r="Q305" s="16"/>
    </row>
    <row r="306" ht="20.05" customHeight="1">
      <c r="A306" s="13">
        <f>A305+1</f>
        <v>304</v>
      </c>
      <c r="B306" s="14">
        <v>2023</v>
      </c>
      <c r="C306" s="15">
        <v>8</v>
      </c>
      <c r="D306" s="15">
        <v>17</v>
      </c>
      <c r="E306" s="15">
        <v>22</v>
      </c>
      <c r="F306" t="s" s="17">
        <v>225</v>
      </c>
      <c r="G306" s="16"/>
      <c r="H306" t="s" s="17">
        <v>163</v>
      </c>
      <c r="I306" t="s" s="17">
        <v>199</v>
      </c>
      <c r="J306" t="s" s="17">
        <v>226</v>
      </c>
      <c r="K306" t="s" s="17">
        <v>23</v>
      </c>
      <c r="L306" s="15">
        <f>IF(O306,P306/O306,0)</f>
        <v>17.5</v>
      </c>
      <c r="M306" s="15">
        <v>17.5</v>
      </c>
      <c r="N306" s="15">
        <f>A306</f>
        <v>304</v>
      </c>
      <c r="O306" s="15">
        <v>1</v>
      </c>
      <c r="P306" s="15">
        <v>17.5</v>
      </c>
      <c r="Q306" s="16"/>
    </row>
    <row r="307" ht="20.05" customHeight="1">
      <c r="A307" s="13">
        <f>A306+1</f>
        <v>305</v>
      </c>
      <c r="B307" s="14">
        <v>2023</v>
      </c>
      <c r="C307" s="15">
        <v>8</v>
      </c>
      <c r="D307" s="15">
        <v>17</v>
      </c>
      <c r="E307" s="15">
        <v>22</v>
      </c>
      <c r="F307" t="s" s="17">
        <v>225</v>
      </c>
      <c r="G307" s="16"/>
      <c r="H307" t="s" s="17">
        <v>163</v>
      </c>
      <c r="I307" t="s" s="17">
        <v>199</v>
      </c>
      <c r="J307" t="s" s="17">
        <v>185</v>
      </c>
      <c r="K307" t="s" s="17">
        <v>23</v>
      </c>
      <c r="L307" s="15">
        <f>IF(O307,P307/O307,0)</f>
        <v>270</v>
      </c>
      <c r="M307" s="15">
        <v>270</v>
      </c>
      <c r="N307" s="15">
        <f>A307</f>
        <v>305</v>
      </c>
      <c r="O307" s="15">
        <v>1</v>
      </c>
      <c r="P307" s="15">
        <v>270</v>
      </c>
      <c r="Q307" t="s" s="17">
        <v>227</v>
      </c>
    </row>
    <row r="308" ht="20.05" customHeight="1">
      <c r="A308" s="13">
        <f>A307+1</f>
        <v>306</v>
      </c>
      <c r="B308" s="14">
        <v>2023</v>
      </c>
      <c r="C308" s="15">
        <v>8</v>
      </c>
      <c r="D308" s="15">
        <v>17</v>
      </c>
      <c r="E308" s="15">
        <v>22</v>
      </c>
      <c r="F308" t="s" s="17">
        <v>225</v>
      </c>
      <c r="G308" s="16"/>
      <c r="H308" t="s" s="17">
        <v>163</v>
      </c>
      <c r="I308" t="s" s="17">
        <v>199</v>
      </c>
      <c r="J308" t="s" s="17">
        <v>185</v>
      </c>
      <c r="K308" t="s" s="17">
        <v>23</v>
      </c>
      <c r="L308" s="15">
        <f>IF(O308,P308/O308,0)</f>
        <v>1</v>
      </c>
      <c r="M308" s="15">
        <v>1</v>
      </c>
      <c r="N308" s="15">
        <f>A308</f>
        <v>306</v>
      </c>
      <c r="O308" s="15">
        <v>1</v>
      </c>
      <c r="P308" s="15">
        <v>1</v>
      </c>
      <c r="Q308" s="16"/>
    </row>
    <row r="309" ht="32.05" customHeight="1">
      <c r="A309" s="13">
        <f>A308+1</f>
        <v>307</v>
      </c>
      <c r="B309" s="14">
        <v>2023</v>
      </c>
      <c r="C309" s="15">
        <v>8</v>
      </c>
      <c r="D309" s="15">
        <v>17</v>
      </c>
      <c r="E309" s="15">
        <v>96</v>
      </c>
      <c r="F309" t="s" s="17">
        <v>130</v>
      </c>
      <c r="G309" s="16"/>
      <c r="H309" t="s" s="17">
        <v>163</v>
      </c>
      <c r="I309" t="s" s="17">
        <v>127</v>
      </c>
      <c r="J309" t="s" s="17">
        <v>137</v>
      </c>
      <c r="K309" t="s" s="17">
        <v>41</v>
      </c>
      <c r="L309" s="15">
        <f>IF(O309,P309/O309,0)</f>
        <v>0.01596</v>
      </c>
      <c r="M309" s="15">
        <v>0.01596</v>
      </c>
      <c r="N309" s="15">
        <f>A309</f>
        <v>307</v>
      </c>
      <c r="O309" s="15">
        <v>2500</v>
      </c>
      <c r="P309" s="15">
        <v>39.9</v>
      </c>
      <c r="Q309" s="16"/>
    </row>
    <row r="310" ht="20.05" customHeight="1">
      <c r="A310" s="13">
        <f>A309+1</f>
        <v>308</v>
      </c>
      <c r="B310" s="14">
        <v>2023</v>
      </c>
      <c r="C310" s="15">
        <v>8</v>
      </c>
      <c r="D310" s="15">
        <v>17</v>
      </c>
      <c r="E310" s="15">
        <v>7737</v>
      </c>
      <c r="F310" t="s" s="17">
        <v>111</v>
      </c>
      <c r="G310" t="s" s="17">
        <v>223</v>
      </c>
      <c r="H310" t="s" s="17">
        <v>163</v>
      </c>
      <c r="I310" t="s" s="17">
        <v>17</v>
      </c>
      <c r="J310" t="s" s="17">
        <v>114</v>
      </c>
      <c r="K310" t="s" s="17">
        <v>16</v>
      </c>
      <c r="L310" s="15">
        <f>IF(O310,P310/O310,0)</f>
        <v>0.36868</v>
      </c>
      <c r="M310" s="15">
        <v>0.36868</v>
      </c>
      <c r="N310" s="15">
        <f>A310</f>
        <v>308</v>
      </c>
      <c r="O310" s="15">
        <f t="shared" si="953" ref="O310:O789">2*500</f>
        <v>1000</v>
      </c>
      <c r="P310" s="15">
        <f>2*184.34</f>
        <v>368.68</v>
      </c>
      <c r="Q310" s="16"/>
    </row>
    <row r="311" ht="20.05" customHeight="1">
      <c r="A311" s="13">
        <f>A310+1</f>
        <v>309</v>
      </c>
      <c r="B311" s="14">
        <v>2023</v>
      </c>
      <c r="C311" s="15">
        <v>8</v>
      </c>
      <c r="D311" s="15">
        <v>17</v>
      </c>
      <c r="E311" s="15">
        <v>7737</v>
      </c>
      <c r="F311" t="s" s="17">
        <v>111</v>
      </c>
      <c r="G311" t="s" s="17">
        <v>228</v>
      </c>
      <c r="H311" t="s" s="17">
        <v>163</v>
      </c>
      <c r="I311" t="s" s="17">
        <v>14</v>
      </c>
      <c r="J311" t="s" s="17">
        <v>133</v>
      </c>
      <c r="K311" t="s" s="17">
        <v>16</v>
      </c>
      <c r="L311" s="15">
        <f>IF(O311,P311/O311,0)</f>
        <v>0.149504</v>
      </c>
      <c r="M311" s="15">
        <v>0.149504</v>
      </c>
      <c r="N311" s="15">
        <f>A311</f>
        <v>309</v>
      </c>
      <c r="O311" s="15">
        <v>2500</v>
      </c>
      <c r="P311" s="15">
        <v>373.76</v>
      </c>
      <c r="Q311" s="16"/>
    </row>
    <row r="312" ht="20.05" customHeight="1">
      <c r="A312" s="13">
        <f>A311+1</f>
        <v>310</v>
      </c>
      <c r="B312" s="14">
        <v>2023</v>
      </c>
      <c r="C312" s="15">
        <v>8</v>
      </c>
      <c r="D312" s="15">
        <v>18</v>
      </c>
      <c r="E312" s="15">
        <v>25</v>
      </c>
      <c r="F312" t="s" s="17">
        <v>130</v>
      </c>
      <c r="G312" s="16"/>
      <c r="H312" t="s" s="17">
        <v>163</v>
      </c>
      <c r="I312" t="s" s="17">
        <v>19</v>
      </c>
      <c r="J312" t="s" s="17">
        <v>157</v>
      </c>
      <c r="K312" t="s" s="17">
        <v>16</v>
      </c>
      <c r="L312" s="15">
        <f>IF(O312,P312/O312,0)</f>
        <v>0.0249489795918367</v>
      </c>
      <c r="M312" s="15">
        <v>0.0249489795918367</v>
      </c>
      <c r="N312" s="15">
        <f>A312</f>
        <v>310</v>
      </c>
      <c r="O312" s="15">
        <v>980</v>
      </c>
      <c r="P312" s="15">
        <v>24.45</v>
      </c>
      <c r="Q312" s="16"/>
    </row>
    <row r="313" ht="20.05" customHeight="1">
      <c r="A313" s="13">
        <f>A312+1</f>
        <v>311</v>
      </c>
      <c r="B313" s="14">
        <v>2023</v>
      </c>
      <c r="C313" s="15">
        <v>8</v>
      </c>
      <c r="D313" s="15">
        <v>18</v>
      </c>
      <c r="E313" s="15">
        <v>141</v>
      </c>
      <c r="F313" t="s" s="17">
        <v>130</v>
      </c>
      <c r="G313" s="16"/>
      <c r="H313" t="s" s="17">
        <v>163</v>
      </c>
      <c r="I313" t="s" s="17">
        <v>14</v>
      </c>
      <c r="J313" t="s" s="17">
        <v>119</v>
      </c>
      <c r="K313" t="s" s="17">
        <v>16</v>
      </c>
      <c r="L313" s="15">
        <f>IF(O313,P313/O313,0)</f>
        <v>0.07633587786259539</v>
      </c>
      <c r="M313" s="15">
        <v>0.07633587786259539</v>
      </c>
      <c r="N313" s="15">
        <f>A313</f>
        <v>311</v>
      </c>
      <c r="O313" s="15">
        <f>131*3</f>
        <v>393</v>
      </c>
      <c r="P313" s="15">
        <v>30</v>
      </c>
      <c r="Q313" s="16"/>
    </row>
    <row r="314" ht="20.05" customHeight="1">
      <c r="A314" s="13">
        <f>A313+1</f>
        <v>312</v>
      </c>
      <c r="B314" s="14">
        <v>2023</v>
      </c>
      <c r="C314" s="15">
        <v>8</v>
      </c>
      <c r="D314" s="15">
        <v>18</v>
      </c>
      <c r="E314" s="15">
        <v>141</v>
      </c>
      <c r="F314" t="s" s="17">
        <v>130</v>
      </c>
      <c r="G314" s="16"/>
      <c r="H314" t="s" s="17">
        <v>163</v>
      </c>
      <c r="I314" t="s" s="17">
        <v>17</v>
      </c>
      <c r="J314" t="s" s="17">
        <v>156</v>
      </c>
      <c r="K314" t="s" s="17">
        <v>16</v>
      </c>
      <c r="L314" s="15">
        <f>IF(O314,P314/O314,0)</f>
        <v>0.094875</v>
      </c>
      <c r="M314" s="15">
        <v>0.094875</v>
      </c>
      <c r="N314" s="15">
        <f>A314</f>
        <v>312</v>
      </c>
      <c r="O314" s="15">
        <v>400</v>
      </c>
      <c r="P314" s="15">
        <v>37.95</v>
      </c>
      <c r="Q314" s="16"/>
    </row>
    <row r="315" ht="20.05" customHeight="1">
      <c r="A315" s="13">
        <f>A314+1</f>
        <v>313</v>
      </c>
      <c r="B315" s="14">
        <v>2023</v>
      </c>
      <c r="C315" s="15">
        <v>8</v>
      </c>
      <c r="D315" s="15">
        <v>18</v>
      </c>
      <c r="E315" s="15">
        <v>141</v>
      </c>
      <c r="F315" t="s" s="17">
        <v>130</v>
      </c>
      <c r="G315" s="16"/>
      <c r="H315" t="s" s="17">
        <v>163</v>
      </c>
      <c r="I315" t="s" s="17">
        <v>14</v>
      </c>
      <c r="J315" t="s" s="17">
        <v>18</v>
      </c>
      <c r="K315" t="s" s="17">
        <v>16</v>
      </c>
      <c r="L315" s="15">
        <f>IF(O315,P315/O315,0)</f>
        <v>0.146166666666667</v>
      </c>
      <c r="M315" s="15">
        <v>0.146166666666667</v>
      </c>
      <c r="N315" s="15">
        <f>A315</f>
        <v>313</v>
      </c>
      <c r="O315" s="15">
        <f>3*300</f>
        <v>900</v>
      </c>
      <c r="P315" s="15">
        <f>43.85*3</f>
        <v>131.55</v>
      </c>
      <c r="Q315" s="16"/>
    </row>
    <row r="316" ht="20.05" customHeight="1">
      <c r="A316" s="13">
        <f>A315+1</f>
        <v>314</v>
      </c>
      <c r="B316" s="14">
        <v>2023</v>
      </c>
      <c r="C316" s="15">
        <v>8</v>
      </c>
      <c r="D316" s="15">
        <v>19</v>
      </c>
      <c r="E316" s="15">
        <v>17</v>
      </c>
      <c r="F316" t="s" s="17">
        <v>130</v>
      </c>
      <c r="G316" s="16"/>
      <c r="H316" t="s" s="17">
        <v>163</v>
      </c>
      <c r="I316" t="s" s="17">
        <v>14</v>
      </c>
      <c r="J316" t="s" s="17">
        <v>21</v>
      </c>
      <c r="K316" t="s" s="17">
        <v>16</v>
      </c>
      <c r="L316" s="15">
        <f>IF(O316,P316/O316,0)</f>
        <v>0.0399548872180451</v>
      </c>
      <c r="M316" s="15">
        <v>0.0399548872180451</v>
      </c>
      <c r="N316" s="15">
        <f>A316</f>
        <v>314</v>
      </c>
      <c r="O316" s="15">
        <v>665</v>
      </c>
      <c r="P316" s="15">
        <v>26.57</v>
      </c>
      <c r="Q316" s="16"/>
    </row>
    <row r="317" ht="20.05" customHeight="1">
      <c r="A317" s="13">
        <f>A316+1</f>
        <v>315</v>
      </c>
      <c r="B317" s="14">
        <v>2023</v>
      </c>
      <c r="C317" s="15">
        <v>8</v>
      </c>
      <c r="D317" s="15">
        <v>19</v>
      </c>
      <c r="E317" s="15">
        <v>17</v>
      </c>
      <c r="F317" t="s" s="17">
        <v>130</v>
      </c>
      <c r="G317" s="16"/>
      <c r="H317" t="s" s="17">
        <v>163</v>
      </c>
      <c r="I317" t="s" s="17">
        <v>19</v>
      </c>
      <c r="J317" t="s" s="17">
        <v>157</v>
      </c>
      <c r="K317" t="s" s="17">
        <v>16</v>
      </c>
      <c r="L317" s="15">
        <f>IF(O317,P317/O317,0)</f>
        <v>0.0249495548961424</v>
      </c>
      <c r="M317" s="15">
        <v>0.0249495548961424</v>
      </c>
      <c r="N317" s="15">
        <f>A317</f>
        <v>315</v>
      </c>
      <c r="O317" s="15">
        <v>1685</v>
      </c>
      <c r="P317" s="15">
        <v>42.04</v>
      </c>
      <c r="Q317" s="16"/>
    </row>
    <row r="318" ht="20.05" customHeight="1">
      <c r="A318" s="13">
        <f>A317+1</f>
        <v>316</v>
      </c>
      <c r="B318" s="14">
        <v>2023</v>
      </c>
      <c r="C318" s="15">
        <v>8</v>
      </c>
      <c r="D318" s="15">
        <v>19</v>
      </c>
      <c r="E318" s="15">
        <v>21</v>
      </c>
      <c r="F318" t="s" s="17">
        <v>130</v>
      </c>
      <c r="G318" s="16"/>
      <c r="H318" t="s" s="17">
        <v>163</v>
      </c>
      <c r="I318" t="s" s="17">
        <v>14</v>
      </c>
      <c r="J318" t="s" s="17">
        <v>15</v>
      </c>
      <c r="K318" t="s" s="17">
        <v>16</v>
      </c>
      <c r="L318" s="15">
        <f>IF(O318,P318/O318,0)</f>
        <v>0.765</v>
      </c>
      <c r="M318" s="15">
        <v>0.765</v>
      </c>
      <c r="N318" s="15">
        <f>A318</f>
        <v>316</v>
      </c>
      <c r="O318" s="15">
        <f t="shared" si="819"/>
        <v>200</v>
      </c>
      <c r="P318" s="15">
        <f>76.5*2</f>
        <v>153</v>
      </c>
      <c r="Q318" s="16"/>
    </row>
    <row r="319" ht="20.05" customHeight="1">
      <c r="A319" s="13">
        <f>A318+1</f>
        <v>317</v>
      </c>
      <c r="B319" s="14">
        <v>2023</v>
      </c>
      <c r="C319" s="15">
        <v>8</v>
      </c>
      <c r="D319" s="15">
        <v>19</v>
      </c>
      <c r="E319" s="15">
        <v>96550</v>
      </c>
      <c r="F319" t="s" s="17">
        <v>141</v>
      </c>
      <c r="G319" s="16"/>
      <c r="H319" t="s" s="17">
        <v>163</v>
      </c>
      <c r="I319" t="s" s="17">
        <v>19</v>
      </c>
      <c r="J319" t="s" s="17">
        <v>158</v>
      </c>
      <c r="K319" t="s" s="17">
        <v>23</v>
      </c>
      <c r="L319" s="15">
        <f>IF(O319,P319/O319,0)</f>
        <v>12.5925</v>
      </c>
      <c r="M319" s="15">
        <v>12.5925</v>
      </c>
      <c r="N319" s="15">
        <f>A319</f>
        <v>317</v>
      </c>
      <c r="O319" s="15">
        <v>24</v>
      </c>
      <c r="P319" s="15">
        <v>302.22</v>
      </c>
      <c r="Q319" s="16"/>
    </row>
    <row r="320" ht="20.05" customHeight="1">
      <c r="A320" s="13">
        <f>A319+1</f>
        <v>318</v>
      </c>
      <c r="B320" s="14">
        <v>2023</v>
      </c>
      <c r="C320" s="15">
        <v>8</v>
      </c>
      <c r="D320" s="15">
        <v>19</v>
      </c>
      <c r="E320" s="15">
        <v>96550</v>
      </c>
      <c r="F320" t="s" s="17">
        <v>141</v>
      </c>
      <c r="G320" s="16"/>
      <c r="H320" t="s" s="17">
        <v>163</v>
      </c>
      <c r="I320" t="s" s="17">
        <v>19</v>
      </c>
      <c r="J320" t="s" s="17">
        <v>144</v>
      </c>
      <c r="K320" t="s" s="17">
        <v>23</v>
      </c>
      <c r="L320" s="15">
        <f>IF(O320,P320/O320,0)</f>
        <v>12.5925</v>
      </c>
      <c r="M320" s="15">
        <v>12.5925</v>
      </c>
      <c r="N320" s="15">
        <f>A320</f>
        <v>318</v>
      </c>
      <c r="O320" s="15">
        <v>24</v>
      </c>
      <c r="P320" s="15">
        <v>302.22</v>
      </c>
      <c r="Q320" s="16"/>
    </row>
    <row r="321" ht="20.05" customHeight="1">
      <c r="A321" s="13">
        <f>A320+1</f>
        <v>319</v>
      </c>
      <c r="B321" s="14">
        <v>2023</v>
      </c>
      <c r="C321" s="15">
        <v>8</v>
      </c>
      <c r="D321" s="15">
        <v>19</v>
      </c>
      <c r="E321" s="15">
        <v>96550</v>
      </c>
      <c r="F321" t="s" s="17">
        <v>141</v>
      </c>
      <c r="G321" s="16"/>
      <c r="H321" t="s" s="17">
        <v>163</v>
      </c>
      <c r="I321" t="s" s="17">
        <v>19</v>
      </c>
      <c r="J321" t="s" s="17">
        <v>159</v>
      </c>
      <c r="K321" t="s" s="17">
        <v>23</v>
      </c>
      <c r="L321" s="15">
        <f>IF(O321,P321/O321,0)</f>
        <v>2.45545833333333</v>
      </c>
      <c r="M321" s="15">
        <v>2.45545833333333</v>
      </c>
      <c r="N321" s="15">
        <f>A321</f>
        <v>319</v>
      </c>
      <c r="O321" s="15">
        <v>240</v>
      </c>
      <c r="P321" s="15">
        <v>589.3099999999999</v>
      </c>
      <c r="Q321" s="16"/>
    </row>
    <row r="322" ht="20.05" customHeight="1">
      <c r="A322" s="13">
        <f>A321+1</f>
        <v>320</v>
      </c>
      <c r="B322" s="14">
        <v>2023</v>
      </c>
      <c r="C322" s="15">
        <v>8</v>
      </c>
      <c r="D322" s="15">
        <v>19</v>
      </c>
      <c r="E322" s="15">
        <v>170</v>
      </c>
      <c r="F322" t="s" s="17">
        <v>130</v>
      </c>
      <c r="G322" s="16"/>
      <c r="H322" t="s" s="17">
        <v>163</v>
      </c>
      <c r="I322" t="s" s="17">
        <v>14</v>
      </c>
      <c r="J322" t="s" s="17">
        <v>28</v>
      </c>
      <c r="K322" t="s" s="17">
        <v>16</v>
      </c>
      <c r="L322" s="15">
        <f>IF(O322,P322/O322,0)</f>
        <v>0.314285714285714</v>
      </c>
      <c r="M322" s="15">
        <v>0.314285714285714</v>
      </c>
      <c r="N322" s="15">
        <f>A322</f>
        <v>320</v>
      </c>
      <c r="O322" s="15">
        <v>140</v>
      </c>
      <c r="P322" s="15">
        <v>44</v>
      </c>
      <c r="Q322" s="16"/>
    </row>
    <row r="323" ht="20.05" customHeight="1">
      <c r="A323" s="13">
        <f>A322+1</f>
        <v>321</v>
      </c>
      <c r="B323" s="14">
        <v>2023</v>
      </c>
      <c r="C323" s="15">
        <v>8</v>
      </c>
      <c r="D323" s="15">
        <v>19</v>
      </c>
      <c r="E323" s="15">
        <v>162</v>
      </c>
      <c r="F323" t="s" s="17">
        <v>130</v>
      </c>
      <c r="G323" s="16"/>
      <c r="H323" t="s" s="17">
        <v>163</v>
      </c>
      <c r="I323" t="s" s="17">
        <v>19</v>
      </c>
      <c r="J323" t="s" s="17">
        <v>229</v>
      </c>
      <c r="K323" t="s" s="17">
        <v>23</v>
      </c>
      <c r="L323" s="15">
        <f>IF(O323,P323/O323,0)</f>
        <v>0.6625</v>
      </c>
      <c r="M323" s="15">
        <v>0.6625</v>
      </c>
      <c r="N323" s="15">
        <f>A323</f>
        <v>321</v>
      </c>
      <c r="O323" s="15">
        <f t="shared" si="999" ref="O323:O466">10*24</f>
        <v>240</v>
      </c>
      <c r="P323" s="15">
        <v>159</v>
      </c>
      <c r="Q323" s="16"/>
    </row>
    <row r="324" ht="20.05" customHeight="1">
      <c r="A324" s="13">
        <f>A323+1</f>
        <v>322</v>
      </c>
      <c r="B324" s="14">
        <v>2023</v>
      </c>
      <c r="C324" s="15">
        <v>8</v>
      </c>
      <c r="D324" s="15">
        <v>19</v>
      </c>
      <c r="E324" s="15">
        <v>17</v>
      </c>
      <c r="F324" t="s" s="17">
        <v>130</v>
      </c>
      <c r="G324" t="s" s="17">
        <v>230</v>
      </c>
      <c r="H324" t="s" s="17">
        <v>163</v>
      </c>
      <c r="I324" t="s" s="17">
        <v>187</v>
      </c>
      <c r="J324" t="s" s="17">
        <v>188</v>
      </c>
      <c r="K324" t="s" s="17">
        <v>23</v>
      </c>
      <c r="L324" s="15">
        <f>IF(O324,P324/O324,0)</f>
        <v>3.91666666666667</v>
      </c>
      <c r="M324" s="15">
        <v>3.91666666666667</v>
      </c>
      <c r="N324" s="15">
        <f>A324</f>
        <v>322</v>
      </c>
      <c r="O324" s="15">
        <v>6</v>
      </c>
      <c r="P324" s="15">
        <v>23.5</v>
      </c>
      <c r="Q324" s="16"/>
    </row>
    <row r="325" ht="20.05" customHeight="1">
      <c r="A325" s="13">
        <f>A324+1</f>
        <v>323</v>
      </c>
      <c r="B325" s="14">
        <v>2023</v>
      </c>
      <c r="C325" s="15">
        <v>8</v>
      </c>
      <c r="D325" s="15">
        <v>19</v>
      </c>
      <c r="E325" s="15">
        <v>17</v>
      </c>
      <c r="F325" t="s" s="17">
        <v>130</v>
      </c>
      <c r="G325" t="s" s="17">
        <v>230</v>
      </c>
      <c r="H325" t="s" s="17">
        <v>163</v>
      </c>
      <c r="I325" t="s" s="17">
        <v>19</v>
      </c>
      <c r="J325" t="s" s="17">
        <v>131</v>
      </c>
      <c r="K325" t="s" s="17">
        <v>41</v>
      </c>
      <c r="L325" s="15">
        <f>IF(O325,P325/O325,0)</f>
        <v>0.09725</v>
      </c>
      <c r="M325" s="15">
        <v>0.09725</v>
      </c>
      <c r="N325" s="15">
        <f>A325</f>
        <v>323</v>
      </c>
      <c r="O325" s="15">
        <v>1000</v>
      </c>
      <c r="P325" s="15">
        <v>97.25</v>
      </c>
      <c r="Q325" s="16"/>
    </row>
    <row r="326" ht="20.05" customHeight="1">
      <c r="A326" s="13">
        <f>A325+1</f>
        <v>324</v>
      </c>
      <c r="B326" s="14">
        <v>2023</v>
      </c>
      <c r="C326" s="15">
        <v>8</v>
      </c>
      <c r="D326" s="15">
        <v>20</v>
      </c>
      <c r="E326" s="15">
        <v>97</v>
      </c>
      <c r="F326" t="s" s="17">
        <v>130</v>
      </c>
      <c r="G326" s="16"/>
      <c r="H326" t="s" s="17">
        <v>163</v>
      </c>
      <c r="I326" t="s" s="17">
        <v>19</v>
      </c>
      <c r="J326" t="s" s="17">
        <v>157</v>
      </c>
      <c r="K326" t="s" s="17">
        <v>16</v>
      </c>
      <c r="L326" s="15">
        <f>IF(O326,P326/O326,0)</f>
        <v>0.0249488752556237</v>
      </c>
      <c r="M326" s="15">
        <v>0.0249488752556237</v>
      </c>
      <c r="N326" s="15">
        <f>A326</f>
        <v>324</v>
      </c>
      <c r="O326" s="15">
        <v>1956</v>
      </c>
      <c r="P326" s="15">
        <v>48.8</v>
      </c>
      <c r="Q326" s="16"/>
    </row>
    <row r="327" ht="20.05" customHeight="1">
      <c r="A327" s="13">
        <f>A326+1</f>
        <v>325</v>
      </c>
      <c r="B327" s="14">
        <v>2023</v>
      </c>
      <c r="C327" s="15">
        <v>8</v>
      </c>
      <c r="D327" s="15">
        <v>20</v>
      </c>
      <c r="E327" s="15">
        <v>97</v>
      </c>
      <c r="F327" t="s" s="17">
        <v>130</v>
      </c>
      <c r="G327" t="s" s="17">
        <v>189</v>
      </c>
      <c r="H327" t="s" s="17">
        <v>163</v>
      </c>
      <c r="I327" t="s" s="17">
        <v>187</v>
      </c>
      <c r="J327" t="s" s="17">
        <v>188</v>
      </c>
      <c r="K327" t="s" s="17">
        <v>23</v>
      </c>
      <c r="L327" s="15">
        <f>IF(O327,P327/O327,0)</f>
        <v>7.08333333333333</v>
      </c>
      <c r="M327" s="15">
        <v>7.08333333333333</v>
      </c>
      <c r="N327" s="15">
        <f>A327</f>
        <v>325</v>
      </c>
      <c r="O327" s="15">
        <v>6</v>
      </c>
      <c r="P327" s="15">
        <v>42.5</v>
      </c>
      <c r="Q327" s="16"/>
    </row>
    <row r="328" ht="20.05" customHeight="1">
      <c r="A328" s="13">
        <f>A327+1</f>
        <v>326</v>
      </c>
      <c r="B328" s="14">
        <v>2023</v>
      </c>
      <c r="C328" s="15">
        <v>8</v>
      </c>
      <c r="D328" s="15">
        <v>20</v>
      </c>
      <c r="E328" s="15">
        <v>97</v>
      </c>
      <c r="F328" t="s" s="17">
        <v>130</v>
      </c>
      <c r="G328" s="16"/>
      <c r="H328" t="s" s="17">
        <v>163</v>
      </c>
      <c r="I328" t="s" s="17">
        <v>19</v>
      </c>
      <c r="J328" t="s" s="17">
        <v>157</v>
      </c>
      <c r="K328" t="s" s="17">
        <v>16</v>
      </c>
      <c r="L328" s="15">
        <f>IF(O328,P328/O328,0)</f>
        <v>0.0249488752556237</v>
      </c>
      <c r="M328" s="15">
        <v>0.0249488752556237</v>
      </c>
      <c r="N328" s="15">
        <f>A328</f>
        <v>326</v>
      </c>
      <c r="O328" s="15">
        <v>1956</v>
      </c>
      <c r="P328" s="15">
        <v>48.8</v>
      </c>
      <c r="Q328" s="16"/>
    </row>
    <row r="329" ht="20.05" customHeight="1">
      <c r="A329" s="13">
        <f>A328+1</f>
        <v>327</v>
      </c>
      <c r="B329" s="14">
        <v>2023</v>
      </c>
      <c r="C329" s="15">
        <v>8</v>
      </c>
      <c r="D329" s="15">
        <v>21</v>
      </c>
      <c r="E329" s="15">
        <v>133</v>
      </c>
      <c r="F329" t="s" s="17">
        <v>130</v>
      </c>
      <c r="G329" s="16"/>
      <c r="H329" t="s" s="17">
        <v>163</v>
      </c>
      <c r="I329" t="s" s="17">
        <v>14</v>
      </c>
      <c r="J329" t="s" s="17">
        <v>124</v>
      </c>
      <c r="K329" t="s" s="17">
        <v>16</v>
      </c>
      <c r="L329" s="15">
        <f>IF(O329,P329/O329,0)</f>
        <v>0.1532</v>
      </c>
      <c r="M329" s="15">
        <v>0.1532</v>
      </c>
      <c r="N329" s="15">
        <f>A329</f>
        <v>327</v>
      </c>
      <c r="O329" s="15">
        <v>750</v>
      </c>
      <c r="P329" s="15">
        <v>114.9</v>
      </c>
      <c r="Q329" s="16"/>
    </row>
    <row r="330" ht="20.05" customHeight="1">
      <c r="A330" s="13">
        <f>A329+1</f>
        <v>328</v>
      </c>
      <c r="B330" s="14">
        <v>2023</v>
      </c>
      <c r="C330" s="15">
        <v>8</v>
      </c>
      <c r="D330" s="15">
        <v>21</v>
      </c>
      <c r="E330" s="15">
        <v>5</v>
      </c>
      <c r="F330" t="s" s="17">
        <v>184</v>
      </c>
      <c r="G330" s="16"/>
      <c r="H330" t="s" s="17">
        <v>163</v>
      </c>
      <c r="I330" t="s" s="17">
        <v>187</v>
      </c>
      <c r="J330" t="s" s="17">
        <v>185</v>
      </c>
      <c r="K330" t="s" s="17">
        <v>23</v>
      </c>
      <c r="L330" s="15">
        <f>IF(O330,P330/O330,0)</f>
        <v>35</v>
      </c>
      <c r="M330" s="15">
        <v>35</v>
      </c>
      <c r="N330" s="15">
        <f>A330</f>
        <v>328</v>
      </c>
      <c r="O330" s="15">
        <v>1</v>
      </c>
      <c r="P330" s="15">
        <v>35</v>
      </c>
      <c r="Q330" s="16"/>
    </row>
    <row r="331" ht="20.05" customHeight="1">
      <c r="A331" s="13">
        <f>A330+1</f>
        <v>329</v>
      </c>
      <c r="B331" s="14">
        <v>2023</v>
      </c>
      <c r="C331" s="15">
        <v>8</v>
      </c>
      <c r="D331" s="15">
        <v>21</v>
      </c>
      <c r="E331" s="15">
        <v>97</v>
      </c>
      <c r="F331" t="s" s="17">
        <v>130</v>
      </c>
      <c r="G331" s="16"/>
      <c r="H331" t="s" s="17">
        <v>163</v>
      </c>
      <c r="I331" t="s" s="17">
        <v>19</v>
      </c>
      <c r="J331" t="s" s="17">
        <v>157</v>
      </c>
      <c r="K331" t="s" s="17">
        <v>16</v>
      </c>
      <c r="L331" s="15">
        <f>IF(O331,P331/O331,0)</f>
        <v>0.0249490316004077</v>
      </c>
      <c r="M331" s="15">
        <v>0.0249490316004077</v>
      </c>
      <c r="N331" s="15">
        <f>A331</f>
        <v>329</v>
      </c>
      <c r="O331" s="15">
        <v>1962</v>
      </c>
      <c r="P331" s="15">
        <v>48.95</v>
      </c>
      <c r="Q331" s="16"/>
    </row>
    <row r="332" ht="20.05" customHeight="1">
      <c r="A332" s="13">
        <f>A331+1</f>
        <v>330</v>
      </c>
      <c r="B332" s="14">
        <v>2023</v>
      </c>
      <c r="C332" s="15">
        <v>8</v>
      </c>
      <c r="D332" s="15">
        <v>22</v>
      </c>
      <c r="E332" s="15">
        <v>33</v>
      </c>
      <c r="F332" t="s" s="17">
        <v>231</v>
      </c>
      <c r="G332" s="16"/>
      <c r="H332" t="s" s="17">
        <v>163</v>
      </c>
      <c r="I332" t="s" s="17">
        <v>127</v>
      </c>
      <c r="J332" t="s" s="17">
        <v>232</v>
      </c>
      <c r="K332" t="s" s="17">
        <v>23</v>
      </c>
      <c r="L332" s="15">
        <f>IF(O332,P332/O332,0)</f>
        <v>80.34</v>
      </c>
      <c r="M332" s="15">
        <v>80.34</v>
      </c>
      <c r="N332" s="15">
        <f>A332</f>
        <v>330</v>
      </c>
      <c r="O332" s="15">
        <v>2</v>
      </c>
      <c r="P332" s="15">
        <v>160.68</v>
      </c>
      <c r="Q332" s="16"/>
    </row>
    <row r="333" ht="20.05" customHeight="1">
      <c r="A333" s="13">
        <f>A332+1</f>
        <v>331</v>
      </c>
      <c r="B333" s="14">
        <v>2023</v>
      </c>
      <c r="C333" s="15">
        <v>8</v>
      </c>
      <c r="D333" s="15">
        <v>22</v>
      </c>
      <c r="E333" s="15">
        <v>33</v>
      </c>
      <c r="F333" t="s" s="17">
        <v>231</v>
      </c>
      <c r="G333" s="16"/>
      <c r="H333" t="s" s="17">
        <v>163</v>
      </c>
      <c r="I333" t="s" s="17">
        <v>14</v>
      </c>
      <c r="J333" t="s" s="17">
        <v>233</v>
      </c>
      <c r="K333" t="s" s="17">
        <v>23</v>
      </c>
      <c r="L333" s="15">
        <f>IF(O333,P333/O333,0)</f>
        <v>60</v>
      </c>
      <c r="M333" s="15">
        <v>60</v>
      </c>
      <c r="N333" s="15">
        <f>A333</f>
        <v>331</v>
      </c>
      <c r="O333" s="15">
        <v>3</v>
      </c>
      <c r="P333" s="15">
        <v>180</v>
      </c>
      <c r="Q333" s="16"/>
    </row>
    <row r="334" ht="20.05" customHeight="1">
      <c r="A334" s="13">
        <f>A333+1</f>
        <v>332</v>
      </c>
      <c r="B334" s="14">
        <v>2023</v>
      </c>
      <c r="C334" s="15">
        <v>8</v>
      </c>
      <c r="D334" s="15">
        <v>22</v>
      </c>
      <c r="E334" s="15">
        <v>33</v>
      </c>
      <c r="F334" t="s" s="17">
        <v>231</v>
      </c>
      <c r="G334" s="16"/>
      <c r="H334" t="s" s="17">
        <v>163</v>
      </c>
      <c r="I334" t="s" s="17">
        <v>127</v>
      </c>
      <c r="J334" t="s" s="17">
        <v>205</v>
      </c>
      <c r="K334" t="s" s="17">
        <v>23</v>
      </c>
      <c r="L334" s="15">
        <f>IF(O334,P334/O334,0)</f>
        <v>45.66</v>
      </c>
      <c r="M334" s="15">
        <v>45.66</v>
      </c>
      <c r="N334" s="15">
        <f>A334</f>
        <v>332</v>
      </c>
      <c r="O334" s="15">
        <v>4</v>
      </c>
      <c r="P334" s="15">
        <f>4*45.66</f>
        <v>182.64</v>
      </c>
      <c r="Q334" s="16"/>
    </row>
    <row r="335" ht="20.05" customHeight="1">
      <c r="A335" s="13">
        <f>A334+1</f>
        <v>333</v>
      </c>
      <c r="B335" s="14">
        <v>2023</v>
      </c>
      <c r="C335" s="15">
        <v>8</v>
      </c>
      <c r="D335" s="15">
        <v>22</v>
      </c>
      <c r="E335" s="15">
        <v>33</v>
      </c>
      <c r="F335" t="s" s="17">
        <v>231</v>
      </c>
      <c r="G335" s="16"/>
      <c r="H335" t="s" s="17">
        <v>163</v>
      </c>
      <c r="I335" t="s" s="17">
        <v>14</v>
      </c>
      <c r="J335" t="s" s="17">
        <v>234</v>
      </c>
      <c r="K335" t="s" s="17">
        <v>23</v>
      </c>
      <c r="L335" s="15">
        <f>IF(O335,P335/O335,0)</f>
        <v>49.9</v>
      </c>
      <c r="M335" s="15">
        <v>49.9</v>
      </c>
      <c r="N335" s="15">
        <f>A335</f>
        <v>333</v>
      </c>
      <c r="O335" s="15">
        <v>3</v>
      </c>
      <c r="P335" s="15">
        <f>3*49.9</f>
        <v>149.7</v>
      </c>
      <c r="Q335" s="16"/>
    </row>
    <row r="336" ht="20.05" customHeight="1">
      <c r="A336" s="13">
        <f>A335+1</f>
        <v>334</v>
      </c>
      <c r="B336" s="14">
        <v>2023</v>
      </c>
      <c r="C336" s="15">
        <v>8</v>
      </c>
      <c r="D336" s="15">
        <v>23</v>
      </c>
      <c r="E336" s="15">
        <v>38</v>
      </c>
      <c r="F336" t="s" s="17">
        <v>130</v>
      </c>
      <c r="G336" s="16"/>
      <c r="H336" t="s" s="17">
        <v>163</v>
      </c>
      <c r="I336" t="s" s="17">
        <v>19</v>
      </c>
      <c r="J336" t="s" s="17">
        <v>157</v>
      </c>
      <c r="K336" t="s" s="17">
        <v>16</v>
      </c>
      <c r="L336" s="15">
        <f>IF(O336,P336/O336,0)</f>
        <v>0.0249502487562189</v>
      </c>
      <c r="M336" s="15">
        <v>0.0249502487562189</v>
      </c>
      <c r="N336" s="15">
        <f>A336</f>
        <v>334</v>
      </c>
      <c r="O336" s="15">
        <v>2010</v>
      </c>
      <c r="P336" s="15">
        <v>50.15</v>
      </c>
      <c r="Q336" s="16"/>
    </row>
    <row r="337" ht="20.05" customHeight="1">
      <c r="A337" s="13">
        <f>A336+1</f>
        <v>335</v>
      </c>
      <c r="B337" s="14">
        <v>2023</v>
      </c>
      <c r="C337" s="15">
        <v>8</v>
      </c>
      <c r="D337" s="15">
        <v>23</v>
      </c>
      <c r="E337" s="15">
        <v>12904</v>
      </c>
      <c r="F337" t="s" s="17">
        <v>122</v>
      </c>
      <c r="G337" s="16"/>
      <c r="H337" t="s" s="17">
        <v>163</v>
      </c>
      <c r="I337" t="s" s="17">
        <v>127</v>
      </c>
      <c r="J337" t="s" s="17">
        <v>161</v>
      </c>
      <c r="K337" t="s" s="17">
        <v>23</v>
      </c>
      <c r="L337" s="15">
        <f>IF(O337,P337/O337,0)</f>
        <v>6.52085</v>
      </c>
      <c r="M337" s="15">
        <v>6.52085</v>
      </c>
      <c r="N337" s="15">
        <f>A337</f>
        <v>335</v>
      </c>
      <c r="O337" s="15">
        <v>24</v>
      </c>
      <c r="P337" s="15">
        <v>156.5004</v>
      </c>
      <c r="Q337" s="16"/>
    </row>
    <row r="338" ht="20.05" customHeight="1">
      <c r="A338" s="13">
        <f>A337+1</f>
        <v>336</v>
      </c>
      <c r="B338" s="14">
        <v>2023</v>
      </c>
      <c r="C338" s="15">
        <v>8</v>
      </c>
      <c r="D338" s="15">
        <v>23</v>
      </c>
      <c r="E338" s="15">
        <v>12904</v>
      </c>
      <c r="F338" t="s" s="17">
        <v>122</v>
      </c>
      <c r="G338" s="16"/>
      <c r="H338" t="s" s="17">
        <v>163</v>
      </c>
      <c r="I338" t="s" s="17">
        <v>127</v>
      </c>
      <c r="J338" t="s" s="17">
        <v>128</v>
      </c>
      <c r="K338" t="s" s="17">
        <v>23</v>
      </c>
      <c r="L338" s="15">
        <f>IF(O338,P338/O338,0)</f>
        <v>7.45395</v>
      </c>
      <c r="M338" s="15">
        <v>7.45395</v>
      </c>
      <c r="N338" s="15">
        <f>A338</f>
        <v>336</v>
      </c>
      <c r="O338" s="15">
        <f>24*3</f>
        <v>72</v>
      </c>
      <c r="P338" s="15">
        <v>536.6844</v>
      </c>
      <c r="Q338" s="16"/>
    </row>
    <row r="339" ht="32.05" customHeight="1">
      <c r="A339" s="13">
        <f>A338+1</f>
        <v>337</v>
      </c>
      <c r="B339" s="14">
        <v>2023</v>
      </c>
      <c r="C339" s="15">
        <v>8</v>
      </c>
      <c r="D339" s="15">
        <v>23</v>
      </c>
      <c r="E339" s="15">
        <v>12904</v>
      </c>
      <c r="F339" t="s" s="17">
        <v>122</v>
      </c>
      <c r="G339" s="16"/>
      <c r="H339" t="s" s="17">
        <v>163</v>
      </c>
      <c r="I339" t="s" s="17">
        <v>127</v>
      </c>
      <c r="J339" t="s" s="17">
        <v>136</v>
      </c>
      <c r="K339" t="s" s="17">
        <v>23</v>
      </c>
      <c r="L339" s="15">
        <f>IF(O339,P339/O339,0)</f>
        <v>0.125984</v>
      </c>
      <c r="M339" s="15">
        <v>0.125984</v>
      </c>
      <c r="N339" s="15">
        <f>A339</f>
        <v>337</v>
      </c>
      <c r="O339" s="15">
        <f t="shared" si="882"/>
        <v>2400</v>
      </c>
      <c r="P339" s="15">
        <v>302.3616</v>
      </c>
      <c r="Q339" s="16"/>
    </row>
    <row r="340" ht="20.05" customHeight="1">
      <c r="A340" s="13">
        <f>A339+1</f>
        <v>338</v>
      </c>
      <c r="B340" s="14">
        <v>2023</v>
      </c>
      <c r="C340" s="15">
        <v>8</v>
      </c>
      <c r="D340" s="15">
        <v>23</v>
      </c>
      <c r="E340" s="15">
        <v>180878</v>
      </c>
      <c r="F340" t="s" s="17">
        <v>111</v>
      </c>
      <c r="G340" t="s" s="17">
        <v>235</v>
      </c>
      <c r="H340" t="s" s="17">
        <v>163</v>
      </c>
      <c r="I340" t="s" s="17">
        <v>127</v>
      </c>
      <c r="J340" t="s" s="17">
        <v>54</v>
      </c>
      <c r="K340" t="s" s="17">
        <v>53</v>
      </c>
      <c r="L340" s="15">
        <f>IF(O340,P340/O340,0)</f>
        <v>0.936833333333333</v>
      </c>
      <c r="M340" s="15">
        <v>0.936833333333333</v>
      </c>
      <c r="N340" s="15">
        <f>A340</f>
        <v>338</v>
      </c>
      <c r="O340" s="15">
        <v>300</v>
      </c>
      <c r="P340" s="15">
        <v>281.05</v>
      </c>
      <c r="Q340" s="16"/>
    </row>
    <row r="341" ht="20.05" customHeight="1">
      <c r="A341" s="13">
        <f>A340+1</f>
        <v>339</v>
      </c>
      <c r="B341" s="14">
        <v>2023</v>
      </c>
      <c r="C341" s="15">
        <v>8</v>
      </c>
      <c r="D341" s="15">
        <v>23</v>
      </c>
      <c r="E341" s="15">
        <v>180878</v>
      </c>
      <c r="F341" t="s" s="17">
        <v>111</v>
      </c>
      <c r="G341" t="s" s="17">
        <v>200</v>
      </c>
      <c r="H341" t="s" s="17">
        <v>163</v>
      </c>
      <c r="I341" t="s" s="17">
        <v>127</v>
      </c>
      <c r="J341" t="s" s="17">
        <v>132</v>
      </c>
      <c r="K341" t="s" s="17">
        <v>41</v>
      </c>
      <c r="L341" s="15">
        <f>IF(O341,P341/O341,0)</f>
        <v>0.0135175</v>
      </c>
      <c r="M341" s="15">
        <v>0.0135175</v>
      </c>
      <c r="N341" s="15">
        <f>A341</f>
        <v>339</v>
      </c>
      <c r="O341" s="15">
        <v>4000</v>
      </c>
      <c r="P341" s="15">
        <v>54.07</v>
      </c>
      <c r="Q341" s="16"/>
    </row>
    <row r="342" ht="20.05" customHeight="1">
      <c r="A342" s="13">
        <f>A341+1</f>
        <v>340</v>
      </c>
      <c r="B342" s="14">
        <v>2023</v>
      </c>
      <c r="C342" s="15">
        <v>8</v>
      </c>
      <c r="D342" s="15">
        <v>23</v>
      </c>
      <c r="E342" s="15">
        <v>180878</v>
      </c>
      <c r="F342" t="s" s="17">
        <v>111</v>
      </c>
      <c r="G342" t="s" s="17">
        <v>175</v>
      </c>
      <c r="H342" t="s" s="17">
        <v>163</v>
      </c>
      <c r="I342" t="s" s="17">
        <v>19</v>
      </c>
      <c r="J342" t="s" s="17">
        <v>112</v>
      </c>
      <c r="K342" t="s" s="17">
        <v>41</v>
      </c>
      <c r="L342" s="15">
        <f>IF(O342,P342/O342,0)</f>
        <v>0.03453</v>
      </c>
      <c r="M342" s="15">
        <v>0.03453</v>
      </c>
      <c r="N342" s="15">
        <f>A342</f>
        <v>340</v>
      </c>
      <c r="O342" s="15">
        <f t="shared" si="927"/>
        <v>10000</v>
      </c>
      <c r="P342" s="15">
        <v>345.3</v>
      </c>
      <c r="Q342" s="16"/>
    </row>
    <row r="343" ht="20.05" customHeight="1">
      <c r="A343" s="13">
        <f>A342+1</f>
        <v>341</v>
      </c>
      <c r="B343" s="14">
        <v>2023</v>
      </c>
      <c r="C343" s="15">
        <v>8</v>
      </c>
      <c r="D343" s="15">
        <v>23</v>
      </c>
      <c r="E343" s="15">
        <v>180878</v>
      </c>
      <c r="F343" t="s" s="17">
        <v>111</v>
      </c>
      <c r="G343" t="s" s="17">
        <v>200</v>
      </c>
      <c r="H343" t="s" s="17">
        <v>163</v>
      </c>
      <c r="I343" t="s" s="17">
        <v>26</v>
      </c>
      <c r="J343" t="s" s="17">
        <v>113</v>
      </c>
      <c r="K343" t="s" s="17">
        <v>41</v>
      </c>
      <c r="L343" s="15">
        <f>IF(O343,P343/O343,0)</f>
        <v>0.02835</v>
      </c>
      <c r="M343" s="15">
        <v>0.02835</v>
      </c>
      <c r="N343" s="15">
        <f>A343</f>
        <v>341</v>
      </c>
      <c r="O343" s="15">
        <v>3000</v>
      </c>
      <c r="P343" s="15">
        <v>85.05</v>
      </c>
      <c r="Q343" s="16"/>
    </row>
    <row r="344" ht="20.05" customHeight="1">
      <c r="A344" s="13">
        <f>A343+1</f>
        <v>342</v>
      </c>
      <c r="B344" s="14">
        <v>2023</v>
      </c>
      <c r="C344" s="15">
        <v>8</v>
      </c>
      <c r="D344" s="15">
        <v>23</v>
      </c>
      <c r="E344" s="15">
        <v>180878</v>
      </c>
      <c r="F344" t="s" s="17">
        <v>111</v>
      </c>
      <c r="G344" t="s" s="17">
        <v>223</v>
      </c>
      <c r="H344" t="s" s="17">
        <v>163</v>
      </c>
      <c r="I344" t="s" s="17">
        <v>17</v>
      </c>
      <c r="J344" t="s" s="17">
        <v>114</v>
      </c>
      <c r="K344" t="s" s="17">
        <v>16</v>
      </c>
      <c r="L344" s="15">
        <f>IF(O344,P344/O344,0)</f>
        <v>0.36868</v>
      </c>
      <c r="M344" s="15">
        <v>0.36868</v>
      </c>
      <c r="N344" s="15">
        <f>A344</f>
        <v>342</v>
      </c>
      <c r="O344" s="15">
        <f>500*3</f>
        <v>1500</v>
      </c>
      <c r="P344" s="15">
        <v>553.02</v>
      </c>
      <c r="Q344" s="16"/>
    </row>
    <row r="345" ht="20.05" customHeight="1">
      <c r="A345" s="13">
        <f>A344+1</f>
        <v>343</v>
      </c>
      <c r="B345" s="14">
        <v>2023</v>
      </c>
      <c r="C345" s="15">
        <v>8</v>
      </c>
      <c r="D345" s="15">
        <v>23</v>
      </c>
      <c r="E345" s="15">
        <v>180878</v>
      </c>
      <c r="F345" t="s" s="17">
        <v>111</v>
      </c>
      <c r="G345" t="s" s="17">
        <v>224</v>
      </c>
      <c r="H345" t="s" s="17">
        <v>163</v>
      </c>
      <c r="I345" t="s" s="17">
        <v>14</v>
      </c>
      <c r="J345" t="s" s="17">
        <v>115</v>
      </c>
      <c r="K345" t="s" s="17">
        <v>16</v>
      </c>
      <c r="L345" s="15">
        <f>IF(O345,P345/O345,0)</f>
        <v>0.279022222222222</v>
      </c>
      <c r="M345" s="15">
        <v>0.279022222222222</v>
      </c>
      <c r="N345" s="15">
        <f>A345</f>
        <v>343</v>
      </c>
      <c r="O345" s="15">
        <v>450</v>
      </c>
      <c r="P345" s="15">
        <v>125.56</v>
      </c>
      <c r="Q345" s="16"/>
    </row>
    <row r="346" ht="20.05" customHeight="1">
      <c r="A346" s="13">
        <f>A345+1</f>
        <v>344</v>
      </c>
      <c r="B346" s="14">
        <v>2023</v>
      </c>
      <c r="C346" s="15">
        <v>8</v>
      </c>
      <c r="D346" s="15">
        <v>23</v>
      </c>
      <c r="E346" s="15">
        <v>180878</v>
      </c>
      <c r="F346" t="s" s="17">
        <v>111</v>
      </c>
      <c r="G346" t="s" s="17">
        <v>224</v>
      </c>
      <c r="H346" t="s" s="17">
        <v>163</v>
      </c>
      <c r="I346" t="s" s="17">
        <v>14</v>
      </c>
      <c r="J346" t="s" s="17">
        <v>116</v>
      </c>
      <c r="K346" t="s" s="17">
        <v>16</v>
      </c>
      <c r="L346" s="15">
        <f>IF(O346,P346/O346,0)</f>
        <v>0.23208</v>
      </c>
      <c r="M346" s="15">
        <v>0.23208</v>
      </c>
      <c r="N346" s="15">
        <f>A346</f>
        <v>344</v>
      </c>
      <c r="O346" s="15">
        <v>1000</v>
      </c>
      <c r="P346" s="15">
        <v>232.08</v>
      </c>
      <c r="Q346" s="16"/>
    </row>
    <row r="347" ht="20.05" customHeight="1">
      <c r="A347" s="13">
        <f>A346+1</f>
        <v>345</v>
      </c>
      <c r="B347" s="14">
        <v>2023</v>
      </c>
      <c r="C347" s="15">
        <v>8</v>
      </c>
      <c r="D347" s="15">
        <v>23</v>
      </c>
      <c r="E347" s="15">
        <v>180878</v>
      </c>
      <c r="F347" t="s" s="17">
        <v>111</v>
      </c>
      <c r="G347" t="s" s="17">
        <v>224</v>
      </c>
      <c r="H347" t="s" s="17">
        <v>163</v>
      </c>
      <c r="I347" t="s" s="17">
        <v>26</v>
      </c>
      <c r="J347" t="s" s="17">
        <v>82</v>
      </c>
      <c r="K347" t="s" s="17">
        <v>16</v>
      </c>
      <c r="L347" s="15">
        <f>IF(O347,P347/O347,0)</f>
        <v>0.05876</v>
      </c>
      <c r="M347" s="15">
        <v>0.05876</v>
      </c>
      <c r="N347" s="15">
        <f>A347</f>
        <v>345</v>
      </c>
      <c r="O347" s="15">
        <f>500*5</f>
        <v>2500</v>
      </c>
      <c r="P347" s="15">
        <v>146.9</v>
      </c>
      <c r="Q347" s="16"/>
    </row>
    <row r="348" ht="20.05" customHeight="1">
      <c r="A348" s="13">
        <f>A347+1</f>
        <v>346</v>
      </c>
      <c r="B348" s="14">
        <v>2023</v>
      </c>
      <c r="C348" s="15">
        <v>8</v>
      </c>
      <c r="D348" s="15">
        <v>23</v>
      </c>
      <c r="E348" s="15">
        <v>180878</v>
      </c>
      <c r="F348" t="s" s="17">
        <v>111</v>
      </c>
      <c r="G348" t="s" s="17">
        <v>236</v>
      </c>
      <c r="H348" t="s" s="17">
        <v>163</v>
      </c>
      <c r="I348" t="s" s="17">
        <v>19</v>
      </c>
      <c r="J348" t="s" s="17">
        <v>135</v>
      </c>
      <c r="K348" t="s" s="17">
        <v>23</v>
      </c>
      <c r="L348" s="15">
        <f>IF(O348,P348/O348,0)</f>
        <v>0.3164</v>
      </c>
      <c r="M348" s="15">
        <v>0.3164</v>
      </c>
      <c r="N348" s="15">
        <f>A348</f>
        <v>346</v>
      </c>
      <c r="O348" s="15">
        <f>50*30</f>
        <v>1500</v>
      </c>
      <c r="P348" s="15">
        <v>474.6</v>
      </c>
      <c r="Q348" s="16"/>
    </row>
    <row r="349" ht="20.05" customHeight="1">
      <c r="A349" s="13">
        <f>A348+1</f>
        <v>347</v>
      </c>
      <c r="B349" s="14">
        <v>2023</v>
      </c>
      <c r="C349" s="15">
        <v>8</v>
      </c>
      <c r="D349" s="15">
        <v>23</v>
      </c>
      <c r="E349" s="15">
        <v>180878</v>
      </c>
      <c r="F349" t="s" s="17">
        <v>111</v>
      </c>
      <c r="G349" t="s" s="17">
        <v>111</v>
      </c>
      <c r="H349" t="s" s="17">
        <v>163</v>
      </c>
      <c r="I349" t="s" s="17">
        <v>14</v>
      </c>
      <c r="J349" t="s" s="17">
        <v>120</v>
      </c>
      <c r="K349" t="s" s="17">
        <v>23</v>
      </c>
      <c r="L349" s="15">
        <f>IF(O349,P349/O349,0)</f>
        <v>179.93</v>
      </c>
      <c r="M349" s="15">
        <v>179.93</v>
      </c>
      <c r="N349" s="15">
        <f>A349</f>
        <v>347</v>
      </c>
      <c r="O349" s="15">
        <v>1</v>
      </c>
      <c r="P349" s="15">
        <v>179.93</v>
      </c>
      <c r="Q349" s="16"/>
    </row>
    <row r="350" ht="20.05" customHeight="1">
      <c r="A350" s="13">
        <f>A349+1</f>
        <v>348</v>
      </c>
      <c r="B350" s="14">
        <v>2023</v>
      </c>
      <c r="C350" s="15">
        <v>8</v>
      </c>
      <c r="D350" s="15">
        <v>23</v>
      </c>
      <c r="E350" s="15">
        <v>180878</v>
      </c>
      <c r="F350" t="s" s="17">
        <v>111</v>
      </c>
      <c r="G350" t="s" s="17">
        <v>200</v>
      </c>
      <c r="H350" t="s" s="17">
        <v>163</v>
      </c>
      <c r="I350" t="s" s="17">
        <v>14</v>
      </c>
      <c r="J350" t="s" s="17">
        <v>52</v>
      </c>
      <c r="K350" t="s" s="17">
        <v>53</v>
      </c>
      <c r="L350" s="15">
        <f>IF(O350,P350/O350,0)</f>
        <v>5.6725</v>
      </c>
      <c r="M350" s="15">
        <v>5.6725</v>
      </c>
      <c r="N350" s="15">
        <f>A350</f>
        <v>348</v>
      </c>
      <c r="O350" s="15">
        <v>20</v>
      </c>
      <c r="P350" s="15">
        <v>113.45</v>
      </c>
      <c r="Q350" s="16"/>
    </row>
    <row r="351" ht="20.05" customHeight="1">
      <c r="A351" s="13">
        <f>A350+1</f>
        <v>349</v>
      </c>
      <c r="B351" s="14">
        <v>2023</v>
      </c>
      <c r="C351" s="15">
        <v>8</v>
      </c>
      <c r="D351" s="15">
        <v>23</v>
      </c>
      <c r="E351" s="15">
        <v>180878</v>
      </c>
      <c r="F351" t="s" s="17">
        <v>111</v>
      </c>
      <c r="G351" s="16"/>
      <c r="H351" t="s" s="17">
        <v>163</v>
      </c>
      <c r="I351" t="s" s="17">
        <v>26</v>
      </c>
      <c r="J351" t="s" s="17">
        <v>134</v>
      </c>
      <c r="K351" t="s" s="17">
        <v>23</v>
      </c>
      <c r="L351" s="15">
        <f>IF(O351,P351/O351,0)</f>
        <v>32.58</v>
      </c>
      <c r="M351" s="15">
        <v>32.58</v>
      </c>
      <c r="N351" s="15">
        <f>A351</f>
        <v>349</v>
      </c>
      <c r="O351" s="15">
        <v>10</v>
      </c>
      <c r="P351" s="15">
        <v>325.8</v>
      </c>
      <c r="Q351" s="16"/>
    </row>
    <row r="352" ht="20.05" customHeight="1">
      <c r="A352" s="13">
        <f>A351+1</f>
        <v>350</v>
      </c>
      <c r="B352" s="14">
        <v>2023</v>
      </c>
      <c r="C352" s="15">
        <v>8</v>
      </c>
      <c r="D352" s="15">
        <v>23</v>
      </c>
      <c r="E352" s="15">
        <v>2018</v>
      </c>
      <c r="F352" t="s" s="17">
        <v>145</v>
      </c>
      <c r="G352" s="16"/>
      <c r="H352" t="s" s="17">
        <v>163</v>
      </c>
      <c r="I352" t="s" s="17">
        <v>17</v>
      </c>
      <c r="J352" t="s" s="17">
        <v>48</v>
      </c>
      <c r="K352" t="s" s="17">
        <v>16</v>
      </c>
      <c r="L352" s="15">
        <f>IF(O352,P352/O352,0)</f>
        <v>0.272666666666667</v>
      </c>
      <c r="M352" s="15">
        <v>0.272666666666667</v>
      </c>
      <c r="N352" s="15">
        <f>A352</f>
        <v>350</v>
      </c>
      <c r="O352" s="15">
        <f>150*17</f>
        <v>2550</v>
      </c>
      <c r="P352" s="15">
        <v>695.3</v>
      </c>
      <c r="Q352" s="16"/>
    </row>
    <row r="353" ht="20.05" customHeight="1">
      <c r="A353" s="13">
        <f>A352+1</f>
        <v>351</v>
      </c>
      <c r="B353" s="14">
        <v>2023</v>
      </c>
      <c r="C353" s="15">
        <v>8</v>
      </c>
      <c r="D353" s="15">
        <v>23</v>
      </c>
      <c r="E353" s="15">
        <v>2018</v>
      </c>
      <c r="F353" t="s" s="17">
        <v>145</v>
      </c>
      <c r="G353" s="16"/>
      <c r="H353" t="s" s="17">
        <v>163</v>
      </c>
      <c r="I353" t="s" s="17">
        <v>17</v>
      </c>
      <c r="J353" t="s" s="17">
        <v>146</v>
      </c>
      <c r="K353" t="s" s="17">
        <v>16</v>
      </c>
      <c r="L353" s="15">
        <f>IF(O353,P353/O353,0)</f>
        <v>0.484</v>
      </c>
      <c r="M353" s="15">
        <v>0.484</v>
      </c>
      <c r="N353" s="15">
        <f>A353</f>
        <v>351</v>
      </c>
      <c r="O353" s="15">
        <f>100*12</f>
        <v>1200</v>
      </c>
      <c r="P353" s="15">
        <v>580.8</v>
      </c>
      <c r="Q353" s="16"/>
    </row>
    <row r="354" ht="32.05" customHeight="1">
      <c r="A354" s="13">
        <f>A353+1</f>
        <v>352</v>
      </c>
      <c r="B354" s="14">
        <v>2023</v>
      </c>
      <c r="C354" s="15">
        <v>8</v>
      </c>
      <c r="D354" s="15">
        <v>23</v>
      </c>
      <c r="E354" s="15">
        <v>969</v>
      </c>
      <c r="F354" t="s" s="17">
        <v>126</v>
      </c>
      <c r="G354" s="16"/>
      <c r="H354" t="s" s="17">
        <v>163</v>
      </c>
      <c r="I354" t="s" s="17">
        <v>127</v>
      </c>
      <c r="J354" t="s" s="17">
        <v>165</v>
      </c>
      <c r="K354" t="s" s="17">
        <v>23</v>
      </c>
      <c r="L354" s="15">
        <f>IF(O354,P354/O354,0)</f>
        <v>2.7833</v>
      </c>
      <c r="M354" s="15">
        <v>2.7833</v>
      </c>
      <c r="N354" s="15">
        <f>A354</f>
        <v>352</v>
      </c>
      <c r="O354" s="15">
        <f t="shared" si="1103" ref="O354:O421">10*10</f>
        <v>100</v>
      </c>
      <c r="P354" s="15">
        <v>278.33</v>
      </c>
      <c r="Q354" s="16"/>
    </row>
    <row r="355" ht="32.05" customHeight="1">
      <c r="A355" s="13">
        <f>A354+1</f>
        <v>353</v>
      </c>
      <c r="B355" s="14">
        <v>2023</v>
      </c>
      <c r="C355" s="15">
        <v>8</v>
      </c>
      <c r="D355" s="15">
        <v>23</v>
      </c>
      <c r="E355" s="15">
        <v>969</v>
      </c>
      <c r="F355" t="s" s="17">
        <v>126</v>
      </c>
      <c r="G355" s="16"/>
      <c r="H355" t="s" s="17">
        <v>163</v>
      </c>
      <c r="I355" t="s" s="17">
        <v>127</v>
      </c>
      <c r="J355" t="s" s="17">
        <v>137</v>
      </c>
      <c r="K355" t="s" s="17">
        <v>41</v>
      </c>
      <c r="L355" s="15">
        <f>IF(O355,P355/O355,0)</f>
        <v>0.008500000000000001</v>
      </c>
      <c r="M355" s="15">
        <v>0.008500000000000001</v>
      </c>
      <c r="N355" s="15">
        <f>A355</f>
        <v>353</v>
      </c>
      <c r="O355" s="15">
        <v>5000</v>
      </c>
      <c r="P355" s="15">
        <v>42.5</v>
      </c>
      <c r="Q355" s="16"/>
    </row>
    <row r="356" ht="20.05" customHeight="1">
      <c r="A356" s="13">
        <f>A355+1</f>
        <v>354</v>
      </c>
      <c r="B356" s="14">
        <v>2023</v>
      </c>
      <c r="C356" s="15">
        <v>8</v>
      </c>
      <c r="D356" s="15">
        <v>23</v>
      </c>
      <c r="E356" s="15">
        <v>969</v>
      </c>
      <c r="F356" t="s" s="17">
        <v>126</v>
      </c>
      <c r="G356" s="16"/>
      <c r="H356" t="s" s="17">
        <v>163</v>
      </c>
      <c r="I356" t="s" s="17">
        <v>127</v>
      </c>
      <c r="J356" t="s" s="17">
        <v>196</v>
      </c>
      <c r="K356" t="s" s="17">
        <v>41</v>
      </c>
      <c r="L356" s="15">
        <f>IF(O356,P356/O356,0)</f>
        <v>0.02109375</v>
      </c>
      <c r="M356" s="15">
        <v>0.02109375</v>
      </c>
      <c r="N356" s="15">
        <f>A356</f>
        <v>354</v>
      </c>
      <c r="O356" s="15">
        <v>3200</v>
      </c>
      <c r="P356" s="15">
        <v>67.5</v>
      </c>
      <c r="Q356" s="16"/>
    </row>
    <row r="357" ht="20.05" customHeight="1">
      <c r="A357" s="13">
        <f>A356+1</f>
        <v>355</v>
      </c>
      <c r="B357" s="14">
        <v>2023</v>
      </c>
      <c r="C357" s="15">
        <v>8</v>
      </c>
      <c r="D357" s="15">
        <v>23</v>
      </c>
      <c r="E357" s="15">
        <v>969</v>
      </c>
      <c r="F357" t="s" s="17">
        <v>126</v>
      </c>
      <c r="G357" s="16"/>
      <c r="H357" t="s" s="17">
        <v>163</v>
      </c>
      <c r="I357" t="s" s="17">
        <v>127</v>
      </c>
      <c r="J357" t="s" s="17">
        <v>237</v>
      </c>
      <c r="K357" t="s" s="17">
        <v>41</v>
      </c>
      <c r="L357" s="15">
        <f>IF(O357,P357/O357,0)</f>
        <v>0.03958</v>
      </c>
      <c r="M357" s="15">
        <v>0.03958</v>
      </c>
      <c r="N357" s="15">
        <f>A357</f>
        <v>355</v>
      </c>
      <c r="O357" s="15">
        <v>1000</v>
      </c>
      <c r="P357" s="15">
        <v>39.58</v>
      </c>
      <c r="Q357" s="16"/>
    </row>
    <row r="358" ht="32.05" customHeight="1">
      <c r="A358" s="13">
        <f>A357+1</f>
        <v>356</v>
      </c>
      <c r="B358" s="14">
        <v>2023</v>
      </c>
      <c r="C358" s="15">
        <v>8</v>
      </c>
      <c r="D358" s="15">
        <v>23</v>
      </c>
      <c r="E358" s="15">
        <v>969</v>
      </c>
      <c r="F358" t="s" s="17">
        <v>126</v>
      </c>
      <c r="G358" s="16"/>
      <c r="H358" t="s" s="17">
        <v>163</v>
      </c>
      <c r="I358" t="s" s="17">
        <v>127</v>
      </c>
      <c r="J358" t="s" s="17">
        <v>198</v>
      </c>
      <c r="K358" t="s" s="17">
        <v>23</v>
      </c>
      <c r="L358" s="15">
        <f>IF(O358,P358/O358,0)</f>
        <v>3.40975</v>
      </c>
      <c r="M358" s="15">
        <v>3.40975</v>
      </c>
      <c r="N358" s="15">
        <f>A358</f>
        <v>356</v>
      </c>
      <c r="O358" s="15">
        <f>60*2</f>
        <v>120</v>
      </c>
      <c r="P358" s="15">
        <v>409.17</v>
      </c>
      <c r="Q358" s="16"/>
    </row>
    <row r="359" ht="32.05" customHeight="1">
      <c r="A359" s="13">
        <f>A358+1</f>
        <v>357</v>
      </c>
      <c r="B359" s="14">
        <v>2023</v>
      </c>
      <c r="C359" s="15">
        <v>8</v>
      </c>
      <c r="D359" s="15">
        <v>23</v>
      </c>
      <c r="E359" s="15">
        <v>969</v>
      </c>
      <c r="F359" t="s" s="17">
        <v>126</v>
      </c>
      <c r="G359" s="16"/>
      <c r="H359" t="s" s="17">
        <v>163</v>
      </c>
      <c r="I359" t="s" s="17">
        <v>127</v>
      </c>
      <c r="J359" t="s" s="17">
        <v>129</v>
      </c>
      <c r="K359" t="s" s="17">
        <v>23</v>
      </c>
      <c r="L359" s="15">
        <f>IF(O359,P359/O359,0)</f>
        <v>0.14375</v>
      </c>
      <c r="M359" s="15">
        <v>0.14375</v>
      </c>
      <c r="N359" s="15">
        <f>A359</f>
        <v>357</v>
      </c>
      <c r="O359" s="15">
        <v>1200</v>
      </c>
      <c r="P359" s="15">
        <v>172.5</v>
      </c>
      <c r="Q359" s="16"/>
    </row>
    <row r="360" ht="20.05" customHeight="1">
      <c r="A360" s="13">
        <f>A359+1</f>
        <v>358</v>
      </c>
      <c r="B360" s="14">
        <v>2023</v>
      </c>
      <c r="C360" s="15">
        <v>8</v>
      </c>
      <c r="D360" s="15">
        <v>23</v>
      </c>
      <c r="E360" s="15">
        <v>296</v>
      </c>
      <c r="F360" t="s" s="17">
        <v>130</v>
      </c>
      <c r="G360" t="s" s="17">
        <v>238</v>
      </c>
      <c r="H360" t="s" s="17">
        <v>163</v>
      </c>
      <c r="I360" t="s" s="17">
        <v>14</v>
      </c>
      <c r="J360" t="s" s="17">
        <v>18</v>
      </c>
      <c r="K360" t="s" s="17">
        <v>16</v>
      </c>
      <c r="L360" s="15">
        <f>IF(O360,P360/O360,0)</f>
        <v>0.146166666666667</v>
      </c>
      <c r="M360" s="15">
        <v>0.146166666666667</v>
      </c>
      <c r="N360" s="15">
        <f>A360</f>
        <v>358</v>
      </c>
      <c r="O360" s="15">
        <f>300*9</f>
        <v>2700</v>
      </c>
      <c r="P360" s="15">
        <v>394.65</v>
      </c>
      <c r="Q360" s="16"/>
    </row>
    <row r="361" ht="20.05" customHeight="1">
      <c r="A361" s="13">
        <f>A360+1</f>
        <v>359</v>
      </c>
      <c r="B361" s="14">
        <v>2023</v>
      </c>
      <c r="C361" s="15">
        <v>8</v>
      </c>
      <c r="D361" s="15">
        <v>23</v>
      </c>
      <c r="E361" s="15">
        <v>162</v>
      </c>
      <c r="F361" t="s" s="17">
        <v>130</v>
      </c>
      <c r="G361" t="s" s="17">
        <v>239</v>
      </c>
      <c r="H361" t="s" s="17">
        <v>163</v>
      </c>
      <c r="I361" t="s" s="17">
        <v>14</v>
      </c>
      <c r="J361" t="s" s="17">
        <v>140</v>
      </c>
      <c r="K361" t="s" s="17">
        <v>23</v>
      </c>
      <c r="L361" s="15">
        <f>IF(O361,P361/O361,0)</f>
        <v>2.665</v>
      </c>
      <c r="M361" s="15">
        <v>2.665</v>
      </c>
      <c r="N361" s="15">
        <f>A361</f>
        <v>359</v>
      </c>
      <c r="O361" s="15">
        <v>30</v>
      </c>
      <c r="P361" s="15">
        <v>79.95</v>
      </c>
      <c r="Q361" s="16"/>
    </row>
    <row r="362" ht="20.05" customHeight="1">
      <c r="A362" s="13">
        <f>A361+1</f>
        <v>360</v>
      </c>
      <c r="B362" s="14">
        <v>2023</v>
      </c>
      <c r="C362" s="15">
        <v>8</v>
      </c>
      <c r="D362" s="15">
        <v>23</v>
      </c>
      <c r="E362" s="15">
        <v>162</v>
      </c>
      <c r="F362" t="s" s="17">
        <v>130</v>
      </c>
      <c r="G362" t="s" s="17">
        <v>175</v>
      </c>
      <c r="H362" t="s" s="17">
        <v>163</v>
      </c>
      <c r="I362" t="s" s="17">
        <v>14</v>
      </c>
      <c r="J362" t="s" s="17">
        <v>124</v>
      </c>
      <c r="K362" t="s" s="17">
        <v>16</v>
      </c>
      <c r="L362" s="15">
        <f>IF(O362,P362/O362,0)</f>
        <v>0.163225806451613</v>
      </c>
      <c r="M362" s="15">
        <v>0.163225806451613</v>
      </c>
      <c r="N362" s="15">
        <f>A362</f>
        <v>360</v>
      </c>
      <c r="O362" s="15">
        <f>180+750</f>
        <v>930</v>
      </c>
      <c r="P362" s="15">
        <f>36.9+114.9</f>
        <v>151.8</v>
      </c>
      <c r="Q362" s="16"/>
    </row>
    <row r="363" ht="20.05" customHeight="1">
      <c r="A363" s="13">
        <f>A362+1</f>
        <v>361</v>
      </c>
      <c r="B363" s="14">
        <v>2023</v>
      </c>
      <c r="C363" s="15">
        <v>8</v>
      </c>
      <c r="D363" s="15">
        <v>23</v>
      </c>
      <c r="E363" s="15">
        <v>50905</v>
      </c>
      <c r="F363" t="s" s="17">
        <v>122</v>
      </c>
      <c r="G363" t="s" s="17">
        <v>240</v>
      </c>
      <c r="H363" t="s" s="17">
        <v>163</v>
      </c>
      <c r="I363" t="s" s="17">
        <v>127</v>
      </c>
      <c r="J363" t="s" s="17">
        <v>167</v>
      </c>
      <c r="K363" t="s" s="17">
        <v>23</v>
      </c>
      <c r="L363" s="15">
        <f>IF(O363,P363/O363,0)</f>
        <v>0.47</v>
      </c>
      <c r="M363" s="15">
        <v>0.47</v>
      </c>
      <c r="N363" s="15">
        <f>A363</f>
        <v>361</v>
      </c>
      <c r="O363" s="15">
        <v>200</v>
      </c>
      <c r="P363" s="15">
        <v>94</v>
      </c>
      <c r="Q363" s="16"/>
    </row>
    <row r="364" ht="20.05" customHeight="1">
      <c r="A364" s="13">
        <f>A363+1</f>
        <v>362</v>
      </c>
      <c r="B364" s="14">
        <v>2023</v>
      </c>
      <c r="C364" s="15">
        <v>8</v>
      </c>
      <c r="D364" s="15">
        <v>23</v>
      </c>
      <c r="E364" s="15">
        <v>50905</v>
      </c>
      <c r="F364" t="s" s="17">
        <v>122</v>
      </c>
      <c r="G364" s="16"/>
      <c r="H364" t="s" s="17">
        <v>163</v>
      </c>
      <c r="I364" t="s" s="17">
        <v>14</v>
      </c>
      <c r="J364" t="s" s="17">
        <v>123</v>
      </c>
      <c r="K364" t="s" s="17">
        <v>16</v>
      </c>
      <c r="L364" s="15">
        <f>IF(O364,P364/O364,0)</f>
        <v>0.04</v>
      </c>
      <c r="M364" s="15">
        <v>0.04</v>
      </c>
      <c r="N364" s="15">
        <f>A364</f>
        <v>362</v>
      </c>
      <c r="O364" s="15">
        <f>5000*3</f>
        <v>15000</v>
      </c>
      <c r="P364" s="15">
        <v>600</v>
      </c>
      <c r="Q364" s="16"/>
    </row>
    <row r="365" ht="20.05" customHeight="1">
      <c r="A365" s="13">
        <f>A364+1</f>
        <v>363</v>
      </c>
      <c r="B365" s="14">
        <v>2023</v>
      </c>
      <c r="C365" s="15">
        <v>8</v>
      </c>
      <c r="D365" s="15">
        <v>23</v>
      </c>
      <c r="E365" s="15">
        <v>50905</v>
      </c>
      <c r="F365" t="s" s="17">
        <v>122</v>
      </c>
      <c r="G365" s="16"/>
      <c r="H365" t="s" s="17">
        <v>163</v>
      </c>
      <c r="I365" t="s" s="17">
        <v>14</v>
      </c>
      <c r="J365" t="s" s="17">
        <v>147</v>
      </c>
      <c r="K365" t="s" s="17">
        <v>16</v>
      </c>
      <c r="L365" s="15">
        <f>IF(O365,P365/O365,0)</f>
        <v>0.015</v>
      </c>
      <c r="M365" s="15">
        <v>0.015</v>
      </c>
      <c r="N365" s="15">
        <f>A365</f>
        <v>363</v>
      </c>
      <c r="O365" s="15">
        <f>2000*8</f>
        <v>16000</v>
      </c>
      <c r="P365" s="15">
        <v>240</v>
      </c>
      <c r="Q365" s="16"/>
    </row>
    <row r="366" ht="20.05" customHeight="1">
      <c r="A366" s="13">
        <f>A365+1</f>
        <v>364</v>
      </c>
      <c r="B366" s="14">
        <v>2023</v>
      </c>
      <c r="C366" s="15">
        <v>8</v>
      </c>
      <c r="D366" s="15">
        <v>23</v>
      </c>
      <c r="E366" s="15">
        <v>50905</v>
      </c>
      <c r="F366" t="s" s="17">
        <v>122</v>
      </c>
      <c r="G366" t="s" s="17">
        <v>174</v>
      </c>
      <c r="H366" t="s" s="17">
        <v>163</v>
      </c>
      <c r="I366" t="s" s="17">
        <v>14</v>
      </c>
      <c r="J366" t="s" s="17">
        <v>39</v>
      </c>
      <c r="K366" t="s" s="17">
        <v>16</v>
      </c>
      <c r="L366" s="15">
        <f>IF(O366,P366/O366,0)</f>
        <v>0.23</v>
      </c>
      <c r="M366" s="15">
        <v>0.23</v>
      </c>
      <c r="N366" s="15">
        <f>A366</f>
        <v>364</v>
      </c>
      <c r="O366" s="15">
        <f>1000*5</f>
        <v>5000</v>
      </c>
      <c r="P366" s="15">
        <v>1150</v>
      </c>
      <c r="Q366" s="16"/>
    </row>
    <row r="367" ht="20.05" customHeight="1">
      <c r="A367" s="13">
        <f>A366+1</f>
        <v>365</v>
      </c>
      <c r="B367" s="14">
        <v>2023</v>
      </c>
      <c r="C367" s="15">
        <v>8</v>
      </c>
      <c r="D367" s="15">
        <v>23</v>
      </c>
      <c r="E367" s="15">
        <v>50905</v>
      </c>
      <c r="F367" t="s" s="17">
        <v>122</v>
      </c>
      <c r="G367" s="16"/>
      <c r="H367" t="s" s="17">
        <v>163</v>
      </c>
      <c r="I367" t="s" s="17">
        <v>14</v>
      </c>
      <c r="J367" t="s" s="17">
        <v>140</v>
      </c>
      <c r="K367" t="s" s="17">
        <v>23</v>
      </c>
      <c r="L367" s="15">
        <f>IF(O367,P367/O367,0)</f>
        <v>2.86666666666667</v>
      </c>
      <c r="M367" s="15">
        <v>2.86666666666667</v>
      </c>
      <c r="N367" s="15">
        <f>A367</f>
        <v>365</v>
      </c>
      <c r="O367" s="15">
        <f>30*6</f>
        <v>180</v>
      </c>
      <c r="P367" s="15">
        <v>516</v>
      </c>
      <c r="Q367" s="16"/>
    </row>
    <row r="368" ht="20.05" customHeight="1">
      <c r="A368" s="13">
        <f>A367+1</f>
        <v>366</v>
      </c>
      <c r="B368" s="14">
        <v>2023</v>
      </c>
      <c r="C368" s="15">
        <v>8</v>
      </c>
      <c r="D368" s="15">
        <v>23</v>
      </c>
      <c r="E368" s="15">
        <v>50905</v>
      </c>
      <c r="F368" t="s" s="17">
        <v>122</v>
      </c>
      <c r="G368" t="s" s="17">
        <v>175</v>
      </c>
      <c r="H368" t="s" s="17">
        <v>163</v>
      </c>
      <c r="I368" t="s" s="17">
        <v>14</v>
      </c>
      <c r="J368" t="s" s="17">
        <v>124</v>
      </c>
      <c r="K368" t="s" s="17">
        <v>16</v>
      </c>
      <c r="L368" s="15">
        <f>IF(O368,P368/O368,0)</f>
        <v>0.106</v>
      </c>
      <c r="M368" s="15">
        <v>0.106</v>
      </c>
      <c r="N368" s="15">
        <f>A368</f>
        <v>366</v>
      </c>
      <c r="O368" s="15">
        <f>2750*4</f>
        <v>11000</v>
      </c>
      <c r="P368" s="15">
        <v>1166</v>
      </c>
      <c r="Q368" s="16"/>
    </row>
    <row r="369" ht="20.05" customHeight="1">
      <c r="A369" s="13">
        <f>A368+1</f>
        <v>367</v>
      </c>
      <c r="B369" s="14">
        <v>2023</v>
      </c>
      <c r="C369" s="15">
        <v>8</v>
      </c>
      <c r="D369" s="15">
        <v>23</v>
      </c>
      <c r="E369" s="15">
        <v>2311</v>
      </c>
      <c r="F369" t="s" s="17">
        <v>122</v>
      </c>
      <c r="G369" s="16"/>
      <c r="H369" t="s" s="17">
        <v>163</v>
      </c>
      <c r="I369" t="s" s="17">
        <v>26</v>
      </c>
      <c r="J369" t="s" s="17">
        <v>117</v>
      </c>
      <c r="K369" t="s" s="17">
        <v>23</v>
      </c>
      <c r="L369" s="15">
        <f>IF(O369,P369/O369,0)</f>
        <v>29</v>
      </c>
      <c r="M369" s="15">
        <v>29</v>
      </c>
      <c r="N369" s="15">
        <f>A369</f>
        <v>367</v>
      </c>
      <c r="O369" s="15">
        <v>14</v>
      </c>
      <c r="P369" s="15">
        <v>406</v>
      </c>
      <c r="Q369" s="16"/>
    </row>
    <row r="370" ht="20.05" customHeight="1">
      <c r="A370" s="13">
        <f>A369+1</f>
        <v>368</v>
      </c>
      <c r="B370" s="14">
        <v>2023</v>
      </c>
      <c r="C370" s="15">
        <v>8</v>
      </c>
      <c r="D370" s="15">
        <v>23</v>
      </c>
      <c r="E370" s="15">
        <v>2311</v>
      </c>
      <c r="F370" t="s" s="17">
        <v>122</v>
      </c>
      <c r="G370" s="16"/>
      <c r="H370" t="s" s="17">
        <v>163</v>
      </c>
      <c r="I370" t="s" s="17">
        <v>26</v>
      </c>
      <c r="J370" t="s" s="17">
        <v>118</v>
      </c>
      <c r="K370" t="s" s="17">
        <v>23</v>
      </c>
      <c r="L370" s="15">
        <f>IF(O370,P370/O370,0)</f>
        <v>29</v>
      </c>
      <c r="M370" s="15">
        <v>29</v>
      </c>
      <c r="N370" s="15">
        <f>A370</f>
        <v>368</v>
      </c>
      <c r="O370" s="15">
        <v>14</v>
      </c>
      <c r="P370" s="15">
        <v>406</v>
      </c>
      <c r="Q370" s="16"/>
    </row>
    <row r="371" ht="20.05" customHeight="1">
      <c r="A371" s="13">
        <f>A370+1</f>
        <v>369</v>
      </c>
      <c r="B371" s="14">
        <v>2023</v>
      </c>
      <c r="C371" s="15">
        <v>8</v>
      </c>
      <c r="D371" s="15">
        <v>23</v>
      </c>
      <c r="E371" s="15">
        <v>2311</v>
      </c>
      <c r="F371" t="s" s="17">
        <v>122</v>
      </c>
      <c r="G371" t="s" s="17">
        <v>241</v>
      </c>
      <c r="H371" t="s" s="17">
        <v>163</v>
      </c>
      <c r="I371" t="s" s="17">
        <v>14</v>
      </c>
      <c r="J371" t="s" s="17">
        <v>28</v>
      </c>
      <c r="K371" t="s" s="17">
        <v>16</v>
      </c>
      <c r="L371" s="15">
        <f>IF(O371,P371/O371,0)</f>
        <v>0.0935</v>
      </c>
      <c r="M371" s="15">
        <v>0.0935</v>
      </c>
      <c r="N371" s="15">
        <f>A371</f>
        <v>369</v>
      </c>
      <c r="O371" s="15">
        <v>1000</v>
      </c>
      <c r="P371" s="15">
        <v>93.5</v>
      </c>
      <c r="Q371" s="16"/>
    </row>
    <row r="372" ht="20.05" customHeight="1">
      <c r="A372" s="13">
        <f>A371+1</f>
        <v>370</v>
      </c>
      <c r="B372" s="14">
        <v>2023</v>
      </c>
      <c r="C372" s="15">
        <v>8</v>
      </c>
      <c r="D372" s="15">
        <v>23</v>
      </c>
      <c r="E372" s="15">
        <v>2311</v>
      </c>
      <c r="F372" t="s" s="17">
        <v>122</v>
      </c>
      <c r="G372" t="s" s="17">
        <v>241</v>
      </c>
      <c r="H372" t="s" s="17">
        <v>163</v>
      </c>
      <c r="I372" t="s" s="17">
        <v>14</v>
      </c>
      <c r="J372" t="s" s="17">
        <v>133</v>
      </c>
      <c r="K372" t="s" s="17">
        <v>16</v>
      </c>
      <c r="L372" s="15">
        <f>IF(O372,P372/O372,0)</f>
        <v>0.0935</v>
      </c>
      <c r="M372" s="15">
        <v>0.0935</v>
      </c>
      <c r="N372" s="15">
        <f>A372</f>
        <v>370</v>
      </c>
      <c r="O372" s="15">
        <v>1000</v>
      </c>
      <c r="P372" s="15">
        <v>93.5</v>
      </c>
      <c r="Q372" s="16"/>
    </row>
    <row r="373" ht="20.05" customHeight="1">
      <c r="A373" s="13">
        <f>A372+1</f>
        <v>371</v>
      </c>
      <c r="B373" s="14">
        <v>2023</v>
      </c>
      <c r="C373" s="15">
        <v>8</v>
      </c>
      <c r="D373" s="15">
        <v>23</v>
      </c>
      <c r="E373" s="15">
        <v>296</v>
      </c>
      <c r="F373" t="s" s="17">
        <v>130</v>
      </c>
      <c r="G373" t="s" s="17">
        <v>238</v>
      </c>
      <c r="H373" t="s" s="17">
        <v>163</v>
      </c>
      <c r="I373" t="s" s="17">
        <v>14</v>
      </c>
      <c r="J373" t="s" s="17">
        <v>18</v>
      </c>
      <c r="K373" t="s" s="17">
        <v>16</v>
      </c>
      <c r="L373" s="15">
        <f>IF(O373,P373/O373,0)</f>
        <v>0.146166666666667</v>
      </c>
      <c r="M373" s="15">
        <v>0.146166666666667</v>
      </c>
      <c r="N373" s="15">
        <f>A373</f>
        <v>371</v>
      </c>
      <c r="O373" s="15">
        <f>9*300</f>
        <v>2700</v>
      </c>
      <c r="P373" s="15">
        <v>394.65</v>
      </c>
      <c r="Q373" s="16"/>
    </row>
    <row r="374" ht="20.05" customHeight="1">
      <c r="A374" s="13">
        <f>A373+1</f>
        <v>372</v>
      </c>
      <c r="B374" s="14">
        <v>2023</v>
      </c>
      <c r="C374" s="15">
        <v>8</v>
      </c>
      <c r="D374" s="15">
        <v>23</v>
      </c>
      <c r="E374" s="15">
        <v>162</v>
      </c>
      <c r="F374" t="s" s="17">
        <v>130</v>
      </c>
      <c r="G374" t="s" s="17">
        <v>239</v>
      </c>
      <c r="H374" t="s" s="17">
        <v>163</v>
      </c>
      <c r="I374" t="s" s="17">
        <v>14</v>
      </c>
      <c r="J374" t="s" s="17">
        <v>140</v>
      </c>
      <c r="K374" t="s" s="17">
        <v>23</v>
      </c>
      <c r="L374" s="15">
        <f>IF(O374,P374/O374,0)</f>
        <v>2.665</v>
      </c>
      <c r="M374" s="15">
        <v>2.665</v>
      </c>
      <c r="N374" s="15">
        <f>A374</f>
        <v>372</v>
      </c>
      <c r="O374" s="15">
        <v>30</v>
      </c>
      <c r="P374" s="15">
        <v>79.95</v>
      </c>
      <c r="Q374" s="16"/>
    </row>
    <row r="375" ht="20.05" customHeight="1">
      <c r="A375" s="13">
        <f>A374+1</f>
        <v>373</v>
      </c>
      <c r="B375" s="14">
        <v>2023</v>
      </c>
      <c r="C375" s="15">
        <v>8</v>
      </c>
      <c r="D375" s="15">
        <v>23</v>
      </c>
      <c r="E375" s="15">
        <v>7888</v>
      </c>
      <c r="F375" t="s" s="17">
        <v>111</v>
      </c>
      <c r="G375" s="16"/>
      <c r="H375" t="s" s="17">
        <v>163</v>
      </c>
      <c r="I375" t="s" s="17">
        <v>26</v>
      </c>
      <c r="J375" t="s" s="17">
        <v>134</v>
      </c>
      <c r="K375" t="s" s="17">
        <v>23</v>
      </c>
      <c r="L375" s="15">
        <f>IF(O375,P375/O375,0)</f>
        <v>32.58</v>
      </c>
      <c r="M375" s="15">
        <v>32.58</v>
      </c>
      <c r="N375" s="15">
        <f>A375</f>
        <v>373</v>
      </c>
      <c r="O375" s="15">
        <v>10</v>
      </c>
      <c r="P375" s="15">
        <v>325.8</v>
      </c>
      <c r="Q375" s="16"/>
    </row>
    <row r="376" ht="20.05" customHeight="1">
      <c r="A376" s="13">
        <f>A375+1</f>
        <v>374</v>
      </c>
      <c r="B376" s="14">
        <v>2023</v>
      </c>
      <c r="C376" s="15">
        <v>8</v>
      </c>
      <c r="D376" s="15">
        <v>25</v>
      </c>
      <c r="E376" s="15">
        <v>108</v>
      </c>
      <c r="F376" t="s" s="17">
        <v>130</v>
      </c>
      <c r="G376" t="s" s="17">
        <v>242</v>
      </c>
      <c r="H376" t="s" s="17">
        <v>163</v>
      </c>
      <c r="I376" t="s" s="17">
        <v>14</v>
      </c>
      <c r="J376" t="s" s="17">
        <v>119</v>
      </c>
      <c r="K376" t="s" s="17">
        <v>16</v>
      </c>
      <c r="L376" s="15">
        <f>IF(O376,P376/O376,0)</f>
        <v>0.07633587786259539</v>
      </c>
      <c r="M376" s="15">
        <v>0.07633587786259539</v>
      </c>
      <c r="N376" s="15">
        <f>A376</f>
        <v>374</v>
      </c>
      <c r="O376" s="15">
        <f>5*131</f>
        <v>655</v>
      </c>
      <c r="P376" s="15">
        <v>50</v>
      </c>
      <c r="Q376" s="16"/>
    </row>
    <row r="377" ht="20.05" customHeight="1">
      <c r="A377" s="13">
        <f>A376+1</f>
        <v>375</v>
      </c>
      <c r="B377" s="14">
        <v>2023</v>
      </c>
      <c r="C377" s="15">
        <v>8</v>
      </c>
      <c r="D377" s="15">
        <v>25</v>
      </c>
      <c r="E377" s="15">
        <v>108</v>
      </c>
      <c r="F377" t="s" s="17">
        <v>130</v>
      </c>
      <c r="G377" t="s" s="17">
        <v>175</v>
      </c>
      <c r="H377" t="s" s="17">
        <v>163</v>
      </c>
      <c r="I377" t="s" s="17">
        <v>17</v>
      </c>
      <c r="J377" t="s" s="17">
        <v>55</v>
      </c>
      <c r="K377" t="s" s="17">
        <v>16</v>
      </c>
      <c r="L377" s="15">
        <f>IF(O377,P377/O377,0)</f>
        <v>0.388285714285714</v>
      </c>
      <c r="M377" s="15">
        <v>0.388285714285714</v>
      </c>
      <c r="N377" s="15">
        <f>A377</f>
        <v>375</v>
      </c>
      <c r="O377" s="15">
        <f>4*350</f>
        <v>1400</v>
      </c>
      <c r="P377" s="15">
        <v>543.6</v>
      </c>
      <c r="Q377" s="16"/>
    </row>
    <row r="378" ht="20.05" customHeight="1">
      <c r="A378" s="13">
        <f>A377+1</f>
        <v>376</v>
      </c>
      <c r="B378" s="14">
        <v>2023</v>
      </c>
      <c r="C378" s="15">
        <v>8</v>
      </c>
      <c r="D378" s="15">
        <v>26</v>
      </c>
      <c r="E378" s="15">
        <v>51446</v>
      </c>
      <c r="F378" t="s" s="17">
        <v>122</v>
      </c>
      <c r="G378" t="s" s="17">
        <v>175</v>
      </c>
      <c r="H378" t="s" s="17">
        <v>163</v>
      </c>
      <c r="I378" t="s" s="17">
        <v>19</v>
      </c>
      <c r="J378" t="s" s="17">
        <v>138</v>
      </c>
      <c r="K378" t="s" s="17">
        <v>41</v>
      </c>
      <c r="L378" s="15">
        <f>IF(O378,P378/O378,0)</f>
        <v>0.0333333333333333</v>
      </c>
      <c r="M378" s="15">
        <v>0.0333333333333333</v>
      </c>
      <c r="N378" s="15">
        <f>A378</f>
        <v>376</v>
      </c>
      <c r="O378" s="15">
        <f t="shared" si="1188" ref="O378:O1672">6*12*1000</f>
        <v>72000</v>
      </c>
      <c r="P378" s="15">
        <v>2400</v>
      </c>
      <c r="Q378" s="16"/>
    </row>
    <row r="379" ht="20.05" customHeight="1">
      <c r="A379" s="13">
        <f>A378+1</f>
        <v>377</v>
      </c>
      <c r="B379" s="14">
        <v>2023</v>
      </c>
      <c r="C379" s="15">
        <v>8</v>
      </c>
      <c r="D379" s="15">
        <v>26</v>
      </c>
      <c r="E379" s="15">
        <v>181433</v>
      </c>
      <c r="F379" t="s" s="17">
        <v>111</v>
      </c>
      <c r="G379" t="s" s="17">
        <v>224</v>
      </c>
      <c r="H379" t="s" s="17">
        <v>163</v>
      </c>
      <c r="I379" t="s" s="17">
        <v>14</v>
      </c>
      <c r="J379" t="s" s="17">
        <v>133</v>
      </c>
      <c r="K379" t="s" s="17">
        <v>16</v>
      </c>
      <c r="L379" s="15">
        <f>IF(O379,P379/O379,0)</f>
        <v>0.149504</v>
      </c>
      <c r="M379" s="15">
        <v>0.149504</v>
      </c>
      <c r="N379" s="15">
        <f>A379</f>
        <v>377</v>
      </c>
      <c r="O379" s="15">
        <v>2500</v>
      </c>
      <c r="P379" s="15">
        <v>373.76</v>
      </c>
      <c r="Q379" s="16"/>
    </row>
    <row r="380" ht="20.05" customHeight="1">
      <c r="A380" s="13">
        <f>A379+1</f>
        <v>378</v>
      </c>
      <c r="B380" s="14">
        <v>2023</v>
      </c>
      <c r="C380" s="15">
        <v>8</v>
      </c>
      <c r="D380" s="15">
        <v>26</v>
      </c>
      <c r="E380" s="15">
        <v>181433</v>
      </c>
      <c r="F380" t="s" s="17">
        <v>111</v>
      </c>
      <c r="G380" t="s" s="17">
        <v>224</v>
      </c>
      <c r="H380" t="s" s="17">
        <v>163</v>
      </c>
      <c r="I380" t="s" s="17">
        <v>14</v>
      </c>
      <c r="J380" t="s" s="17">
        <v>28</v>
      </c>
      <c r="K380" t="s" s="17">
        <v>16</v>
      </c>
      <c r="L380" s="15">
        <f>IF(O380,P380/O380,0)</f>
        <v>0.172016</v>
      </c>
      <c r="M380" s="15">
        <v>0.172016</v>
      </c>
      <c r="N380" s="15">
        <f>A380</f>
        <v>378</v>
      </c>
      <c r="O380" s="15">
        <v>2500</v>
      </c>
      <c r="P380" s="15">
        <v>430.04</v>
      </c>
      <c r="Q380" s="16"/>
    </row>
    <row r="381" ht="20.05" customHeight="1">
      <c r="A381" s="13">
        <f>A380+1</f>
        <v>379</v>
      </c>
      <c r="B381" s="14">
        <v>2023</v>
      </c>
      <c r="C381" s="15">
        <v>8</v>
      </c>
      <c r="D381" s="15">
        <v>26</v>
      </c>
      <c r="E381" s="15">
        <v>99529</v>
      </c>
      <c r="F381" t="s" s="17">
        <v>141</v>
      </c>
      <c r="G381" s="16"/>
      <c r="H381" t="s" s="17">
        <v>163</v>
      </c>
      <c r="I381" t="s" s="17">
        <v>19</v>
      </c>
      <c r="J381" t="s" s="17">
        <v>142</v>
      </c>
      <c r="K381" t="s" s="17">
        <v>23</v>
      </c>
      <c r="L381" s="15">
        <f>IF(O381,P381/O381,0)</f>
        <v>12.5922916666667</v>
      </c>
      <c r="M381" s="15">
        <v>12.5922916666667</v>
      </c>
      <c r="N381" s="15">
        <f>A381</f>
        <v>379</v>
      </c>
      <c r="O381" s="15">
        <v>48</v>
      </c>
      <c r="P381" s="15">
        <v>604.4299999999999</v>
      </c>
      <c r="Q381" s="16"/>
    </row>
    <row r="382" ht="20.05" customHeight="1">
      <c r="A382" s="13">
        <f>A381+1</f>
        <v>380</v>
      </c>
      <c r="B382" s="14">
        <v>2023</v>
      </c>
      <c r="C382" s="15">
        <v>8</v>
      </c>
      <c r="D382" s="15">
        <v>26</v>
      </c>
      <c r="E382" s="15">
        <v>99529</v>
      </c>
      <c r="F382" t="s" s="17">
        <v>141</v>
      </c>
      <c r="G382" s="16"/>
      <c r="H382" t="s" s="17">
        <v>163</v>
      </c>
      <c r="I382" t="s" s="17">
        <v>19</v>
      </c>
      <c r="J382" t="s" s="17">
        <v>144</v>
      </c>
      <c r="K382" t="s" s="17">
        <v>23</v>
      </c>
      <c r="L382" s="15">
        <f>IF(O382,P382/O382,0)</f>
        <v>12.5925</v>
      </c>
      <c r="M382" s="15">
        <v>12.5925</v>
      </c>
      <c r="N382" s="15">
        <f>A382</f>
        <v>380</v>
      </c>
      <c r="O382" s="15">
        <v>24</v>
      </c>
      <c r="P382" s="15">
        <v>302.22</v>
      </c>
      <c r="Q382" s="16"/>
    </row>
    <row r="383" ht="20.05" customHeight="1">
      <c r="A383" s="13">
        <f>A382+1</f>
        <v>381</v>
      </c>
      <c r="B383" s="14">
        <v>2023</v>
      </c>
      <c r="C383" s="15">
        <v>8</v>
      </c>
      <c r="D383" s="15">
        <v>26</v>
      </c>
      <c r="E383" s="15">
        <v>99529</v>
      </c>
      <c r="F383" t="s" s="17">
        <v>141</v>
      </c>
      <c r="G383" s="16"/>
      <c r="H383" t="s" s="17">
        <v>163</v>
      </c>
      <c r="I383" t="s" s="17">
        <v>19</v>
      </c>
      <c r="J383" t="s" s="17">
        <v>159</v>
      </c>
      <c r="K383" t="s" s="17">
        <v>23</v>
      </c>
      <c r="L383" s="15">
        <f>IF(O383,P383/O383,0)</f>
        <v>2.57441666666667</v>
      </c>
      <c r="M383" s="15">
        <v>2.57441666666667</v>
      </c>
      <c r="N383" s="15">
        <f>A383</f>
        <v>381</v>
      </c>
      <c r="O383" s="15">
        <v>120</v>
      </c>
      <c r="P383" s="15">
        <v>308.93</v>
      </c>
      <c r="Q383" s="16"/>
    </row>
    <row r="384" ht="20.05" customHeight="1">
      <c r="A384" s="13">
        <f>A383+1</f>
        <v>382</v>
      </c>
      <c r="B384" s="14">
        <v>2023</v>
      </c>
      <c r="C384" s="15">
        <v>8</v>
      </c>
      <c r="D384" s="15">
        <v>26</v>
      </c>
      <c r="E384" s="15">
        <v>115</v>
      </c>
      <c r="F384" t="s" s="17">
        <v>130</v>
      </c>
      <c r="G384" s="16"/>
      <c r="H384" t="s" s="17">
        <v>163</v>
      </c>
      <c r="I384" t="s" s="17">
        <v>19</v>
      </c>
      <c r="J384" t="s" s="17">
        <v>157</v>
      </c>
      <c r="K384" t="s" s="17">
        <v>16</v>
      </c>
      <c r="L384" s="15">
        <f>IF(O384,P384/O384,0)</f>
        <v>0.0249492900608519</v>
      </c>
      <c r="M384" s="15">
        <v>0.0249492900608519</v>
      </c>
      <c r="N384" s="15">
        <f>A384</f>
        <v>382</v>
      </c>
      <c r="O384" s="15">
        <f>982+990</f>
        <v>1972</v>
      </c>
      <c r="P384" s="15">
        <v>49.2</v>
      </c>
      <c r="Q384" s="16"/>
    </row>
    <row r="385" ht="20.05" customHeight="1">
      <c r="A385" s="13">
        <f>A384+1</f>
        <v>383</v>
      </c>
      <c r="B385" s="14">
        <v>2023</v>
      </c>
      <c r="C385" s="15">
        <v>8</v>
      </c>
      <c r="D385" s="15">
        <v>26</v>
      </c>
      <c r="E385" s="15">
        <v>292</v>
      </c>
      <c r="F385" t="s" s="17">
        <v>130</v>
      </c>
      <c r="G385" t="s" s="17">
        <v>194</v>
      </c>
      <c r="H385" t="s" s="17">
        <v>163</v>
      </c>
      <c r="I385" t="s" s="17">
        <v>19</v>
      </c>
      <c r="J385" t="s" s="17">
        <v>131</v>
      </c>
      <c r="K385" t="s" s="17">
        <v>41</v>
      </c>
      <c r="L385" s="15">
        <f>IF(O385,P385/O385,0)</f>
        <v>0.0392142857142857</v>
      </c>
      <c r="M385" s="15">
        <v>0.0392142857142857</v>
      </c>
      <c r="N385" s="15">
        <f>A385</f>
        <v>383</v>
      </c>
      <c r="O385" s="15">
        <v>1400</v>
      </c>
      <c r="P385" s="15">
        <v>54.9</v>
      </c>
      <c r="Q385" s="16"/>
    </row>
    <row r="386" ht="20.05" customHeight="1">
      <c r="A386" s="13">
        <f>A385+1</f>
        <v>384</v>
      </c>
      <c r="B386" s="14">
        <v>2023</v>
      </c>
      <c r="C386" s="15">
        <v>8</v>
      </c>
      <c r="D386" s="15">
        <v>26</v>
      </c>
      <c r="E386" s="15">
        <v>210</v>
      </c>
      <c r="F386" t="s" s="17">
        <v>130</v>
      </c>
      <c r="G386" t="s" s="17">
        <v>191</v>
      </c>
      <c r="H386" t="s" s="17">
        <v>163</v>
      </c>
      <c r="I386" t="s" s="17">
        <v>26</v>
      </c>
      <c r="J386" t="s" s="17">
        <v>113</v>
      </c>
      <c r="K386" t="s" s="17">
        <v>41</v>
      </c>
      <c r="L386" s="15">
        <f>IF(O386,P386/O386,0)</f>
        <v>0.0299833333333333</v>
      </c>
      <c r="M386" s="15">
        <v>0.0299833333333333</v>
      </c>
      <c r="N386" s="15">
        <f>A386</f>
        <v>384</v>
      </c>
      <c r="O386" s="15">
        <v>3000</v>
      </c>
      <c r="P386" s="15">
        <v>89.95</v>
      </c>
      <c r="Q386" s="16"/>
    </row>
    <row r="387" ht="20.05" customHeight="1">
      <c r="A387" s="13">
        <f>A386+1</f>
        <v>385</v>
      </c>
      <c r="B387" s="14">
        <v>2023</v>
      </c>
      <c r="C387" s="15">
        <v>8</v>
      </c>
      <c r="D387" s="15">
        <v>26</v>
      </c>
      <c r="E387" s="15">
        <v>124</v>
      </c>
      <c r="F387" t="s" s="17">
        <v>130</v>
      </c>
      <c r="G387" t="s" s="17">
        <v>175</v>
      </c>
      <c r="H387" t="s" s="17">
        <v>163</v>
      </c>
      <c r="I387" t="s" s="17">
        <v>19</v>
      </c>
      <c r="J387" t="s" s="17">
        <v>112</v>
      </c>
      <c r="K387" t="s" s="17">
        <v>41</v>
      </c>
      <c r="L387" s="15">
        <f>IF(O387,P387/O387,0)</f>
        <v>0.0325</v>
      </c>
      <c r="M387" s="15">
        <v>0.0325</v>
      </c>
      <c r="N387" s="15">
        <f>A387</f>
        <v>385</v>
      </c>
      <c r="O387" s="15">
        <v>6000</v>
      </c>
      <c r="P387" s="15">
        <v>195</v>
      </c>
      <c r="Q387" s="16"/>
    </row>
    <row r="388" ht="20.05" customHeight="1">
      <c r="A388" s="13">
        <f>A387+1</f>
        <v>386</v>
      </c>
      <c r="B388" s="14">
        <v>2023</v>
      </c>
      <c r="C388" s="15">
        <v>8</v>
      </c>
      <c r="D388" s="15">
        <v>26</v>
      </c>
      <c r="E388" s="15">
        <v>54</v>
      </c>
      <c r="F388" t="s" s="17">
        <v>207</v>
      </c>
      <c r="G388" s="16"/>
      <c r="H388" t="s" s="17">
        <v>163</v>
      </c>
      <c r="I388" t="s" s="17">
        <v>187</v>
      </c>
      <c r="J388" t="s" s="17">
        <v>185</v>
      </c>
      <c r="K388" t="s" s="17">
        <v>23</v>
      </c>
      <c r="L388" s="15">
        <f>IF(O388,P388/O388,0)</f>
        <v>840.5</v>
      </c>
      <c r="M388" s="15">
        <v>840.5</v>
      </c>
      <c r="N388" s="15">
        <f>A388</f>
        <v>386</v>
      </c>
      <c r="O388" s="15">
        <v>1</v>
      </c>
      <c r="P388" s="15">
        <v>840.5</v>
      </c>
      <c r="Q388" s="16"/>
    </row>
    <row r="389" ht="20.05" customHeight="1">
      <c r="A389" s="13">
        <f>A388+1</f>
        <v>387</v>
      </c>
      <c r="B389" s="14">
        <v>2023</v>
      </c>
      <c r="C389" s="15">
        <v>8</v>
      </c>
      <c r="D389" s="15">
        <v>27</v>
      </c>
      <c r="E389" s="15">
        <v>210</v>
      </c>
      <c r="F389" t="s" s="17">
        <v>130</v>
      </c>
      <c r="G389" s="16"/>
      <c r="H389" t="s" s="17">
        <v>163</v>
      </c>
      <c r="I389" t="s" s="17">
        <v>26</v>
      </c>
      <c r="J389" t="s" s="17">
        <v>113</v>
      </c>
      <c r="K389" t="s" s="17">
        <v>41</v>
      </c>
      <c r="L389" s="15">
        <f>IF(O389,P389/O389,0)</f>
        <v>0.0299833333333333</v>
      </c>
      <c r="M389" s="15">
        <v>0.0299833333333333</v>
      </c>
      <c r="N389" s="15">
        <f>A389</f>
        <v>387</v>
      </c>
      <c r="O389" s="15">
        <v>3000</v>
      </c>
      <c r="P389" s="15">
        <v>89.95</v>
      </c>
      <c r="Q389" s="16"/>
    </row>
    <row r="390" ht="20.05" customHeight="1">
      <c r="A390" s="13">
        <f>A389+1</f>
        <v>388</v>
      </c>
      <c r="B390" s="14">
        <v>2023</v>
      </c>
      <c r="C390" s="15">
        <v>8</v>
      </c>
      <c r="D390" s="15">
        <v>27</v>
      </c>
      <c r="E390" s="15">
        <v>124</v>
      </c>
      <c r="F390" t="s" s="17">
        <v>130</v>
      </c>
      <c r="G390" s="16"/>
      <c r="H390" t="s" s="17">
        <v>163</v>
      </c>
      <c r="I390" t="s" s="17">
        <v>19</v>
      </c>
      <c r="J390" t="s" s="17">
        <v>112</v>
      </c>
      <c r="K390" t="s" s="17">
        <v>41</v>
      </c>
      <c r="L390" s="15">
        <f>IF(O390,P390/O390,0)</f>
        <v>0.0325</v>
      </c>
      <c r="M390" s="15">
        <v>0.0325</v>
      </c>
      <c r="N390" s="15">
        <f>A390</f>
        <v>388</v>
      </c>
      <c r="O390" s="15">
        <f t="shared" si="1226" ref="O390:O486">6*1000</f>
        <v>6000</v>
      </c>
      <c r="P390" s="15">
        <v>195</v>
      </c>
      <c r="Q390" s="16"/>
    </row>
    <row r="391" ht="20.05" customHeight="1">
      <c r="A391" s="13">
        <f>A390+1</f>
        <v>389</v>
      </c>
      <c r="B391" s="14">
        <v>2023</v>
      </c>
      <c r="C391" s="15">
        <v>8</v>
      </c>
      <c r="D391" s="15">
        <v>28</v>
      </c>
      <c r="E391" s="15">
        <v>5</v>
      </c>
      <c r="F391" t="s" s="17">
        <v>184</v>
      </c>
      <c r="G391" s="16"/>
      <c r="H391" t="s" s="17">
        <v>163</v>
      </c>
      <c r="I391" t="s" s="17">
        <v>187</v>
      </c>
      <c r="J391" t="s" s="17">
        <v>209</v>
      </c>
      <c r="K391" t="s" s="17">
        <v>23</v>
      </c>
      <c r="L391" s="15">
        <f>IF(O391,P391/O391,0)</f>
        <v>275</v>
      </c>
      <c r="M391" s="15">
        <v>275</v>
      </c>
      <c r="N391" s="15">
        <f>A391</f>
        <v>389</v>
      </c>
      <c r="O391" s="15">
        <v>1</v>
      </c>
      <c r="P391" s="15">
        <v>275</v>
      </c>
      <c r="Q391" s="16"/>
    </row>
    <row r="392" ht="20.05" customHeight="1">
      <c r="A392" s="13">
        <f>A391+1</f>
        <v>390</v>
      </c>
      <c r="B392" s="14">
        <v>2023</v>
      </c>
      <c r="C392" s="15">
        <v>8</v>
      </c>
      <c r="D392" s="15">
        <v>28</v>
      </c>
      <c r="E392" s="15">
        <v>148</v>
      </c>
      <c r="F392" t="s" s="17">
        <v>130</v>
      </c>
      <c r="G392" s="16"/>
      <c r="H392" t="s" s="17">
        <v>163</v>
      </c>
      <c r="I392" t="s" s="17">
        <v>19</v>
      </c>
      <c r="J392" t="s" s="17">
        <v>157</v>
      </c>
      <c r="K392" t="s" s="17">
        <v>16</v>
      </c>
      <c r="L392" s="15">
        <f>IF(O392,P392/O392,0)</f>
        <v>0.0249245624622812</v>
      </c>
      <c r="M392" s="15">
        <v>0.0249245624622812</v>
      </c>
      <c r="N392" s="15">
        <f>A392</f>
        <v>390</v>
      </c>
      <c r="O392" s="15">
        <v>1657</v>
      </c>
      <c r="P392" s="15">
        <v>41.3</v>
      </c>
      <c r="Q392" s="16"/>
    </row>
    <row r="393" ht="20.05" customHeight="1">
      <c r="A393" s="13">
        <f>A392+1</f>
        <v>391</v>
      </c>
      <c r="B393" s="14">
        <v>2023</v>
      </c>
      <c r="C393" s="15">
        <v>8</v>
      </c>
      <c r="D393" s="15">
        <v>28</v>
      </c>
      <c r="E393" s="15">
        <v>37</v>
      </c>
      <c r="F393" t="s" s="17">
        <v>243</v>
      </c>
      <c r="G393" s="16"/>
      <c r="H393" t="s" s="17">
        <v>163</v>
      </c>
      <c r="I393" t="s" s="17">
        <v>19</v>
      </c>
      <c r="J393" t="s" s="17">
        <v>244</v>
      </c>
      <c r="K393" t="s" s="17">
        <v>23</v>
      </c>
      <c r="L393" s="15">
        <f>IF(O393,P393/O393,0)</f>
        <v>540</v>
      </c>
      <c r="M393" s="15">
        <v>540</v>
      </c>
      <c r="N393" s="15">
        <f>A393</f>
        <v>391</v>
      </c>
      <c r="O393" s="15">
        <v>1</v>
      </c>
      <c r="P393" s="15">
        <v>540</v>
      </c>
      <c r="Q393" s="16"/>
    </row>
    <row r="394" ht="20.05" customHeight="1">
      <c r="A394" s="13">
        <f>A393+1</f>
        <v>392</v>
      </c>
      <c r="B394" s="14">
        <v>2023</v>
      </c>
      <c r="C394" s="15">
        <v>8</v>
      </c>
      <c r="D394" s="15">
        <v>30</v>
      </c>
      <c r="E394" s="15">
        <v>13323</v>
      </c>
      <c r="F394" t="s" s="17">
        <v>122</v>
      </c>
      <c r="G394" s="16"/>
      <c r="H394" t="s" s="17">
        <v>163</v>
      </c>
      <c r="I394" t="s" s="17">
        <v>19</v>
      </c>
      <c r="J394" t="s" s="17">
        <v>67</v>
      </c>
      <c r="K394" t="s" s="17">
        <v>23</v>
      </c>
      <c r="L394" s="15">
        <f>IF(O394,P394/O394,0)</f>
        <v>0.94149</v>
      </c>
      <c r="M394" s="15">
        <v>0.94149</v>
      </c>
      <c r="N394" s="15">
        <f>A394</f>
        <v>392</v>
      </c>
      <c r="O394" s="15">
        <f t="shared" si="1239" ref="O394:O492">5*100</f>
        <v>500</v>
      </c>
      <c r="P394" s="15">
        <v>470.745</v>
      </c>
      <c r="Q394" s="16"/>
    </row>
    <row r="395" ht="20.05" customHeight="1">
      <c r="A395" s="13">
        <f>A394+1</f>
        <v>393</v>
      </c>
      <c r="B395" s="14">
        <v>2023</v>
      </c>
      <c r="C395" s="15">
        <v>8</v>
      </c>
      <c r="D395" s="15">
        <v>30</v>
      </c>
      <c r="E395" s="15">
        <v>13323</v>
      </c>
      <c r="F395" t="s" s="17">
        <v>122</v>
      </c>
      <c r="G395" s="16"/>
      <c r="H395" t="s" s="17">
        <v>163</v>
      </c>
      <c r="I395" t="s" s="17">
        <v>19</v>
      </c>
      <c r="J395" t="s" s="17">
        <v>138</v>
      </c>
      <c r="K395" t="s" s="17">
        <v>41</v>
      </c>
      <c r="L395" s="15">
        <f>IF(O395,P395/O395,0)</f>
        <v>0.0333333333333333</v>
      </c>
      <c r="M395" s="15">
        <v>0.0333333333333333</v>
      </c>
      <c r="N395" s="15">
        <f>A395</f>
        <v>393</v>
      </c>
      <c r="O395" s="15">
        <f t="shared" si="1243" ref="O395:O592">3*12*1000</f>
        <v>36000</v>
      </c>
      <c r="P395" s="15">
        <v>1200</v>
      </c>
      <c r="Q395" s="16"/>
    </row>
    <row r="396" ht="20.35" customHeight="1">
      <c r="A396" s="13">
        <f>A395+1</f>
        <v>394</v>
      </c>
      <c r="B396" s="14">
        <v>2023</v>
      </c>
      <c r="C396" s="15">
        <v>8</v>
      </c>
      <c r="D396" s="15">
        <v>30</v>
      </c>
      <c r="E396" s="15">
        <v>13323</v>
      </c>
      <c r="F396" t="s" s="17">
        <v>122</v>
      </c>
      <c r="G396" s="16"/>
      <c r="H396" t="s" s="17">
        <v>163</v>
      </c>
      <c r="I396" t="s" s="17">
        <v>19</v>
      </c>
      <c r="J396" t="s" s="17">
        <v>139</v>
      </c>
      <c r="K396" t="s" s="17">
        <v>23</v>
      </c>
      <c r="L396" s="15">
        <f>IF(O396,P396/O396,0)</f>
        <v>3.70833333333333</v>
      </c>
      <c r="M396" s="15">
        <v>3.70833333333333</v>
      </c>
      <c r="N396" s="15">
        <f>A396</f>
        <v>394</v>
      </c>
      <c r="O396" s="15">
        <f t="shared" si="649"/>
        <v>96</v>
      </c>
      <c r="P396" s="18">
        <v>356</v>
      </c>
      <c r="Q396" s="16"/>
    </row>
    <row r="397" ht="20.7" customHeight="1">
      <c r="A397" s="13">
        <f>A396+1</f>
        <v>395</v>
      </c>
      <c r="B397" s="14">
        <v>2023</v>
      </c>
      <c r="C397" s="15">
        <v>8</v>
      </c>
      <c r="D397" s="15">
        <v>30</v>
      </c>
      <c r="E397" s="15">
        <v>13323</v>
      </c>
      <c r="F397" t="s" s="17">
        <v>122</v>
      </c>
      <c r="G397" s="16"/>
      <c r="H397" t="s" s="17">
        <v>163</v>
      </c>
      <c r="I397" t="s" s="17">
        <v>14</v>
      </c>
      <c r="J397" t="s" s="17">
        <v>123</v>
      </c>
      <c r="K397" t="s" s="17">
        <v>16</v>
      </c>
      <c r="L397" s="15">
        <f>IF(O397,P397/O397,0)</f>
        <v>0.04</v>
      </c>
      <c r="M397" s="15">
        <v>0.04</v>
      </c>
      <c r="N397" s="15">
        <f>A397</f>
        <v>395</v>
      </c>
      <c r="O397" s="19">
        <f t="shared" si="653"/>
        <v>10000</v>
      </c>
      <c r="P397" s="27">
        <v>400</v>
      </c>
      <c r="Q397" s="21"/>
    </row>
    <row r="398" ht="20.7" customHeight="1">
      <c r="A398" s="13">
        <f>A397+1</f>
        <v>396</v>
      </c>
      <c r="B398" s="14">
        <v>2023</v>
      </c>
      <c r="C398" s="15">
        <v>8</v>
      </c>
      <c r="D398" s="15">
        <v>30</v>
      </c>
      <c r="E398" s="15">
        <v>13323</v>
      </c>
      <c r="F398" t="s" s="17">
        <v>122</v>
      </c>
      <c r="G398" t="s" s="17">
        <v>173</v>
      </c>
      <c r="H398" t="s" s="17">
        <v>163</v>
      </c>
      <c r="I398" t="s" s="17">
        <v>14</v>
      </c>
      <c r="J398" t="s" s="17">
        <v>147</v>
      </c>
      <c r="K398" t="s" s="17">
        <v>16</v>
      </c>
      <c r="L398" s="15">
        <f>IF(O398,P398/O398,0)</f>
        <v>0.0148</v>
      </c>
      <c r="M398" s="15">
        <v>0.0148</v>
      </c>
      <c r="N398" s="15">
        <f>A398</f>
        <v>396</v>
      </c>
      <c r="O398" s="19">
        <f>6*5000</f>
        <v>30000</v>
      </c>
      <c r="P398" s="27">
        <v>444</v>
      </c>
      <c r="Q398" s="21"/>
    </row>
    <row r="399" ht="20.7" customHeight="1">
      <c r="A399" s="13">
        <f>A398+1</f>
        <v>397</v>
      </c>
      <c r="B399" s="14">
        <v>2023</v>
      </c>
      <c r="C399" s="15">
        <v>8</v>
      </c>
      <c r="D399" s="15">
        <v>30</v>
      </c>
      <c r="E399" s="15">
        <v>13323</v>
      </c>
      <c r="F399" t="s" s="17">
        <v>122</v>
      </c>
      <c r="G399" t="s" s="17">
        <v>174</v>
      </c>
      <c r="H399" t="s" s="17">
        <v>163</v>
      </c>
      <c r="I399" t="s" s="17">
        <v>14</v>
      </c>
      <c r="J399" t="s" s="17">
        <v>39</v>
      </c>
      <c r="K399" t="s" s="17">
        <v>16</v>
      </c>
      <c r="L399" s="15">
        <f>IF(O399,P399/O399,0)</f>
        <v>0.23</v>
      </c>
      <c r="M399" s="15">
        <v>0.23</v>
      </c>
      <c r="N399" s="15">
        <f>A399</f>
        <v>397</v>
      </c>
      <c r="O399" s="19">
        <f t="shared" si="391"/>
        <v>12000</v>
      </c>
      <c r="P399" s="27">
        <v>2760</v>
      </c>
      <c r="Q399" s="21"/>
    </row>
    <row r="400" ht="20.7" customHeight="1">
      <c r="A400" s="13">
        <f>A399+1</f>
        <v>398</v>
      </c>
      <c r="B400" s="14">
        <v>2023</v>
      </c>
      <c r="C400" s="15">
        <v>8</v>
      </c>
      <c r="D400" s="15">
        <v>30</v>
      </c>
      <c r="E400" s="15">
        <v>13323</v>
      </c>
      <c r="F400" t="s" s="17">
        <v>122</v>
      </c>
      <c r="G400" t="s" s="17">
        <v>175</v>
      </c>
      <c r="H400" t="s" s="17">
        <v>163</v>
      </c>
      <c r="I400" t="s" s="17">
        <v>14</v>
      </c>
      <c r="J400" t="s" s="17">
        <v>124</v>
      </c>
      <c r="K400" t="s" s="17">
        <v>16</v>
      </c>
      <c r="L400" s="15">
        <f>IF(O400,P400/O400,0)</f>
        <v>0.116727272727273</v>
      </c>
      <c r="M400" s="15">
        <v>0.116727272727273</v>
      </c>
      <c r="N400" s="15">
        <f>A400</f>
        <v>398</v>
      </c>
      <c r="O400" s="19">
        <v>2750</v>
      </c>
      <c r="P400" s="27">
        <v>321</v>
      </c>
      <c r="Q400" s="21"/>
    </row>
    <row r="401" ht="20.7" customHeight="1">
      <c r="A401" s="13">
        <f>A400+1</f>
        <v>399</v>
      </c>
      <c r="B401" s="14">
        <v>2023</v>
      </c>
      <c r="C401" s="15">
        <v>8</v>
      </c>
      <c r="D401" s="15">
        <v>30</v>
      </c>
      <c r="E401" s="15">
        <v>13323</v>
      </c>
      <c r="F401" t="s" s="17">
        <v>122</v>
      </c>
      <c r="G401" s="16"/>
      <c r="H401" t="s" s="17">
        <v>163</v>
      </c>
      <c r="I401" t="s" s="17">
        <v>14</v>
      </c>
      <c r="J401" t="s" s="17">
        <v>140</v>
      </c>
      <c r="K401" t="s" s="17">
        <v>23</v>
      </c>
      <c r="L401" s="15">
        <f>IF(O401,P401/O401,0)</f>
        <v>2.86666666666667</v>
      </c>
      <c r="M401" s="15">
        <v>2.86666666666667</v>
      </c>
      <c r="N401" s="15">
        <f>A401</f>
        <v>399</v>
      </c>
      <c r="O401" s="19">
        <f>3*30</f>
        <v>90</v>
      </c>
      <c r="P401" s="27">
        <v>258</v>
      </c>
      <c r="Q401" s="21"/>
    </row>
    <row r="402" ht="20.7" customHeight="1">
      <c r="A402" s="13">
        <f>A401+1</f>
        <v>400</v>
      </c>
      <c r="B402" s="14">
        <v>2023</v>
      </c>
      <c r="C402" s="15">
        <v>8</v>
      </c>
      <c r="D402" s="15">
        <v>30</v>
      </c>
      <c r="E402" s="15">
        <v>13323</v>
      </c>
      <c r="F402" t="s" s="17">
        <v>122</v>
      </c>
      <c r="G402" t="s" s="17">
        <v>175</v>
      </c>
      <c r="H402" t="s" s="17">
        <v>163</v>
      </c>
      <c r="I402" t="s" s="17">
        <v>17</v>
      </c>
      <c r="J402" t="s" s="17">
        <v>55</v>
      </c>
      <c r="K402" t="s" s="17">
        <v>16</v>
      </c>
      <c r="L402" s="15">
        <f>IF(O402,P402/O402,0)</f>
        <v>0.377142857142857</v>
      </c>
      <c r="M402" s="15">
        <v>0.377142857142857</v>
      </c>
      <c r="N402" s="15">
        <f>A402</f>
        <v>400</v>
      </c>
      <c r="O402" s="19">
        <f>8*350</f>
        <v>2800</v>
      </c>
      <c r="P402" s="27">
        <v>1056</v>
      </c>
      <c r="Q402" s="21"/>
    </row>
    <row r="403" ht="20.7" customHeight="1">
      <c r="A403" s="13">
        <f>A402+1</f>
        <v>401</v>
      </c>
      <c r="B403" s="14">
        <v>2023</v>
      </c>
      <c r="C403" s="15">
        <v>8</v>
      </c>
      <c r="D403" s="15">
        <v>30</v>
      </c>
      <c r="E403" s="15">
        <v>13323</v>
      </c>
      <c r="F403" t="s" s="17">
        <v>122</v>
      </c>
      <c r="G403" s="16"/>
      <c r="H403" t="s" s="17">
        <v>163</v>
      </c>
      <c r="I403" t="s" s="17">
        <v>17</v>
      </c>
      <c r="J403" t="s" s="17">
        <v>125</v>
      </c>
      <c r="K403" t="s" s="17">
        <v>16</v>
      </c>
      <c r="L403" s="15">
        <f>IF(O403,P403/O403,0)</f>
        <v>0.192</v>
      </c>
      <c r="M403" s="15">
        <v>0.192</v>
      </c>
      <c r="N403" s="15">
        <f>A403</f>
        <v>401</v>
      </c>
      <c r="O403" s="19">
        <v>1500</v>
      </c>
      <c r="P403" s="27">
        <v>288</v>
      </c>
      <c r="Q403" s="21"/>
    </row>
    <row r="404" ht="20.35" customHeight="1">
      <c r="A404" s="13">
        <f>A403+1</f>
        <v>402</v>
      </c>
      <c r="B404" s="14">
        <v>2023</v>
      </c>
      <c r="C404" s="15">
        <v>8</v>
      </c>
      <c r="D404" s="15">
        <v>30</v>
      </c>
      <c r="E404" s="15">
        <v>181949</v>
      </c>
      <c r="F404" t="s" s="17">
        <v>111</v>
      </c>
      <c r="G404" t="s" s="17">
        <v>245</v>
      </c>
      <c r="H404" t="s" s="17">
        <v>163</v>
      </c>
      <c r="I404" t="s" s="17">
        <v>14</v>
      </c>
      <c r="J404" t="s" s="17">
        <v>58</v>
      </c>
      <c r="K404" t="s" s="17">
        <v>16</v>
      </c>
      <c r="L404" s="15">
        <f>IF(O404,P404/O404,0)</f>
        <v>0.21154</v>
      </c>
      <c r="M404" s="15">
        <v>0.21154</v>
      </c>
      <c r="N404" s="15">
        <f>A404</f>
        <v>402</v>
      </c>
      <c r="O404" s="15">
        <v>1000</v>
      </c>
      <c r="P404" s="22">
        <v>211.54</v>
      </c>
      <c r="Q404" s="16"/>
    </row>
    <row r="405" ht="20.05" customHeight="1">
      <c r="A405" s="13">
        <f>A404+1</f>
        <v>403</v>
      </c>
      <c r="B405" s="14">
        <v>2023</v>
      </c>
      <c r="C405" s="15">
        <v>8</v>
      </c>
      <c r="D405" s="15">
        <v>30</v>
      </c>
      <c r="E405" s="15">
        <v>181949</v>
      </c>
      <c r="F405" t="s" s="17">
        <v>111</v>
      </c>
      <c r="G405" s="16"/>
      <c r="H405" t="s" s="17">
        <v>163</v>
      </c>
      <c r="I405" t="s" s="17">
        <v>26</v>
      </c>
      <c r="J405" t="s" s="17">
        <v>117</v>
      </c>
      <c r="K405" t="s" s="17">
        <v>23</v>
      </c>
      <c r="L405" s="15">
        <f>IF(O405,P405/O405,0)</f>
        <v>31.6</v>
      </c>
      <c r="M405" s="15">
        <v>31.6</v>
      </c>
      <c r="N405" s="15">
        <f>A405</f>
        <v>403</v>
      </c>
      <c r="O405" s="15">
        <v>5</v>
      </c>
      <c r="P405" s="15">
        <v>158</v>
      </c>
      <c r="Q405" s="16"/>
    </row>
    <row r="406" ht="20.05" customHeight="1">
      <c r="A406" s="13">
        <f>A405+1</f>
        <v>404</v>
      </c>
      <c r="B406" s="14">
        <v>2023</v>
      </c>
      <c r="C406" s="15">
        <v>8</v>
      </c>
      <c r="D406" s="15">
        <v>30</v>
      </c>
      <c r="E406" s="15">
        <v>181949</v>
      </c>
      <c r="F406" t="s" s="17">
        <v>111</v>
      </c>
      <c r="G406" s="16"/>
      <c r="H406" t="s" s="17">
        <v>163</v>
      </c>
      <c r="I406" t="s" s="17">
        <v>26</v>
      </c>
      <c r="J406" t="s" s="17">
        <v>134</v>
      </c>
      <c r="K406" t="s" s="17">
        <v>23</v>
      </c>
      <c r="L406" s="15">
        <f>IF(O406,P406/O406,0)</f>
        <v>32.58</v>
      </c>
      <c r="M406" s="15">
        <v>32.58</v>
      </c>
      <c r="N406" s="15">
        <f>A406</f>
        <v>404</v>
      </c>
      <c r="O406" s="15">
        <v>5</v>
      </c>
      <c r="P406" s="15">
        <v>162.9</v>
      </c>
      <c r="Q406" s="16"/>
    </row>
    <row r="407" ht="20.05" customHeight="1">
      <c r="A407" s="13">
        <f>A406+1</f>
        <v>405</v>
      </c>
      <c r="B407" s="14">
        <v>2023</v>
      </c>
      <c r="C407" s="15">
        <v>8</v>
      </c>
      <c r="D407" s="15">
        <v>30</v>
      </c>
      <c r="E407" s="15">
        <v>181949</v>
      </c>
      <c r="F407" t="s" s="17">
        <v>111</v>
      </c>
      <c r="G407" s="16"/>
      <c r="H407" t="s" s="17">
        <v>163</v>
      </c>
      <c r="I407" t="s" s="17">
        <v>26</v>
      </c>
      <c r="J407" t="s" s="17">
        <v>118</v>
      </c>
      <c r="K407" t="s" s="17">
        <v>23</v>
      </c>
      <c r="L407" s="15">
        <f>IF(O407,P407/O407,0)</f>
        <v>32.58</v>
      </c>
      <c r="M407" s="15">
        <v>32.58</v>
      </c>
      <c r="N407" s="15">
        <f>A407</f>
        <v>405</v>
      </c>
      <c r="O407" s="15">
        <v>5</v>
      </c>
      <c r="P407" s="15">
        <v>162.9</v>
      </c>
      <c r="Q407" s="16"/>
    </row>
    <row r="408" ht="20.05" customHeight="1">
      <c r="A408" s="13">
        <f>A407+1</f>
        <v>406</v>
      </c>
      <c r="B408" s="14">
        <v>2023</v>
      </c>
      <c r="C408" s="15">
        <v>8</v>
      </c>
      <c r="D408" s="15">
        <v>30</v>
      </c>
      <c r="E408" s="15">
        <v>181925</v>
      </c>
      <c r="F408" t="s" s="17">
        <v>111</v>
      </c>
      <c r="G408" t="s" s="17">
        <v>175</v>
      </c>
      <c r="H408" t="s" s="17">
        <v>163</v>
      </c>
      <c r="I408" t="s" s="17">
        <v>19</v>
      </c>
      <c r="J408" t="s" s="17">
        <v>112</v>
      </c>
      <c r="K408" t="s" s="17">
        <v>41</v>
      </c>
      <c r="L408" s="15">
        <f>IF(O408,P408/O408,0)</f>
        <v>0.03453</v>
      </c>
      <c r="M408" s="15">
        <v>0.03453</v>
      </c>
      <c r="N408" s="15">
        <f>A408</f>
        <v>406</v>
      </c>
      <c r="O408" s="15">
        <f t="shared" si="1289" ref="O408:O539">10*1000</f>
        <v>10000</v>
      </c>
      <c r="P408" s="15">
        <v>345.3</v>
      </c>
      <c r="Q408" s="16"/>
    </row>
    <row r="409" ht="20.05" customHeight="1">
      <c r="A409" s="13">
        <f>A408+1</f>
        <v>407</v>
      </c>
      <c r="B409" s="14">
        <v>2023</v>
      </c>
      <c r="C409" s="15">
        <v>8</v>
      </c>
      <c r="D409" s="15">
        <v>30</v>
      </c>
      <c r="E409" s="15">
        <v>181925</v>
      </c>
      <c r="F409" t="s" s="17">
        <v>111</v>
      </c>
      <c r="G409" t="s" s="17">
        <v>246</v>
      </c>
      <c r="H409" t="s" s="17">
        <v>163</v>
      </c>
      <c r="I409" t="s" s="17">
        <v>14</v>
      </c>
      <c r="J409" t="s" s="17">
        <v>40</v>
      </c>
      <c r="K409" t="s" s="17">
        <v>41</v>
      </c>
      <c r="L409" s="15">
        <f>IF(O409,P409/O409,0)</f>
        <v>0.0589933333333333</v>
      </c>
      <c r="M409" s="15">
        <v>0.0589933333333333</v>
      </c>
      <c r="N409" s="15">
        <f>A409</f>
        <v>407</v>
      </c>
      <c r="O409" s="15">
        <f t="shared" si="1293" ref="O409:O442">12*1000</f>
        <v>12000</v>
      </c>
      <c r="P409" s="15">
        <v>707.92</v>
      </c>
      <c r="Q409" s="16"/>
    </row>
    <row r="410" ht="20.05" customHeight="1">
      <c r="A410" s="13">
        <f>A409+1</f>
        <v>408</v>
      </c>
      <c r="B410" s="14">
        <v>2023</v>
      </c>
      <c r="C410" s="15">
        <v>8</v>
      </c>
      <c r="D410" s="15">
        <v>30</v>
      </c>
      <c r="E410" s="15">
        <v>181925</v>
      </c>
      <c r="F410" t="s" s="17">
        <v>111</v>
      </c>
      <c r="G410" t="s" s="17">
        <v>247</v>
      </c>
      <c r="H410" t="s" s="17">
        <v>163</v>
      </c>
      <c r="I410" t="s" s="17">
        <v>19</v>
      </c>
      <c r="J410" t="s" s="17">
        <v>72</v>
      </c>
      <c r="K410" t="s" s="17">
        <v>41</v>
      </c>
      <c r="L410" s="15">
        <f>IF(O410,P410/O410,0)</f>
        <v>0.27684</v>
      </c>
      <c r="M410" s="15">
        <v>0.27684</v>
      </c>
      <c r="N410" s="15">
        <f>A410</f>
        <v>408</v>
      </c>
      <c r="O410" s="15">
        <v>250</v>
      </c>
      <c r="P410" s="15">
        <v>69.20999999999999</v>
      </c>
      <c r="Q410" s="16"/>
    </row>
    <row r="411" ht="20.05" customHeight="1">
      <c r="A411" s="13">
        <f>A410+1</f>
        <v>409</v>
      </c>
      <c r="B411" s="14">
        <v>2023</v>
      </c>
      <c r="C411" s="15">
        <v>8</v>
      </c>
      <c r="D411" s="15">
        <v>30</v>
      </c>
      <c r="E411" s="15">
        <v>181925</v>
      </c>
      <c r="F411" t="s" s="17">
        <v>111</v>
      </c>
      <c r="G411" t="s" s="17">
        <v>245</v>
      </c>
      <c r="H411" t="s" s="17">
        <v>163</v>
      </c>
      <c r="I411" t="s" s="17">
        <v>14</v>
      </c>
      <c r="J411" t="s" s="17">
        <v>121</v>
      </c>
      <c r="K411" t="s" s="17">
        <v>16</v>
      </c>
      <c r="L411" s="15">
        <f>IF(O411,P411/O411,0)</f>
        <v>0.170288888888889</v>
      </c>
      <c r="M411" s="15">
        <v>0.170288888888889</v>
      </c>
      <c r="N411" s="15">
        <f>A411</f>
        <v>409</v>
      </c>
      <c r="O411" s="15">
        <v>450</v>
      </c>
      <c r="P411" s="15">
        <v>76.63</v>
      </c>
      <c r="Q411" s="16"/>
    </row>
    <row r="412" ht="20.05" customHeight="1">
      <c r="A412" s="13">
        <f>A411+1</f>
        <v>410</v>
      </c>
      <c r="B412" s="14">
        <v>2023</v>
      </c>
      <c r="C412" s="15">
        <v>8</v>
      </c>
      <c r="D412" s="15">
        <v>30</v>
      </c>
      <c r="E412" s="15">
        <v>181925</v>
      </c>
      <c r="F412" t="s" s="17">
        <v>111</v>
      </c>
      <c r="G412" t="s" s="17">
        <v>245</v>
      </c>
      <c r="H412" t="s" s="17">
        <v>163</v>
      </c>
      <c r="I412" t="s" s="17">
        <v>26</v>
      </c>
      <c r="J412" t="s" s="17">
        <v>82</v>
      </c>
      <c r="K412" t="s" s="17">
        <v>16</v>
      </c>
      <c r="L412" s="15">
        <f>IF(O412,P412/O412,0)</f>
        <v>0.05876</v>
      </c>
      <c r="M412" s="15">
        <v>0.05876</v>
      </c>
      <c r="N412" s="15">
        <f>A412</f>
        <v>410</v>
      </c>
      <c r="O412" s="15">
        <f t="shared" si="1303" ref="O412:O498">5*500</f>
        <v>2500</v>
      </c>
      <c r="P412" s="15">
        <v>146.9</v>
      </c>
      <c r="Q412" s="16"/>
    </row>
    <row r="413" ht="20.05" customHeight="1">
      <c r="A413" s="13">
        <f>A412+1</f>
        <v>411</v>
      </c>
      <c r="B413" s="14">
        <v>2023</v>
      </c>
      <c r="C413" s="15">
        <v>8</v>
      </c>
      <c r="D413" s="15">
        <v>30</v>
      </c>
      <c r="E413" s="15">
        <v>181925</v>
      </c>
      <c r="F413" t="s" s="17">
        <v>111</v>
      </c>
      <c r="G413" t="s" s="17">
        <v>245</v>
      </c>
      <c r="H413" t="s" s="17">
        <v>163</v>
      </c>
      <c r="I413" t="s" s="17">
        <v>14</v>
      </c>
      <c r="J413" t="s" s="17">
        <v>133</v>
      </c>
      <c r="K413" t="s" s="17">
        <v>16</v>
      </c>
      <c r="L413" s="15">
        <f>IF(O413,P413/O413,0)</f>
        <v>0.149504</v>
      </c>
      <c r="M413" s="15">
        <v>0.149504</v>
      </c>
      <c r="N413" s="15">
        <f>A413</f>
        <v>411</v>
      </c>
      <c r="O413" s="15">
        <v>2500</v>
      </c>
      <c r="P413" s="15">
        <v>373.76</v>
      </c>
      <c r="Q413" s="16"/>
    </row>
    <row r="414" ht="20.05" customHeight="1">
      <c r="A414" s="13">
        <f>A413+1</f>
        <v>412</v>
      </c>
      <c r="B414" s="14">
        <v>2023</v>
      </c>
      <c r="C414" s="15">
        <v>8</v>
      </c>
      <c r="D414" s="15">
        <v>30</v>
      </c>
      <c r="E414" s="15">
        <v>181925</v>
      </c>
      <c r="F414" t="s" s="17">
        <v>111</v>
      </c>
      <c r="G414" t="s" s="17">
        <v>245</v>
      </c>
      <c r="H414" t="s" s="17">
        <v>163</v>
      </c>
      <c r="I414" t="s" s="17">
        <v>14</v>
      </c>
      <c r="J414" t="s" s="17">
        <v>33</v>
      </c>
      <c r="K414" t="s" s="17">
        <v>16</v>
      </c>
      <c r="L414" s="15">
        <f>IF(O414,P414/O414,0)</f>
        <v>0.169512</v>
      </c>
      <c r="M414" s="15">
        <v>0.169512</v>
      </c>
      <c r="N414" s="15">
        <f>A414</f>
        <v>412</v>
      </c>
      <c r="O414" s="15">
        <v>2500</v>
      </c>
      <c r="P414" s="15">
        <v>423.78</v>
      </c>
      <c r="Q414" s="16"/>
    </row>
    <row r="415" ht="20.05" customHeight="1">
      <c r="A415" s="13">
        <f>A414+1</f>
        <v>413</v>
      </c>
      <c r="B415" s="14">
        <v>2023</v>
      </c>
      <c r="C415" s="15">
        <v>8</v>
      </c>
      <c r="D415" s="15">
        <v>30</v>
      </c>
      <c r="E415" s="15">
        <v>181925</v>
      </c>
      <c r="F415" t="s" s="17">
        <v>111</v>
      </c>
      <c r="G415" t="s" s="17">
        <v>242</v>
      </c>
      <c r="H415" t="s" s="17">
        <v>163</v>
      </c>
      <c r="I415" t="s" s="17">
        <v>14</v>
      </c>
      <c r="J415" t="s" s="17">
        <v>119</v>
      </c>
      <c r="K415" t="s" s="17">
        <v>16</v>
      </c>
      <c r="L415" s="15">
        <f>IF(O415,P415/O415,0)</f>
        <v>0.0775381679389313</v>
      </c>
      <c r="M415" s="15">
        <v>0.0775381679389313</v>
      </c>
      <c r="N415" s="15">
        <f>A415</f>
        <v>413</v>
      </c>
      <c r="O415" s="15">
        <f t="shared" si="290"/>
        <v>3144</v>
      </c>
      <c r="P415" s="15">
        <v>243.78</v>
      </c>
      <c r="Q415" s="16"/>
    </row>
    <row r="416" ht="20.05" customHeight="1">
      <c r="A416" s="13">
        <f>A415+1</f>
        <v>414</v>
      </c>
      <c r="B416" s="14">
        <v>2023</v>
      </c>
      <c r="C416" s="15">
        <v>8</v>
      </c>
      <c r="D416" s="15">
        <v>30</v>
      </c>
      <c r="E416" s="15">
        <v>181925</v>
      </c>
      <c r="F416" t="s" s="17">
        <v>111</v>
      </c>
      <c r="G416" t="s" s="17">
        <v>248</v>
      </c>
      <c r="H416" t="s" s="17">
        <v>163</v>
      </c>
      <c r="I416" t="s" s="17">
        <v>19</v>
      </c>
      <c r="J416" t="s" s="17">
        <v>135</v>
      </c>
      <c r="K416" t="s" s="17">
        <v>23</v>
      </c>
      <c r="L416" s="15">
        <f>IF(O416,P416/O416,0)</f>
        <v>0.3164</v>
      </c>
      <c r="M416" s="15">
        <v>0.3164</v>
      </c>
      <c r="N416" s="15">
        <f>A416</f>
        <v>414</v>
      </c>
      <c r="O416" s="15">
        <f t="shared" si="1317" ref="O416:O644">5*50</f>
        <v>250</v>
      </c>
      <c r="P416" s="15">
        <v>79.09999999999999</v>
      </c>
      <c r="Q416" s="16"/>
    </row>
    <row r="417" ht="20.05" customHeight="1">
      <c r="A417" s="13">
        <f>A416+1</f>
        <v>415</v>
      </c>
      <c r="B417" s="14">
        <v>2023</v>
      </c>
      <c r="C417" s="15">
        <v>8</v>
      </c>
      <c r="D417" s="15">
        <v>30</v>
      </c>
      <c r="E417" s="15">
        <v>94</v>
      </c>
      <c r="F417" t="s" s="17">
        <v>130</v>
      </c>
      <c r="G417" s="16"/>
      <c r="H417" t="s" s="17">
        <v>163</v>
      </c>
      <c r="I417" t="s" s="17">
        <v>17</v>
      </c>
      <c r="J417" t="s" s="17">
        <v>156</v>
      </c>
      <c r="K417" t="s" s="17">
        <v>16</v>
      </c>
      <c r="L417" s="15">
        <f>IF(O417,P417/O417,0)</f>
        <v>0.094875</v>
      </c>
      <c r="M417" s="15">
        <v>0.094875</v>
      </c>
      <c r="N417" s="15">
        <f>A417</f>
        <v>415</v>
      </c>
      <c r="O417" s="15">
        <v>400</v>
      </c>
      <c r="P417" s="15">
        <v>37.95</v>
      </c>
      <c r="Q417" s="16"/>
    </row>
    <row r="418" ht="20.05" customHeight="1">
      <c r="A418" s="13">
        <f>A417+1</f>
        <v>416</v>
      </c>
      <c r="B418" s="14">
        <v>2023</v>
      </c>
      <c r="C418" s="15">
        <v>8</v>
      </c>
      <c r="D418" s="15">
        <v>30</v>
      </c>
      <c r="E418" s="15">
        <v>969</v>
      </c>
      <c r="F418" t="s" s="17">
        <v>150</v>
      </c>
      <c r="G418" s="16"/>
      <c r="H418" t="s" s="17">
        <v>163</v>
      </c>
      <c r="I418" t="s" s="17">
        <v>19</v>
      </c>
      <c r="J418" t="s" s="17">
        <v>155</v>
      </c>
      <c r="K418" t="s" s="17">
        <v>16</v>
      </c>
      <c r="L418" s="15">
        <f>IF(O418,P418/O418,0)</f>
        <v>0.336</v>
      </c>
      <c r="M418" s="15">
        <v>0.336</v>
      </c>
      <c r="N418" s="15">
        <f>A418</f>
        <v>416</v>
      </c>
      <c r="O418" s="15">
        <f t="shared" si="1324" ref="O418:O713">5*1000</f>
        <v>5000</v>
      </c>
      <c r="P418" s="15">
        <v>1680</v>
      </c>
      <c r="Q418" s="16"/>
    </row>
    <row r="419" ht="32.05" customHeight="1">
      <c r="A419" s="13">
        <f>A418+1</f>
        <v>417</v>
      </c>
      <c r="B419" s="14">
        <v>2023</v>
      </c>
      <c r="C419" s="15">
        <v>8</v>
      </c>
      <c r="D419" s="15">
        <v>30</v>
      </c>
      <c r="E419" s="15">
        <v>987</v>
      </c>
      <c r="F419" t="s" s="17">
        <v>126</v>
      </c>
      <c r="G419" s="16"/>
      <c r="H419" t="s" s="17">
        <v>163</v>
      </c>
      <c r="I419" t="s" s="17">
        <v>127</v>
      </c>
      <c r="J419" t="s" s="17">
        <v>136</v>
      </c>
      <c r="K419" t="s" s="17">
        <v>23</v>
      </c>
      <c r="L419" s="15">
        <f>IF(O419,P419/O419,0)</f>
        <v>0.1245</v>
      </c>
      <c r="M419" s="15">
        <v>0.1245</v>
      </c>
      <c r="N419" s="15">
        <f>A419</f>
        <v>417</v>
      </c>
      <c r="O419" s="15">
        <f t="shared" si="1328" ref="O419:O628">2*2000</f>
        <v>4000</v>
      </c>
      <c r="P419" s="15">
        <v>498</v>
      </c>
      <c r="Q419" s="16"/>
    </row>
    <row r="420" ht="20.05" customHeight="1">
      <c r="A420" s="13">
        <f>A419+1</f>
        <v>418</v>
      </c>
      <c r="B420" s="14">
        <v>2023</v>
      </c>
      <c r="C420" s="15">
        <v>8</v>
      </c>
      <c r="D420" s="15">
        <v>30</v>
      </c>
      <c r="E420" s="15">
        <v>987</v>
      </c>
      <c r="F420" t="s" s="17">
        <v>126</v>
      </c>
      <c r="G420" s="16"/>
      <c r="H420" t="s" s="17">
        <v>163</v>
      </c>
      <c r="I420" t="s" s="17">
        <v>127</v>
      </c>
      <c r="J420" t="s" s="17">
        <v>161</v>
      </c>
      <c r="K420" t="s" s="17">
        <v>23</v>
      </c>
      <c r="L420" s="15">
        <f>IF(O420,P420/O420,0)</f>
        <v>11.6316666666667</v>
      </c>
      <c r="M420" s="15">
        <v>11.6316666666667</v>
      </c>
      <c r="N420" s="15">
        <f>A420</f>
        <v>418</v>
      </c>
      <c r="O420" s="15">
        <f t="shared" si="1332" ref="O420:O1140">2*12</f>
        <v>24</v>
      </c>
      <c r="P420" s="15">
        <v>279.16</v>
      </c>
      <c r="Q420" s="16"/>
    </row>
    <row r="421" ht="32.05" customHeight="1">
      <c r="A421" s="13">
        <f>A420+1</f>
        <v>419</v>
      </c>
      <c r="B421" s="14">
        <v>2023</v>
      </c>
      <c r="C421" s="15">
        <v>8</v>
      </c>
      <c r="D421" s="15">
        <v>30</v>
      </c>
      <c r="E421" s="15">
        <v>987</v>
      </c>
      <c r="F421" t="s" s="17">
        <v>126</v>
      </c>
      <c r="G421" s="16"/>
      <c r="H421" t="s" s="17">
        <v>163</v>
      </c>
      <c r="I421" t="s" s="17">
        <v>127</v>
      </c>
      <c r="J421" t="s" s="17">
        <v>165</v>
      </c>
      <c r="K421" t="s" s="17">
        <v>23</v>
      </c>
      <c r="L421" s="15">
        <f>IF(O421,P421/O421,0)</f>
        <v>2.79</v>
      </c>
      <c r="M421" s="15">
        <v>2.79</v>
      </c>
      <c r="N421" s="15">
        <f>A421</f>
        <v>419</v>
      </c>
      <c r="O421" s="15">
        <f t="shared" si="1103"/>
        <v>100</v>
      </c>
      <c r="P421" s="15">
        <v>279</v>
      </c>
      <c r="Q421" s="16"/>
    </row>
    <row r="422" ht="20.05" customHeight="1">
      <c r="A422" s="13">
        <f>A421+1</f>
        <v>420</v>
      </c>
      <c r="B422" s="14">
        <v>2023</v>
      </c>
      <c r="C422" s="15">
        <v>8</v>
      </c>
      <c r="D422" s="15">
        <v>30</v>
      </c>
      <c r="E422" s="15">
        <v>987</v>
      </c>
      <c r="F422" t="s" s="17">
        <v>126</v>
      </c>
      <c r="G422" s="16"/>
      <c r="H422" t="s" s="17">
        <v>163</v>
      </c>
      <c r="I422" t="s" s="17">
        <v>127</v>
      </c>
      <c r="J422" t="s" s="17">
        <v>237</v>
      </c>
      <c r="K422" t="s" s="17">
        <v>41</v>
      </c>
      <c r="L422" s="15">
        <f>IF(O422,P422/O422,0)</f>
        <v>0.043333</v>
      </c>
      <c r="M422" s="15">
        <v>0.043333</v>
      </c>
      <c r="N422" s="15">
        <f>A422</f>
        <v>420</v>
      </c>
      <c r="O422" s="15">
        <v>1000</v>
      </c>
      <c r="P422" s="15">
        <v>43.333</v>
      </c>
      <c r="Q422" s="16"/>
    </row>
    <row r="423" ht="32.05" customHeight="1">
      <c r="A423" s="13">
        <f>A422+1</f>
        <v>421</v>
      </c>
      <c r="B423" s="14">
        <v>2023</v>
      </c>
      <c r="C423" s="15">
        <v>8</v>
      </c>
      <c r="D423" s="15">
        <v>30</v>
      </c>
      <c r="E423" s="15">
        <v>987</v>
      </c>
      <c r="F423" t="s" s="17">
        <v>126</v>
      </c>
      <c r="G423" s="16"/>
      <c r="H423" t="s" s="17">
        <v>163</v>
      </c>
      <c r="I423" t="s" s="17">
        <v>127</v>
      </c>
      <c r="J423" t="s" s="17">
        <v>137</v>
      </c>
      <c r="K423" t="s" s="17">
        <v>41</v>
      </c>
      <c r="L423" s="15">
        <f>IF(O423,P423/O423,0)</f>
        <v>0.008500000000000001</v>
      </c>
      <c r="M423" s="15">
        <v>0.008500000000000001</v>
      </c>
      <c r="N423" s="15">
        <f>A423</f>
        <v>421</v>
      </c>
      <c r="O423" s="15">
        <f t="shared" si="653"/>
        <v>10000</v>
      </c>
      <c r="P423" s="15">
        <v>85</v>
      </c>
      <c r="Q423" s="16"/>
    </row>
    <row r="424" ht="20.05" customHeight="1">
      <c r="A424" s="13">
        <f>A423+1</f>
        <v>422</v>
      </c>
      <c r="B424" s="14">
        <v>2023</v>
      </c>
      <c r="C424" s="15">
        <v>8</v>
      </c>
      <c r="D424" s="15">
        <v>30</v>
      </c>
      <c r="E424" s="15">
        <v>133</v>
      </c>
      <c r="F424" t="s" s="17">
        <v>130</v>
      </c>
      <c r="G424" s="16"/>
      <c r="H424" t="s" s="17">
        <v>163</v>
      </c>
      <c r="I424" t="s" s="17">
        <v>19</v>
      </c>
      <c r="J424" t="s" s="17">
        <v>157</v>
      </c>
      <c r="K424" t="s" s="17">
        <v>16</v>
      </c>
      <c r="L424" s="15">
        <f>IF(O424,P424/O424,0)</f>
        <v>0.0249491869918699</v>
      </c>
      <c r="M424" s="15">
        <v>0.0249491869918699</v>
      </c>
      <c r="N424" s="15">
        <f>A424</f>
        <v>422</v>
      </c>
      <c r="O424" s="15">
        <v>2952</v>
      </c>
      <c r="P424" s="15">
        <v>73.65000000000001</v>
      </c>
      <c r="Q424" s="16"/>
    </row>
    <row r="425" ht="20.05" customHeight="1">
      <c r="A425" s="13">
        <f>A424+1</f>
        <v>423</v>
      </c>
      <c r="B425" s="14">
        <v>2023</v>
      </c>
      <c r="C425" s="15">
        <v>8</v>
      </c>
      <c r="D425" s="15">
        <v>30</v>
      </c>
      <c r="E425" s="15">
        <v>94</v>
      </c>
      <c r="F425" t="s" s="17">
        <v>130</v>
      </c>
      <c r="G425" s="16"/>
      <c r="H425" t="s" s="17">
        <v>163</v>
      </c>
      <c r="I425" t="s" s="17">
        <v>14</v>
      </c>
      <c r="J425" t="s" s="17">
        <v>21</v>
      </c>
      <c r="K425" t="s" s="17">
        <v>16</v>
      </c>
      <c r="L425" s="15">
        <f>IF(O425,P425/O425,0)</f>
        <v>0.03995</v>
      </c>
      <c r="M425" s="15">
        <v>0.03995</v>
      </c>
      <c r="N425" s="15">
        <f>A425</f>
        <v>423</v>
      </c>
      <c r="O425" s="15">
        <v>200</v>
      </c>
      <c r="P425" s="15">
        <v>7.99</v>
      </c>
      <c r="Q425" s="16"/>
    </row>
    <row r="426" ht="20.05" customHeight="1">
      <c r="A426" s="13">
        <f>A425+1</f>
        <v>424</v>
      </c>
      <c r="B426" s="14">
        <v>2023</v>
      </c>
      <c r="C426" s="15">
        <v>8</v>
      </c>
      <c r="D426" s="15">
        <v>31</v>
      </c>
      <c r="E426" s="15">
        <v>559</v>
      </c>
      <c r="F426" t="s" s="17">
        <v>130</v>
      </c>
      <c r="G426" t="s" s="17">
        <v>249</v>
      </c>
      <c r="H426" t="s" s="17">
        <v>163</v>
      </c>
      <c r="I426" t="s" s="17">
        <v>19</v>
      </c>
      <c r="J426" t="s" s="17">
        <v>131</v>
      </c>
      <c r="K426" t="s" s="17">
        <v>41</v>
      </c>
      <c r="L426" s="15">
        <f>IF(O426,P426/O426,0)</f>
        <v>0.09725</v>
      </c>
      <c r="M426" s="15">
        <v>0.09725</v>
      </c>
      <c r="N426" s="15">
        <f>A426</f>
        <v>424</v>
      </c>
      <c r="O426" s="15">
        <v>1000</v>
      </c>
      <c r="P426" s="15">
        <v>97.25</v>
      </c>
      <c r="Q426" s="16"/>
    </row>
    <row r="427" ht="20.05" customHeight="1">
      <c r="A427" s="13">
        <f>A426+1</f>
        <v>425</v>
      </c>
      <c r="B427" s="14">
        <v>2023</v>
      </c>
      <c r="C427" s="15">
        <v>8</v>
      </c>
      <c r="D427" s="15">
        <v>31</v>
      </c>
      <c r="E427" s="15">
        <v>559</v>
      </c>
      <c r="F427" t="s" s="17">
        <v>130</v>
      </c>
      <c r="G427" t="s" s="17">
        <v>191</v>
      </c>
      <c r="H427" t="s" s="17">
        <v>163</v>
      </c>
      <c r="I427" t="s" s="17">
        <v>26</v>
      </c>
      <c r="J427" t="s" s="17">
        <v>113</v>
      </c>
      <c r="K427" t="s" s="17">
        <v>41</v>
      </c>
      <c r="L427" s="15">
        <f>IF(O427,P427/O427,0)</f>
        <v>0.0299833333333333</v>
      </c>
      <c r="M427" s="15">
        <v>0.0299833333333333</v>
      </c>
      <c r="N427" s="15">
        <f>A427</f>
        <v>425</v>
      </c>
      <c r="O427" s="15">
        <v>3000</v>
      </c>
      <c r="P427" s="15">
        <v>89.95</v>
      </c>
      <c r="Q427" s="16"/>
    </row>
    <row r="428" ht="20.05" customHeight="1">
      <c r="A428" s="13">
        <f>A427+1</f>
        <v>426</v>
      </c>
      <c r="B428" s="14">
        <v>2023</v>
      </c>
      <c r="C428" s="15">
        <v>8</v>
      </c>
      <c r="D428" s="15">
        <v>31</v>
      </c>
      <c r="E428" s="15">
        <v>392</v>
      </c>
      <c r="F428" t="s" s="17">
        <v>250</v>
      </c>
      <c r="G428" s="16"/>
      <c r="H428" t="s" s="17">
        <v>163</v>
      </c>
      <c r="I428" t="s" s="17">
        <v>187</v>
      </c>
      <c r="J428" t="s" s="17">
        <v>251</v>
      </c>
      <c r="K428" t="s" s="17">
        <v>23</v>
      </c>
      <c r="L428" s="15">
        <f>IF(O428,P428/O428,0)</f>
        <v>82.5</v>
      </c>
      <c r="M428" s="15">
        <v>82.5</v>
      </c>
      <c r="N428" s="15">
        <f>A428</f>
        <v>426</v>
      </c>
      <c r="O428" s="15">
        <v>396</v>
      </c>
      <c r="P428" s="15">
        <v>32670</v>
      </c>
      <c r="Q428" s="16"/>
    </row>
    <row r="429" ht="20.05" customHeight="1">
      <c r="A429" s="13">
        <f>A428+1</f>
        <v>427</v>
      </c>
      <c r="B429" s="14">
        <v>2023</v>
      </c>
      <c r="C429" s="15">
        <v>9</v>
      </c>
      <c r="D429" s="15">
        <v>1</v>
      </c>
      <c r="E429" s="15">
        <v>169</v>
      </c>
      <c r="F429" t="s" s="17">
        <v>130</v>
      </c>
      <c r="G429" s="16"/>
      <c r="H429" t="s" s="17">
        <v>163</v>
      </c>
      <c r="I429" t="s" s="17">
        <v>17</v>
      </c>
      <c r="J429" t="s" s="17">
        <v>156</v>
      </c>
      <c r="K429" t="s" s="17">
        <v>16</v>
      </c>
      <c r="L429" s="15">
        <f>IF(O429,P429/O429,0)</f>
        <v>0.094875</v>
      </c>
      <c r="M429" s="15">
        <v>0.094875</v>
      </c>
      <c r="N429" s="15">
        <f>A429</f>
        <v>427</v>
      </c>
      <c r="O429" s="15">
        <v>400</v>
      </c>
      <c r="P429" s="15">
        <v>37.95</v>
      </c>
      <c r="Q429" s="16"/>
    </row>
    <row r="430" ht="20.05" customHeight="1">
      <c r="A430" s="13">
        <f>A429+1</f>
        <v>428</v>
      </c>
      <c r="B430" s="14">
        <v>2023</v>
      </c>
      <c r="C430" s="15">
        <v>9</v>
      </c>
      <c r="D430" s="15">
        <v>1</v>
      </c>
      <c r="E430" s="15">
        <v>169</v>
      </c>
      <c r="F430" t="s" s="17">
        <v>130</v>
      </c>
      <c r="G430" t="s" s="17">
        <v>145</v>
      </c>
      <c r="H430" t="s" s="17">
        <v>163</v>
      </c>
      <c r="I430" t="s" s="17">
        <v>17</v>
      </c>
      <c r="J430" t="s" s="17">
        <v>146</v>
      </c>
      <c r="K430" t="s" s="17">
        <v>16</v>
      </c>
      <c r="L430" s="15">
        <f>IF(O430,P430/O430,0)</f>
        <v>0.6995</v>
      </c>
      <c r="M430" s="15">
        <v>0.6995</v>
      </c>
      <c r="N430" s="15">
        <f>A430</f>
        <v>428</v>
      </c>
      <c r="O430" s="15">
        <f t="shared" si="1365" ref="O430:O484">10*100</f>
        <v>1000</v>
      </c>
      <c r="P430" s="15">
        <v>699.5</v>
      </c>
      <c r="Q430" s="16"/>
    </row>
    <row r="431" ht="20.05" customHeight="1">
      <c r="A431" s="13">
        <f>A430+1</f>
        <v>429</v>
      </c>
      <c r="B431" s="14">
        <v>2023</v>
      </c>
      <c r="C431" s="15">
        <v>9</v>
      </c>
      <c r="D431" s="15">
        <v>1</v>
      </c>
      <c r="E431" s="15">
        <v>79</v>
      </c>
      <c r="F431" t="s" s="17">
        <v>130</v>
      </c>
      <c r="G431" t="s" s="17">
        <v>252</v>
      </c>
      <c r="H431" t="s" s="17">
        <v>163</v>
      </c>
      <c r="I431" t="s" s="17">
        <v>14</v>
      </c>
      <c r="J431" t="s" s="17">
        <v>15</v>
      </c>
      <c r="K431" t="s" s="17">
        <v>16</v>
      </c>
      <c r="L431" s="15">
        <f>IF(O431,P431/O431,0)</f>
        <v>0.199</v>
      </c>
      <c r="M431" s="15">
        <v>0.199</v>
      </c>
      <c r="N431" s="15">
        <f>A431</f>
        <v>429</v>
      </c>
      <c r="O431" s="15">
        <f t="shared" si="1369" ref="O431:O666">4*100</f>
        <v>400</v>
      </c>
      <c r="P431" s="15">
        <v>79.59999999999999</v>
      </c>
      <c r="Q431" s="16"/>
    </row>
    <row r="432" ht="20.05" customHeight="1">
      <c r="A432" s="13">
        <f>A431+1</f>
        <v>430</v>
      </c>
      <c r="B432" s="14">
        <v>2023</v>
      </c>
      <c r="C432" s="15">
        <v>9</v>
      </c>
      <c r="D432" s="15">
        <v>1</v>
      </c>
      <c r="E432" s="15">
        <v>1957</v>
      </c>
      <c r="F432" t="s" s="17">
        <v>141</v>
      </c>
      <c r="G432" s="16"/>
      <c r="H432" t="s" s="17">
        <v>163</v>
      </c>
      <c r="I432" t="s" s="17">
        <v>19</v>
      </c>
      <c r="J432" t="s" s="17">
        <v>142</v>
      </c>
      <c r="K432" t="s" s="17">
        <v>23</v>
      </c>
      <c r="L432" s="15">
        <f>IF(O432,P432/O432,0)</f>
        <v>12.5922916666667</v>
      </c>
      <c r="M432" s="15">
        <v>12.5922916666667</v>
      </c>
      <c r="N432" s="15">
        <f>A432</f>
        <v>430</v>
      </c>
      <c r="O432" s="15">
        <v>48</v>
      </c>
      <c r="P432" s="15">
        <v>604.4299999999999</v>
      </c>
      <c r="Q432" s="16"/>
    </row>
    <row r="433" ht="20.05" customHeight="1">
      <c r="A433" s="13">
        <f>A432+1</f>
        <v>431</v>
      </c>
      <c r="B433" s="14">
        <v>2023</v>
      </c>
      <c r="C433" s="15">
        <v>9</v>
      </c>
      <c r="D433" s="15">
        <v>1</v>
      </c>
      <c r="E433" s="15">
        <v>1957</v>
      </c>
      <c r="F433" t="s" s="17">
        <v>141</v>
      </c>
      <c r="G433" s="16"/>
      <c r="H433" t="s" s="17">
        <v>163</v>
      </c>
      <c r="I433" t="s" s="17">
        <v>19</v>
      </c>
      <c r="J433" t="s" s="17">
        <v>158</v>
      </c>
      <c r="K433" t="s" s="17">
        <v>23</v>
      </c>
      <c r="L433" s="15">
        <f>IF(O433,P433/O433,0)</f>
        <v>12.5925</v>
      </c>
      <c r="M433" s="15">
        <v>12.5925</v>
      </c>
      <c r="N433" s="15">
        <f>A433</f>
        <v>431</v>
      </c>
      <c r="O433" s="15">
        <v>24</v>
      </c>
      <c r="P433" s="15">
        <v>302.22</v>
      </c>
      <c r="Q433" s="16"/>
    </row>
    <row r="434" ht="20.05" customHeight="1">
      <c r="A434" s="13">
        <f>A433+1</f>
        <v>432</v>
      </c>
      <c r="B434" s="14">
        <v>2023</v>
      </c>
      <c r="C434" s="15">
        <v>9</v>
      </c>
      <c r="D434" s="15">
        <v>1</v>
      </c>
      <c r="E434" s="15">
        <v>1957</v>
      </c>
      <c r="F434" t="s" s="17">
        <v>141</v>
      </c>
      <c r="G434" s="16"/>
      <c r="H434" t="s" s="17">
        <v>163</v>
      </c>
      <c r="I434" t="s" s="17">
        <v>19</v>
      </c>
      <c r="J434" t="s" s="17">
        <v>144</v>
      </c>
      <c r="K434" t="s" s="17">
        <v>23</v>
      </c>
      <c r="L434" s="15">
        <f>IF(O434,P434/O434,0)</f>
        <v>12.5922916666667</v>
      </c>
      <c r="M434" s="15">
        <v>12.5922916666667</v>
      </c>
      <c r="N434" s="15">
        <f>A434</f>
        <v>432</v>
      </c>
      <c r="O434" s="15">
        <v>48</v>
      </c>
      <c r="P434" s="15">
        <v>604.4299999999999</v>
      </c>
      <c r="Q434" s="16"/>
    </row>
    <row r="435" ht="20.05" customHeight="1">
      <c r="A435" s="13">
        <f>A434+1</f>
        <v>433</v>
      </c>
      <c r="B435" s="14">
        <v>2023</v>
      </c>
      <c r="C435" s="15">
        <v>8</v>
      </c>
      <c r="D435" s="15">
        <v>16</v>
      </c>
      <c r="E435" s="15">
        <v>575</v>
      </c>
      <c r="F435" t="s" s="17">
        <v>150</v>
      </c>
      <c r="G435" s="16"/>
      <c r="H435" t="s" s="17">
        <v>253</v>
      </c>
      <c r="I435" t="s" s="17">
        <v>19</v>
      </c>
      <c r="J435" t="s" s="17">
        <v>155</v>
      </c>
      <c r="K435" t="s" s="17">
        <v>16</v>
      </c>
      <c r="L435" s="15">
        <f>IF(O435,P435/O435,0)</f>
        <v>0.336</v>
      </c>
      <c r="M435" s="15">
        <v>0.336</v>
      </c>
      <c r="N435" s="15">
        <f>A435</f>
        <v>433</v>
      </c>
      <c r="O435" s="15">
        <f t="shared" si="1382" ref="O435:O658">2*1000</f>
        <v>2000</v>
      </c>
      <c r="P435" s="15">
        <v>672</v>
      </c>
      <c r="Q435" s="16"/>
    </row>
    <row r="436" ht="20.05" customHeight="1">
      <c r="A436" s="13">
        <f>A435+1</f>
        <v>434</v>
      </c>
      <c r="B436" s="14">
        <v>2023</v>
      </c>
      <c r="C436" s="15">
        <v>8</v>
      </c>
      <c r="D436" s="15">
        <v>16</v>
      </c>
      <c r="E436" s="15">
        <v>575</v>
      </c>
      <c r="F436" t="s" s="17">
        <v>150</v>
      </c>
      <c r="G436" s="16"/>
      <c r="H436" t="s" s="17">
        <v>253</v>
      </c>
      <c r="I436" t="s" s="17">
        <v>19</v>
      </c>
      <c r="J436" t="s" s="17">
        <v>70</v>
      </c>
      <c r="K436" t="s" s="17">
        <v>16</v>
      </c>
      <c r="L436" s="15">
        <f>IF(O436,P436/O436,0)</f>
        <v>0.336</v>
      </c>
      <c r="M436" s="15">
        <v>0.336</v>
      </c>
      <c r="N436" s="15">
        <f>A436</f>
        <v>434</v>
      </c>
      <c r="O436" s="15">
        <f t="shared" si="1382"/>
        <v>2000</v>
      </c>
      <c r="P436" s="15">
        <v>672</v>
      </c>
      <c r="Q436" s="16"/>
    </row>
    <row r="437" ht="20.05" customHeight="1">
      <c r="A437" s="13">
        <f>A436+1</f>
        <v>435</v>
      </c>
      <c r="B437" s="14">
        <v>2023</v>
      </c>
      <c r="C437" s="15">
        <v>8</v>
      </c>
      <c r="D437" s="15">
        <v>16</v>
      </c>
      <c r="E437" s="15">
        <v>575</v>
      </c>
      <c r="F437" t="s" s="17">
        <v>150</v>
      </c>
      <c r="G437" s="16"/>
      <c r="H437" t="s" s="17">
        <v>253</v>
      </c>
      <c r="I437" t="s" s="17">
        <v>19</v>
      </c>
      <c r="J437" t="s" s="17">
        <v>105</v>
      </c>
      <c r="K437" t="s" s="17">
        <v>41</v>
      </c>
      <c r="L437" s="15">
        <f>IF(O437,P437/O437,0)</f>
        <v>0.357333333333333</v>
      </c>
      <c r="M437" s="15">
        <v>0.357333333333333</v>
      </c>
      <c r="N437" s="15">
        <f>A437</f>
        <v>435</v>
      </c>
      <c r="O437" s="15">
        <v>750</v>
      </c>
      <c r="P437" s="15">
        <v>268</v>
      </c>
      <c r="Q437" s="16"/>
    </row>
    <row r="438" ht="20.05" customHeight="1">
      <c r="A438" s="13">
        <f>A437+1</f>
        <v>436</v>
      </c>
      <c r="B438" s="14">
        <v>2023</v>
      </c>
      <c r="C438" s="15">
        <v>8</v>
      </c>
      <c r="D438" s="15">
        <v>16</v>
      </c>
      <c r="E438" s="15">
        <v>179883</v>
      </c>
      <c r="F438" t="s" s="17">
        <v>111</v>
      </c>
      <c r="G438" t="s" s="17">
        <v>175</v>
      </c>
      <c r="H438" t="s" s="17">
        <v>253</v>
      </c>
      <c r="I438" t="s" s="17">
        <v>19</v>
      </c>
      <c r="J438" t="s" s="17">
        <v>112</v>
      </c>
      <c r="K438" t="s" s="17">
        <v>41</v>
      </c>
      <c r="L438" s="15">
        <f>IF(O438,P438/O438,0)</f>
        <v>0.034875</v>
      </c>
      <c r="M438" s="15">
        <v>0.034875</v>
      </c>
      <c r="N438" s="15">
        <f>A438</f>
        <v>436</v>
      </c>
      <c r="O438" s="15">
        <f t="shared" si="1393" ref="O438:O684">4*1000</f>
        <v>4000</v>
      </c>
      <c r="P438" s="15">
        <v>139.5</v>
      </c>
      <c r="Q438" s="16"/>
    </row>
    <row r="439" ht="20.05" customHeight="1">
      <c r="A439" s="13">
        <f>A438+1</f>
        <v>437</v>
      </c>
      <c r="B439" s="14">
        <v>2023</v>
      </c>
      <c r="C439" s="15">
        <v>8</v>
      </c>
      <c r="D439" s="15">
        <v>16</v>
      </c>
      <c r="E439" s="15">
        <v>179883</v>
      </c>
      <c r="F439" t="s" s="17">
        <v>111</v>
      </c>
      <c r="G439" t="s" s="17">
        <v>246</v>
      </c>
      <c r="H439" t="s" s="17">
        <v>253</v>
      </c>
      <c r="I439" t="s" s="17">
        <v>26</v>
      </c>
      <c r="J439" t="s" s="17">
        <v>113</v>
      </c>
      <c r="K439" t="s" s="17">
        <v>41</v>
      </c>
      <c r="L439" s="15">
        <f>IF(O439,P439/O439,0)</f>
        <v>0.0286333333333333</v>
      </c>
      <c r="M439" s="15">
        <v>0.0286333333333333</v>
      </c>
      <c r="N439" s="15">
        <f>A439</f>
        <v>437</v>
      </c>
      <c r="O439" s="15">
        <v>3000</v>
      </c>
      <c r="P439" s="15">
        <v>85.90000000000001</v>
      </c>
      <c r="Q439" s="16"/>
    </row>
    <row r="440" ht="20.05" customHeight="1">
      <c r="A440" s="13">
        <f>A439+1</f>
        <v>438</v>
      </c>
      <c r="B440" s="14">
        <v>2023</v>
      </c>
      <c r="C440" s="15">
        <v>8</v>
      </c>
      <c r="D440" s="15">
        <v>16</v>
      </c>
      <c r="E440" s="15">
        <v>179883</v>
      </c>
      <c r="F440" t="s" s="17">
        <v>111</v>
      </c>
      <c r="G440" s="16"/>
      <c r="H440" t="s" s="17">
        <v>253</v>
      </c>
      <c r="I440" t="s" s="17">
        <v>26</v>
      </c>
      <c r="J440" t="s" s="17">
        <v>117</v>
      </c>
      <c r="K440" t="s" s="17">
        <v>23</v>
      </c>
      <c r="L440" s="15">
        <f>IF(O440,P440/O440,0)</f>
        <v>29.5525</v>
      </c>
      <c r="M440" s="15">
        <v>29.5525</v>
      </c>
      <c r="N440" s="15">
        <f>A440</f>
        <v>438</v>
      </c>
      <c r="O440" s="15">
        <v>8</v>
      </c>
      <c r="P440" s="15">
        <v>236.42</v>
      </c>
      <c r="Q440" s="16"/>
    </row>
    <row r="441" ht="20.05" customHeight="1">
      <c r="A441" s="13">
        <f>A440+1</f>
        <v>439</v>
      </c>
      <c r="B441" s="14">
        <v>2023</v>
      </c>
      <c r="C441" s="15">
        <v>8</v>
      </c>
      <c r="D441" s="15">
        <v>16</v>
      </c>
      <c r="E441" s="15">
        <v>179883</v>
      </c>
      <c r="F441" t="s" s="17">
        <v>111</v>
      </c>
      <c r="G441" s="16"/>
      <c r="H441" t="s" s="17">
        <v>253</v>
      </c>
      <c r="I441" t="s" s="17">
        <v>26</v>
      </c>
      <c r="J441" t="s" s="17">
        <v>118</v>
      </c>
      <c r="K441" t="s" s="17">
        <v>23</v>
      </c>
      <c r="L441" s="15">
        <f>IF(O441,P441/O441,0)</f>
        <v>30.47125</v>
      </c>
      <c r="M441" s="15">
        <v>30.47125</v>
      </c>
      <c r="N441" s="15">
        <f>A441</f>
        <v>439</v>
      </c>
      <c r="O441" s="15">
        <v>8</v>
      </c>
      <c r="P441" s="15">
        <v>243.77</v>
      </c>
      <c r="Q441" s="16"/>
    </row>
    <row r="442" ht="20.05" customHeight="1">
      <c r="A442" s="13">
        <f>A441+1</f>
        <v>440</v>
      </c>
      <c r="B442" s="14">
        <v>2023</v>
      </c>
      <c r="C442" s="15">
        <v>8</v>
      </c>
      <c r="D442" s="15">
        <v>16</v>
      </c>
      <c r="E442" s="15">
        <v>49055</v>
      </c>
      <c r="F442" t="s" s="17">
        <v>122</v>
      </c>
      <c r="G442" t="s" s="17">
        <v>171</v>
      </c>
      <c r="H442" t="s" s="17">
        <v>253</v>
      </c>
      <c r="I442" t="s" s="17">
        <v>19</v>
      </c>
      <c r="J442" t="s" s="17">
        <v>138</v>
      </c>
      <c r="K442" t="s" s="17">
        <v>41</v>
      </c>
      <c r="L442" s="15">
        <f>IF(O442,P442/O442,0)</f>
        <v>0.0228333333333333</v>
      </c>
      <c r="M442" s="15">
        <v>0.0228333333333333</v>
      </c>
      <c r="N442" s="15">
        <f>A442</f>
        <v>440</v>
      </c>
      <c r="O442" s="15">
        <f t="shared" si="1293"/>
        <v>12000</v>
      </c>
      <c r="P442" s="15">
        <v>274</v>
      </c>
      <c r="Q442" s="16"/>
    </row>
    <row r="443" ht="20.05" customHeight="1">
      <c r="A443" s="13">
        <f>A442+1</f>
        <v>441</v>
      </c>
      <c r="B443" s="14">
        <v>2023</v>
      </c>
      <c r="C443" s="15">
        <v>8</v>
      </c>
      <c r="D443" s="15">
        <v>16</v>
      </c>
      <c r="E443" s="15">
        <v>49055</v>
      </c>
      <c r="F443" t="s" s="17">
        <v>122</v>
      </c>
      <c r="G443" t="s" s="17">
        <v>172</v>
      </c>
      <c r="H443" t="s" s="17">
        <v>253</v>
      </c>
      <c r="I443" t="s" s="17">
        <v>19</v>
      </c>
      <c r="J443" t="s" s="17">
        <v>139</v>
      </c>
      <c r="K443" t="s" s="17">
        <v>23</v>
      </c>
      <c r="L443" s="15">
        <f>IF(O443,P443/O443,0)</f>
        <v>3.4375</v>
      </c>
      <c r="M443" s="15">
        <v>3.4375</v>
      </c>
      <c r="N443" s="15">
        <f>A443</f>
        <v>441</v>
      </c>
      <c r="O443" s="15">
        <f t="shared" si="1410" ref="O443:O693">2*24</f>
        <v>48</v>
      </c>
      <c r="P443" s="15">
        <v>165</v>
      </c>
      <c r="Q443" s="16"/>
    </row>
    <row r="444" ht="32.05" customHeight="1">
      <c r="A444" s="13">
        <f>A443+1</f>
        <v>442</v>
      </c>
      <c r="B444" s="14">
        <v>2023</v>
      </c>
      <c r="C444" s="15">
        <v>8</v>
      </c>
      <c r="D444" s="15">
        <v>16</v>
      </c>
      <c r="E444" s="15">
        <v>49055</v>
      </c>
      <c r="F444" t="s" s="17">
        <v>122</v>
      </c>
      <c r="G444" s="16"/>
      <c r="H444" t="s" s="17">
        <v>253</v>
      </c>
      <c r="I444" t="s" s="17">
        <v>127</v>
      </c>
      <c r="J444" t="s" s="17">
        <v>165</v>
      </c>
      <c r="K444" t="s" s="17">
        <v>23</v>
      </c>
      <c r="L444" s="15">
        <f>IF(O444,P444/O444,0)</f>
        <v>2.55</v>
      </c>
      <c r="M444" s="15">
        <v>2.55</v>
      </c>
      <c r="N444" s="15">
        <f>A444</f>
        <v>442</v>
      </c>
      <c r="O444" s="15">
        <f t="shared" si="1414" ref="O444:O948">20*10</f>
        <v>200</v>
      </c>
      <c r="P444" s="15">
        <v>510</v>
      </c>
      <c r="Q444" s="16"/>
    </row>
    <row r="445" ht="32.05" customHeight="1">
      <c r="A445" s="13">
        <f>A444+1</f>
        <v>443</v>
      </c>
      <c r="B445" s="14">
        <v>2023</v>
      </c>
      <c r="C445" s="15">
        <v>8</v>
      </c>
      <c r="D445" s="15">
        <v>10</v>
      </c>
      <c r="E445" s="15">
        <v>1137</v>
      </c>
      <c r="F445" t="s" s="17">
        <v>126</v>
      </c>
      <c r="G445" s="16"/>
      <c r="H445" t="s" s="17">
        <v>253</v>
      </c>
      <c r="I445" t="s" s="17">
        <v>127</v>
      </c>
      <c r="J445" t="s" s="17">
        <v>136</v>
      </c>
      <c r="K445" t="s" s="17">
        <v>23</v>
      </c>
      <c r="L445" s="15">
        <f>IF(O445,P445/O445,0)</f>
        <v>0.1247725</v>
      </c>
      <c r="M445" s="15">
        <v>0.1247725</v>
      </c>
      <c r="N445" s="15">
        <f>A445</f>
        <v>443</v>
      </c>
      <c r="O445" s="15">
        <f t="shared" si="1328"/>
        <v>4000</v>
      </c>
      <c r="P445" s="15">
        <v>499.09</v>
      </c>
      <c r="Q445" s="16"/>
    </row>
    <row r="446" ht="20.05" customHeight="1">
      <c r="A446" s="13">
        <f>A445+1</f>
        <v>444</v>
      </c>
      <c r="B446" s="14">
        <v>2023</v>
      </c>
      <c r="C446" s="15">
        <v>8</v>
      </c>
      <c r="D446" s="15">
        <v>10</v>
      </c>
      <c r="E446" s="15">
        <v>1137</v>
      </c>
      <c r="F446" t="s" s="17">
        <v>126</v>
      </c>
      <c r="G446" s="16"/>
      <c r="H446" t="s" s="17">
        <v>253</v>
      </c>
      <c r="I446" t="s" s="17">
        <v>127</v>
      </c>
      <c r="J446" t="s" s="17">
        <v>169</v>
      </c>
      <c r="K446" t="s" s="17">
        <v>23</v>
      </c>
      <c r="L446" s="15">
        <f>IF(O446,P446/O446,0)</f>
        <v>0.2073</v>
      </c>
      <c r="M446" s="15">
        <v>0.2073</v>
      </c>
      <c r="N446" s="15">
        <f>A446</f>
        <v>444</v>
      </c>
      <c r="O446" s="15">
        <f t="shared" si="819"/>
        <v>200</v>
      </c>
      <c r="P446" s="15">
        <v>41.46</v>
      </c>
      <c r="Q446" s="16"/>
    </row>
    <row r="447" ht="20.05" customHeight="1">
      <c r="A447" s="13">
        <f>A446+1</f>
        <v>445</v>
      </c>
      <c r="B447" s="14">
        <v>2023</v>
      </c>
      <c r="C447" s="15">
        <v>8</v>
      </c>
      <c r="D447" s="15">
        <v>10</v>
      </c>
      <c r="E447" s="15">
        <v>47725</v>
      </c>
      <c r="F447" t="s" s="17">
        <v>122</v>
      </c>
      <c r="G447" s="16"/>
      <c r="H447" t="s" s="17">
        <v>253</v>
      </c>
      <c r="I447" t="s" s="17">
        <v>19</v>
      </c>
      <c r="J447" t="s" s="17">
        <v>67</v>
      </c>
      <c r="K447" t="s" s="17">
        <v>23</v>
      </c>
      <c r="L447" s="15">
        <f>IF(O447,P447/O447,0)</f>
        <v>1.0461</v>
      </c>
      <c r="M447" s="15">
        <v>1.0461</v>
      </c>
      <c r="N447" s="15">
        <f>A447</f>
        <v>445</v>
      </c>
      <c r="O447" s="15">
        <f t="shared" si="819"/>
        <v>200</v>
      </c>
      <c r="P447" s="15">
        <v>209.22</v>
      </c>
      <c r="Q447" s="16"/>
    </row>
    <row r="448" ht="20.05" customHeight="1">
      <c r="A448" s="13">
        <f>A447+1</f>
        <v>446</v>
      </c>
      <c r="B448" s="14">
        <v>2023</v>
      </c>
      <c r="C448" s="15">
        <v>8</v>
      </c>
      <c r="D448" s="15">
        <v>10</v>
      </c>
      <c r="E448" s="15">
        <v>47725</v>
      </c>
      <c r="F448" t="s" s="17">
        <v>122</v>
      </c>
      <c r="G448" s="16"/>
      <c r="H448" t="s" s="17">
        <v>253</v>
      </c>
      <c r="I448" t="s" s="17">
        <v>19</v>
      </c>
      <c r="J448" t="s" s="17">
        <v>138</v>
      </c>
      <c r="K448" t="s" s="17">
        <v>41</v>
      </c>
      <c r="L448" s="15">
        <f>IF(O448,P448/O448,0)</f>
        <v>0.0228333333333333</v>
      </c>
      <c r="M448" s="15">
        <v>0.0228333333333333</v>
      </c>
      <c r="N448" s="15">
        <f>A448</f>
        <v>446</v>
      </c>
      <c r="O448" s="15">
        <f t="shared" si="645"/>
        <v>24000</v>
      </c>
      <c r="P448" s="15">
        <v>548</v>
      </c>
      <c r="Q448" s="16"/>
    </row>
    <row r="449" ht="32.05" customHeight="1">
      <c r="A449" s="13">
        <f>A448+1</f>
        <v>447</v>
      </c>
      <c r="B449" s="14">
        <v>2023</v>
      </c>
      <c r="C449" s="15">
        <v>8</v>
      </c>
      <c r="D449" s="15">
        <v>28</v>
      </c>
      <c r="E449" s="16"/>
      <c r="F449" t="s" s="17">
        <v>254</v>
      </c>
      <c r="G449" s="16"/>
      <c r="H449" t="s" s="17">
        <v>253</v>
      </c>
      <c r="I449" t="s" s="17">
        <v>14</v>
      </c>
      <c r="J449" t="s" s="17">
        <v>255</v>
      </c>
      <c r="K449" t="s" s="17">
        <v>23</v>
      </c>
      <c r="L449" s="15">
        <f>IF(O449,P449/O449,0)</f>
        <v>124.8</v>
      </c>
      <c r="M449" s="15">
        <v>124.8</v>
      </c>
      <c r="N449" s="15">
        <f>A449</f>
        <v>447</v>
      </c>
      <c r="O449" s="15">
        <v>1</v>
      </c>
      <c r="P449" s="15">
        <v>124.8</v>
      </c>
      <c r="Q449" s="16"/>
    </row>
    <row r="450" ht="32.05" customHeight="1">
      <c r="A450" s="13">
        <f>A449+1</f>
        <v>448</v>
      </c>
      <c r="B450" s="14">
        <v>2023</v>
      </c>
      <c r="C450" s="15">
        <v>8</v>
      </c>
      <c r="D450" s="15">
        <v>28</v>
      </c>
      <c r="E450" s="16"/>
      <c r="F450" t="s" s="17">
        <v>254</v>
      </c>
      <c r="G450" s="16"/>
      <c r="H450" t="s" s="17">
        <v>253</v>
      </c>
      <c r="I450" t="s" s="17">
        <v>14</v>
      </c>
      <c r="J450" t="s" s="17">
        <v>256</v>
      </c>
      <c r="K450" t="s" s="17">
        <v>23</v>
      </c>
      <c r="L450" s="15">
        <f>IF(O450,P450/O450,0)</f>
        <v>129.6</v>
      </c>
      <c r="M450" s="15">
        <v>129.6</v>
      </c>
      <c r="N450" s="15">
        <f>A450</f>
        <v>448</v>
      </c>
      <c r="O450" s="15">
        <v>1</v>
      </c>
      <c r="P450" s="15">
        <v>129.6</v>
      </c>
      <c r="Q450" s="16"/>
    </row>
    <row r="451" ht="20.05" customHeight="1">
      <c r="A451" s="13">
        <f>A450+1</f>
        <v>449</v>
      </c>
      <c r="B451" s="14">
        <v>2023</v>
      </c>
      <c r="C451" s="15">
        <v>8</v>
      </c>
      <c r="D451" s="15">
        <v>28</v>
      </c>
      <c r="E451" s="16"/>
      <c r="F451" t="s" s="17">
        <v>254</v>
      </c>
      <c r="G451" s="16"/>
      <c r="H451" t="s" s="17">
        <v>253</v>
      </c>
      <c r="I451" t="s" s="17">
        <v>14</v>
      </c>
      <c r="J451" t="s" s="17">
        <v>257</v>
      </c>
      <c r="K451" t="s" s="17">
        <v>23</v>
      </c>
      <c r="L451" s="15">
        <f>IF(O451,P451/O451,0)</f>
        <v>297.5</v>
      </c>
      <c r="M451" s="15">
        <v>297.5</v>
      </c>
      <c r="N451" s="15">
        <f>A451</f>
        <v>449</v>
      </c>
      <c r="O451" s="15">
        <v>1</v>
      </c>
      <c r="P451" s="15">
        <v>297.5</v>
      </c>
      <c r="Q451" s="16"/>
    </row>
    <row r="452" ht="20.05" customHeight="1">
      <c r="A452" s="13">
        <f>A451+1</f>
        <v>450</v>
      </c>
      <c r="B452" s="14">
        <v>2023</v>
      </c>
      <c r="C452" s="15">
        <v>8</v>
      </c>
      <c r="D452" s="15">
        <v>31</v>
      </c>
      <c r="E452" s="16"/>
      <c r="F452" t="s" s="17">
        <v>258</v>
      </c>
      <c r="G452" s="16"/>
      <c r="H452" t="s" s="17">
        <v>253</v>
      </c>
      <c r="I452" t="s" s="17">
        <v>19</v>
      </c>
      <c r="J452" t="s" s="17">
        <v>157</v>
      </c>
      <c r="K452" t="s" s="17">
        <v>16</v>
      </c>
      <c r="L452" s="15">
        <f>IF(O452,P452/O452,0)</f>
        <v>0.0169007092198582</v>
      </c>
      <c r="M452" s="15">
        <v>0.0169007092198582</v>
      </c>
      <c r="N452" s="15">
        <f>A452</f>
        <v>450</v>
      </c>
      <c r="O452" s="15">
        <f>616+794</f>
        <v>1410</v>
      </c>
      <c r="P452" s="15">
        <v>23.83</v>
      </c>
      <c r="Q452" s="16"/>
    </row>
    <row r="453" ht="32.05" customHeight="1">
      <c r="A453" s="13">
        <f>A452+1</f>
        <v>451</v>
      </c>
      <c r="B453" s="14">
        <v>2023</v>
      </c>
      <c r="C453" s="15">
        <v>8</v>
      </c>
      <c r="D453" s="15">
        <v>30</v>
      </c>
      <c r="E453" s="15">
        <v>1281</v>
      </c>
      <c r="F453" t="s" s="17">
        <v>126</v>
      </c>
      <c r="G453" s="16"/>
      <c r="H453" t="s" s="17">
        <v>253</v>
      </c>
      <c r="I453" t="s" s="17">
        <v>127</v>
      </c>
      <c r="J453" t="s" s="17">
        <v>137</v>
      </c>
      <c r="K453" t="s" s="17">
        <v>41</v>
      </c>
      <c r="L453" s="15">
        <f>IF(O453,P453/O453,0)</f>
        <v>0.008500000000000001</v>
      </c>
      <c r="M453" s="15">
        <v>0.008500000000000001</v>
      </c>
      <c r="N453" s="15">
        <f>A453</f>
        <v>451</v>
      </c>
      <c r="O453" s="15">
        <f t="shared" si="653"/>
        <v>10000</v>
      </c>
      <c r="P453" s="15">
        <v>85</v>
      </c>
      <c r="Q453" s="16"/>
    </row>
    <row r="454" ht="20.05" customHeight="1">
      <c r="A454" s="13">
        <f>A453+1</f>
        <v>452</v>
      </c>
      <c r="B454" s="14">
        <v>2023</v>
      </c>
      <c r="C454" s="15">
        <v>8</v>
      </c>
      <c r="D454" s="15">
        <v>30</v>
      </c>
      <c r="E454" s="15">
        <v>1281</v>
      </c>
      <c r="F454" t="s" s="17">
        <v>126</v>
      </c>
      <c r="G454" t="s" s="17">
        <v>195</v>
      </c>
      <c r="H454" t="s" s="17">
        <v>253</v>
      </c>
      <c r="I454" t="s" s="17">
        <v>127</v>
      </c>
      <c r="J454" t="s" s="17">
        <v>196</v>
      </c>
      <c r="K454" t="s" s="17">
        <v>41</v>
      </c>
      <c r="L454" s="15">
        <f>IF(O454,P454/O454,0)</f>
        <v>0.02109375</v>
      </c>
      <c r="M454" s="15">
        <v>0.02109375</v>
      </c>
      <c r="N454" s="15">
        <f>A454</f>
        <v>452</v>
      </c>
      <c r="O454" s="15">
        <v>3200</v>
      </c>
      <c r="P454" s="15">
        <v>67.5</v>
      </c>
      <c r="Q454" s="16"/>
    </row>
    <row r="455" ht="20.05" customHeight="1">
      <c r="A455" s="13">
        <f>A454+1</f>
        <v>453</v>
      </c>
      <c r="B455" s="14">
        <v>2023</v>
      </c>
      <c r="C455" s="15">
        <v>8</v>
      </c>
      <c r="D455" s="15">
        <v>30</v>
      </c>
      <c r="E455" s="15">
        <v>181933</v>
      </c>
      <c r="F455" t="s" s="17">
        <v>111</v>
      </c>
      <c r="G455" t="s" s="17">
        <v>246</v>
      </c>
      <c r="H455" t="s" s="17">
        <v>253</v>
      </c>
      <c r="I455" t="s" s="17">
        <v>127</v>
      </c>
      <c r="J455" t="s" s="17">
        <v>132</v>
      </c>
      <c r="K455" t="s" s="17">
        <v>41</v>
      </c>
      <c r="L455" s="15">
        <f>IF(O455,P455/O455,0)</f>
        <v>0.01622</v>
      </c>
      <c r="M455" s="15">
        <v>0.01622</v>
      </c>
      <c r="N455" s="15">
        <f>A455</f>
        <v>453</v>
      </c>
      <c r="O455" s="15">
        <v>4000</v>
      </c>
      <c r="P455" s="15">
        <v>64.88</v>
      </c>
      <c r="Q455" s="16"/>
    </row>
    <row r="456" ht="20.05" customHeight="1">
      <c r="A456" s="13">
        <f>A455+1</f>
        <v>454</v>
      </c>
      <c r="B456" s="14">
        <v>2023</v>
      </c>
      <c r="C456" s="15">
        <v>8</v>
      </c>
      <c r="D456" s="15">
        <v>30</v>
      </c>
      <c r="E456" s="15">
        <v>181933</v>
      </c>
      <c r="F456" t="s" s="17">
        <v>111</v>
      </c>
      <c r="G456" t="s" s="17">
        <v>191</v>
      </c>
      <c r="H456" t="s" s="17">
        <v>253</v>
      </c>
      <c r="I456" t="s" s="17">
        <v>26</v>
      </c>
      <c r="J456" t="s" s="17">
        <v>113</v>
      </c>
      <c r="K456" t="s" s="17">
        <v>41</v>
      </c>
      <c r="L456" s="15">
        <f>IF(O456,P456/O456,0)</f>
        <v>0.033362</v>
      </c>
      <c r="M456" s="15">
        <v>0.033362</v>
      </c>
      <c r="N456" s="15">
        <f>A456</f>
        <v>454</v>
      </c>
      <c r="O456" s="15">
        <v>5000</v>
      </c>
      <c r="P456" s="15">
        <v>166.81</v>
      </c>
      <c r="Q456" s="16"/>
    </row>
    <row r="457" ht="20.05" customHeight="1">
      <c r="A457" s="13">
        <f>A456+1</f>
        <v>455</v>
      </c>
      <c r="B457" s="14">
        <v>2023</v>
      </c>
      <c r="C457" s="15">
        <v>8</v>
      </c>
      <c r="D457" s="15">
        <v>30</v>
      </c>
      <c r="E457" s="15">
        <v>181933</v>
      </c>
      <c r="F457" t="s" s="17">
        <v>111</v>
      </c>
      <c r="G457" s="16"/>
      <c r="H457" t="s" s="17">
        <v>253</v>
      </c>
      <c r="I457" t="s" s="17">
        <v>19</v>
      </c>
      <c r="J457" t="s" s="17">
        <v>135</v>
      </c>
      <c r="K457" t="s" s="17">
        <v>23</v>
      </c>
      <c r="L457" s="15">
        <f>IF(O457,P457/O457,0)</f>
        <v>0.29832</v>
      </c>
      <c r="M457" s="15">
        <v>0.29832</v>
      </c>
      <c r="N457" s="15">
        <f>A457</f>
        <v>455</v>
      </c>
      <c r="O457" s="15">
        <f t="shared" si="1317"/>
        <v>250</v>
      </c>
      <c r="P457" s="15">
        <v>74.58</v>
      </c>
      <c r="Q457" s="16"/>
    </row>
    <row r="458" ht="20.05" customHeight="1">
      <c r="A458" s="13">
        <f>A457+1</f>
        <v>456</v>
      </c>
      <c r="B458" s="14">
        <v>2023</v>
      </c>
      <c r="C458" s="15">
        <v>8</v>
      </c>
      <c r="D458" s="15">
        <v>30</v>
      </c>
      <c r="E458" s="15">
        <v>615</v>
      </c>
      <c r="F458" t="s" s="17">
        <v>150</v>
      </c>
      <c r="G458" s="16"/>
      <c r="H458" t="s" s="17">
        <v>253</v>
      </c>
      <c r="I458" t="s" s="17">
        <v>19</v>
      </c>
      <c r="J458" t="s" s="17">
        <v>155</v>
      </c>
      <c r="K458" t="s" s="17">
        <v>16</v>
      </c>
      <c r="L458" s="15">
        <f>IF(O458,P458/O458,0)</f>
        <v>0.336</v>
      </c>
      <c r="M458" s="15">
        <v>0.336</v>
      </c>
      <c r="N458" s="15">
        <f>A458</f>
        <v>456</v>
      </c>
      <c r="O458" s="15">
        <f t="shared" si="657"/>
        <v>3000</v>
      </c>
      <c r="P458" s="15">
        <v>1008</v>
      </c>
      <c r="Q458" s="16"/>
    </row>
    <row r="459" ht="20.05" customHeight="1">
      <c r="A459" s="13">
        <f>A458+1</f>
        <v>457</v>
      </c>
      <c r="B459" s="14">
        <v>2023</v>
      </c>
      <c r="C459" s="15">
        <v>8</v>
      </c>
      <c r="D459" s="15">
        <v>30</v>
      </c>
      <c r="E459" s="15">
        <v>615</v>
      </c>
      <c r="F459" t="s" s="17">
        <v>150</v>
      </c>
      <c r="G459" s="16"/>
      <c r="H459" t="s" s="17">
        <v>253</v>
      </c>
      <c r="I459" t="s" s="17">
        <v>19</v>
      </c>
      <c r="J459" t="s" s="17">
        <v>105</v>
      </c>
      <c r="K459" t="s" s="17">
        <v>41</v>
      </c>
      <c r="L459" s="15">
        <f>IF(O459,P459/O459,0)</f>
        <v>0.357333333333333</v>
      </c>
      <c r="M459" s="15">
        <v>0.357333333333333</v>
      </c>
      <c r="N459" s="15">
        <f>A459</f>
        <v>457</v>
      </c>
      <c r="O459" s="15">
        <v>750</v>
      </c>
      <c r="P459" s="15">
        <v>268</v>
      </c>
      <c r="Q459" s="16"/>
    </row>
    <row r="460" ht="20.05" customHeight="1">
      <c r="A460" s="13">
        <f>A459+1</f>
        <v>458</v>
      </c>
      <c r="B460" s="14">
        <v>2023</v>
      </c>
      <c r="C460" s="15">
        <v>8</v>
      </c>
      <c r="D460" s="15">
        <v>29</v>
      </c>
      <c r="E460" s="16"/>
      <c r="F460" t="s" s="17">
        <v>259</v>
      </c>
      <c r="G460" s="16"/>
      <c r="H460" t="s" s="17">
        <v>253</v>
      </c>
      <c r="I460" t="s" s="17">
        <v>187</v>
      </c>
      <c r="J460" t="s" s="17">
        <v>260</v>
      </c>
      <c r="K460" t="s" s="17">
        <v>23</v>
      </c>
      <c r="L460" s="15">
        <f>IF(O460,P460/O460,0)</f>
        <v>300</v>
      </c>
      <c r="M460" s="15">
        <v>300</v>
      </c>
      <c r="N460" s="15">
        <f>A460</f>
        <v>458</v>
      </c>
      <c r="O460" s="15">
        <v>1</v>
      </c>
      <c r="P460" s="15">
        <v>300</v>
      </c>
      <c r="Q460" s="16"/>
    </row>
    <row r="461" ht="20.05" customHeight="1">
      <c r="A461" s="13">
        <f>A460+1</f>
        <v>459</v>
      </c>
      <c r="B461" s="14">
        <v>2023</v>
      </c>
      <c r="C461" s="15">
        <v>8</v>
      </c>
      <c r="D461" s="15">
        <v>26</v>
      </c>
      <c r="E461" s="15">
        <v>121</v>
      </c>
      <c r="F461" t="s" s="17">
        <v>204</v>
      </c>
      <c r="G461" s="16"/>
      <c r="H461" t="s" s="17">
        <v>253</v>
      </c>
      <c r="I461" t="s" s="17">
        <v>19</v>
      </c>
      <c r="J461" t="s" s="17">
        <v>229</v>
      </c>
      <c r="K461" t="s" s="17">
        <v>23</v>
      </c>
      <c r="L461" s="15">
        <f>IF(O461,P461/O461,0)</f>
        <v>1.66666666666667</v>
      </c>
      <c r="M461" s="15">
        <v>1.66666666666667</v>
      </c>
      <c r="N461" s="15">
        <f>A461</f>
        <v>459</v>
      </c>
      <c r="O461" s="15">
        <f t="shared" si="999"/>
        <v>240</v>
      </c>
      <c r="P461" s="15">
        <v>400</v>
      </c>
      <c r="Q461" s="16"/>
    </row>
    <row r="462" ht="20.05" customHeight="1">
      <c r="A462" s="13">
        <f>A461+1</f>
        <v>460</v>
      </c>
      <c r="B462" s="14">
        <v>2023</v>
      </c>
      <c r="C462" s="15">
        <v>8</v>
      </c>
      <c r="D462" s="15">
        <v>26</v>
      </c>
      <c r="E462" s="15">
        <v>230</v>
      </c>
      <c r="F462" t="s" s="17">
        <v>258</v>
      </c>
      <c r="G462" s="16"/>
      <c r="H462" t="s" s="17">
        <v>253</v>
      </c>
      <c r="I462" t="s" s="17">
        <v>19</v>
      </c>
      <c r="J462" t="s" s="17">
        <v>157</v>
      </c>
      <c r="K462" t="s" s="17">
        <v>16</v>
      </c>
      <c r="L462" s="15">
        <f>IF(O462,P462/O462,0)</f>
        <v>0.0188995215311005</v>
      </c>
      <c r="M462" s="15">
        <v>0.0188995215311005</v>
      </c>
      <c r="N462" s="15">
        <f>A462</f>
        <v>460</v>
      </c>
      <c r="O462" s="15">
        <v>1672</v>
      </c>
      <c r="P462" s="15">
        <v>31.6</v>
      </c>
      <c r="Q462" s="16"/>
    </row>
    <row r="463" ht="20.05" customHeight="1">
      <c r="A463" s="13">
        <f>A462+1</f>
        <v>461</v>
      </c>
      <c r="B463" s="14">
        <v>2023</v>
      </c>
      <c r="C463" s="15">
        <v>8</v>
      </c>
      <c r="D463" s="15">
        <v>22</v>
      </c>
      <c r="E463" s="15">
        <v>245</v>
      </c>
      <c r="F463" t="s" s="17">
        <v>258</v>
      </c>
      <c r="G463" s="16"/>
      <c r="H463" t="s" s="17">
        <v>253</v>
      </c>
      <c r="I463" t="s" s="17">
        <v>127</v>
      </c>
      <c r="J463" t="s" s="17">
        <v>205</v>
      </c>
      <c r="K463" t="s" s="17">
        <v>23</v>
      </c>
      <c r="L463" s="15">
        <f>IF(O463,P463/O463,0)</f>
        <v>57.11</v>
      </c>
      <c r="M463" s="15">
        <v>57.11</v>
      </c>
      <c r="N463" s="15">
        <f>A463</f>
        <v>461</v>
      </c>
      <c r="O463" s="15">
        <v>2</v>
      </c>
      <c r="P463" s="15">
        <v>114.22</v>
      </c>
      <c r="Q463" s="16"/>
    </row>
    <row r="464" ht="20.05" customHeight="1">
      <c r="A464" s="13">
        <f>A463+1</f>
        <v>462</v>
      </c>
      <c r="B464" s="14">
        <v>2023</v>
      </c>
      <c r="C464" s="15">
        <v>8</v>
      </c>
      <c r="D464" s="15">
        <v>18</v>
      </c>
      <c r="E464" s="15">
        <v>620979</v>
      </c>
      <c r="F464" t="s" s="17">
        <v>141</v>
      </c>
      <c r="G464" s="16"/>
      <c r="H464" t="s" s="17">
        <v>253</v>
      </c>
      <c r="I464" t="s" s="17">
        <v>19</v>
      </c>
      <c r="J464" t="s" s="17">
        <v>142</v>
      </c>
      <c r="K464" t="s" s="17">
        <v>23</v>
      </c>
      <c r="L464" s="15">
        <f>IF(O464,P464/O464,0)</f>
        <v>12.5922916666667</v>
      </c>
      <c r="M464" s="15">
        <v>12.5922916666667</v>
      </c>
      <c r="N464" s="15">
        <f>A464</f>
        <v>462</v>
      </c>
      <c r="O464" s="15">
        <f t="shared" si="1410"/>
        <v>48</v>
      </c>
      <c r="P464" s="15">
        <v>604.4299999999999</v>
      </c>
      <c r="Q464" s="16"/>
    </row>
    <row r="465" ht="20.05" customHeight="1">
      <c r="A465" s="13">
        <f>A464+1</f>
        <v>463</v>
      </c>
      <c r="B465" s="14">
        <v>2023</v>
      </c>
      <c r="C465" s="15">
        <v>8</v>
      </c>
      <c r="D465" s="15">
        <v>18</v>
      </c>
      <c r="E465" s="15">
        <v>620979</v>
      </c>
      <c r="F465" t="s" s="17">
        <v>141</v>
      </c>
      <c r="G465" s="16"/>
      <c r="H465" t="s" s="17">
        <v>253</v>
      </c>
      <c r="I465" t="s" s="17">
        <v>19</v>
      </c>
      <c r="J465" t="s" s="17">
        <v>144</v>
      </c>
      <c r="K465" t="s" s="17">
        <v>23</v>
      </c>
      <c r="L465" s="15">
        <f>IF(O465,P465/O465,0)</f>
        <v>12.5922916666667</v>
      </c>
      <c r="M465" s="15">
        <v>12.5922916666667</v>
      </c>
      <c r="N465" s="15">
        <f>A465</f>
        <v>463</v>
      </c>
      <c r="O465" s="15">
        <f t="shared" si="1410"/>
        <v>48</v>
      </c>
      <c r="P465" s="15">
        <v>604.4299999999999</v>
      </c>
      <c r="Q465" s="16"/>
    </row>
    <row r="466" ht="20.05" customHeight="1">
      <c r="A466" s="13">
        <f>A465+1</f>
        <v>464</v>
      </c>
      <c r="B466" s="14">
        <v>2023</v>
      </c>
      <c r="C466" s="15">
        <v>8</v>
      </c>
      <c r="D466" s="15">
        <v>18</v>
      </c>
      <c r="E466" s="15">
        <v>620979</v>
      </c>
      <c r="F466" t="s" s="17">
        <v>141</v>
      </c>
      <c r="G466" s="16"/>
      <c r="H466" t="s" s="17">
        <v>253</v>
      </c>
      <c r="I466" t="s" s="17">
        <v>19</v>
      </c>
      <c r="J466" t="s" s="17">
        <v>159</v>
      </c>
      <c r="K466" t="s" s="17">
        <v>23</v>
      </c>
      <c r="L466" s="15">
        <f>IF(O466,P466/O466,0)</f>
        <v>2.57441666666667</v>
      </c>
      <c r="M466" s="15">
        <v>2.57441666666667</v>
      </c>
      <c r="N466" s="15">
        <f>A466</f>
        <v>464</v>
      </c>
      <c r="O466" s="15">
        <f t="shared" si="999"/>
        <v>240</v>
      </c>
      <c r="P466" s="15">
        <f>308.93*2</f>
        <v>617.86</v>
      </c>
      <c r="Q466" s="16"/>
    </row>
    <row r="467" ht="20.05" customHeight="1">
      <c r="A467" s="13">
        <f>A466+1</f>
        <v>465</v>
      </c>
      <c r="B467" s="14">
        <v>2023</v>
      </c>
      <c r="C467" s="15">
        <v>8</v>
      </c>
      <c r="D467" s="15">
        <v>1</v>
      </c>
      <c r="E467" s="15">
        <v>242</v>
      </c>
      <c r="F467" t="s" s="17">
        <v>130</v>
      </c>
      <c r="G467" s="16"/>
      <c r="H467" t="s" s="17">
        <v>253</v>
      </c>
      <c r="I467" t="s" s="17">
        <v>26</v>
      </c>
      <c r="J467" t="s" s="17">
        <v>113</v>
      </c>
      <c r="K467" t="s" s="17">
        <v>41</v>
      </c>
      <c r="L467" s="15">
        <f>IF(O467,P467/O467,0)</f>
        <v>0.02665</v>
      </c>
      <c r="M467" s="15">
        <v>0.02665</v>
      </c>
      <c r="N467" s="15">
        <f>A467</f>
        <v>465</v>
      </c>
      <c r="O467" s="15">
        <v>3000</v>
      </c>
      <c r="P467" s="15">
        <v>79.95</v>
      </c>
      <c r="Q467" s="16"/>
    </row>
    <row r="468" ht="20.05" customHeight="1">
      <c r="A468" s="13">
        <f>A467+1</f>
        <v>466</v>
      </c>
      <c r="B468" s="14">
        <v>2023</v>
      </c>
      <c r="C468" s="15">
        <v>8</v>
      </c>
      <c r="D468" s="15">
        <v>4</v>
      </c>
      <c r="E468" s="15">
        <v>362</v>
      </c>
      <c r="F468" t="s" s="17">
        <v>258</v>
      </c>
      <c r="G468" s="16"/>
      <c r="H468" t="s" s="17">
        <v>253</v>
      </c>
      <c r="I468" t="s" s="17">
        <v>19</v>
      </c>
      <c r="J468" t="s" s="17">
        <v>112</v>
      </c>
      <c r="K468" t="s" s="17">
        <v>41</v>
      </c>
      <c r="L468" s="15">
        <f>IF(O468,P468/O468,0)</f>
        <v>28.85</v>
      </c>
      <c r="M468" s="15">
        <v>28.85</v>
      </c>
      <c r="N468" s="15">
        <f>A468</f>
        <v>466</v>
      </c>
      <c r="O468" s="15">
        <v>1</v>
      </c>
      <c r="P468" s="15">
        <v>28.85</v>
      </c>
      <c r="Q468" s="16"/>
    </row>
    <row r="469" ht="20.05" customHeight="1">
      <c r="A469" s="13">
        <f>A468+1</f>
        <v>467</v>
      </c>
      <c r="B469" s="14">
        <v>2023</v>
      </c>
      <c r="C469" s="15">
        <v>8</v>
      </c>
      <c r="D469" s="15">
        <v>11</v>
      </c>
      <c r="E469" s="15">
        <v>204</v>
      </c>
      <c r="F469" t="s" s="17">
        <v>258</v>
      </c>
      <c r="G469" s="16"/>
      <c r="H469" t="s" s="17">
        <v>253</v>
      </c>
      <c r="I469" t="s" s="17">
        <v>19</v>
      </c>
      <c r="J469" t="s" s="17">
        <v>157</v>
      </c>
      <c r="K469" t="s" s="17">
        <v>16</v>
      </c>
      <c r="L469" s="15">
        <f>IF(O469,P469/O469,0)</f>
        <v>0.0189058823529412</v>
      </c>
      <c r="M469" s="15">
        <v>0.0189058823529412</v>
      </c>
      <c r="N469" s="15">
        <f>A469</f>
        <v>467</v>
      </c>
      <c r="O469" s="15">
        <v>850</v>
      </c>
      <c r="P469" s="15">
        <v>16.07</v>
      </c>
      <c r="Q469" s="16"/>
    </row>
    <row r="470" ht="20.05" customHeight="1">
      <c r="A470" s="13">
        <f>A469+1</f>
        <v>468</v>
      </c>
      <c r="B470" s="14">
        <v>2023</v>
      </c>
      <c r="C470" s="15">
        <v>8</v>
      </c>
      <c r="D470" s="15">
        <v>11</v>
      </c>
      <c r="E470" s="15">
        <v>239</v>
      </c>
      <c r="F470" t="s" s="17">
        <v>258</v>
      </c>
      <c r="G470" s="16"/>
      <c r="H470" t="s" s="17">
        <v>253</v>
      </c>
      <c r="I470" t="s" s="17">
        <v>19</v>
      </c>
      <c r="J470" t="s" s="17">
        <v>123</v>
      </c>
      <c r="K470" t="s" s="17">
        <v>16</v>
      </c>
      <c r="L470" s="15">
        <f>IF(O470,P470/O470,0)</f>
        <v>0.02798</v>
      </c>
      <c r="M470" s="15">
        <v>0.02798</v>
      </c>
      <c r="N470" s="15">
        <f>A470</f>
        <v>468</v>
      </c>
      <c r="O470" s="15">
        <v>5000</v>
      </c>
      <c r="P470" s="15">
        <v>139.9</v>
      </c>
      <c r="Q470" t="s" s="17">
        <v>261</v>
      </c>
    </row>
    <row r="471" ht="20.05" customHeight="1">
      <c r="A471" s="13">
        <f>A470+1</f>
        <v>469</v>
      </c>
      <c r="B471" s="14">
        <v>2023</v>
      </c>
      <c r="C471" s="15">
        <v>8</v>
      </c>
      <c r="D471" s="15">
        <v>12</v>
      </c>
      <c r="E471" s="15">
        <v>235</v>
      </c>
      <c r="F471" t="s" s="17">
        <v>258</v>
      </c>
      <c r="G471" s="16"/>
      <c r="H471" t="s" s="17">
        <v>253</v>
      </c>
      <c r="I471" t="s" s="17">
        <v>19</v>
      </c>
      <c r="J471" t="s" s="17">
        <v>157</v>
      </c>
      <c r="K471" t="s" s="17">
        <v>16</v>
      </c>
      <c r="L471" s="15">
        <f>IF(O471,P471/O471,0)</f>
        <v>0.018895966029724</v>
      </c>
      <c r="M471" s="15">
        <v>0.018895966029724</v>
      </c>
      <c r="N471" s="15">
        <f>A471</f>
        <v>469</v>
      </c>
      <c r="O471" s="15">
        <v>942</v>
      </c>
      <c r="P471" s="15">
        <v>17.8</v>
      </c>
      <c r="Q471" s="16"/>
    </row>
    <row r="472" ht="20.05" customHeight="1">
      <c r="A472" s="13">
        <f>A471+1</f>
        <v>470</v>
      </c>
      <c r="B472" s="14">
        <v>2023</v>
      </c>
      <c r="C472" s="15">
        <v>8</v>
      </c>
      <c r="D472" s="15">
        <v>15</v>
      </c>
      <c r="E472" s="15">
        <v>182</v>
      </c>
      <c r="F472" t="s" s="17">
        <v>258</v>
      </c>
      <c r="G472" s="16"/>
      <c r="H472" t="s" s="17">
        <v>253</v>
      </c>
      <c r="I472" t="s" s="17">
        <v>19</v>
      </c>
      <c r="J472" t="s" s="17">
        <v>157</v>
      </c>
      <c r="K472" t="s" s="17">
        <v>16</v>
      </c>
      <c r="L472" s="15">
        <f>IF(O472,P472/O472,0)</f>
        <v>0.0189029126213592</v>
      </c>
      <c r="M472" s="15">
        <v>0.0189029126213592</v>
      </c>
      <c r="N472" s="15">
        <f>A472</f>
        <v>470</v>
      </c>
      <c r="O472" s="15">
        <v>1030</v>
      </c>
      <c r="P472" s="15">
        <v>19.47</v>
      </c>
      <c r="Q472" s="16"/>
    </row>
    <row r="473" ht="20.05" customHeight="1">
      <c r="A473" s="13">
        <f>A472+1</f>
        <v>471</v>
      </c>
      <c r="B473" s="14">
        <v>2023</v>
      </c>
      <c r="C473" s="15">
        <v>8</v>
      </c>
      <c r="D473" s="15">
        <v>18</v>
      </c>
      <c r="E473" s="15">
        <v>279</v>
      </c>
      <c r="F473" t="s" s="17">
        <v>258</v>
      </c>
      <c r="G473" s="16"/>
      <c r="H473" t="s" s="17">
        <v>253</v>
      </c>
      <c r="I473" t="s" s="17">
        <v>19</v>
      </c>
      <c r="J473" t="s" s="17">
        <v>157</v>
      </c>
      <c r="K473" t="s" s="17">
        <v>16</v>
      </c>
      <c r="L473" s="15">
        <f>IF(O473,P473/O473,0)</f>
        <v>0.0189012738853503</v>
      </c>
      <c r="M473" s="15">
        <v>0.0189012738853503</v>
      </c>
      <c r="N473" s="15">
        <f>A473</f>
        <v>471</v>
      </c>
      <c r="O473" s="15">
        <v>3768</v>
      </c>
      <c r="P473" s="15">
        <v>71.22</v>
      </c>
      <c r="Q473" s="16"/>
    </row>
    <row r="474" ht="32.05" customHeight="1">
      <c r="A474" s="13">
        <f>A473+1</f>
        <v>472</v>
      </c>
      <c r="B474" s="14">
        <v>2023</v>
      </c>
      <c r="C474" s="15">
        <v>8</v>
      </c>
      <c r="D474" s="15">
        <v>2</v>
      </c>
      <c r="E474" s="15">
        <v>1076</v>
      </c>
      <c r="F474" t="s" s="17">
        <v>126</v>
      </c>
      <c r="G474" s="16"/>
      <c r="H474" t="s" s="17">
        <v>253</v>
      </c>
      <c r="I474" t="s" s="17">
        <v>127</v>
      </c>
      <c r="J474" t="s" s="17">
        <v>137</v>
      </c>
      <c r="K474" t="s" s="17">
        <v>41</v>
      </c>
      <c r="L474" s="15">
        <f>IF(O474,P474/O474,0)</f>
        <v>0.008500000000000001</v>
      </c>
      <c r="M474" s="15">
        <v>0.008500000000000001</v>
      </c>
      <c r="N474" s="15">
        <f>A474</f>
        <v>472</v>
      </c>
      <c r="O474" s="15">
        <v>5000</v>
      </c>
      <c r="P474" s="15">
        <v>42.5</v>
      </c>
      <c r="Q474" s="16"/>
    </row>
    <row r="475" ht="32.05" customHeight="1">
      <c r="A475" s="13">
        <f>A474+1</f>
        <v>473</v>
      </c>
      <c r="B475" s="14">
        <v>2023</v>
      </c>
      <c r="C475" s="15">
        <v>8</v>
      </c>
      <c r="D475" s="15">
        <v>2</v>
      </c>
      <c r="E475" s="15">
        <v>1076</v>
      </c>
      <c r="F475" t="s" s="17">
        <v>126</v>
      </c>
      <c r="G475" s="16"/>
      <c r="H475" t="s" s="17">
        <v>253</v>
      </c>
      <c r="I475" t="s" s="17">
        <v>127</v>
      </c>
      <c r="J475" t="s" s="17">
        <v>136</v>
      </c>
      <c r="K475" t="s" s="17">
        <v>23</v>
      </c>
      <c r="L475" s="15">
        <f>IF(O475,P475/O475,0)</f>
        <v>0.12479</v>
      </c>
      <c r="M475" s="15">
        <v>0.12479</v>
      </c>
      <c r="N475" s="15">
        <f>A475</f>
        <v>473</v>
      </c>
      <c r="O475" s="15">
        <f t="shared" si="1521" ref="O475:O601">1*2000</f>
        <v>2000</v>
      </c>
      <c r="P475" s="15">
        <v>249.58</v>
      </c>
      <c r="Q475" s="16"/>
    </row>
    <row r="476" ht="20.05" customHeight="1">
      <c r="A476" s="13">
        <f>A475+1</f>
        <v>474</v>
      </c>
      <c r="B476" s="14">
        <v>2023</v>
      </c>
      <c r="C476" s="15">
        <v>8</v>
      </c>
      <c r="D476" s="15">
        <v>2</v>
      </c>
      <c r="E476" s="15">
        <v>1076</v>
      </c>
      <c r="F476" t="s" s="17">
        <v>126</v>
      </c>
      <c r="G476" s="16"/>
      <c r="H476" t="s" s="17">
        <v>253</v>
      </c>
      <c r="I476" t="s" s="17">
        <v>127</v>
      </c>
      <c r="J476" t="s" s="17">
        <v>168</v>
      </c>
      <c r="K476" t="s" s="17">
        <v>23</v>
      </c>
      <c r="L476" s="15">
        <f>IF(O476,P476/O476,0)</f>
        <v>0.25417</v>
      </c>
      <c r="M476" s="15">
        <v>0.25417</v>
      </c>
      <c r="N476" s="15">
        <f>A476</f>
        <v>474</v>
      </c>
      <c r="O476" s="15">
        <f t="shared" si="1525" ref="O476:O1585">4*250</f>
        <v>1000</v>
      </c>
      <c r="P476" s="15">
        <v>254.17</v>
      </c>
      <c r="Q476" s="16"/>
    </row>
    <row r="477" ht="20.05" customHeight="1">
      <c r="A477" s="13">
        <f>A476+1</f>
        <v>475</v>
      </c>
      <c r="B477" s="14">
        <v>2023</v>
      </c>
      <c r="C477" s="15">
        <v>8</v>
      </c>
      <c r="D477" s="15">
        <v>5</v>
      </c>
      <c r="E477" s="15">
        <v>570658</v>
      </c>
      <c r="F477" t="s" s="17">
        <v>141</v>
      </c>
      <c r="G477" s="16"/>
      <c r="H477" t="s" s="17">
        <v>253</v>
      </c>
      <c r="I477" t="s" s="17">
        <v>19</v>
      </c>
      <c r="J477" t="s" s="17">
        <v>142</v>
      </c>
      <c r="K477" t="s" s="17">
        <v>23</v>
      </c>
      <c r="L477" s="15">
        <f>IF(O477,P477/O477,0)</f>
        <v>12.5922916666667</v>
      </c>
      <c r="M477" s="15">
        <v>12.5922916666667</v>
      </c>
      <c r="N477" s="15">
        <f>A477</f>
        <v>475</v>
      </c>
      <c r="O477" s="15">
        <f t="shared" si="1410"/>
        <v>48</v>
      </c>
      <c r="P477" s="15">
        <v>604.4299999999999</v>
      </c>
      <c r="Q477" s="16"/>
    </row>
    <row r="478" ht="20.05" customHeight="1">
      <c r="A478" s="13">
        <f>A477+1</f>
        <v>476</v>
      </c>
      <c r="B478" s="14">
        <v>2023</v>
      </c>
      <c r="C478" s="15">
        <v>8</v>
      </c>
      <c r="D478" s="15">
        <v>5</v>
      </c>
      <c r="E478" s="15">
        <v>570658</v>
      </c>
      <c r="F478" t="s" s="17">
        <v>141</v>
      </c>
      <c r="G478" s="16"/>
      <c r="H478" t="s" s="17">
        <v>253</v>
      </c>
      <c r="I478" t="s" s="17">
        <v>19</v>
      </c>
      <c r="J478" t="s" s="17">
        <v>144</v>
      </c>
      <c r="K478" t="s" s="17">
        <v>23</v>
      </c>
      <c r="L478" s="15">
        <f>IF(O478,P478/O478,0)</f>
        <v>12.5925</v>
      </c>
      <c r="M478" s="15">
        <v>12.5925</v>
      </c>
      <c r="N478" s="15">
        <f>A478</f>
        <v>476</v>
      </c>
      <c r="O478" s="15">
        <f t="shared" si="1533" ref="O478:O682">1*24</f>
        <v>24</v>
      </c>
      <c r="P478" s="15">
        <v>302.22</v>
      </c>
      <c r="Q478" s="16"/>
    </row>
    <row r="479" ht="20.05" customHeight="1">
      <c r="A479" s="13">
        <f>A478+1</f>
        <v>477</v>
      </c>
      <c r="B479" s="14">
        <v>2023</v>
      </c>
      <c r="C479" s="15">
        <v>8</v>
      </c>
      <c r="D479" s="15">
        <v>5</v>
      </c>
      <c r="E479" s="15">
        <v>570658</v>
      </c>
      <c r="F479" t="s" s="17">
        <v>141</v>
      </c>
      <c r="G479" s="16"/>
      <c r="H479" t="s" s="17">
        <v>253</v>
      </c>
      <c r="I479" t="s" s="17">
        <v>19</v>
      </c>
      <c r="J479" t="s" s="17">
        <v>159</v>
      </c>
      <c r="K479" t="s" s="17">
        <v>23</v>
      </c>
      <c r="L479" s="15">
        <f>IF(O479,P479/O479,0)</f>
        <v>2.57441666666667</v>
      </c>
      <c r="M479" s="15">
        <v>2.57441666666667</v>
      </c>
      <c r="N479" s="15">
        <f>A479</f>
        <v>477</v>
      </c>
      <c r="O479" s="15">
        <f t="shared" si="878"/>
        <v>120</v>
      </c>
      <c r="P479" s="15">
        <v>308.93</v>
      </c>
      <c r="Q479" s="16"/>
    </row>
    <row r="480" ht="20.05" customHeight="1">
      <c r="A480" s="13">
        <f>A479+1</f>
        <v>478</v>
      </c>
      <c r="B480" s="14">
        <v>2023</v>
      </c>
      <c r="C480" s="15">
        <v>8</v>
      </c>
      <c r="D480" s="15">
        <v>7</v>
      </c>
      <c r="E480" s="15">
        <v>3583</v>
      </c>
      <c r="F480" t="s" s="17">
        <v>262</v>
      </c>
      <c r="G480" s="16"/>
      <c r="H480" t="s" s="17">
        <v>253</v>
      </c>
      <c r="I480" t="s" s="17">
        <v>187</v>
      </c>
      <c r="J480" t="s" s="17">
        <v>263</v>
      </c>
      <c r="K480" t="s" s="17">
        <v>23</v>
      </c>
      <c r="L480" s="15">
        <f>IF(O480,P480/O480,0)</f>
        <v>420</v>
      </c>
      <c r="M480" s="15">
        <v>420</v>
      </c>
      <c r="N480" s="15">
        <f>A480</f>
        <v>478</v>
      </c>
      <c r="O480" s="15">
        <v>1</v>
      </c>
      <c r="P480" s="15">
        <v>420</v>
      </c>
      <c r="Q480" s="16"/>
    </row>
    <row r="481" ht="20.05" customHeight="1">
      <c r="A481" s="13">
        <f>A480+1</f>
        <v>479</v>
      </c>
      <c r="B481" s="14">
        <v>2023</v>
      </c>
      <c r="C481" s="15">
        <v>8</v>
      </c>
      <c r="D481" s="15">
        <v>28</v>
      </c>
      <c r="E481" s="16"/>
      <c r="F481" t="s" s="17">
        <v>264</v>
      </c>
      <c r="G481" s="16"/>
      <c r="H481" t="s" s="17">
        <v>253</v>
      </c>
      <c r="I481" t="s" s="17">
        <v>19</v>
      </c>
      <c r="J481" t="s" s="17">
        <v>265</v>
      </c>
      <c r="K481" t="s" s="17">
        <v>23</v>
      </c>
      <c r="L481" s="15">
        <f>IF(O481,P481/O481,0)</f>
        <v>540</v>
      </c>
      <c r="M481" s="15">
        <v>540</v>
      </c>
      <c r="N481" s="15">
        <f>A481</f>
        <v>479</v>
      </c>
      <c r="O481" s="15">
        <v>1</v>
      </c>
      <c r="P481" s="15">
        <v>540</v>
      </c>
      <c r="Q481" s="16"/>
    </row>
    <row r="482" ht="20.05" customHeight="1">
      <c r="A482" s="13">
        <f>A481+1</f>
        <v>480</v>
      </c>
      <c r="B482" s="14">
        <v>2023</v>
      </c>
      <c r="C482" s="15">
        <v>9</v>
      </c>
      <c r="D482" s="15">
        <v>1</v>
      </c>
      <c r="E482" s="16"/>
      <c r="F482" s="16"/>
      <c r="G482" s="16"/>
      <c r="H482" t="s" s="17">
        <v>163</v>
      </c>
      <c r="I482" t="s" s="17">
        <v>17</v>
      </c>
      <c r="J482" t="s" s="17">
        <v>110</v>
      </c>
      <c r="K482" t="s" s="17">
        <v>23</v>
      </c>
      <c r="L482" s="15">
        <f>IF(O482,P482/O482,0)</f>
        <v>5</v>
      </c>
      <c r="M482" s="15">
        <v>5</v>
      </c>
      <c r="N482" s="15">
        <f>A482</f>
        <v>480</v>
      </c>
      <c r="O482" s="15">
        <v>1</v>
      </c>
      <c r="P482" s="15">
        <v>5</v>
      </c>
      <c r="Q482" s="16"/>
    </row>
    <row r="483" ht="20.05" customHeight="1">
      <c r="A483" s="13">
        <f>A482+1</f>
        <v>481</v>
      </c>
      <c r="B483" s="14">
        <v>2023</v>
      </c>
      <c r="C483" s="15">
        <v>9</v>
      </c>
      <c r="D483" s="15">
        <v>1</v>
      </c>
      <c r="E483" s="16"/>
      <c r="F483" t="s" s="17">
        <v>130</v>
      </c>
      <c r="G483" s="16"/>
      <c r="H483" t="s" s="17">
        <v>163</v>
      </c>
      <c r="I483" t="s" s="17">
        <v>17</v>
      </c>
      <c r="J483" t="s" s="17">
        <v>156</v>
      </c>
      <c r="K483" t="s" s="17">
        <v>16</v>
      </c>
      <c r="L483" s="15">
        <f>IF(O483,P483/O483,0)</f>
        <v>0.094875</v>
      </c>
      <c r="M483" s="15">
        <v>0.094875</v>
      </c>
      <c r="N483" s="15">
        <f>A483</f>
        <v>481</v>
      </c>
      <c r="O483" s="15">
        <v>400</v>
      </c>
      <c r="P483" s="15">
        <v>37.95</v>
      </c>
      <c r="Q483" s="16"/>
    </row>
    <row r="484" ht="20.05" customHeight="1">
      <c r="A484" s="13">
        <f>A483+1</f>
        <v>482</v>
      </c>
      <c r="B484" s="14">
        <v>2023</v>
      </c>
      <c r="C484" s="15">
        <v>9</v>
      </c>
      <c r="D484" s="15">
        <v>1</v>
      </c>
      <c r="E484" s="16"/>
      <c r="F484" t="s" s="17">
        <v>130</v>
      </c>
      <c r="G484" s="16"/>
      <c r="H484" t="s" s="17">
        <v>163</v>
      </c>
      <c r="I484" t="s" s="17">
        <v>17</v>
      </c>
      <c r="J484" t="s" s="17">
        <v>48</v>
      </c>
      <c r="K484" t="s" s="17">
        <v>16</v>
      </c>
      <c r="L484" s="15">
        <f>IF(O484,P484/O484,0)</f>
        <v>0.6995</v>
      </c>
      <c r="M484" s="15">
        <v>0.6995</v>
      </c>
      <c r="N484" s="15">
        <f>A484</f>
        <v>482</v>
      </c>
      <c r="O484" s="15">
        <f t="shared" si="1365"/>
        <v>1000</v>
      </c>
      <c r="P484" s="15">
        <v>699.5</v>
      </c>
      <c r="Q484" s="16"/>
    </row>
    <row r="485" ht="20.05" customHeight="1">
      <c r="A485" s="13">
        <f>A484+1</f>
        <v>483</v>
      </c>
      <c r="B485" s="14">
        <v>2023</v>
      </c>
      <c r="C485" s="15">
        <v>9</v>
      </c>
      <c r="D485" s="15">
        <v>1</v>
      </c>
      <c r="E485" s="16"/>
      <c r="F485" t="s" s="17">
        <v>130</v>
      </c>
      <c r="G485" s="16"/>
      <c r="H485" t="s" s="17">
        <v>163</v>
      </c>
      <c r="I485" t="s" s="17">
        <v>14</v>
      </c>
      <c r="J485" t="s" s="17">
        <v>15</v>
      </c>
      <c r="K485" t="s" s="17">
        <v>16</v>
      </c>
      <c r="L485" s="15">
        <f>IF(O485,P485/O485,0)</f>
        <v>0.199</v>
      </c>
      <c r="M485" s="15">
        <v>0.199</v>
      </c>
      <c r="N485" s="15">
        <f>A485</f>
        <v>483</v>
      </c>
      <c r="O485" s="15">
        <f t="shared" si="1369"/>
        <v>400</v>
      </c>
      <c r="P485" s="15">
        <v>79.59999999999999</v>
      </c>
      <c r="Q485" s="16"/>
    </row>
    <row r="486" ht="32.05" customHeight="1">
      <c r="A486" s="13">
        <f>A485+1</f>
        <v>484</v>
      </c>
      <c r="B486" s="14">
        <v>2023</v>
      </c>
      <c r="C486" s="15">
        <v>9</v>
      </c>
      <c r="D486" s="15">
        <v>1</v>
      </c>
      <c r="E486" s="16"/>
      <c r="F486" t="s" s="17">
        <v>266</v>
      </c>
      <c r="G486" t="s" s="17">
        <v>267</v>
      </c>
      <c r="H486" t="s" s="17">
        <v>163</v>
      </c>
      <c r="I486" t="s" s="17">
        <v>19</v>
      </c>
      <c r="J486" t="s" s="17">
        <v>268</v>
      </c>
      <c r="K486" t="s" s="17">
        <v>16</v>
      </c>
      <c r="L486" s="15">
        <f>IF(O486,P486/O486,0)</f>
        <v>0.287451666666667</v>
      </c>
      <c r="M486" s="15">
        <v>0.287451666666667</v>
      </c>
      <c r="N486" s="15">
        <f>A486</f>
        <v>484</v>
      </c>
      <c r="O486" s="15">
        <f t="shared" si="1226"/>
        <v>6000</v>
      </c>
      <c r="P486" s="15">
        <v>1724.71</v>
      </c>
      <c r="Q486" t="s" s="17">
        <v>269</v>
      </c>
    </row>
    <row r="487" ht="20.05" customHeight="1">
      <c r="A487" s="13">
        <f>A486+1</f>
        <v>485</v>
      </c>
      <c r="B487" s="14">
        <v>2023</v>
      </c>
      <c r="C487" s="15">
        <v>9</v>
      </c>
      <c r="D487" s="15">
        <v>2</v>
      </c>
      <c r="E487" s="16"/>
      <c r="F487" t="s" s="17">
        <v>141</v>
      </c>
      <c r="G487" s="16"/>
      <c r="H487" t="s" s="17">
        <v>163</v>
      </c>
      <c r="I487" t="s" s="17">
        <v>19</v>
      </c>
      <c r="J487" t="s" s="17">
        <v>142</v>
      </c>
      <c r="K487" t="s" s="17">
        <v>23</v>
      </c>
      <c r="L487" s="15">
        <f>IF(O487,P487/O487,0)</f>
        <v>12.5922916666667</v>
      </c>
      <c r="M487" s="15">
        <v>12.5922916666667</v>
      </c>
      <c r="N487" s="15">
        <f>A487</f>
        <v>485</v>
      </c>
      <c r="O487" s="15">
        <v>48</v>
      </c>
      <c r="P487" s="15">
        <v>604.4299999999999</v>
      </c>
      <c r="Q487" s="16"/>
    </row>
    <row r="488" ht="20.05" customHeight="1">
      <c r="A488" s="13">
        <f>A487+1</f>
        <v>486</v>
      </c>
      <c r="B488" s="14">
        <v>2023</v>
      </c>
      <c r="C488" s="15">
        <v>9</v>
      </c>
      <c r="D488" s="15">
        <v>2</v>
      </c>
      <c r="E488" s="16"/>
      <c r="F488" t="s" s="17">
        <v>141</v>
      </c>
      <c r="G488" s="16"/>
      <c r="H488" t="s" s="17">
        <v>163</v>
      </c>
      <c r="I488" t="s" s="17">
        <v>19</v>
      </c>
      <c r="J488" t="s" s="17">
        <v>158</v>
      </c>
      <c r="K488" t="s" s="17">
        <v>23</v>
      </c>
      <c r="L488" s="15">
        <f>IF(O488,P488/O488,0)</f>
        <v>12.5925</v>
      </c>
      <c r="M488" s="15">
        <v>12.5925</v>
      </c>
      <c r="N488" s="15">
        <f>A488</f>
        <v>486</v>
      </c>
      <c r="O488" s="15">
        <v>24</v>
      </c>
      <c r="P488" s="15">
        <v>302.22</v>
      </c>
      <c r="Q488" s="16"/>
    </row>
    <row r="489" ht="20.05" customHeight="1">
      <c r="A489" s="13">
        <f>A488+1</f>
        <v>487</v>
      </c>
      <c r="B489" s="14">
        <v>2023</v>
      </c>
      <c r="C489" s="15">
        <v>9</v>
      </c>
      <c r="D489" s="15">
        <v>2</v>
      </c>
      <c r="E489" s="16"/>
      <c r="F489" t="s" s="17">
        <v>141</v>
      </c>
      <c r="G489" s="16"/>
      <c r="H489" t="s" s="17">
        <v>163</v>
      </c>
      <c r="I489" t="s" s="17">
        <v>19</v>
      </c>
      <c r="J489" t="s" s="17">
        <v>144</v>
      </c>
      <c r="K489" t="s" s="17">
        <v>23</v>
      </c>
      <c r="L489" s="15">
        <f>IF(O489,P489/O489,0)</f>
        <v>12.5922916666667</v>
      </c>
      <c r="M489" s="15">
        <v>12.5922916666667</v>
      </c>
      <c r="N489" s="15">
        <f>A489</f>
        <v>487</v>
      </c>
      <c r="O489" s="15">
        <v>48</v>
      </c>
      <c r="P489" s="15">
        <v>604.4299999999999</v>
      </c>
      <c r="Q489" s="16"/>
    </row>
    <row r="490" ht="32.05" customHeight="1">
      <c r="A490" s="13">
        <f>A489+1</f>
        <v>488</v>
      </c>
      <c r="B490" s="14">
        <v>2023</v>
      </c>
      <c r="C490" s="15">
        <v>9</v>
      </c>
      <c r="D490" s="15">
        <v>4</v>
      </c>
      <c r="E490" s="16"/>
      <c r="F490" t="s" s="17">
        <v>270</v>
      </c>
      <c r="G490" s="16"/>
      <c r="H490" t="s" s="17">
        <v>163</v>
      </c>
      <c r="I490" t="s" s="17">
        <v>19</v>
      </c>
      <c r="J490" t="s" s="17">
        <v>271</v>
      </c>
      <c r="K490" t="s" s="17">
        <v>23</v>
      </c>
      <c r="L490" s="15">
        <f>IF(O490,P490/O490,0)</f>
        <v>2250</v>
      </c>
      <c r="M490" s="15">
        <v>2250</v>
      </c>
      <c r="N490" s="15">
        <f>A490</f>
        <v>488</v>
      </c>
      <c r="O490" s="15">
        <v>1</v>
      </c>
      <c r="P490" s="15">
        <v>2250</v>
      </c>
      <c r="Q490" s="16"/>
    </row>
    <row r="491" ht="20.05" customHeight="1">
      <c r="A491" s="13">
        <f>A490+1</f>
        <v>489</v>
      </c>
      <c r="B491" s="14">
        <v>2023</v>
      </c>
      <c r="C491" s="15">
        <v>9</v>
      </c>
      <c r="D491" s="15">
        <v>4</v>
      </c>
      <c r="E491" s="16"/>
      <c r="F491" t="s" s="17">
        <v>130</v>
      </c>
      <c r="G491" s="16"/>
      <c r="H491" t="s" s="17">
        <v>163</v>
      </c>
      <c r="I491" t="s" s="17">
        <v>127</v>
      </c>
      <c r="J491" t="s" s="17">
        <v>272</v>
      </c>
      <c r="K491" t="s" s="17">
        <v>23</v>
      </c>
      <c r="L491" s="15">
        <f>IF(O491,P491/O491,0)</f>
        <v>29.95</v>
      </c>
      <c r="M491" s="15">
        <v>29.95</v>
      </c>
      <c r="N491" s="15">
        <f>A491</f>
        <v>489</v>
      </c>
      <c r="O491" s="15">
        <v>2</v>
      </c>
      <c r="P491" s="15">
        <v>59.9</v>
      </c>
      <c r="Q491" s="16"/>
    </row>
    <row r="492" ht="20.05" customHeight="1">
      <c r="A492" s="13">
        <f>A491+1</f>
        <v>490</v>
      </c>
      <c r="B492" s="14">
        <v>2023</v>
      </c>
      <c r="C492" s="15">
        <v>9</v>
      </c>
      <c r="D492" s="15">
        <v>6</v>
      </c>
      <c r="E492" s="16"/>
      <c r="F492" t="s" s="17">
        <v>122</v>
      </c>
      <c r="G492" s="16"/>
      <c r="H492" t="s" s="17">
        <v>163</v>
      </c>
      <c r="I492" t="s" s="17">
        <v>19</v>
      </c>
      <c r="J492" t="s" s="17">
        <v>67</v>
      </c>
      <c r="K492" t="s" s="17">
        <v>23</v>
      </c>
      <c r="L492" s="15">
        <f>IF(O492,P492/O492,0)</f>
        <v>0.9509049000000001</v>
      </c>
      <c r="M492" s="15">
        <v>0.9509049000000001</v>
      </c>
      <c r="N492" s="15">
        <f>A492</f>
        <v>490</v>
      </c>
      <c r="O492" s="15">
        <f t="shared" si="1239"/>
        <v>500</v>
      </c>
      <c r="P492" s="40">
        <f>470.745+470.745*1%</f>
        <v>475.45245</v>
      </c>
      <c r="Q492" s="16"/>
    </row>
    <row r="493" ht="20.05" customHeight="1">
      <c r="A493" s="13">
        <f>A492+1</f>
        <v>491</v>
      </c>
      <c r="B493" s="14">
        <v>2023</v>
      </c>
      <c r="C493" s="15">
        <v>9</v>
      </c>
      <c r="D493" s="15">
        <v>6</v>
      </c>
      <c r="E493" s="16"/>
      <c r="F493" t="s" s="17">
        <v>122</v>
      </c>
      <c r="G493" s="16"/>
      <c r="H493" t="s" s="17">
        <v>163</v>
      </c>
      <c r="I493" t="s" s="17">
        <v>19</v>
      </c>
      <c r="J493" t="s" s="17">
        <v>138</v>
      </c>
      <c r="K493" t="s" s="17">
        <v>41</v>
      </c>
      <c r="L493" s="15">
        <f>IF(O493,P493/O493,0)</f>
        <v>0.0336666666666667</v>
      </c>
      <c r="M493" s="15">
        <v>0.0336666666666667</v>
      </c>
      <c r="N493" s="15">
        <f>A493</f>
        <v>491</v>
      </c>
      <c r="O493" s="15">
        <f t="shared" si="1585" ref="O493:O804">2*12*1000</f>
        <v>24000</v>
      </c>
      <c r="P493" s="41">
        <f>800+800*1%</f>
        <v>808</v>
      </c>
      <c r="Q493" s="16"/>
    </row>
    <row r="494" ht="20.05" customHeight="1">
      <c r="A494" s="13">
        <f>A493+1</f>
        <v>492</v>
      </c>
      <c r="B494" s="14">
        <v>2023</v>
      </c>
      <c r="C494" s="15">
        <v>9</v>
      </c>
      <c r="D494" s="15">
        <v>6</v>
      </c>
      <c r="E494" s="16"/>
      <c r="F494" t="s" s="17">
        <v>122</v>
      </c>
      <c r="G494" s="16"/>
      <c r="H494" t="s" s="17">
        <v>163</v>
      </c>
      <c r="I494" t="s" s="17">
        <v>14</v>
      </c>
      <c r="J494" t="s" s="17">
        <v>123</v>
      </c>
      <c r="K494" t="s" s="17">
        <v>16</v>
      </c>
      <c r="L494" s="15">
        <f>IF(O494,P494/O494,0)</f>
        <v>0.0404</v>
      </c>
      <c r="M494" s="15">
        <v>0.0404</v>
      </c>
      <c r="N494" s="15">
        <f>A494</f>
        <v>492</v>
      </c>
      <c r="O494" s="15">
        <v>5000</v>
      </c>
      <c r="P494" s="41">
        <f>200+200*1%</f>
        <v>202</v>
      </c>
      <c r="Q494" s="16"/>
    </row>
    <row r="495" ht="20.05" customHeight="1">
      <c r="A495" s="13">
        <f>A494+1</f>
        <v>493</v>
      </c>
      <c r="B495" s="14">
        <v>2023</v>
      </c>
      <c r="C495" s="15">
        <v>9</v>
      </c>
      <c r="D495" s="15">
        <v>6</v>
      </c>
      <c r="E495" s="16"/>
      <c r="F495" t="s" s="17">
        <v>122</v>
      </c>
      <c r="G495" s="16"/>
      <c r="H495" t="s" s="17">
        <v>163</v>
      </c>
      <c r="I495" t="s" s="17">
        <v>19</v>
      </c>
      <c r="J495" t="s" s="17">
        <v>139</v>
      </c>
      <c r="K495" t="s" s="17">
        <v>23</v>
      </c>
      <c r="L495" s="15">
        <f>IF(O495,P495/O495,0)</f>
        <v>3.74541666666667</v>
      </c>
      <c r="M495" s="15">
        <v>3.74541666666667</v>
      </c>
      <c r="N495" s="15">
        <f>A495</f>
        <v>493</v>
      </c>
      <c r="O495" s="15">
        <f t="shared" si="1410"/>
        <v>48</v>
      </c>
      <c r="P495" s="41">
        <f>178+178*1%</f>
        <v>179.78</v>
      </c>
      <c r="Q495" s="16"/>
    </row>
    <row r="496" ht="20.05" customHeight="1">
      <c r="A496" s="13">
        <f>A495+1</f>
        <v>494</v>
      </c>
      <c r="B496" s="14">
        <v>2023</v>
      </c>
      <c r="C496" s="15">
        <v>9</v>
      </c>
      <c r="D496" s="15">
        <v>6</v>
      </c>
      <c r="E496" s="16"/>
      <c r="F496" t="s" s="17">
        <v>111</v>
      </c>
      <c r="G496" s="16"/>
      <c r="H496" t="s" s="17">
        <v>163</v>
      </c>
      <c r="I496" t="s" s="17">
        <v>26</v>
      </c>
      <c r="J496" t="s" s="17">
        <v>113</v>
      </c>
      <c r="K496" t="s" s="17">
        <v>41</v>
      </c>
      <c r="L496" s="15">
        <f>IF(O496,P496/O496,0)</f>
        <v>0.0295133333333333</v>
      </c>
      <c r="M496" s="15">
        <v>0.0295133333333333</v>
      </c>
      <c r="N496" s="15">
        <f>A496</f>
        <v>494</v>
      </c>
      <c r="O496" s="15">
        <v>3000</v>
      </c>
      <c r="P496" s="15">
        <v>88.54000000000001</v>
      </c>
      <c r="Q496" s="16"/>
    </row>
    <row r="497" ht="20.05" customHeight="1">
      <c r="A497" s="13">
        <f>A496+1</f>
        <v>495</v>
      </c>
      <c r="B497" s="14">
        <v>2023</v>
      </c>
      <c r="C497" s="15">
        <v>9</v>
      </c>
      <c r="D497" s="15">
        <v>6</v>
      </c>
      <c r="E497" s="16"/>
      <c r="F497" t="s" s="17">
        <v>111</v>
      </c>
      <c r="G497" s="16"/>
      <c r="H497" t="s" s="17">
        <v>163</v>
      </c>
      <c r="I497" t="s" s="17">
        <v>19</v>
      </c>
      <c r="J497" t="s" s="17">
        <v>72</v>
      </c>
      <c r="K497" t="s" s="17">
        <v>41</v>
      </c>
      <c r="L497" s="15">
        <f>IF(O497,P497/O497,0)</f>
        <v>0.23032</v>
      </c>
      <c r="M497" s="15">
        <v>0.23032</v>
      </c>
      <c r="N497" s="15">
        <f>A497</f>
        <v>495</v>
      </c>
      <c r="O497" s="15">
        <f t="shared" si="1602" ref="O497:O715">2*250</f>
        <v>500</v>
      </c>
      <c r="P497" s="15">
        <v>115.16</v>
      </c>
      <c r="Q497" s="16"/>
    </row>
    <row r="498" ht="20.05" customHeight="1">
      <c r="A498" s="13">
        <f>A497+1</f>
        <v>496</v>
      </c>
      <c r="B498" s="14">
        <v>2023</v>
      </c>
      <c r="C498" s="15">
        <v>9</v>
      </c>
      <c r="D498" s="15">
        <v>6</v>
      </c>
      <c r="E498" s="16"/>
      <c r="F498" t="s" s="17">
        <v>111</v>
      </c>
      <c r="G498" t="s" s="17">
        <v>273</v>
      </c>
      <c r="H498" t="s" s="17">
        <v>163</v>
      </c>
      <c r="I498" t="s" s="17">
        <v>26</v>
      </c>
      <c r="J498" t="s" s="17">
        <v>82</v>
      </c>
      <c r="K498" t="s" s="17">
        <v>16</v>
      </c>
      <c r="L498" s="15">
        <f>IF(O498,P498/O498,0)</f>
        <v>0.059348</v>
      </c>
      <c r="M498" s="15">
        <v>0.059348</v>
      </c>
      <c r="N498" s="15">
        <f>A498</f>
        <v>496</v>
      </c>
      <c r="O498" s="15">
        <f t="shared" si="1303"/>
        <v>2500</v>
      </c>
      <c r="P498" s="15">
        <v>148.37</v>
      </c>
      <c r="Q498" s="16"/>
    </row>
    <row r="499" ht="20.05" customHeight="1">
      <c r="A499" s="13">
        <f>A498+1</f>
        <v>497</v>
      </c>
      <c r="B499" s="14">
        <v>2023</v>
      </c>
      <c r="C499" s="15">
        <v>9</v>
      </c>
      <c r="D499" s="15">
        <v>6</v>
      </c>
      <c r="E499" s="16"/>
      <c r="F499" t="s" s="17">
        <v>111</v>
      </c>
      <c r="G499" t="s" s="17">
        <v>273</v>
      </c>
      <c r="H499" t="s" s="17">
        <v>163</v>
      </c>
      <c r="I499" t="s" s="17">
        <v>14</v>
      </c>
      <c r="J499" t="s" s="17">
        <v>133</v>
      </c>
      <c r="K499" t="s" s="17">
        <v>16</v>
      </c>
      <c r="L499" s="15">
        <f>IF(O499,P499/O499,0)</f>
        <v>0.196952</v>
      </c>
      <c r="M499" s="15">
        <v>0.196952</v>
      </c>
      <c r="N499" s="15">
        <f>A499</f>
        <v>497</v>
      </c>
      <c r="O499" s="15">
        <v>2500</v>
      </c>
      <c r="P499" s="15">
        <v>492.38</v>
      </c>
      <c r="Q499" s="16"/>
    </row>
    <row r="500" ht="20.05" customHeight="1">
      <c r="A500" s="13">
        <f>A499+1</f>
        <v>498</v>
      </c>
      <c r="B500" s="14">
        <v>2023</v>
      </c>
      <c r="C500" s="15">
        <v>9</v>
      </c>
      <c r="D500" s="15">
        <v>6</v>
      </c>
      <c r="E500" s="16"/>
      <c r="F500" t="s" s="17">
        <v>111</v>
      </c>
      <c r="G500" s="16"/>
      <c r="H500" t="s" s="17">
        <v>163</v>
      </c>
      <c r="I500" t="s" s="17">
        <v>26</v>
      </c>
      <c r="J500" t="s" s="17">
        <v>117</v>
      </c>
      <c r="K500" t="s" s="17">
        <v>23</v>
      </c>
      <c r="L500" s="15">
        <f>IF(O500,P500/O500,0)</f>
        <v>34.4513333333333</v>
      </c>
      <c r="M500" s="15">
        <v>34.4513333333333</v>
      </c>
      <c r="N500" s="15">
        <f>A500</f>
        <v>498</v>
      </c>
      <c r="O500" s="15">
        <v>15</v>
      </c>
      <c r="P500" s="15">
        <v>516.77</v>
      </c>
      <c r="Q500" s="16"/>
    </row>
    <row r="501" ht="20.05" customHeight="1">
      <c r="A501" s="13">
        <f>A500+1</f>
        <v>499</v>
      </c>
      <c r="B501" s="14">
        <v>2023</v>
      </c>
      <c r="C501" s="15">
        <v>9</v>
      </c>
      <c r="D501" s="15">
        <v>6</v>
      </c>
      <c r="E501" s="16"/>
      <c r="F501" t="s" s="17">
        <v>111</v>
      </c>
      <c r="G501" s="16"/>
      <c r="H501" t="s" s="17">
        <v>163</v>
      </c>
      <c r="I501" t="s" s="17">
        <v>26</v>
      </c>
      <c r="J501" t="s" s="17">
        <v>134</v>
      </c>
      <c r="K501" t="s" s="17">
        <v>23</v>
      </c>
      <c r="L501" s="15">
        <f>IF(O501,P501/O501,0)</f>
        <v>35.532</v>
      </c>
      <c r="M501" s="15">
        <v>35.532</v>
      </c>
      <c r="N501" s="15">
        <f>A501</f>
        <v>499</v>
      </c>
      <c r="O501" s="15">
        <v>15</v>
      </c>
      <c r="P501" s="15">
        <v>532.98</v>
      </c>
      <c r="Q501" s="16"/>
    </row>
    <row r="502" ht="20.05" customHeight="1">
      <c r="A502" s="13">
        <f>A501+1</f>
        <v>500</v>
      </c>
      <c r="B502" s="14">
        <v>2023</v>
      </c>
      <c r="C502" s="15">
        <v>9</v>
      </c>
      <c r="D502" s="15">
        <v>6</v>
      </c>
      <c r="E502" s="16"/>
      <c r="F502" t="s" s="17">
        <v>111</v>
      </c>
      <c r="G502" s="16"/>
      <c r="H502" t="s" s="17">
        <v>163</v>
      </c>
      <c r="I502" t="s" s="17">
        <v>26</v>
      </c>
      <c r="J502" t="s" s="17">
        <v>118</v>
      </c>
      <c r="K502" t="s" s="17">
        <v>23</v>
      </c>
      <c r="L502" s="15">
        <f>IF(O502,P502/O502,0)</f>
        <v>35.532</v>
      </c>
      <c r="M502" s="15">
        <v>35.532</v>
      </c>
      <c r="N502" s="15">
        <f>A502</f>
        <v>500</v>
      </c>
      <c r="O502" s="15">
        <v>15</v>
      </c>
      <c r="P502" s="15">
        <v>532.98</v>
      </c>
      <c r="Q502" s="16"/>
    </row>
    <row r="503" ht="20.05" customHeight="1">
      <c r="A503" s="13">
        <f>A502+1</f>
        <v>501</v>
      </c>
      <c r="B503" s="14">
        <v>2023</v>
      </c>
      <c r="C503" s="15">
        <v>9</v>
      </c>
      <c r="D503" s="15">
        <v>6</v>
      </c>
      <c r="E503" s="16"/>
      <c r="F503" t="s" s="17">
        <v>111</v>
      </c>
      <c r="G503" s="16"/>
      <c r="H503" t="s" s="17">
        <v>163</v>
      </c>
      <c r="I503" t="s" s="17">
        <v>14</v>
      </c>
      <c r="J503" t="s" s="17">
        <v>119</v>
      </c>
      <c r="K503" t="s" s="17">
        <v>16</v>
      </c>
      <c r="L503" s="15">
        <f>IF(O503,P503/O503,0)</f>
        <v>0.102655852417303</v>
      </c>
      <c r="M503" s="15">
        <v>0.102655852417303</v>
      </c>
      <c r="N503" s="15">
        <f>A503</f>
        <v>501</v>
      </c>
      <c r="O503" s="15">
        <f>24*131</f>
        <v>3144</v>
      </c>
      <c r="P503" s="15">
        <v>322.75</v>
      </c>
      <c r="Q503" s="16"/>
    </row>
    <row r="504" ht="20.05" customHeight="1">
      <c r="A504" s="13">
        <f>A503+1</f>
        <v>502</v>
      </c>
      <c r="B504" s="14">
        <v>2023</v>
      </c>
      <c r="C504" s="15">
        <v>9</v>
      </c>
      <c r="D504" s="15">
        <v>6</v>
      </c>
      <c r="E504" s="16"/>
      <c r="F504" t="s" s="17">
        <v>111</v>
      </c>
      <c r="G504" s="16"/>
      <c r="H504" t="s" s="17">
        <v>163</v>
      </c>
      <c r="I504" t="s" s="17">
        <v>19</v>
      </c>
      <c r="J504" t="s" s="17">
        <v>135</v>
      </c>
      <c r="K504" t="s" s="17">
        <v>23</v>
      </c>
      <c r="L504" s="15">
        <f>IF(O504,P504/O504,0)</f>
        <v>0.4428</v>
      </c>
      <c r="M504" s="15">
        <v>0.4428</v>
      </c>
      <c r="N504" s="15">
        <f>A504</f>
        <v>502</v>
      </c>
      <c r="O504" s="15">
        <f t="shared" si="1317"/>
        <v>250</v>
      </c>
      <c r="P504" s="15">
        <v>110.7</v>
      </c>
      <c r="Q504" s="16"/>
    </row>
    <row r="505" ht="20.05" customHeight="1">
      <c r="A505" s="13">
        <f>A504+1</f>
        <v>503</v>
      </c>
      <c r="B505" s="14">
        <v>2023</v>
      </c>
      <c r="C505" s="15">
        <v>9</v>
      </c>
      <c r="D505" s="15">
        <v>6</v>
      </c>
      <c r="E505" s="16"/>
      <c r="F505" t="s" s="17">
        <v>130</v>
      </c>
      <c r="G505" s="16"/>
      <c r="H505" t="s" s="17">
        <v>163</v>
      </c>
      <c r="I505" t="s" s="17">
        <v>19</v>
      </c>
      <c r="J505" t="s" s="17">
        <v>274</v>
      </c>
      <c r="K505" t="s" s="17">
        <v>23</v>
      </c>
      <c r="L505" s="15">
        <f>IF(O505,P505/O505,0)</f>
        <v>9.9</v>
      </c>
      <c r="M505" s="15">
        <v>9.9</v>
      </c>
      <c r="N505" s="15">
        <f>A505</f>
        <v>503</v>
      </c>
      <c r="O505" s="15">
        <v>1</v>
      </c>
      <c r="P505" s="15">
        <v>9.9</v>
      </c>
      <c r="Q505" s="16"/>
    </row>
    <row r="506" ht="20.05" customHeight="1">
      <c r="A506" s="13">
        <f>A505+1</f>
        <v>504</v>
      </c>
      <c r="B506" s="14">
        <v>2023</v>
      </c>
      <c r="C506" s="15">
        <v>9</v>
      </c>
      <c r="D506" s="15">
        <v>6</v>
      </c>
      <c r="E506" s="16"/>
      <c r="F506" t="s" s="17">
        <v>130</v>
      </c>
      <c r="G506" s="16"/>
      <c r="H506" t="s" s="17">
        <v>163</v>
      </c>
      <c r="I506" t="s" s="17">
        <v>19</v>
      </c>
      <c r="J506" t="s" s="17">
        <v>157</v>
      </c>
      <c r="K506" t="s" s="17">
        <v>16</v>
      </c>
      <c r="L506" s="15">
        <f>IF(O506,P506/O506,0)</f>
        <v>0.0249502487562189</v>
      </c>
      <c r="M506" s="15">
        <v>0.0249502487562189</v>
      </c>
      <c r="N506" s="15">
        <f>A506</f>
        <v>504</v>
      </c>
      <c r="O506" s="15">
        <v>2010</v>
      </c>
      <c r="P506" s="15">
        <v>50.15</v>
      </c>
      <c r="Q506" s="16"/>
    </row>
    <row r="507" ht="20.05" customHeight="1">
      <c r="A507" s="13">
        <f>A506+1</f>
        <v>505</v>
      </c>
      <c r="B507" s="14">
        <v>2023</v>
      </c>
      <c r="C507" s="15">
        <v>9</v>
      </c>
      <c r="D507" s="15">
        <v>6</v>
      </c>
      <c r="E507" s="16"/>
      <c r="F507" t="s" s="17">
        <v>275</v>
      </c>
      <c r="G507" s="16"/>
      <c r="H507" t="s" s="17">
        <v>163</v>
      </c>
      <c r="I507" t="s" s="17">
        <v>19</v>
      </c>
      <c r="J507" t="s" s="17">
        <v>56</v>
      </c>
      <c r="K507" t="s" s="17">
        <v>41</v>
      </c>
      <c r="L507" s="15">
        <f>IF(O507,P507/O507,0)</f>
        <v>0.357333333333333</v>
      </c>
      <c r="M507" s="15">
        <v>0.357333333333333</v>
      </c>
      <c r="N507" s="15">
        <f>A507</f>
        <v>505</v>
      </c>
      <c r="O507" s="15">
        <v>750</v>
      </c>
      <c r="P507" s="15">
        <v>268</v>
      </c>
      <c r="Q507" s="16"/>
    </row>
    <row r="508" ht="20.05" customHeight="1">
      <c r="A508" s="13">
        <f>A507+1</f>
        <v>506</v>
      </c>
      <c r="B508" s="14">
        <v>2023</v>
      </c>
      <c r="C508" s="15">
        <v>9</v>
      </c>
      <c r="D508" s="15">
        <v>6</v>
      </c>
      <c r="E508" s="16"/>
      <c r="F508" t="s" s="17">
        <v>275</v>
      </c>
      <c r="G508" s="16"/>
      <c r="H508" t="s" s="17">
        <v>163</v>
      </c>
      <c r="I508" t="s" s="17">
        <v>19</v>
      </c>
      <c r="J508" t="s" s="17">
        <v>99</v>
      </c>
      <c r="K508" t="s" s="17">
        <v>41</v>
      </c>
      <c r="L508" s="15">
        <f>IF(O508,P508/O508,0)</f>
        <v>0.357333333333333</v>
      </c>
      <c r="M508" s="15">
        <v>0.357333333333333</v>
      </c>
      <c r="N508" s="15">
        <f>A508</f>
        <v>506</v>
      </c>
      <c r="O508" s="15">
        <v>750</v>
      </c>
      <c r="P508" s="15">
        <v>268</v>
      </c>
      <c r="Q508" s="16"/>
    </row>
    <row r="509" ht="20.05" customHeight="1">
      <c r="A509" s="13">
        <f>A508+1</f>
        <v>507</v>
      </c>
      <c r="B509" s="14">
        <v>2023</v>
      </c>
      <c r="C509" s="15">
        <v>9</v>
      </c>
      <c r="D509" s="15">
        <v>6</v>
      </c>
      <c r="E509" s="16"/>
      <c r="F509" t="s" s="17">
        <v>275</v>
      </c>
      <c r="G509" s="16"/>
      <c r="H509" t="s" s="17">
        <v>163</v>
      </c>
      <c r="I509" t="s" s="17">
        <v>19</v>
      </c>
      <c r="J509" t="s" s="17">
        <v>70</v>
      </c>
      <c r="K509" t="s" s="17">
        <v>16</v>
      </c>
      <c r="L509" s="15">
        <f>IF(O509,P509/O509,0)</f>
        <v>0.336</v>
      </c>
      <c r="M509" s="15">
        <v>0.336</v>
      </c>
      <c r="N509" s="15">
        <f>A509</f>
        <v>507</v>
      </c>
      <c r="O509" s="15">
        <f t="shared" si="1382"/>
        <v>2000</v>
      </c>
      <c r="P509" s="15">
        <v>672</v>
      </c>
      <c r="Q509" s="16"/>
    </row>
    <row r="510" ht="20.05" customHeight="1">
      <c r="A510" s="13">
        <f>A509+1</f>
        <v>508</v>
      </c>
      <c r="B510" s="14">
        <v>2023</v>
      </c>
      <c r="C510" s="15">
        <v>9</v>
      </c>
      <c r="D510" s="15">
        <v>6</v>
      </c>
      <c r="E510" s="16"/>
      <c r="F510" t="s" s="17">
        <v>275</v>
      </c>
      <c r="G510" s="16"/>
      <c r="H510" t="s" s="17">
        <v>163</v>
      </c>
      <c r="I510" t="s" s="17">
        <v>19</v>
      </c>
      <c r="J510" t="s" s="17">
        <v>155</v>
      </c>
      <c r="K510" t="s" s="17">
        <v>16</v>
      </c>
      <c r="L510" s="15">
        <f>IF(O510,P510/O510,0)</f>
        <v>0.336</v>
      </c>
      <c r="M510" s="15">
        <v>0.336</v>
      </c>
      <c r="N510" s="15">
        <f>A510</f>
        <v>508</v>
      </c>
      <c r="O510" s="15">
        <f t="shared" si="1382"/>
        <v>2000</v>
      </c>
      <c r="P510" s="15">
        <v>672</v>
      </c>
      <c r="Q510" s="16"/>
    </row>
    <row r="511" ht="20.05" customHeight="1">
      <c r="A511" s="13">
        <f>A510+1</f>
        <v>509</v>
      </c>
      <c r="B511" s="14">
        <v>2023</v>
      </c>
      <c r="C511" s="15">
        <v>9</v>
      </c>
      <c r="D511" s="15">
        <v>6</v>
      </c>
      <c r="E511" s="16"/>
      <c r="F511" t="s" s="17">
        <v>126</v>
      </c>
      <c r="G511" s="16"/>
      <c r="H511" t="s" s="17">
        <v>163</v>
      </c>
      <c r="I511" t="s" s="17">
        <v>127</v>
      </c>
      <c r="J511" t="s" s="17">
        <v>164</v>
      </c>
      <c r="K511" t="s" s="17">
        <v>23</v>
      </c>
      <c r="L511" s="15">
        <f>IF(O511,P511/O511,0)</f>
        <v>5.958</v>
      </c>
      <c r="M511" s="15">
        <v>5.958</v>
      </c>
      <c r="N511" s="15">
        <f>A511</f>
        <v>509</v>
      </c>
      <c r="O511" s="15">
        <v>10</v>
      </c>
      <c r="P511" s="15">
        <v>59.58</v>
      </c>
      <c r="Q511" s="16"/>
    </row>
    <row r="512" ht="20.05" customHeight="1">
      <c r="A512" s="13">
        <f>A511+1</f>
        <v>510</v>
      </c>
      <c r="B512" s="14">
        <v>2023</v>
      </c>
      <c r="C512" s="15">
        <v>9</v>
      </c>
      <c r="D512" s="15">
        <v>6</v>
      </c>
      <c r="E512" s="16"/>
      <c r="F512" t="s" s="17">
        <v>126</v>
      </c>
      <c r="G512" s="16"/>
      <c r="H512" t="s" s="17">
        <v>163</v>
      </c>
      <c r="I512" t="s" s="17">
        <v>127</v>
      </c>
      <c r="J512" t="s" s="17">
        <v>196</v>
      </c>
      <c r="K512" t="s" s="17">
        <v>41</v>
      </c>
      <c r="L512" s="15">
        <f>IF(O512,P512/O512,0)</f>
        <v>0.011916</v>
      </c>
      <c r="M512" s="15">
        <v>0.011916</v>
      </c>
      <c r="N512" s="15">
        <f>A512</f>
        <v>510</v>
      </c>
      <c r="O512" s="15">
        <v>5000</v>
      </c>
      <c r="P512" s="15">
        <v>59.58</v>
      </c>
      <c r="Q512" s="16"/>
    </row>
    <row r="513" ht="20.05" customHeight="1">
      <c r="A513" s="13">
        <f>A512+1</f>
        <v>511</v>
      </c>
      <c r="B513" s="14">
        <v>2023</v>
      </c>
      <c r="C513" s="15">
        <v>9</v>
      </c>
      <c r="D513" s="15">
        <v>6</v>
      </c>
      <c r="E513" s="16"/>
      <c r="F513" t="s" s="17">
        <v>126</v>
      </c>
      <c r="G513" s="16"/>
      <c r="H513" t="s" s="17">
        <v>163</v>
      </c>
      <c r="I513" t="s" s="17">
        <v>127</v>
      </c>
      <c r="J513" t="s" s="17">
        <v>276</v>
      </c>
      <c r="K513" t="s" s="17">
        <v>41</v>
      </c>
      <c r="L513" s="15">
        <f>IF(O513,P513/O513,0)</f>
        <v>0.042915</v>
      </c>
      <c r="M513" s="15">
        <v>0.042915</v>
      </c>
      <c r="N513" s="15">
        <f>A513</f>
        <v>511</v>
      </c>
      <c r="O513" s="15">
        <f t="shared" si="1382"/>
        <v>2000</v>
      </c>
      <c r="P513" s="15">
        <v>85.83</v>
      </c>
      <c r="Q513" s="16"/>
    </row>
    <row r="514" ht="20.05" customHeight="1">
      <c r="A514" s="13">
        <f>A513+1</f>
        <v>512</v>
      </c>
      <c r="B514" s="14">
        <v>2023</v>
      </c>
      <c r="C514" s="15">
        <v>9</v>
      </c>
      <c r="D514" s="15">
        <v>6</v>
      </c>
      <c r="E514" s="16"/>
      <c r="F514" t="s" s="17">
        <v>126</v>
      </c>
      <c r="G514" s="16"/>
      <c r="H514" t="s" s="17">
        <v>163</v>
      </c>
      <c r="I514" t="s" s="17">
        <v>127</v>
      </c>
      <c r="J514" t="s" s="17">
        <v>166</v>
      </c>
      <c r="K514" t="s" s="17">
        <v>41</v>
      </c>
      <c r="L514" s="15">
        <f>IF(O514,P514/O514,0)</f>
        <v>0.0305533333333333</v>
      </c>
      <c r="M514" s="15">
        <v>0.0305533333333333</v>
      </c>
      <c r="N514" s="15">
        <f>A514</f>
        <v>512</v>
      </c>
      <c r="O514" s="15">
        <f t="shared" si="1660" ref="O514:O1078">2*750</f>
        <v>1500</v>
      </c>
      <c r="P514" s="15">
        <v>45.83</v>
      </c>
      <c r="Q514" s="16"/>
    </row>
    <row r="515" ht="20.05" customHeight="1">
      <c r="A515" s="13">
        <f>A514+1</f>
        <v>513</v>
      </c>
      <c r="B515" s="14">
        <v>2023</v>
      </c>
      <c r="C515" s="15">
        <v>9</v>
      </c>
      <c r="D515" s="15">
        <v>8</v>
      </c>
      <c r="E515" s="16"/>
      <c r="F515" t="s" s="17">
        <v>130</v>
      </c>
      <c r="G515" s="16"/>
      <c r="H515" t="s" s="17">
        <v>163</v>
      </c>
      <c r="I515" t="s" s="17">
        <v>19</v>
      </c>
      <c r="J515" t="s" s="17">
        <v>157</v>
      </c>
      <c r="K515" t="s" s="17">
        <v>16</v>
      </c>
      <c r="L515" s="15">
        <f>IF(O515,P515/O515,0)</f>
        <v>0.0249455930359086</v>
      </c>
      <c r="M515" s="15">
        <v>0.0249455930359086</v>
      </c>
      <c r="N515" s="15">
        <f>A515</f>
        <v>513</v>
      </c>
      <c r="O515" s="15">
        <f>912+926</f>
        <v>1838</v>
      </c>
      <c r="P515" s="15">
        <v>45.85</v>
      </c>
      <c r="Q515" s="16"/>
    </row>
    <row r="516" ht="20.05" customHeight="1">
      <c r="A516" s="13">
        <f>A515+1</f>
        <v>514</v>
      </c>
      <c r="B516" s="14">
        <v>2023</v>
      </c>
      <c r="C516" s="15">
        <v>9</v>
      </c>
      <c r="D516" s="15">
        <v>10</v>
      </c>
      <c r="E516" s="16"/>
      <c r="F516" t="s" s="17">
        <v>130</v>
      </c>
      <c r="G516" s="16"/>
      <c r="H516" t="s" s="17">
        <v>163</v>
      </c>
      <c r="I516" t="s" s="17">
        <v>19</v>
      </c>
      <c r="J516" t="s" s="17">
        <v>157</v>
      </c>
      <c r="K516" t="s" s="17">
        <v>16</v>
      </c>
      <c r="L516" s="15">
        <f>IF(O516,P516/O516,0)</f>
        <v>0.02495</v>
      </c>
      <c r="M516" s="15">
        <v>0.02495</v>
      </c>
      <c r="N516" s="15">
        <f>A516</f>
        <v>514</v>
      </c>
      <c r="O516" s="15">
        <v>1800</v>
      </c>
      <c r="P516" s="15">
        <v>44.91</v>
      </c>
      <c r="Q516" s="16"/>
    </row>
    <row r="517" ht="20.05" customHeight="1">
      <c r="A517" s="13">
        <f>A516+1</f>
        <v>515</v>
      </c>
      <c r="B517" s="14">
        <v>2023</v>
      </c>
      <c r="C517" s="15">
        <v>9</v>
      </c>
      <c r="D517" s="15">
        <v>10</v>
      </c>
      <c r="E517" s="16"/>
      <c r="F517" t="s" s="17">
        <v>184</v>
      </c>
      <c r="G517" s="16"/>
      <c r="H517" t="s" s="17">
        <v>163</v>
      </c>
      <c r="I517" t="s" s="17">
        <v>199</v>
      </c>
      <c r="J517" t="s" s="17">
        <v>277</v>
      </c>
      <c r="K517" t="s" s="17">
        <v>23</v>
      </c>
      <c r="L517" s="15">
        <f>IF(O517,P517/O517,0)</f>
        <v>100</v>
      </c>
      <c r="M517" s="15">
        <v>100</v>
      </c>
      <c r="N517" s="15">
        <f>A517</f>
        <v>515</v>
      </c>
      <c r="O517" s="15">
        <v>1</v>
      </c>
      <c r="P517" s="15">
        <v>100</v>
      </c>
      <c r="Q517" s="16"/>
    </row>
    <row r="518" ht="20.05" customHeight="1">
      <c r="A518" s="13">
        <f>A517+1</f>
        <v>516</v>
      </c>
      <c r="B518" s="14">
        <v>2023</v>
      </c>
      <c r="C518" s="15">
        <v>9</v>
      </c>
      <c r="D518" s="15">
        <v>11</v>
      </c>
      <c r="E518" s="16"/>
      <c r="F518" t="s" s="17">
        <v>130</v>
      </c>
      <c r="G518" s="16"/>
      <c r="H518" t="s" s="17">
        <v>163</v>
      </c>
      <c r="I518" t="s" s="17">
        <v>19</v>
      </c>
      <c r="J518" t="s" s="17">
        <v>157</v>
      </c>
      <c r="K518" t="s" s="17">
        <v>16</v>
      </c>
      <c r="L518" s="15">
        <f>IF(O518,P518/O518,0)</f>
        <v>0.0249468085106383</v>
      </c>
      <c r="M518" s="15">
        <v>0.0249468085106383</v>
      </c>
      <c r="N518" s="15">
        <f>A518</f>
        <v>516</v>
      </c>
      <c r="O518" s="15">
        <v>940</v>
      </c>
      <c r="P518" s="15">
        <v>23.45</v>
      </c>
      <c r="Q518" s="16"/>
    </row>
    <row r="519" ht="20.05" customHeight="1">
      <c r="A519" s="13">
        <f>A518+1</f>
        <v>517</v>
      </c>
      <c r="B519" s="14">
        <v>2023</v>
      </c>
      <c r="C519" s="15">
        <v>9</v>
      </c>
      <c r="D519" s="15">
        <v>11</v>
      </c>
      <c r="E519" s="16"/>
      <c r="F519" t="s" s="17">
        <v>130</v>
      </c>
      <c r="G519" s="16"/>
      <c r="H519" t="s" s="17">
        <v>163</v>
      </c>
      <c r="I519" t="s" s="17">
        <v>19</v>
      </c>
      <c r="J519" t="s" s="17">
        <v>157</v>
      </c>
      <c r="K519" t="s" s="17">
        <v>16</v>
      </c>
      <c r="L519" s="15">
        <f>IF(O519,P519/O519,0)</f>
        <v>0.0249485714285714</v>
      </c>
      <c r="M519" s="15">
        <v>0.0249485714285714</v>
      </c>
      <c r="N519" s="15">
        <f>A519</f>
        <v>517</v>
      </c>
      <c r="O519" s="15">
        <v>875</v>
      </c>
      <c r="P519" s="15">
        <v>21.83</v>
      </c>
      <c r="Q519" s="16"/>
    </row>
    <row r="520" ht="20.05" customHeight="1">
      <c r="A520" s="13">
        <f>A519+1</f>
        <v>518</v>
      </c>
      <c r="B520" s="14">
        <v>2023</v>
      </c>
      <c r="C520" s="15">
        <v>9</v>
      </c>
      <c r="D520" s="15">
        <v>11</v>
      </c>
      <c r="E520" s="16"/>
      <c r="F520" t="s" s="17">
        <v>278</v>
      </c>
      <c r="G520" s="16"/>
      <c r="H520" t="s" s="17">
        <v>163</v>
      </c>
      <c r="I520" t="s" s="17">
        <v>14</v>
      </c>
      <c r="J520" t="s" s="17">
        <v>279</v>
      </c>
      <c r="K520" t="s" s="17">
        <v>23</v>
      </c>
      <c r="L520" s="15">
        <f>IF(O520,P520/O520,0)</f>
        <v>31.3605</v>
      </c>
      <c r="M520" s="15">
        <v>31.3605</v>
      </c>
      <c r="N520" s="15">
        <f>A520</f>
        <v>518</v>
      </c>
      <c r="O520" s="15">
        <v>10</v>
      </c>
      <c r="P520" s="42">
        <f t="shared" si="1680" ref="P520:P708">310.5+(310.5*1%)</f>
        <v>313.605</v>
      </c>
      <c r="Q520" s="16"/>
    </row>
    <row r="521" ht="32.05" customHeight="1">
      <c r="A521" s="13">
        <f>A520+1</f>
        <v>519</v>
      </c>
      <c r="B521" s="14">
        <v>2023</v>
      </c>
      <c r="C521" s="15">
        <v>9</v>
      </c>
      <c r="D521" s="15">
        <v>11</v>
      </c>
      <c r="E521" s="16"/>
      <c r="F521" t="s" s="17">
        <v>278</v>
      </c>
      <c r="G521" s="16"/>
      <c r="H521" t="s" s="17">
        <v>163</v>
      </c>
      <c r="I521" t="s" s="17">
        <v>14</v>
      </c>
      <c r="J521" t="s" s="17">
        <v>280</v>
      </c>
      <c r="K521" t="s" s="17">
        <v>23</v>
      </c>
      <c r="L521" s="15">
        <f>IF(O521,P521/O521,0)</f>
        <v>32.724</v>
      </c>
      <c r="M521" s="15">
        <v>32.724</v>
      </c>
      <c r="N521" s="15">
        <f>A521</f>
        <v>519</v>
      </c>
      <c r="O521" s="15">
        <v>10</v>
      </c>
      <c r="P521" s="41">
        <f t="shared" si="1684" ref="P521:P720">324+(324*1%)</f>
        <v>327.24</v>
      </c>
      <c r="Q521" s="16"/>
    </row>
    <row r="522" ht="20.05" customHeight="1">
      <c r="A522" s="13">
        <f>A521+1</f>
        <v>520</v>
      </c>
      <c r="B522" s="14">
        <v>2023</v>
      </c>
      <c r="C522" s="15">
        <v>9</v>
      </c>
      <c r="D522" s="15">
        <v>11</v>
      </c>
      <c r="E522" s="16"/>
      <c r="F522" t="s" s="17">
        <v>278</v>
      </c>
      <c r="G522" s="16"/>
      <c r="H522" t="s" s="17">
        <v>163</v>
      </c>
      <c r="I522" t="s" s="17">
        <v>14</v>
      </c>
      <c r="J522" t="s" s="17">
        <v>281</v>
      </c>
      <c r="K522" t="s" s="17">
        <v>23</v>
      </c>
      <c r="L522" s="15">
        <f>IF(O522,P522/O522,0)</f>
        <v>26.5966666666667</v>
      </c>
      <c r="M522" s="15">
        <v>26.5966666666667</v>
      </c>
      <c r="N522" s="15">
        <f>A522</f>
        <v>520</v>
      </c>
      <c r="O522" s="15">
        <v>9</v>
      </c>
      <c r="P522" s="41">
        <f>237+(237*1%)</f>
        <v>239.37</v>
      </c>
      <c r="Q522" s="16"/>
    </row>
    <row r="523" ht="20.05" customHeight="1">
      <c r="A523" s="13">
        <f>A522+1</f>
        <v>521</v>
      </c>
      <c r="B523" s="14">
        <v>2023</v>
      </c>
      <c r="C523" s="15">
        <v>9</v>
      </c>
      <c r="D523" s="15">
        <v>12</v>
      </c>
      <c r="E523" s="16"/>
      <c r="F523" t="s" s="17">
        <v>145</v>
      </c>
      <c r="G523" s="16"/>
      <c r="H523" t="s" s="17">
        <v>163</v>
      </c>
      <c r="I523" t="s" s="17">
        <v>17</v>
      </c>
      <c r="J523" t="s" s="17">
        <v>48</v>
      </c>
      <c r="K523" t="s" s="17">
        <v>16</v>
      </c>
      <c r="L523" s="15">
        <f>IF(O523,P523/O523,0)</f>
        <v>0.272666666666667</v>
      </c>
      <c r="M523" s="15">
        <v>0.272666666666667</v>
      </c>
      <c r="N523" s="15">
        <f>A523</f>
        <v>521</v>
      </c>
      <c r="O523" s="15">
        <f t="shared" si="907"/>
        <v>2550</v>
      </c>
      <c r="P523" s="15">
        <v>695.3</v>
      </c>
      <c r="Q523" s="16"/>
    </row>
    <row r="524" ht="20.05" customHeight="1">
      <c r="A524" s="13">
        <f>A523+1</f>
        <v>522</v>
      </c>
      <c r="B524" s="14">
        <v>2023</v>
      </c>
      <c r="C524" s="15">
        <v>9</v>
      </c>
      <c r="D524" s="15">
        <v>12</v>
      </c>
      <c r="E524" s="16"/>
      <c r="F524" t="s" s="17">
        <v>145</v>
      </c>
      <c r="G524" s="16"/>
      <c r="H524" t="s" s="17">
        <v>163</v>
      </c>
      <c r="I524" t="s" s="17">
        <v>17</v>
      </c>
      <c r="J524" t="s" s="17">
        <v>146</v>
      </c>
      <c r="K524" t="s" s="17">
        <v>16</v>
      </c>
      <c r="L524" s="15">
        <f>IF(O524,P524/O524,0)</f>
        <v>0.5</v>
      </c>
      <c r="M524" s="15">
        <v>0.5</v>
      </c>
      <c r="N524" s="15">
        <f>A524</f>
        <v>522</v>
      </c>
      <c r="O524" s="15">
        <f>12*90</f>
        <v>1080</v>
      </c>
      <c r="P524" s="15">
        <v>540</v>
      </c>
      <c r="Q524" s="16"/>
    </row>
    <row r="525" ht="20.05" customHeight="1">
      <c r="A525" s="13">
        <f>A524+1</f>
        <v>523</v>
      </c>
      <c r="B525" s="14">
        <v>2023</v>
      </c>
      <c r="C525" s="15">
        <v>9</v>
      </c>
      <c r="D525" s="15">
        <v>13</v>
      </c>
      <c r="E525" s="16"/>
      <c r="F525" t="s" s="17">
        <v>122</v>
      </c>
      <c r="G525" s="16"/>
      <c r="H525" t="s" s="17">
        <v>163</v>
      </c>
      <c r="I525" t="s" s="17">
        <v>19</v>
      </c>
      <c r="J525" t="s" s="17">
        <v>67</v>
      </c>
      <c r="K525" t="s" s="17">
        <v>23</v>
      </c>
      <c r="L525" s="15">
        <f>IF(O525,P525/O525,0)</f>
        <v>0.9509049000000001</v>
      </c>
      <c r="M525" s="15">
        <v>0.9509049000000001</v>
      </c>
      <c r="N525" s="15">
        <f>A525</f>
        <v>523</v>
      </c>
      <c r="O525" s="15">
        <f t="shared" si="1700" ref="O525:O752">2*100</f>
        <v>200</v>
      </c>
      <c r="P525" s="40">
        <f>188.298+188.298*1%</f>
        <v>190.18098</v>
      </c>
      <c r="Q525" s="16"/>
    </row>
    <row r="526" ht="20.05" customHeight="1">
      <c r="A526" s="13">
        <f>A525+1</f>
        <v>524</v>
      </c>
      <c r="B526" s="14">
        <v>2023</v>
      </c>
      <c r="C526" s="15">
        <v>9</v>
      </c>
      <c r="D526" s="15">
        <v>13</v>
      </c>
      <c r="E526" s="16"/>
      <c r="F526" t="s" s="17">
        <v>122</v>
      </c>
      <c r="G526" s="16"/>
      <c r="H526" t="s" s="17">
        <v>163</v>
      </c>
      <c r="I526" t="s" s="17">
        <v>19</v>
      </c>
      <c r="J526" t="s" s="17">
        <v>138</v>
      </c>
      <c r="K526" t="s" s="17">
        <v>41</v>
      </c>
      <c r="L526" s="15">
        <f>IF(O526,P526/O526,0)</f>
        <v>0.0336666666666667</v>
      </c>
      <c r="M526" s="15">
        <v>0.0336666666666667</v>
      </c>
      <c r="N526" s="15">
        <f>A526</f>
        <v>524</v>
      </c>
      <c r="O526" s="15">
        <f t="shared" si="1705" ref="O526:O1192">4*12*1000</f>
        <v>48000</v>
      </c>
      <c r="P526" s="41">
        <f>1600+1600*1%</f>
        <v>1616</v>
      </c>
      <c r="Q526" s="16"/>
    </row>
    <row r="527" ht="32.05" customHeight="1">
      <c r="A527" s="13">
        <f>A526+1</f>
        <v>525</v>
      </c>
      <c r="B527" s="14">
        <v>2023</v>
      </c>
      <c r="C527" s="15">
        <v>9</v>
      </c>
      <c r="D527" s="15">
        <v>13</v>
      </c>
      <c r="E527" s="16"/>
      <c r="F527" t="s" s="17">
        <v>122</v>
      </c>
      <c r="G527" s="16"/>
      <c r="H527" t="s" s="17">
        <v>163</v>
      </c>
      <c r="I527" t="s" s="17">
        <v>127</v>
      </c>
      <c r="J527" t="s" s="17">
        <v>136</v>
      </c>
      <c r="K527" t="s" s="17">
        <v>23</v>
      </c>
      <c r="L527" s="15">
        <f>IF(O527,P527/O527,0)</f>
        <v>0.1728</v>
      </c>
      <c r="M527" s="15">
        <v>0.1728</v>
      </c>
      <c r="N527" s="15">
        <f>A527</f>
        <v>525</v>
      </c>
      <c r="O527" s="15">
        <f t="shared" si="1521"/>
        <v>2000</v>
      </c>
      <c r="P527" s="42">
        <f>288+288*20%</f>
        <v>345.6</v>
      </c>
      <c r="Q527" s="16"/>
    </row>
    <row r="528" ht="20.05" customHeight="1">
      <c r="A528" s="13">
        <f>A527+1</f>
        <v>526</v>
      </c>
      <c r="B528" s="14">
        <v>2023</v>
      </c>
      <c r="C528" s="15">
        <v>9</v>
      </c>
      <c r="D528" s="15">
        <v>13</v>
      </c>
      <c r="E528" s="16"/>
      <c r="F528" t="s" s="17">
        <v>122</v>
      </c>
      <c r="G528" s="16"/>
      <c r="H528" t="s" s="17">
        <v>163</v>
      </c>
      <c r="I528" t="s" s="17">
        <v>127</v>
      </c>
      <c r="J528" t="s" s="17">
        <v>161</v>
      </c>
      <c r="K528" t="s" s="17">
        <v>23</v>
      </c>
      <c r="L528" s="15">
        <f>IF(O528,P528/O528,0)</f>
        <v>7.40025</v>
      </c>
      <c r="M528" s="15">
        <v>7.40025</v>
      </c>
      <c r="N528" s="15">
        <f>A528</f>
        <v>526</v>
      </c>
      <c r="O528" s="15">
        <f t="shared" si="1715" ref="O528:O952">3*8</f>
        <v>24</v>
      </c>
      <c r="P528" s="42">
        <f>148.005+148.005*20%</f>
        <v>177.606</v>
      </c>
      <c r="Q528" s="16"/>
    </row>
    <row r="529" ht="20.05" customHeight="1">
      <c r="A529" s="13">
        <f>A528+1</f>
        <v>527</v>
      </c>
      <c r="B529" s="14">
        <v>2023</v>
      </c>
      <c r="C529" s="15">
        <v>9</v>
      </c>
      <c r="D529" s="15">
        <v>13</v>
      </c>
      <c r="E529" s="16"/>
      <c r="F529" t="s" s="17">
        <v>122</v>
      </c>
      <c r="G529" s="16"/>
      <c r="H529" t="s" s="17">
        <v>163</v>
      </c>
      <c r="I529" t="s" s="17">
        <v>127</v>
      </c>
      <c r="J529" t="s" s="17">
        <v>167</v>
      </c>
      <c r="K529" t="s" s="17">
        <v>23</v>
      </c>
      <c r="L529" s="15">
        <f>IF(O529,P529/O529,0)</f>
        <v>0.636</v>
      </c>
      <c r="M529" s="15">
        <v>0.636</v>
      </c>
      <c r="N529" s="15">
        <f>A529</f>
        <v>527</v>
      </c>
      <c r="O529" s="15">
        <f t="shared" si="1700"/>
        <v>200</v>
      </c>
      <c r="P529" s="42">
        <f>106+106*20%</f>
        <v>127.2</v>
      </c>
      <c r="Q529" s="16"/>
    </row>
    <row r="530" ht="20.05" customHeight="1">
      <c r="A530" s="13">
        <f>A529+1</f>
        <v>528</v>
      </c>
      <c r="B530" s="14">
        <v>2023</v>
      </c>
      <c r="C530" s="15">
        <v>9</v>
      </c>
      <c r="D530" s="15">
        <v>13</v>
      </c>
      <c r="E530" s="16"/>
      <c r="F530" t="s" s="17">
        <v>122</v>
      </c>
      <c r="G530" s="16"/>
      <c r="H530" t="s" s="17">
        <v>163</v>
      </c>
      <c r="I530" t="s" s="17">
        <v>127</v>
      </c>
      <c r="J530" t="s" s="17">
        <v>169</v>
      </c>
      <c r="K530" t="s" s="17">
        <v>23</v>
      </c>
      <c r="L530" s="15">
        <f>IF(O530,P530/O530,0)</f>
        <v>0.4032</v>
      </c>
      <c r="M530" s="15">
        <v>0.4032</v>
      </c>
      <c r="N530" s="15">
        <f>A530</f>
        <v>528</v>
      </c>
      <c r="O530" s="15">
        <f t="shared" si="1725" ref="O530:O602">1*1000</f>
        <v>1000</v>
      </c>
      <c r="P530" s="42">
        <f t="shared" si="1726" ref="P530:P751">336+336*20%</f>
        <v>403.2</v>
      </c>
      <c r="Q530" s="16"/>
    </row>
    <row r="531" ht="20.05" customHeight="1">
      <c r="A531" s="13">
        <f>A530+1</f>
        <v>529</v>
      </c>
      <c r="B531" s="14">
        <v>2023</v>
      </c>
      <c r="C531" s="15">
        <v>9</v>
      </c>
      <c r="D531" s="15">
        <v>13</v>
      </c>
      <c r="E531" s="16"/>
      <c r="F531" t="s" s="17">
        <v>278</v>
      </c>
      <c r="G531" s="16"/>
      <c r="H531" t="s" s="17">
        <v>163</v>
      </c>
      <c r="I531" t="s" s="17">
        <v>14</v>
      </c>
      <c r="J531" t="s" s="17">
        <v>282</v>
      </c>
      <c r="K531" t="s" s="17">
        <v>23</v>
      </c>
      <c r="L531" s="15">
        <f>IF(O531,P531/O531,0)</f>
        <v>24.947</v>
      </c>
      <c r="M531" s="15">
        <v>24.947</v>
      </c>
      <c r="N531" s="15">
        <f>A531</f>
        <v>529</v>
      </c>
      <c r="O531" s="15">
        <v>10</v>
      </c>
      <c r="P531" s="41">
        <f>247+(247*1%)</f>
        <v>249.47</v>
      </c>
      <c r="Q531" s="16"/>
    </row>
    <row r="532" ht="32.05" customHeight="1">
      <c r="A532" s="13">
        <f>A531+1</f>
        <v>530</v>
      </c>
      <c r="B532" s="14">
        <v>2023</v>
      </c>
      <c r="C532" s="15">
        <v>9</v>
      </c>
      <c r="D532" s="15">
        <v>13</v>
      </c>
      <c r="E532" s="16"/>
      <c r="F532" t="s" s="17">
        <v>278</v>
      </c>
      <c r="G532" s="16"/>
      <c r="H532" t="s" s="17">
        <v>163</v>
      </c>
      <c r="I532" t="s" s="17">
        <v>14</v>
      </c>
      <c r="J532" t="s" s="17">
        <v>283</v>
      </c>
      <c r="K532" t="s" s="17">
        <v>23</v>
      </c>
      <c r="L532" s="15">
        <f>IF(O532,P532/O532,0)</f>
        <v>32.724</v>
      </c>
      <c r="M532" s="15">
        <v>32.724</v>
      </c>
      <c r="N532" s="15">
        <f>A532</f>
        <v>530</v>
      </c>
      <c r="O532" s="15">
        <v>10</v>
      </c>
      <c r="P532" s="41">
        <f t="shared" si="1684"/>
        <v>327.24</v>
      </c>
      <c r="Q532" s="16"/>
    </row>
    <row r="533" ht="20.05" customHeight="1">
      <c r="A533" s="13">
        <f>A532+1</f>
        <v>531</v>
      </c>
      <c r="B533" s="14">
        <v>2023</v>
      </c>
      <c r="C533" s="15">
        <v>9</v>
      </c>
      <c r="D533" s="15">
        <v>13</v>
      </c>
      <c r="E533" s="16"/>
      <c r="F533" t="s" s="17">
        <v>278</v>
      </c>
      <c r="G533" s="16"/>
      <c r="H533" t="s" s="17">
        <v>163</v>
      </c>
      <c r="I533" t="s" s="17">
        <v>14</v>
      </c>
      <c r="J533" t="s" s="17">
        <v>279</v>
      </c>
      <c r="K533" t="s" s="17">
        <v>23</v>
      </c>
      <c r="L533" s="15">
        <f>IF(O533,P533/O533,0)</f>
        <v>31.3605</v>
      </c>
      <c r="M533" s="15">
        <v>31.3605</v>
      </c>
      <c r="N533" s="15">
        <f>A533</f>
        <v>531</v>
      </c>
      <c r="O533" s="15">
        <v>10</v>
      </c>
      <c r="P533" s="42">
        <f t="shared" si="1680"/>
        <v>313.605</v>
      </c>
      <c r="Q533" s="16"/>
    </row>
    <row r="534" ht="20.05" customHeight="1">
      <c r="A534" s="13">
        <f>A533+1</f>
        <v>532</v>
      </c>
      <c r="B534" s="14">
        <v>2023</v>
      </c>
      <c r="C534" s="15">
        <v>9</v>
      </c>
      <c r="D534" s="15">
        <v>13</v>
      </c>
      <c r="E534" s="16"/>
      <c r="F534" t="s" s="17">
        <v>275</v>
      </c>
      <c r="G534" s="16"/>
      <c r="H534" t="s" s="17">
        <v>163</v>
      </c>
      <c r="I534" t="s" s="17">
        <v>19</v>
      </c>
      <c r="J534" t="s" s="17">
        <v>56</v>
      </c>
      <c r="K534" t="s" s="17">
        <v>41</v>
      </c>
      <c r="L534" s="15">
        <f>IF(O534,P534/O534,0)</f>
        <v>0.286</v>
      </c>
      <c r="M534" s="15">
        <v>0.286</v>
      </c>
      <c r="N534" s="15">
        <f>A534</f>
        <v>532</v>
      </c>
      <c r="O534" s="15">
        <v>2000</v>
      </c>
      <c r="P534" s="15">
        <v>572</v>
      </c>
      <c r="Q534" s="16"/>
    </row>
    <row r="535" ht="20.05" customHeight="1">
      <c r="A535" s="13">
        <f>A534+1</f>
        <v>533</v>
      </c>
      <c r="B535" s="14">
        <v>2023</v>
      </c>
      <c r="C535" s="15">
        <v>9</v>
      </c>
      <c r="D535" s="15">
        <v>13</v>
      </c>
      <c r="E535" s="16"/>
      <c r="F535" t="s" s="17">
        <v>275</v>
      </c>
      <c r="G535" s="16"/>
      <c r="H535" t="s" s="17">
        <v>163</v>
      </c>
      <c r="I535" t="s" s="17">
        <v>19</v>
      </c>
      <c r="J535" t="s" s="17">
        <v>91</v>
      </c>
      <c r="K535" t="s" s="17">
        <v>41</v>
      </c>
      <c r="L535" s="15">
        <f>IF(O535,P535/O535,0)</f>
        <v>0.286</v>
      </c>
      <c r="M535" s="15">
        <v>0.286</v>
      </c>
      <c r="N535" s="15">
        <f>A535</f>
        <v>533</v>
      </c>
      <c r="O535" s="15">
        <v>2000</v>
      </c>
      <c r="P535" s="15">
        <v>572</v>
      </c>
      <c r="Q535" s="16"/>
    </row>
    <row r="536" ht="20.05" customHeight="1">
      <c r="A536" s="13">
        <f>A535+1</f>
        <v>534</v>
      </c>
      <c r="B536" s="14">
        <v>2023</v>
      </c>
      <c r="C536" s="15">
        <v>9</v>
      </c>
      <c r="D536" s="15">
        <v>13</v>
      </c>
      <c r="E536" s="16"/>
      <c r="F536" t="s" s="17">
        <v>275</v>
      </c>
      <c r="G536" s="16"/>
      <c r="H536" t="s" s="17">
        <v>163</v>
      </c>
      <c r="I536" t="s" s="17">
        <v>19</v>
      </c>
      <c r="J536" t="s" s="17">
        <v>94</v>
      </c>
      <c r="K536" t="s" s="17">
        <v>41</v>
      </c>
      <c r="L536" s="15">
        <f>IF(O536,P536/O536,0)</f>
        <v>0.357333333333333</v>
      </c>
      <c r="M536" s="15">
        <v>0.357333333333333</v>
      </c>
      <c r="N536" s="15">
        <f>A536</f>
        <v>534</v>
      </c>
      <c r="O536" s="15">
        <v>750</v>
      </c>
      <c r="P536" s="15">
        <v>268</v>
      </c>
      <c r="Q536" s="16"/>
    </row>
    <row r="537" ht="20.05" customHeight="1">
      <c r="A537" s="13">
        <f>A536+1</f>
        <v>535</v>
      </c>
      <c r="B537" s="14">
        <v>2023</v>
      </c>
      <c r="C537" s="15">
        <v>9</v>
      </c>
      <c r="D537" s="15">
        <v>13</v>
      </c>
      <c r="E537" s="16"/>
      <c r="F537" t="s" s="17">
        <v>275</v>
      </c>
      <c r="G537" s="16"/>
      <c r="H537" t="s" s="17">
        <v>163</v>
      </c>
      <c r="I537" t="s" s="17">
        <v>19</v>
      </c>
      <c r="J537" t="s" s="17">
        <v>70</v>
      </c>
      <c r="K537" t="s" s="17">
        <v>16</v>
      </c>
      <c r="L537" s="15">
        <f>IF(O537,P537/O537,0)</f>
        <v>0.336</v>
      </c>
      <c r="M537" s="15">
        <v>0.336</v>
      </c>
      <c r="N537" s="15">
        <f>A537</f>
        <v>535</v>
      </c>
      <c r="O537" s="15">
        <f t="shared" si="1382"/>
        <v>2000</v>
      </c>
      <c r="P537" s="15">
        <v>672</v>
      </c>
      <c r="Q537" s="16"/>
    </row>
    <row r="538" ht="20.05" customHeight="1">
      <c r="A538" s="13">
        <f>A537+1</f>
        <v>536</v>
      </c>
      <c r="B538" s="14">
        <v>2023</v>
      </c>
      <c r="C538" s="15">
        <v>9</v>
      </c>
      <c r="D538" s="15">
        <v>13</v>
      </c>
      <c r="E538" s="16"/>
      <c r="F538" t="s" s="17">
        <v>275</v>
      </c>
      <c r="G538" s="16"/>
      <c r="H538" t="s" s="17">
        <v>163</v>
      </c>
      <c r="I538" t="s" s="17">
        <v>19</v>
      </c>
      <c r="J538" t="s" s="17">
        <v>155</v>
      </c>
      <c r="K538" t="s" s="17">
        <v>16</v>
      </c>
      <c r="L538" s="15">
        <f>IF(O538,P538/O538,0)</f>
        <v>0.336</v>
      </c>
      <c r="M538" s="15">
        <v>0.336</v>
      </c>
      <c r="N538" s="15">
        <f>A538</f>
        <v>536</v>
      </c>
      <c r="O538" s="15">
        <f t="shared" si="1382"/>
        <v>2000</v>
      </c>
      <c r="P538" s="15">
        <v>672</v>
      </c>
      <c r="Q538" s="16"/>
    </row>
    <row r="539" ht="20.05" customHeight="1">
      <c r="A539" s="13">
        <f>A538+1</f>
        <v>537</v>
      </c>
      <c r="B539" s="14">
        <v>2023</v>
      </c>
      <c r="C539" s="15">
        <v>9</v>
      </c>
      <c r="D539" s="15">
        <v>13</v>
      </c>
      <c r="E539" s="16"/>
      <c r="F539" t="s" s="17">
        <v>111</v>
      </c>
      <c r="G539" s="16"/>
      <c r="H539" t="s" s="17">
        <v>163</v>
      </c>
      <c r="I539" t="s" s="17">
        <v>19</v>
      </c>
      <c r="J539" t="s" s="17">
        <v>112</v>
      </c>
      <c r="K539" t="s" s="17">
        <v>41</v>
      </c>
      <c r="L539" s="15">
        <f>IF(O539,P539/O539,0)</f>
        <v>0.03333</v>
      </c>
      <c r="M539" s="15">
        <v>0.03333</v>
      </c>
      <c r="N539" s="15">
        <f>A539</f>
        <v>537</v>
      </c>
      <c r="O539" s="15">
        <f t="shared" si="1289"/>
        <v>10000</v>
      </c>
      <c r="P539" s="15">
        <v>333.3</v>
      </c>
      <c r="Q539" s="16"/>
    </row>
    <row r="540" ht="20.05" customHeight="1">
      <c r="A540" s="13">
        <f>A539+1</f>
        <v>538</v>
      </c>
      <c r="B540" s="14">
        <v>2023</v>
      </c>
      <c r="C540" s="15">
        <v>9</v>
      </c>
      <c r="D540" s="15">
        <v>13</v>
      </c>
      <c r="E540" s="16"/>
      <c r="F540" t="s" s="17">
        <v>111</v>
      </c>
      <c r="G540" s="16"/>
      <c r="H540" t="s" s="17">
        <v>163</v>
      </c>
      <c r="I540" t="s" s="17">
        <v>26</v>
      </c>
      <c r="J540" t="s" s="17">
        <v>117</v>
      </c>
      <c r="K540" t="s" s="17">
        <v>23</v>
      </c>
      <c r="L540" s="15">
        <f>IF(O540,P540/O540,0)</f>
        <v>34.45125</v>
      </c>
      <c r="M540" s="15">
        <v>34.45125</v>
      </c>
      <c r="N540" s="15">
        <f>A540</f>
        <v>538</v>
      </c>
      <c r="O540" s="15">
        <v>8</v>
      </c>
      <c r="P540" s="15">
        <v>275.61</v>
      </c>
      <c r="Q540" s="16"/>
    </row>
    <row r="541" ht="20.05" customHeight="1">
      <c r="A541" s="13">
        <f>A540+1</f>
        <v>539</v>
      </c>
      <c r="B541" s="14">
        <v>2023</v>
      </c>
      <c r="C541" s="15">
        <v>9</v>
      </c>
      <c r="D541" s="15">
        <v>13</v>
      </c>
      <c r="E541" s="16"/>
      <c r="F541" t="s" s="17">
        <v>111</v>
      </c>
      <c r="G541" s="16"/>
      <c r="H541" t="s" s="17">
        <v>163</v>
      </c>
      <c r="I541" t="s" s="17">
        <v>26</v>
      </c>
      <c r="J541" t="s" s="17">
        <v>134</v>
      </c>
      <c r="K541" t="s" s="17">
        <v>23</v>
      </c>
      <c r="L541" s="15">
        <f>IF(O541,P541/O541,0)</f>
        <v>35.53125</v>
      </c>
      <c r="M541" s="15">
        <v>35.53125</v>
      </c>
      <c r="N541" s="15">
        <f>A541</f>
        <v>539</v>
      </c>
      <c r="O541" s="15">
        <v>8</v>
      </c>
      <c r="P541" s="15">
        <v>284.25</v>
      </c>
      <c r="Q541" s="16"/>
    </row>
    <row r="542" ht="20.05" customHeight="1">
      <c r="A542" s="13">
        <f>A541+1</f>
        <v>540</v>
      </c>
      <c r="B542" s="14">
        <v>2023</v>
      </c>
      <c r="C542" s="15">
        <v>9</v>
      </c>
      <c r="D542" s="15">
        <v>13</v>
      </c>
      <c r="E542" s="16"/>
      <c r="F542" t="s" s="17">
        <v>111</v>
      </c>
      <c r="G542" s="16"/>
      <c r="H542" t="s" s="17">
        <v>163</v>
      </c>
      <c r="I542" t="s" s="17">
        <v>26</v>
      </c>
      <c r="J542" t="s" s="17">
        <v>118</v>
      </c>
      <c r="K542" t="s" s="17">
        <v>23</v>
      </c>
      <c r="L542" s="15">
        <f>IF(O542,P542/O542,0)</f>
        <v>35.53125</v>
      </c>
      <c r="M542" s="15">
        <v>35.53125</v>
      </c>
      <c r="N542" s="15">
        <f>A542</f>
        <v>540</v>
      </c>
      <c r="O542" s="15">
        <v>8</v>
      </c>
      <c r="P542" s="15">
        <v>284.25</v>
      </c>
      <c r="Q542" s="16"/>
    </row>
    <row r="543" ht="20.05" customHeight="1">
      <c r="A543" s="13">
        <f>A542+1</f>
        <v>541</v>
      </c>
      <c r="B543" s="14">
        <v>2023</v>
      </c>
      <c r="C543" s="15">
        <v>9</v>
      </c>
      <c r="D543" s="15">
        <v>13</v>
      </c>
      <c r="E543" s="16"/>
      <c r="F543" t="s" s="17">
        <v>111</v>
      </c>
      <c r="G543" s="16"/>
      <c r="H543" t="s" s="17">
        <v>163</v>
      </c>
      <c r="I543" t="s" s="17">
        <v>19</v>
      </c>
      <c r="J543" t="s" s="17">
        <v>135</v>
      </c>
      <c r="K543" t="s" s="17">
        <v>23</v>
      </c>
      <c r="L543" s="15">
        <f>IF(O543,P543/O543,0)</f>
        <v>0.4428</v>
      </c>
      <c r="M543" s="15">
        <v>0.4428</v>
      </c>
      <c r="N543" s="15">
        <f>A543</f>
        <v>541</v>
      </c>
      <c r="O543" s="15">
        <f t="shared" si="1317"/>
        <v>250</v>
      </c>
      <c r="P543" s="15">
        <v>110.7</v>
      </c>
      <c r="Q543" s="16"/>
    </row>
    <row r="544" ht="32.05" customHeight="1">
      <c r="A544" s="13">
        <f>A543+1</f>
        <v>542</v>
      </c>
      <c r="B544" s="14">
        <v>2023</v>
      </c>
      <c r="C544" s="15">
        <v>9</v>
      </c>
      <c r="D544" s="15">
        <v>12</v>
      </c>
      <c r="E544" s="16"/>
      <c r="F544" t="s" s="17">
        <v>284</v>
      </c>
      <c r="G544" s="16"/>
      <c r="H544" t="s" s="17">
        <v>163</v>
      </c>
      <c r="I544" t="s" s="17">
        <v>19</v>
      </c>
      <c r="J544" t="s" s="17">
        <v>285</v>
      </c>
      <c r="K544" t="s" s="17">
        <v>41</v>
      </c>
      <c r="L544" s="15">
        <f>IF(O544,P544/O544,0)</f>
        <v>0.045</v>
      </c>
      <c r="M544" s="15">
        <v>0.045</v>
      </c>
      <c r="N544" s="15">
        <f>A544</f>
        <v>542</v>
      </c>
      <c r="O544" s="15">
        <f t="shared" si="1776" ref="O544:O545">1*20000</f>
        <v>20000</v>
      </c>
      <c r="P544" s="41">
        <f t="shared" si="1777" ref="P544:P748">750+(750*20%)</f>
        <v>900</v>
      </c>
      <c r="Q544" s="16"/>
    </row>
    <row r="545" ht="32.05" customHeight="1">
      <c r="A545" s="13">
        <f>A544+1</f>
        <v>543</v>
      </c>
      <c r="B545" s="14">
        <v>2023</v>
      </c>
      <c r="C545" s="15">
        <v>9</v>
      </c>
      <c r="D545" s="15">
        <v>12</v>
      </c>
      <c r="E545" s="16"/>
      <c r="F545" t="s" s="17">
        <v>284</v>
      </c>
      <c r="G545" s="16"/>
      <c r="H545" t="s" s="17">
        <v>163</v>
      </c>
      <c r="I545" t="s" s="17">
        <v>19</v>
      </c>
      <c r="J545" t="s" s="17">
        <v>286</v>
      </c>
      <c r="K545" t="s" s="17">
        <v>41</v>
      </c>
      <c r="L545" s="15">
        <f>IF(O545,P545/O545,0)</f>
        <v>0.045</v>
      </c>
      <c r="M545" s="15">
        <v>0.045</v>
      </c>
      <c r="N545" s="15">
        <f>A545</f>
        <v>543</v>
      </c>
      <c r="O545" s="15">
        <f t="shared" si="1776"/>
        <v>20000</v>
      </c>
      <c r="P545" s="41">
        <f t="shared" si="1777"/>
        <v>900</v>
      </c>
      <c r="Q545" s="16"/>
    </row>
    <row r="546" ht="20.05" customHeight="1">
      <c r="A546" s="13">
        <f>A545+1</f>
        <v>544</v>
      </c>
      <c r="B546" s="14">
        <v>2023</v>
      </c>
      <c r="C546" s="15">
        <v>9</v>
      </c>
      <c r="D546" s="15">
        <v>14</v>
      </c>
      <c r="E546" s="16"/>
      <c r="F546" t="s" s="17">
        <v>130</v>
      </c>
      <c r="G546" s="16"/>
      <c r="H546" t="s" s="17">
        <v>163</v>
      </c>
      <c r="I546" t="s" s="17">
        <v>19</v>
      </c>
      <c r="J546" t="s" s="17">
        <v>157</v>
      </c>
      <c r="K546" t="s" s="17">
        <v>16</v>
      </c>
      <c r="L546" s="15">
        <f>IF(O546,P546/O546,0)</f>
        <v>0.0249485596707819</v>
      </c>
      <c r="M546" s="15">
        <v>0.0249485596707819</v>
      </c>
      <c r="N546" s="15">
        <f>A546</f>
        <v>544</v>
      </c>
      <c r="O546" s="15">
        <v>972</v>
      </c>
      <c r="P546" s="15">
        <v>24.25</v>
      </c>
      <c r="Q546" s="16"/>
    </row>
    <row r="547" ht="20.05" customHeight="1">
      <c r="A547" s="13">
        <f>A546+1</f>
        <v>545</v>
      </c>
      <c r="B547" s="14">
        <v>2023</v>
      </c>
      <c r="C547" s="15">
        <v>9</v>
      </c>
      <c r="D547" s="15">
        <v>10</v>
      </c>
      <c r="E547" s="16"/>
      <c r="F547" t="s" s="17">
        <v>130</v>
      </c>
      <c r="G547" s="16"/>
      <c r="H547" t="s" s="17">
        <v>163</v>
      </c>
      <c r="I547" t="s" s="17">
        <v>19</v>
      </c>
      <c r="J547" t="s" s="17">
        <v>131</v>
      </c>
      <c r="K547" t="s" s="17">
        <v>41</v>
      </c>
      <c r="L547" s="15">
        <f>IF(O547,P547/O547,0)</f>
        <v>0.107</v>
      </c>
      <c r="M547" s="15">
        <v>0.107</v>
      </c>
      <c r="N547" s="15">
        <f>A547</f>
        <v>545</v>
      </c>
      <c r="O547" s="15">
        <v>1000</v>
      </c>
      <c r="P547" s="15">
        <v>107</v>
      </c>
      <c r="Q547" s="16"/>
    </row>
    <row r="548" ht="20.05" customHeight="1">
      <c r="A548" s="13">
        <f>A547+1</f>
        <v>546</v>
      </c>
      <c r="B548" s="14">
        <v>2023</v>
      </c>
      <c r="C548" s="15">
        <v>9</v>
      </c>
      <c r="D548" s="15">
        <v>9</v>
      </c>
      <c r="E548" s="16"/>
      <c r="F548" t="s" s="17">
        <v>141</v>
      </c>
      <c r="G548" s="16"/>
      <c r="H548" t="s" s="17">
        <v>163</v>
      </c>
      <c r="I548" t="s" s="17">
        <v>19</v>
      </c>
      <c r="J548" t="s" s="17">
        <v>142</v>
      </c>
      <c r="K548" t="s" s="17">
        <v>23</v>
      </c>
      <c r="L548" s="15">
        <f>IF(O548,P548/O548,0)</f>
        <v>12.5922916666667</v>
      </c>
      <c r="M548" s="15">
        <v>12.5922916666667</v>
      </c>
      <c r="N548" s="15">
        <f>A548</f>
        <v>546</v>
      </c>
      <c r="O548" s="15">
        <f t="shared" si="1410"/>
        <v>48</v>
      </c>
      <c r="P548" s="15">
        <v>604.4299999999999</v>
      </c>
      <c r="Q548" s="16"/>
    </row>
    <row r="549" ht="20.05" customHeight="1">
      <c r="A549" s="13">
        <f>A548+1</f>
        <v>547</v>
      </c>
      <c r="B549" s="14">
        <v>2023</v>
      </c>
      <c r="C549" s="15">
        <v>9</v>
      </c>
      <c r="D549" s="15">
        <v>9</v>
      </c>
      <c r="E549" s="16"/>
      <c r="F549" t="s" s="17">
        <v>141</v>
      </c>
      <c r="G549" s="16"/>
      <c r="H549" t="s" s="17">
        <v>163</v>
      </c>
      <c r="I549" t="s" s="17">
        <v>19</v>
      </c>
      <c r="J549" t="s" s="17">
        <v>159</v>
      </c>
      <c r="K549" t="s" s="17">
        <v>23</v>
      </c>
      <c r="L549" s="15">
        <f>IF(O549,P549/O549,0)</f>
        <v>2.57441666666667</v>
      </c>
      <c r="M549" s="15">
        <v>2.57441666666667</v>
      </c>
      <c r="N549" s="15">
        <f>A549</f>
        <v>547</v>
      </c>
      <c r="O549" s="15">
        <f>20*24</f>
        <v>480</v>
      </c>
      <c r="P549" s="15">
        <v>1235.72</v>
      </c>
      <c r="Q549" s="16"/>
    </row>
    <row r="550" ht="32.05" customHeight="1">
      <c r="A550" s="13">
        <f>A549+1</f>
        <v>548</v>
      </c>
      <c r="B550" s="14">
        <v>2023</v>
      </c>
      <c r="C550" s="15">
        <v>9</v>
      </c>
      <c r="D550" s="15">
        <v>22</v>
      </c>
      <c r="E550" s="16"/>
      <c r="F550" t="s" s="17">
        <v>287</v>
      </c>
      <c r="G550" s="16"/>
      <c r="H550" t="s" s="17">
        <v>253</v>
      </c>
      <c r="I550" t="s" s="17">
        <v>14</v>
      </c>
      <c r="J550" t="s" s="17">
        <v>283</v>
      </c>
      <c r="K550" t="s" s="17">
        <v>23</v>
      </c>
      <c r="L550" s="15">
        <f>IF(O550,P550/O550,0)</f>
        <v>32.724</v>
      </c>
      <c r="M550" s="15">
        <v>32.724</v>
      </c>
      <c r="N550" s="15">
        <f>A550</f>
        <v>548</v>
      </c>
      <c r="O550" s="15">
        <v>10</v>
      </c>
      <c r="P550" s="15">
        <v>327.24</v>
      </c>
      <c r="Q550" s="16"/>
    </row>
    <row r="551" ht="20.05" customHeight="1">
      <c r="A551" s="13">
        <f>A550+1</f>
        <v>549</v>
      </c>
      <c r="B551" s="14">
        <v>2023</v>
      </c>
      <c r="C551" s="15">
        <v>9</v>
      </c>
      <c r="D551" s="15">
        <v>22</v>
      </c>
      <c r="E551" s="16"/>
      <c r="F551" t="s" s="17">
        <v>287</v>
      </c>
      <c r="G551" s="16"/>
      <c r="H551" t="s" s="17">
        <v>253</v>
      </c>
      <c r="I551" t="s" s="17">
        <v>14</v>
      </c>
      <c r="J551" t="s" s="17">
        <v>288</v>
      </c>
      <c r="K551" t="s" s="17">
        <v>23</v>
      </c>
      <c r="L551" s="15">
        <f>IF(O551,P551/O551,0)</f>
        <v>27.2195</v>
      </c>
      <c r="M551" s="15">
        <v>27.2195</v>
      </c>
      <c r="N551" s="15">
        <f>A551</f>
        <v>549</v>
      </c>
      <c r="O551" s="15">
        <v>10</v>
      </c>
      <c r="P551" s="15">
        <v>272.195</v>
      </c>
      <c r="Q551" s="16"/>
    </row>
    <row r="552" ht="20.05" customHeight="1">
      <c r="A552" s="13">
        <f>A551+1</f>
        <v>550</v>
      </c>
      <c r="B552" s="14">
        <v>2023</v>
      </c>
      <c r="C552" s="15">
        <v>9</v>
      </c>
      <c r="D552" s="15">
        <v>22</v>
      </c>
      <c r="E552" s="16"/>
      <c r="F552" t="s" s="17">
        <v>287</v>
      </c>
      <c r="G552" s="16"/>
      <c r="H552" t="s" s="17">
        <v>253</v>
      </c>
      <c r="I552" t="s" s="17">
        <v>14</v>
      </c>
      <c r="J552" t="s" s="17">
        <v>289</v>
      </c>
      <c r="K552" t="s" s="17">
        <v>23</v>
      </c>
      <c r="L552" s="15">
        <f>IF(O552,P552/O552,0)</f>
        <v>29.694</v>
      </c>
      <c r="M552" s="15">
        <v>29.694</v>
      </c>
      <c r="N552" s="15">
        <f>A552</f>
        <v>550</v>
      </c>
      <c r="O552" s="15">
        <v>10</v>
      </c>
      <c r="P552" s="15">
        <v>296.94</v>
      </c>
      <c r="Q552" s="16"/>
    </row>
    <row r="553" ht="20.05" customHeight="1">
      <c r="A553" s="13">
        <f>A552+1</f>
        <v>551</v>
      </c>
      <c r="B553" s="14">
        <v>2023</v>
      </c>
      <c r="C553" s="15">
        <v>9</v>
      </c>
      <c r="D553" s="15">
        <v>15</v>
      </c>
      <c r="E553" s="16"/>
      <c r="F553" t="s" s="17">
        <v>141</v>
      </c>
      <c r="G553" s="16"/>
      <c r="H553" t="s" s="17">
        <v>163</v>
      </c>
      <c r="I553" t="s" s="17">
        <v>19</v>
      </c>
      <c r="J553" t="s" s="17">
        <v>142</v>
      </c>
      <c r="K553" t="s" s="17">
        <v>23</v>
      </c>
      <c r="L553" s="15">
        <f>IF(O553,P553/O553,0)</f>
        <v>12.5922916666667</v>
      </c>
      <c r="M553" s="15">
        <v>12.5922916666667</v>
      </c>
      <c r="N553" s="15">
        <f>A553</f>
        <v>551</v>
      </c>
      <c r="O553" s="15">
        <v>48</v>
      </c>
      <c r="P553" s="15">
        <v>604.4299999999999</v>
      </c>
      <c r="Q553" s="16"/>
    </row>
    <row r="554" ht="20.05" customHeight="1">
      <c r="A554" s="13">
        <f>A553+1</f>
        <v>552</v>
      </c>
      <c r="B554" s="14">
        <v>2023</v>
      </c>
      <c r="C554" s="15">
        <v>9</v>
      </c>
      <c r="D554" s="15">
        <v>15</v>
      </c>
      <c r="E554" s="16"/>
      <c r="F554" t="s" s="17">
        <v>141</v>
      </c>
      <c r="G554" s="16"/>
      <c r="H554" t="s" s="17">
        <v>163</v>
      </c>
      <c r="I554" t="s" s="17">
        <v>19</v>
      </c>
      <c r="J554" t="s" s="17">
        <v>159</v>
      </c>
      <c r="K554" t="s" s="17">
        <v>23</v>
      </c>
      <c r="L554" s="15">
        <f>IF(O554,P554/O554,0)</f>
        <v>2.57442708333333</v>
      </c>
      <c r="M554" s="15">
        <v>2.57442708333333</v>
      </c>
      <c r="N554" s="15">
        <f>A554</f>
        <v>552</v>
      </c>
      <c r="O554" s="15">
        <v>192</v>
      </c>
      <c r="P554" s="15">
        <v>494.29</v>
      </c>
      <c r="Q554" s="16"/>
    </row>
    <row r="555" ht="20.05" customHeight="1">
      <c r="A555" s="13">
        <f>A554+1</f>
        <v>553</v>
      </c>
      <c r="B555" s="14">
        <v>2023</v>
      </c>
      <c r="C555" s="15">
        <v>9</v>
      </c>
      <c r="D555" s="15">
        <v>15</v>
      </c>
      <c r="E555" s="16"/>
      <c r="F555" t="s" s="17">
        <v>278</v>
      </c>
      <c r="G555" s="16"/>
      <c r="H555" t="s" s="17">
        <v>163</v>
      </c>
      <c r="I555" t="s" s="17">
        <v>14</v>
      </c>
      <c r="J555" t="s" s="17">
        <v>282</v>
      </c>
      <c r="K555" t="s" s="17">
        <v>23</v>
      </c>
      <c r="L555" s="15">
        <f>IF(O555,P555/O555,0)</f>
        <v>24.9975</v>
      </c>
      <c r="M555" s="15">
        <v>24.9975</v>
      </c>
      <c r="N555" s="15">
        <f>A555</f>
        <v>553</v>
      </c>
      <c r="O555" s="15">
        <v>10</v>
      </c>
      <c r="P555" s="42">
        <f t="shared" si="1815" ref="P555:P732">247.5+(247.5*1%)</f>
        <v>249.975</v>
      </c>
      <c r="Q555" s="16"/>
    </row>
    <row r="556" ht="20.05" customHeight="1">
      <c r="A556" s="13">
        <f>A555+1</f>
        <v>554</v>
      </c>
      <c r="B556" s="14">
        <v>2023</v>
      </c>
      <c r="C556" s="15">
        <v>9</v>
      </c>
      <c r="D556" s="15">
        <v>15</v>
      </c>
      <c r="E556" s="16"/>
      <c r="F556" t="s" s="17">
        <v>278</v>
      </c>
      <c r="G556" s="16"/>
      <c r="H556" t="s" s="17">
        <v>163</v>
      </c>
      <c r="I556" t="s" s="17">
        <v>14</v>
      </c>
      <c r="J556" t="s" s="17">
        <v>279</v>
      </c>
      <c r="K556" t="s" s="17">
        <v>23</v>
      </c>
      <c r="L556" s="15">
        <f>IF(O556,P556/O556,0)</f>
        <v>31.3605</v>
      </c>
      <c r="M556" s="15">
        <v>31.3605</v>
      </c>
      <c r="N556" s="15">
        <f>A556</f>
        <v>554</v>
      </c>
      <c r="O556" s="15">
        <v>10</v>
      </c>
      <c r="P556" s="42">
        <f t="shared" si="1680"/>
        <v>313.605</v>
      </c>
      <c r="Q556" s="16"/>
    </row>
    <row r="557" ht="32.05" customHeight="1">
      <c r="A557" s="13">
        <f>A556+1</f>
        <v>555</v>
      </c>
      <c r="B557" s="14">
        <v>2023</v>
      </c>
      <c r="C557" s="15">
        <v>9</v>
      </c>
      <c r="D557" s="15">
        <v>15</v>
      </c>
      <c r="E557" s="16"/>
      <c r="F557" t="s" s="17">
        <v>278</v>
      </c>
      <c r="G557" s="16"/>
      <c r="H557" t="s" s="17">
        <v>163</v>
      </c>
      <c r="I557" t="s" s="17">
        <v>14</v>
      </c>
      <c r="J557" t="s" s="17">
        <v>283</v>
      </c>
      <c r="K557" t="s" s="17">
        <v>23</v>
      </c>
      <c r="L557" s="15">
        <f>IF(O557,P557/O557,0)</f>
        <v>32.724</v>
      </c>
      <c r="M557" s="15">
        <v>32.724</v>
      </c>
      <c r="N557" s="15">
        <f>A557</f>
        <v>555</v>
      </c>
      <c r="O557" s="15">
        <v>10</v>
      </c>
      <c r="P557" s="41">
        <f t="shared" si="1684"/>
        <v>327.24</v>
      </c>
      <c r="Q557" s="16"/>
    </row>
    <row r="558" ht="20.05" customHeight="1">
      <c r="A558" s="13">
        <f>A557+1</f>
        <v>556</v>
      </c>
      <c r="B558" s="14">
        <v>2023</v>
      </c>
      <c r="C558" s="15">
        <v>9</v>
      </c>
      <c r="D558" s="15">
        <v>16</v>
      </c>
      <c r="E558" s="16"/>
      <c r="F558" t="s" s="17">
        <v>278</v>
      </c>
      <c r="G558" s="16"/>
      <c r="H558" t="s" s="17">
        <v>163</v>
      </c>
      <c r="I558" t="s" s="17">
        <v>14</v>
      </c>
      <c r="J558" t="s" s="17">
        <v>279</v>
      </c>
      <c r="K558" t="s" s="17">
        <v>23</v>
      </c>
      <c r="L558" s="15">
        <f>IF(O558,P558/O558,0)</f>
        <v>31.3605</v>
      </c>
      <c r="M558" s="15">
        <v>31.3605</v>
      </c>
      <c r="N558" s="15">
        <f>A558</f>
        <v>556</v>
      </c>
      <c r="O558" s="15">
        <f t="shared" si="1827" ref="O558:O791">2*10</f>
        <v>20</v>
      </c>
      <c r="P558" s="41">
        <f t="shared" si="1828" ref="P558:P723">621+(621*1%)</f>
        <v>627.21</v>
      </c>
      <c r="Q558" s="16"/>
    </row>
    <row r="559" ht="32.05" customHeight="1">
      <c r="A559" s="13">
        <f>A558+1</f>
        <v>557</v>
      </c>
      <c r="B559" s="14">
        <v>2023</v>
      </c>
      <c r="C559" s="15">
        <v>9</v>
      </c>
      <c r="D559" s="15">
        <v>16</v>
      </c>
      <c r="E559" s="16"/>
      <c r="F559" t="s" s="17">
        <v>278</v>
      </c>
      <c r="G559" s="16"/>
      <c r="H559" t="s" s="17">
        <v>163</v>
      </c>
      <c r="I559" t="s" s="17">
        <v>14</v>
      </c>
      <c r="J559" t="s" s="17">
        <v>283</v>
      </c>
      <c r="K559" t="s" s="17">
        <v>23</v>
      </c>
      <c r="L559" s="15">
        <f>IF(O559,P559/O559,0)</f>
        <v>32.724</v>
      </c>
      <c r="M559" s="15">
        <v>32.724</v>
      </c>
      <c r="N559" s="15">
        <f>A559</f>
        <v>557</v>
      </c>
      <c r="O559" s="15">
        <f t="shared" si="1827"/>
        <v>20</v>
      </c>
      <c r="P559" s="41">
        <f t="shared" si="1833" ref="P559:P776">648+(648*1%)</f>
        <v>654.48</v>
      </c>
      <c r="Q559" s="16"/>
    </row>
    <row r="560" ht="20.05" customHeight="1">
      <c r="A560" s="13">
        <f>A559+1</f>
        <v>558</v>
      </c>
      <c r="B560" s="14">
        <v>2023</v>
      </c>
      <c r="C560" s="15">
        <v>9</v>
      </c>
      <c r="D560" s="15">
        <v>16</v>
      </c>
      <c r="E560" s="16"/>
      <c r="F560" t="s" s="17">
        <v>130</v>
      </c>
      <c r="G560" s="16"/>
      <c r="H560" t="s" s="17">
        <v>163</v>
      </c>
      <c r="I560" t="s" s="17">
        <v>19</v>
      </c>
      <c r="J560" t="s" s="17">
        <v>157</v>
      </c>
      <c r="K560" t="s" s="17">
        <v>16</v>
      </c>
      <c r="L560" s="15">
        <f>IF(O560,P560/O560,0)</f>
        <v>0.0249504459861249</v>
      </c>
      <c r="M560" s="15">
        <v>0.0249504459861249</v>
      </c>
      <c r="N560" s="15">
        <f>A560</f>
        <v>558</v>
      </c>
      <c r="O560" s="15">
        <f>1000+1018</f>
        <v>2018</v>
      </c>
      <c r="P560" s="15">
        <v>50.35</v>
      </c>
      <c r="Q560" s="16"/>
    </row>
    <row r="561" ht="20.05" customHeight="1">
      <c r="A561" s="13">
        <f>A560+1</f>
        <v>559</v>
      </c>
      <c r="B561" s="14">
        <v>2023</v>
      </c>
      <c r="C561" s="15">
        <v>9</v>
      </c>
      <c r="D561" s="15">
        <v>16</v>
      </c>
      <c r="E561" s="16"/>
      <c r="F561" t="s" s="17">
        <v>130</v>
      </c>
      <c r="G561" s="16"/>
      <c r="H561" t="s" s="17">
        <v>163</v>
      </c>
      <c r="I561" t="s" s="17">
        <v>17</v>
      </c>
      <c r="J561" t="s" s="17">
        <v>114</v>
      </c>
      <c r="K561" t="s" s="17">
        <v>16</v>
      </c>
      <c r="L561" s="15">
        <f>IF(O561,P561/O561,0)</f>
        <v>0.332666666666667</v>
      </c>
      <c r="M561" s="15">
        <v>0.332666666666667</v>
      </c>
      <c r="N561" s="15">
        <f>A561</f>
        <v>559</v>
      </c>
      <c r="O561" s="15">
        <f>3*150</f>
        <v>450</v>
      </c>
      <c r="P561" s="15">
        <v>149.7</v>
      </c>
      <c r="Q561" s="16"/>
    </row>
    <row r="562" ht="20.05" customHeight="1">
      <c r="A562" s="13">
        <f>A561+1</f>
        <v>560</v>
      </c>
      <c r="B562" s="14">
        <v>2023</v>
      </c>
      <c r="C562" s="15">
        <v>9</v>
      </c>
      <c r="D562" s="15">
        <v>16</v>
      </c>
      <c r="E562" s="16"/>
      <c r="F562" t="s" s="17">
        <v>130</v>
      </c>
      <c r="G562" s="16"/>
      <c r="H562" t="s" s="17">
        <v>163</v>
      </c>
      <c r="I562" t="s" s="17">
        <v>19</v>
      </c>
      <c r="J562" t="s" s="17">
        <v>290</v>
      </c>
      <c r="K562" t="s" s="17">
        <v>23</v>
      </c>
      <c r="L562" s="15">
        <f>IF(O562,P562/O562,0)</f>
        <v>49.9</v>
      </c>
      <c r="M562" s="15">
        <v>49.9</v>
      </c>
      <c r="N562" s="15">
        <f>A562</f>
        <v>560</v>
      </c>
      <c r="O562" s="15">
        <v>1</v>
      </c>
      <c r="P562" s="15">
        <v>49.9</v>
      </c>
      <c r="Q562" s="16"/>
    </row>
    <row r="563" ht="20.05" customHeight="1">
      <c r="A563" s="13">
        <f>A562+1</f>
        <v>561</v>
      </c>
      <c r="B563" s="14">
        <v>2023</v>
      </c>
      <c r="C563" s="15">
        <v>9</v>
      </c>
      <c r="D563" s="15">
        <v>17</v>
      </c>
      <c r="E563" s="16"/>
      <c r="F563" t="s" s="17">
        <v>130</v>
      </c>
      <c r="G563" s="16"/>
      <c r="H563" t="s" s="17">
        <v>163</v>
      </c>
      <c r="I563" t="s" s="17">
        <v>17</v>
      </c>
      <c r="J563" t="s" s="17">
        <v>156</v>
      </c>
      <c r="K563" t="s" s="17">
        <v>16</v>
      </c>
      <c r="L563" s="15">
        <f>IF(O563,P563/O563,0)</f>
        <v>0.09987500000000001</v>
      </c>
      <c r="M563" s="15">
        <v>0.09987500000000001</v>
      </c>
      <c r="N563" s="15">
        <f>A563</f>
        <v>561</v>
      </c>
      <c r="O563" s="15">
        <v>400</v>
      </c>
      <c r="P563" s="15">
        <v>39.95</v>
      </c>
      <c r="Q563" s="16"/>
    </row>
    <row r="564" ht="20.05" customHeight="1">
      <c r="A564" s="13">
        <f>A563+1</f>
        <v>562</v>
      </c>
      <c r="B564" s="14">
        <v>2023</v>
      </c>
      <c r="C564" s="15">
        <v>9</v>
      </c>
      <c r="D564" s="15">
        <v>18</v>
      </c>
      <c r="E564" s="16"/>
      <c r="F564" t="s" s="17">
        <v>130</v>
      </c>
      <c r="G564" s="16"/>
      <c r="H564" t="s" s="17">
        <v>163</v>
      </c>
      <c r="I564" t="s" s="17">
        <v>19</v>
      </c>
      <c r="J564" t="s" s="17">
        <v>157</v>
      </c>
      <c r="K564" t="s" s="17">
        <v>16</v>
      </c>
      <c r="L564" s="15">
        <f>IF(O564,P564/O564,0)</f>
        <v>0.0249479166666667</v>
      </c>
      <c r="M564" s="15">
        <v>0.0249479166666667</v>
      </c>
      <c r="N564" s="15">
        <f>A564</f>
        <v>562</v>
      </c>
      <c r="O564" s="15">
        <v>1920</v>
      </c>
      <c r="P564" s="15">
        <v>47.9</v>
      </c>
      <c r="Q564" s="16"/>
    </row>
    <row r="565" ht="20.05" customHeight="1">
      <c r="A565" s="13">
        <f>A564+1</f>
        <v>563</v>
      </c>
      <c r="B565" s="14">
        <v>2023</v>
      </c>
      <c r="C565" s="15">
        <v>9</v>
      </c>
      <c r="D565" s="15">
        <v>20</v>
      </c>
      <c r="E565" s="16"/>
      <c r="F565" t="s" s="17">
        <v>130</v>
      </c>
      <c r="G565" s="16"/>
      <c r="H565" t="s" s="17">
        <v>163</v>
      </c>
      <c r="I565" t="s" s="17">
        <v>19</v>
      </c>
      <c r="J565" t="s" s="17">
        <v>157</v>
      </c>
      <c r="K565" t="s" s="17">
        <v>16</v>
      </c>
      <c r="L565" s="15">
        <f>IF(O565,P565/O565,0)</f>
        <v>0.0249521072796935</v>
      </c>
      <c r="M565" s="15">
        <v>0.0249521072796935</v>
      </c>
      <c r="N565" s="15">
        <f>A565</f>
        <v>563</v>
      </c>
      <c r="O565" s="15">
        <v>1044</v>
      </c>
      <c r="P565" s="15">
        <v>26.05</v>
      </c>
      <c r="Q565" s="16"/>
    </row>
    <row r="566" ht="20.05" customHeight="1">
      <c r="A566" s="13">
        <f>A565+1</f>
        <v>564</v>
      </c>
      <c r="B566" s="14">
        <v>2023</v>
      </c>
      <c r="C566" s="15">
        <v>9</v>
      </c>
      <c r="D566" s="15">
        <v>20</v>
      </c>
      <c r="E566" s="16"/>
      <c r="F566" t="s" s="17">
        <v>291</v>
      </c>
      <c r="G566" s="16"/>
      <c r="H566" t="s" s="17">
        <v>163</v>
      </c>
      <c r="I566" t="s" s="17">
        <v>199</v>
      </c>
      <c r="J566" t="s" s="17">
        <v>213</v>
      </c>
      <c r="K566" t="s" s="17">
        <v>23</v>
      </c>
      <c r="L566" s="15">
        <f>IF(O566,P566/O566,0)</f>
        <v>86.5</v>
      </c>
      <c r="M566" s="15">
        <v>86.5</v>
      </c>
      <c r="N566" s="15">
        <f>A566</f>
        <v>564</v>
      </c>
      <c r="O566" s="15">
        <v>1</v>
      </c>
      <c r="P566" s="15">
        <v>86.5</v>
      </c>
      <c r="Q566" s="16"/>
    </row>
    <row r="567" ht="32.05" customHeight="1">
      <c r="A567" s="13">
        <f>A566+1</f>
        <v>565</v>
      </c>
      <c r="B567" s="14">
        <v>2023</v>
      </c>
      <c r="C567" s="15">
        <v>9</v>
      </c>
      <c r="D567" s="15">
        <v>21</v>
      </c>
      <c r="E567" s="16"/>
      <c r="F567" t="s" s="17">
        <v>130</v>
      </c>
      <c r="G567" t="s" s="17">
        <v>292</v>
      </c>
      <c r="H567" t="s" s="17">
        <v>163</v>
      </c>
      <c r="I567" t="s" s="17">
        <v>187</v>
      </c>
      <c r="J567" t="s" s="17">
        <v>137</v>
      </c>
      <c r="K567" t="s" s="17">
        <v>41</v>
      </c>
      <c r="L567" s="15">
        <f>IF(O567,P567/O567,0)</f>
        <v>0.03836</v>
      </c>
      <c r="M567" s="15">
        <v>0.03836</v>
      </c>
      <c r="N567" s="15">
        <f>A567</f>
        <v>565</v>
      </c>
      <c r="O567" s="15">
        <v>2500</v>
      </c>
      <c r="P567" s="15">
        <v>95.90000000000001</v>
      </c>
      <c r="Q567" s="16"/>
    </row>
    <row r="568" ht="20.05" customHeight="1">
      <c r="A568" s="13">
        <f>A567+1</f>
        <v>566</v>
      </c>
      <c r="B568" s="14">
        <v>2023</v>
      </c>
      <c r="C568" s="15">
        <v>9</v>
      </c>
      <c r="D568" s="15">
        <v>21</v>
      </c>
      <c r="E568" s="16"/>
      <c r="F568" t="s" s="17">
        <v>130</v>
      </c>
      <c r="G568" s="16"/>
      <c r="H568" t="s" s="17">
        <v>163</v>
      </c>
      <c r="I568" t="s" s="17">
        <v>19</v>
      </c>
      <c r="J568" t="s" s="17">
        <v>157</v>
      </c>
      <c r="K568" t="s" s="17">
        <v>16</v>
      </c>
      <c r="L568" s="15">
        <f>IF(O568,P568/O568,0)</f>
        <v>0.02495004995005</v>
      </c>
      <c r="M568" s="15">
        <v>0.02495004995005</v>
      </c>
      <c r="N568" s="15">
        <f>A568</f>
        <v>566</v>
      </c>
      <c r="O568" s="15">
        <v>2002</v>
      </c>
      <c r="P568" s="15">
        <v>49.95</v>
      </c>
      <c r="Q568" s="16"/>
    </row>
    <row r="569" ht="32.05" customHeight="1">
      <c r="A569" s="13">
        <f>A568+1</f>
        <v>567</v>
      </c>
      <c r="B569" s="14">
        <v>2023</v>
      </c>
      <c r="C569" s="15">
        <v>9</v>
      </c>
      <c r="D569" s="15">
        <v>22</v>
      </c>
      <c r="E569" s="16"/>
      <c r="F569" t="s" s="17">
        <v>278</v>
      </c>
      <c r="G569" s="16"/>
      <c r="H569" t="s" s="17">
        <v>163</v>
      </c>
      <c r="I569" t="s" s="17">
        <v>14</v>
      </c>
      <c r="J569" t="s" s="17">
        <v>283</v>
      </c>
      <c r="K569" t="s" s="17">
        <v>23</v>
      </c>
      <c r="L569" s="15">
        <f>IF(O569,P569/O569,0)</f>
        <v>32.724</v>
      </c>
      <c r="M569" s="15">
        <v>32.724</v>
      </c>
      <c r="N569" s="15">
        <f>A569</f>
        <v>567</v>
      </c>
      <c r="O569" s="15">
        <v>10</v>
      </c>
      <c r="P569" s="41">
        <f t="shared" si="1684"/>
        <v>327.24</v>
      </c>
      <c r="Q569" s="16"/>
    </row>
    <row r="570" ht="20.05" customHeight="1">
      <c r="A570" s="13">
        <f>A569+1</f>
        <v>568</v>
      </c>
      <c r="B570" s="14">
        <v>2023</v>
      </c>
      <c r="C570" s="15">
        <v>9</v>
      </c>
      <c r="D570" s="15">
        <v>22</v>
      </c>
      <c r="E570" s="16"/>
      <c r="F570" t="s" s="17">
        <v>278</v>
      </c>
      <c r="G570" s="16"/>
      <c r="H570" t="s" s="17">
        <v>163</v>
      </c>
      <c r="I570" t="s" s="17">
        <v>14</v>
      </c>
      <c r="J570" t="s" s="17">
        <v>282</v>
      </c>
      <c r="K570" t="s" s="17">
        <v>23</v>
      </c>
      <c r="L570" s="15">
        <f>IF(O570,P570/O570,0)</f>
        <v>24.9975</v>
      </c>
      <c r="M570" s="15">
        <v>24.9975</v>
      </c>
      <c r="N570" s="15">
        <f>A570</f>
        <v>568</v>
      </c>
      <c r="O570" s="15">
        <v>10</v>
      </c>
      <c r="P570" s="42">
        <f t="shared" si="1815"/>
        <v>249.975</v>
      </c>
      <c r="Q570" s="16"/>
    </row>
    <row r="571" ht="20.05" customHeight="1">
      <c r="A571" s="13">
        <f>A570+1</f>
        <v>569</v>
      </c>
      <c r="B571" s="14">
        <v>2023</v>
      </c>
      <c r="C571" s="15">
        <v>9</v>
      </c>
      <c r="D571" s="15">
        <v>22</v>
      </c>
      <c r="E571" s="16"/>
      <c r="F571" t="s" s="17">
        <v>278</v>
      </c>
      <c r="G571" s="16"/>
      <c r="H571" t="s" s="17">
        <v>163</v>
      </c>
      <c r="I571" t="s" s="17">
        <v>14</v>
      </c>
      <c r="J571" t="s" s="17">
        <v>288</v>
      </c>
      <c r="K571" t="s" s="17">
        <v>23</v>
      </c>
      <c r="L571" s="15">
        <f>IF(O571,P571/O571,0)</f>
        <v>27.2195</v>
      </c>
      <c r="M571" s="15">
        <v>27.2195</v>
      </c>
      <c r="N571" s="15">
        <f>A571</f>
        <v>569</v>
      </c>
      <c r="O571" s="15">
        <v>10</v>
      </c>
      <c r="P571" s="42">
        <f t="shared" si="1874" ref="P571:P815">269.5+(269.5*1%)</f>
        <v>272.195</v>
      </c>
      <c r="Q571" s="16"/>
    </row>
    <row r="572" ht="20.05" customHeight="1">
      <c r="A572" s="13">
        <f>A571+1</f>
        <v>570</v>
      </c>
      <c r="B572" s="14">
        <v>2023</v>
      </c>
      <c r="C572" s="15">
        <v>9</v>
      </c>
      <c r="D572" s="15">
        <v>22</v>
      </c>
      <c r="E572" s="16"/>
      <c r="F572" t="s" s="17">
        <v>278</v>
      </c>
      <c r="G572" s="16"/>
      <c r="H572" t="s" s="17">
        <v>163</v>
      </c>
      <c r="I572" t="s" s="17">
        <v>14</v>
      </c>
      <c r="J572" t="s" s="17">
        <v>289</v>
      </c>
      <c r="K572" t="s" s="17">
        <v>23</v>
      </c>
      <c r="L572" s="15">
        <f>IF(O572,P572/O572,0)</f>
        <v>29.694</v>
      </c>
      <c r="M572" s="15">
        <v>29.694</v>
      </c>
      <c r="N572" s="15">
        <f>A572</f>
        <v>570</v>
      </c>
      <c r="O572" s="15">
        <v>10</v>
      </c>
      <c r="P572" s="41">
        <f t="shared" si="1878" ref="P572:P814">294+(294*1%)</f>
        <v>296.94</v>
      </c>
      <c r="Q572" s="16"/>
    </row>
    <row r="573" ht="20.05" customHeight="1">
      <c r="A573" s="13">
        <f>A572+1</f>
        <v>571</v>
      </c>
      <c r="B573" s="14">
        <v>2023</v>
      </c>
      <c r="C573" s="15">
        <v>9</v>
      </c>
      <c r="D573" s="15">
        <v>2</v>
      </c>
      <c r="E573" s="16"/>
      <c r="F573" t="s" s="17">
        <v>141</v>
      </c>
      <c r="G573" s="16"/>
      <c r="H573" t="s" s="17">
        <v>253</v>
      </c>
      <c r="I573" t="s" s="17">
        <v>19</v>
      </c>
      <c r="J573" t="s" s="17">
        <v>159</v>
      </c>
      <c r="K573" t="s" s="17">
        <v>23</v>
      </c>
      <c r="L573" s="15">
        <f>IF(O573,P573/O573,0)</f>
        <v>2.57442708333333</v>
      </c>
      <c r="M573" s="15">
        <v>2.57442708333333</v>
      </c>
      <c r="N573" s="15">
        <f>A573</f>
        <v>571</v>
      </c>
      <c r="O573" s="15">
        <f>8*24</f>
        <v>192</v>
      </c>
      <c r="P573" s="15">
        <v>494.29</v>
      </c>
      <c r="Q573" s="16"/>
    </row>
    <row r="574" ht="20.05" customHeight="1">
      <c r="A574" s="13">
        <f>A573+1</f>
        <v>572</v>
      </c>
      <c r="B574" s="14">
        <v>2023</v>
      </c>
      <c r="C574" s="15">
        <v>9</v>
      </c>
      <c r="D574" s="15">
        <v>2</v>
      </c>
      <c r="E574" s="16"/>
      <c r="F574" t="s" s="17">
        <v>141</v>
      </c>
      <c r="G574" s="16"/>
      <c r="H574" t="s" s="17">
        <v>253</v>
      </c>
      <c r="I574" t="s" s="17">
        <v>19</v>
      </c>
      <c r="J574" t="s" s="17">
        <v>142</v>
      </c>
      <c r="K574" t="s" s="17">
        <v>23</v>
      </c>
      <c r="L574" s="15">
        <f>IF(O574,P574/O574,0)</f>
        <v>12.5922916666667</v>
      </c>
      <c r="M574" s="15">
        <v>12.5922916666667</v>
      </c>
      <c r="N574" s="15">
        <f>A574</f>
        <v>572</v>
      </c>
      <c r="O574" s="15">
        <f t="shared" si="1410"/>
        <v>48</v>
      </c>
      <c r="P574" s="15">
        <v>604.4299999999999</v>
      </c>
      <c r="Q574" s="16"/>
    </row>
    <row r="575" ht="20.05" customHeight="1">
      <c r="A575" s="13">
        <f>A574+1</f>
        <v>573</v>
      </c>
      <c r="B575" s="14">
        <v>2023</v>
      </c>
      <c r="C575" s="15">
        <v>9</v>
      </c>
      <c r="D575" s="15">
        <v>2</v>
      </c>
      <c r="E575" s="16"/>
      <c r="F575" t="s" s="17">
        <v>141</v>
      </c>
      <c r="G575" s="16"/>
      <c r="H575" t="s" s="17">
        <v>253</v>
      </c>
      <c r="I575" t="s" s="17">
        <v>19</v>
      </c>
      <c r="J575" t="s" s="17">
        <v>158</v>
      </c>
      <c r="K575" t="s" s="17">
        <v>23</v>
      </c>
      <c r="L575" s="15">
        <f>IF(O575,P575/O575,0)</f>
        <v>12.5925</v>
      </c>
      <c r="M575" s="15">
        <v>12.5925</v>
      </c>
      <c r="N575" s="15">
        <f>A575</f>
        <v>573</v>
      </c>
      <c r="O575" s="15">
        <f t="shared" si="1533"/>
        <v>24</v>
      </c>
      <c r="P575" s="15">
        <v>302.22</v>
      </c>
      <c r="Q575" s="16"/>
    </row>
    <row r="576" ht="20.05" customHeight="1">
      <c r="A576" s="13">
        <f>A575+1</f>
        <v>574</v>
      </c>
      <c r="B576" s="14">
        <v>2023</v>
      </c>
      <c r="C576" s="15">
        <v>9</v>
      </c>
      <c r="D576" s="15">
        <v>2</v>
      </c>
      <c r="E576" s="16"/>
      <c r="F576" t="s" s="17">
        <v>258</v>
      </c>
      <c r="G576" s="16"/>
      <c r="H576" t="s" s="17">
        <v>253</v>
      </c>
      <c r="I576" t="s" s="17">
        <v>127</v>
      </c>
      <c r="J576" t="s" s="17">
        <v>166</v>
      </c>
      <c r="K576" t="s" s="17">
        <v>41</v>
      </c>
      <c r="L576" s="15">
        <f>IF(O576,P576/O576,0)</f>
        <v>0.0287333333333333</v>
      </c>
      <c r="M576" s="15">
        <v>0.0287333333333333</v>
      </c>
      <c r="N576" s="15">
        <f>A576</f>
        <v>574</v>
      </c>
      <c r="O576" s="15">
        <v>750</v>
      </c>
      <c r="P576" s="15">
        <v>21.55</v>
      </c>
      <c r="Q576" s="16"/>
    </row>
    <row r="577" ht="20.05" customHeight="1">
      <c r="A577" s="13">
        <f>A576+1</f>
        <v>575</v>
      </c>
      <c r="B577" s="14">
        <v>2023</v>
      </c>
      <c r="C577" s="15">
        <v>9</v>
      </c>
      <c r="D577" s="15">
        <v>3</v>
      </c>
      <c r="E577" s="16"/>
      <c r="F577" t="s" s="17">
        <v>258</v>
      </c>
      <c r="G577" s="16"/>
      <c r="H577" t="s" s="17">
        <v>253</v>
      </c>
      <c r="I577" t="s" s="17">
        <v>19</v>
      </c>
      <c r="J577" t="s" s="17">
        <v>139</v>
      </c>
      <c r="K577" t="s" s="17">
        <v>23</v>
      </c>
      <c r="L577" s="15">
        <f>IF(O577,P577/O577,0)</f>
        <v>3.91666666666667</v>
      </c>
      <c r="M577" s="15">
        <v>3.91666666666667</v>
      </c>
      <c r="N577" s="15">
        <f>A577</f>
        <v>575</v>
      </c>
      <c r="O577" s="15">
        <f t="shared" si="1897" ref="O577:O656">4*6</f>
        <v>24</v>
      </c>
      <c r="P577" s="15">
        <v>94</v>
      </c>
      <c r="Q577" s="16"/>
    </row>
    <row r="578" ht="20.05" customHeight="1">
      <c r="A578" s="13">
        <f>A577+1</f>
        <v>576</v>
      </c>
      <c r="B578" s="14">
        <v>2023</v>
      </c>
      <c r="C578" s="15">
        <v>9</v>
      </c>
      <c r="D578" s="15">
        <v>4</v>
      </c>
      <c r="E578" s="16"/>
      <c r="F578" t="s" s="17">
        <v>262</v>
      </c>
      <c r="G578" s="16"/>
      <c r="H578" t="s" s="17">
        <v>253</v>
      </c>
      <c r="I578" t="s" s="17">
        <v>187</v>
      </c>
      <c r="J578" t="s" s="17">
        <v>263</v>
      </c>
      <c r="K578" t="s" s="17">
        <v>23</v>
      </c>
      <c r="L578" s="15">
        <f>IF(O578,P578/O578,0)</f>
        <v>420</v>
      </c>
      <c r="M578" s="15">
        <v>420</v>
      </c>
      <c r="N578" s="15">
        <f>A578</f>
        <v>576</v>
      </c>
      <c r="O578" s="15">
        <v>1</v>
      </c>
      <c r="P578" s="15">
        <v>420</v>
      </c>
      <c r="Q578" s="16"/>
    </row>
    <row r="579" ht="20.05" customHeight="1">
      <c r="A579" s="13">
        <f>A578+1</f>
        <v>577</v>
      </c>
      <c r="B579" s="14">
        <v>2023</v>
      </c>
      <c r="C579" s="15">
        <v>9</v>
      </c>
      <c r="D579" s="15">
        <v>5</v>
      </c>
      <c r="E579" s="16"/>
      <c r="F579" t="s" s="17">
        <v>293</v>
      </c>
      <c r="G579" s="16"/>
      <c r="H579" t="s" s="17">
        <v>253</v>
      </c>
      <c r="I579" t="s" s="17">
        <v>19</v>
      </c>
      <c r="J579" t="s" s="17">
        <v>112</v>
      </c>
      <c r="K579" t="s" s="17">
        <v>41</v>
      </c>
      <c r="L579" s="15">
        <f>IF(O579,P579/O579,0)</f>
        <v>0.02475</v>
      </c>
      <c r="M579" s="15">
        <v>0.02475</v>
      </c>
      <c r="N579" s="15">
        <f>A579</f>
        <v>577</v>
      </c>
      <c r="O579" s="15">
        <f t="shared" si="1382"/>
        <v>2000</v>
      </c>
      <c r="P579" s="15">
        <v>49.5</v>
      </c>
      <c r="Q579" s="16"/>
    </row>
    <row r="580" ht="20.05" customHeight="1">
      <c r="A580" s="13">
        <f>A579+1</f>
        <v>578</v>
      </c>
      <c r="B580" s="14">
        <v>2023</v>
      </c>
      <c r="C580" s="15">
        <v>9</v>
      </c>
      <c r="D580" s="15">
        <v>5</v>
      </c>
      <c r="E580" s="16"/>
      <c r="F580" t="s" s="17">
        <v>258</v>
      </c>
      <c r="G580" s="16"/>
      <c r="H580" t="s" s="17">
        <v>253</v>
      </c>
      <c r="I580" t="s" s="17">
        <v>127</v>
      </c>
      <c r="J580" t="s" s="17">
        <v>237</v>
      </c>
      <c r="K580" t="s" s="17">
        <v>41</v>
      </c>
      <c r="L580" s="15">
        <f>IF(O580,P580/O580,0)</f>
        <v>0.048875</v>
      </c>
      <c r="M580" s="15">
        <v>0.048875</v>
      </c>
      <c r="N580" s="15">
        <f>A580</f>
        <v>578</v>
      </c>
      <c r="O580" s="15">
        <v>400</v>
      </c>
      <c r="P580" s="15">
        <v>19.55</v>
      </c>
      <c r="Q580" s="16"/>
    </row>
    <row r="581" ht="20.05" customHeight="1">
      <c r="A581" s="13">
        <f>A580+1</f>
        <v>579</v>
      </c>
      <c r="B581" s="14">
        <v>2023</v>
      </c>
      <c r="C581" s="15">
        <v>9</v>
      </c>
      <c r="D581" s="15">
        <v>5</v>
      </c>
      <c r="E581" s="16"/>
      <c r="F581" t="s" s="17">
        <v>258</v>
      </c>
      <c r="G581" s="16"/>
      <c r="H581" t="s" s="17">
        <v>253</v>
      </c>
      <c r="I581" t="s" s="17">
        <v>127</v>
      </c>
      <c r="J581" t="s" s="17">
        <v>205</v>
      </c>
      <c r="K581" t="s" s="17">
        <v>23</v>
      </c>
      <c r="L581" s="15">
        <f>IF(O581,P581/O581,0)</f>
        <v>78.12</v>
      </c>
      <c r="M581" s="15">
        <v>78.12</v>
      </c>
      <c r="N581" s="15">
        <f>A581</f>
        <v>579</v>
      </c>
      <c r="O581" s="15">
        <v>1</v>
      </c>
      <c r="P581" s="15">
        <f>91.9-13.78</f>
        <v>78.12</v>
      </c>
      <c r="Q581" s="16"/>
    </row>
    <row r="582" ht="20.05" customHeight="1">
      <c r="A582" s="13">
        <f>A581+1</f>
        <v>580</v>
      </c>
      <c r="B582" s="14">
        <v>2023</v>
      </c>
      <c r="C582" s="15">
        <v>9</v>
      </c>
      <c r="D582" s="15">
        <v>6</v>
      </c>
      <c r="E582" s="16"/>
      <c r="F582" t="s" s="17">
        <v>258</v>
      </c>
      <c r="G582" s="16"/>
      <c r="H582" t="s" s="17">
        <v>253</v>
      </c>
      <c r="I582" t="s" s="17">
        <v>19</v>
      </c>
      <c r="J582" t="s" s="17">
        <v>93</v>
      </c>
      <c r="K582" t="s" s="17">
        <v>41</v>
      </c>
      <c r="L582" s="15">
        <f>IF(O582,P582/O582,0)</f>
        <v>0.360906666666667</v>
      </c>
      <c r="M582" s="15">
        <v>0.360906666666667</v>
      </c>
      <c r="N582" s="15">
        <f>A582</f>
        <v>580</v>
      </c>
      <c r="O582" s="15">
        <v>750</v>
      </c>
      <c r="P582" s="15">
        <v>270.68</v>
      </c>
      <c r="Q582" s="16"/>
    </row>
    <row r="583" ht="20.05" customHeight="1">
      <c r="A583" s="13">
        <f>A582+1</f>
        <v>581</v>
      </c>
      <c r="B583" s="14">
        <v>2023</v>
      </c>
      <c r="C583" s="15">
        <v>9</v>
      </c>
      <c r="D583" s="15">
        <v>6</v>
      </c>
      <c r="E583" s="16"/>
      <c r="F583" t="s" s="17">
        <v>122</v>
      </c>
      <c r="G583" s="16"/>
      <c r="H583" t="s" s="17">
        <v>253</v>
      </c>
      <c r="I583" t="s" s="17">
        <v>19</v>
      </c>
      <c r="J583" t="s" s="17">
        <v>138</v>
      </c>
      <c r="K583" t="s" s="17">
        <v>41</v>
      </c>
      <c r="L583" s="15">
        <f>IF(O583,P583/O583,0)</f>
        <v>33.6666666666667</v>
      </c>
      <c r="M583" s="15">
        <v>33.6666666666667</v>
      </c>
      <c r="N583" s="15">
        <f>A583</f>
        <v>581</v>
      </c>
      <c r="O583" s="15">
        <f>3*12</f>
        <v>36</v>
      </c>
      <c r="P583" s="41">
        <f t="shared" si="1919" ref="P583:P592">1200+(1200*1%)</f>
        <v>1212</v>
      </c>
      <c r="Q583" s="16"/>
    </row>
    <row r="584" ht="20.05" customHeight="1">
      <c r="A584" s="13">
        <f>A583+1</f>
        <v>582</v>
      </c>
      <c r="B584" s="14">
        <v>2023</v>
      </c>
      <c r="C584" s="15">
        <v>9</v>
      </c>
      <c r="D584" s="15">
        <v>6</v>
      </c>
      <c r="E584" s="16"/>
      <c r="F584" t="s" s="17">
        <v>122</v>
      </c>
      <c r="G584" s="16"/>
      <c r="H584" t="s" s="17">
        <v>253</v>
      </c>
      <c r="I584" t="s" s="17">
        <v>19</v>
      </c>
      <c r="J584" t="s" s="17">
        <v>139</v>
      </c>
      <c r="K584" t="s" s="17">
        <v>23</v>
      </c>
      <c r="L584" s="15">
        <f>IF(O584,P584/O584,0)</f>
        <v>3.74541666666667</v>
      </c>
      <c r="M584" s="15">
        <v>3.74541666666667</v>
      </c>
      <c r="N584" s="15">
        <f>A584</f>
        <v>582</v>
      </c>
      <c r="O584" s="15">
        <f t="shared" si="374"/>
        <v>72</v>
      </c>
      <c r="P584" s="41">
        <f t="shared" si="1924" ref="P584:P593">267+(267*1%)</f>
        <v>269.67</v>
      </c>
      <c r="Q584" s="16"/>
    </row>
    <row r="585" ht="20.05" customHeight="1">
      <c r="A585" s="13">
        <f>A584+1</f>
        <v>583</v>
      </c>
      <c r="B585" s="14">
        <v>2023</v>
      </c>
      <c r="C585" s="15">
        <v>9</v>
      </c>
      <c r="D585" s="15">
        <v>6</v>
      </c>
      <c r="E585" s="16"/>
      <c r="F585" t="s" s="17">
        <v>111</v>
      </c>
      <c r="G585" s="16"/>
      <c r="H585" t="s" s="17">
        <v>253</v>
      </c>
      <c r="I585" t="s" s="17">
        <v>26</v>
      </c>
      <c r="J585" t="s" s="17">
        <v>113</v>
      </c>
      <c r="K585" t="s" s="17">
        <v>41</v>
      </c>
      <c r="L585" s="15">
        <f>IF(O585,P585/O585,0)</f>
        <v>0.0282733333333333</v>
      </c>
      <c r="M585" s="15">
        <v>0.0282733333333333</v>
      </c>
      <c r="N585" s="15">
        <f>A585</f>
        <v>583</v>
      </c>
      <c r="O585" s="15">
        <v>3000</v>
      </c>
      <c r="P585" s="15">
        <v>84.81999999999999</v>
      </c>
      <c r="Q585" s="16"/>
    </row>
    <row r="586" ht="20.05" customHeight="1">
      <c r="A586" s="13">
        <f>A585+1</f>
        <v>584</v>
      </c>
      <c r="B586" s="14">
        <v>2023</v>
      </c>
      <c r="C586" s="15">
        <v>9</v>
      </c>
      <c r="D586" s="15">
        <v>6</v>
      </c>
      <c r="E586" s="16"/>
      <c r="F586" t="s" s="17">
        <v>111</v>
      </c>
      <c r="G586" s="16"/>
      <c r="H586" t="s" s="17">
        <v>253</v>
      </c>
      <c r="I586" t="s" s="17">
        <v>26</v>
      </c>
      <c r="J586" t="s" s="17">
        <v>117</v>
      </c>
      <c r="K586" t="s" s="17">
        <v>23</v>
      </c>
      <c r="L586" s="15">
        <f>IF(O586,P586/O586,0)</f>
        <v>31.896</v>
      </c>
      <c r="M586" s="15">
        <v>31.896</v>
      </c>
      <c r="N586" s="15">
        <f>A586</f>
        <v>584</v>
      </c>
      <c r="O586" s="15">
        <v>5</v>
      </c>
      <c r="P586" s="15">
        <v>159.48</v>
      </c>
      <c r="Q586" s="16"/>
    </row>
    <row r="587" ht="20.05" customHeight="1">
      <c r="A587" s="13">
        <f>A586+1</f>
        <v>585</v>
      </c>
      <c r="B587" s="14">
        <v>2023</v>
      </c>
      <c r="C587" s="15">
        <v>9</v>
      </c>
      <c r="D587" s="15">
        <v>6</v>
      </c>
      <c r="E587" s="16"/>
      <c r="F587" t="s" s="17">
        <v>111</v>
      </c>
      <c r="G587" s="16"/>
      <c r="H587" t="s" s="17">
        <v>253</v>
      </c>
      <c r="I587" t="s" s="17">
        <v>26</v>
      </c>
      <c r="J587" t="s" s="17">
        <v>134</v>
      </c>
      <c r="K587" t="s" s="17">
        <v>23</v>
      </c>
      <c r="L587" s="15">
        <f>IF(O587,P587/O587,0)</f>
        <v>32.896</v>
      </c>
      <c r="M587" s="15">
        <v>32.896</v>
      </c>
      <c r="N587" s="15">
        <f>A587</f>
        <v>585</v>
      </c>
      <c r="O587" s="15">
        <v>5</v>
      </c>
      <c r="P587" s="15">
        <v>164.48</v>
      </c>
      <c r="Q587" s="16"/>
    </row>
    <row r="588" ht="20.05" customHeight="1">
      <c r="A588" s="13">
        <f>A587+1</f>
        <v>586</v>
      </c>
      <c r="B588" s="14">
        <v>2023</v>
      </c>
      <c r="C588" s="15">
        <v>9</v>
      </c>
      <c r="D588" s="15">
        <v>6</v>
      </c>
      <c r="E588" s="16"/>
      <c r="F588" t="s" s="17">
        <v>111</v>
      </c>
      <c r="G588" s="16"/>
      <c r="H588" t="s" s="17">
        <v>253</v>
      </c>
      <c r="I588" t="s" s="17">
        <v>26</v>
      </c>
      <c r="J588" t="s" s="17">
        <v>118</v>
      </c>
      <c r="K588" t="s" s="17">
        <v>23</v>
      </c>
      <c r="L588" s="15">
        <f>IF(O588,P588/O588,0)</f>
        <v>32.896</v>
      </c>
      <c r="M588" s="15">
        <v>32.896</v>
      </c>
      <c r="N588" s="15">
        <f>A588</f>
        <v>586</v>
      </c>
      <c r="O588" s="15">
        <v>5</v>
      </c>
      <c r="P588" s="15">
        <v>164.48</v>
      </c>
      <c r="Q588" s="16"/>
    </row>
    <row r="589" ht="20.05" customHeight="1">
      <c r="A589" s="13">
        <f>A588+1</f>
        <v>587</v>
      </c>
      <c r="B589" s="14">
        <v>2023</v>
      </c>
      <c r="C589" s="15">
        <v>9</v>
      </c>
      <c r="D589" s="15">
        <v>6</v>
      </c>
      <c r="E589" s="16"/>
      <c r="F589" t="s" s="17">
        <v>126</v>
      </c>
      <c r="G589" s="16"/>
      <c r="H589" t="s" s="17">
        <v>253</v>
      </c>
      <c r="I589" t="s" s="17">
        <v>127</v>
      </c>
      <c r="J589" t="s" s="17">
        <v>132</v>
      </c>
      <c r="K589" t="s" s="17">
        <v>41</v>
      </c>
      <c r="L589" s="15">
        <f>IF(O589,P589/O589,0)</f>
        <v>0.0136752</v>
      </c>
      <c r="M589" s="15">
        <v>0.0136752</v>
      </c>
      <c r="N589" s="15">
        <f>A589</f>
        <v>587</v>
      </c>
      <c r="O589" s="15">
        <f t="shared" si="1940" ref="O589:O1413">2*5000</f>
        <v>10000</v>
      </c>
      <c r="P589" s="42">
        <f>113.96+113.96*20%</f>
        <v>136.752</v>
      </c>
      <c r="Q589" s="16"/>
    </row>
    <row r="590" ht="20.05" customHeight="1">
      <c r="A590" s="13">
        <f>A589+1</f>
        <v>588</v>
      </c>
      <c r="B590" s="14">
        <v>2023</v>
      </c>
      <c r="C590" s="15">
        <v>9</v>
      </c>
      <c r="D590" s="15">
        <v>6</v>
      </c>
      <c r="E590" s="16"/>
      <c r="F590" t="s" s="17">
        <v>126</v>
      </c>
      <c r="G590" s="16"/>
      <c r="H590" t="s" s="17">
        <v>253</v>
      </c>
      <c r="I590" t="s" s="17">
        <v>127</v>
      </c>
      <c r="J590" t="s" s="17">
        <v>128</v>
      </c>
      <c r="K590" t="s" s="17">
        <v>23</v>
      </c>
      <c r="L590" s="15">
        <f>IF(O590,P590/O590,0)</f>
        <v>11.109375</v>
      </c>
      <c r="M590" s="15">
        <v>11.109375</v>
      </c>
      <c r="N590" s="15">
        <f>A590</f>
        <v>588</v>
      </c>
      <c r="O590" s="15">
        <f>1*32</f>
        <v>32</v>
      </c>
      <c r="P590" s="42">
        <f>296.25+296.25*20%</f>
        <v>355.5</v>
      </c>
      <c r="Q590" s="16"/>
    </row>
    <row r="591" ht="32.05" customHeight="1">
      <c r="A591" s="13">
        <f>A590+1</f>
        <v>589</v>
      </c>
      <c r="B591" s="14">
        <v>2023</v>
      </c>
      <c r="C591" s="15">
        <v>9</v>
      </c>
      <c r="D591" s="15">
        <v>6</v>
      </c>
      <c r="E591" s="16"/>
      <c r="F591" t="s" s="17">
        <v>126</v>
      </c>
      <c r="G591" s="16"/>
      <c r="H591" t="s" s="17">
        <v>253</v>
      </c>
      <c r="I591" t="s" s="17">
        <v>127</v>
      </c>
      <c r="J591" t="s" s="17">
        <v>198</v>
      </c>
      <c r="K591" t="s" s="17">
        <v>23</v>
      </c>
      <c r="L591" s="15">
        <f>IF(O591,P591/O591,0)</f>
        <v>4.55142857142857</v>
      </c>
      <c r="M591" s="15">
        <v>4.55142857142857</v>
      </c>
      <c r="N591" s="15">
        <f>A591</f>
        <v>589</v>
      </c>
      <c r="O591" s="15">
        <f>2*70</f>
        <v>140</v>
      </c>
      <c r="P591" s="42">
        <f>531+531*20%</f>
        <v>637.2</v>
      </c>
      <c r="Q591" s="16"/>
    </row>
    <row r="592" ht="20.05" customHeight="1">
      <c r="A592" s="13">
        <f>A591+1</f>
        <v>590</v>
      </c>
      <c r="B592" s="14">
        <v>2023</v>
      </c>
      <c r="C592" s="15">
        <v>9</v>
      </c>
      <c r="D592" s="15">
        <v>8</v>
      </c>
      <c r="E592" s="16"/>
      <c r="F592" t="s" s="17">
        <v>122</v>
      </c>
      <c r="G592" s="16"/>
      <c r="H592" t="s" s="17">
        <v>253</v>
      </c>
      <c r="I592" t="s" s="17">
        <v>19</v>
      </c>
      <c r="J592" t="s" s="17">
        <v>138</v>
      </c>
      <c r="K592" t="s" s="17">
        <v>41</v>
      </c>
      <c r="L592" s="15">
        <f>IF(O592,P592/O592,0)</f>
        <v>0.0336666666666667</v>
      </c>
      <c r="M592" s="15">
        <v>0.0336666666666667</v>
      </c>
      <c r="N592" s="15">
        <f>A592</f>
        <v>590</v>
      </c>
      <c r="O592" s="15">
        <f t="shared" si="1243"/>
        <v>36000</v>
      </c>
      <c r="P592" s="41">
        <f t="shared" si="1919"/>
        <v>1212</v>
      </c>
      <c r="Q592" s="16"/>
    </row>
    <row r="593" ht="20.05" customHeight="1">
      <c r="A593" s="13">
        <f>A592+1</f>
        <v>591</v>
      </c>
      <c r="B593" s="14">
        <v>2023</v>
      </c>
      <c r="C593" s="15">
        <v>9</v>
      </c>
      <c r="D593" s="15">
        <v>8</v>
      </c>
      <c r="E593" s="16"/>
      <c r="F593" t="s" s="17">
        <v>122</v>
      </c>
      <c r="G593" s="16"/>
      <c r="H593" t="s" s="17">
        <v>253</v>
      </c>
      <c r="I593" t="s" s="17">
        <v>19</v>
      </c>
      <c r="J593" t="s" s="17">
        <v>139</v>
      </c>
      <c r="K593" t="s" s="17">
        <v>23</v>
      </c>
      <c r="L593" s="15">
        <f>IF(O593,P593/O593,0)</f>
        <v>3.74541666666667</v>
      </c>
      <c r="M593" s="15">
        <v>3.74541666666667</v>
      </c>
      <c r="N593" s="15">
        <f>A593</f>
        <v>591</v>
      </c>
      <c r="O593" s="15">
        <f t="shared" si="1960" ref="O593:O819">3*24</f>
        <v>72</v>
      </c>
      <c r="P593" s="41">
        <f t="shared" si="1924"/>
        <v>269.67</v>
      </c>
      <c r="Q593" s="16"/>
    </row>
    <row r="594" ht="20.05" customHeight="1">
      <c r="A594" s="13">
        <f>A593+1</f>
        <v>592</v>
      </c>
      <c r="B594" s="14">
        <v>2023</v>
      </c>
      <c r="C594" s="15">
        <v>9</v>
      </c>
      <c r="D594" s="15">
        <v>9</v>
      </c>
      <c r="E594" s="16"/>
      <c r="F594" t="s" s="17">
        <v>258</v>
      </c>
      <c r="G594" s="16"/>
      <c r="H594" t="s" s="17">
        <v>253</v>
      </c>
      <c r="I594" t="s" s="17">
        <v>19</v>
      </c>
      <c r="J594" t="s" s="17">
        <v>157</v>
      </c>
      <c r="K594" t="s" s="17">
        <v>16</v>
      </c>
      <c r="L594" s="15">
        <f>IF(O594,P594/O594,0)</f>
        <v>0.0198960739030023</v>
      </c>
      <c r="M594" s="15">
        <v>0.0198960739030023</v>
      </c>
      <c r="N594" s="15">
        <f>A594</f>
        <v>592</v>
      </c>
      <c r="O594" s="15">
        <v>866</v>
      </c>
      <c r="P594" s="15">
        <v>17.23</v>
      </c>
      <c r="Q594" s="16"/>
    </row>
    <row r="595" ht="20.05" customHeight="1">
      <c r="A595" s="13">
        <f>A594+1</f>
        <v>593</v>
      </c>
      <c r="B595" s="14">
        <v>2023</v>
      </c>
      <c r="C595" s="15">
        <v>9</v>
      </c>
      <c r="D595" s="15">
        <v>12</v>
      </c>
      <c r="E595" s="16"/>
      <c r="F595" t="s" s="17">
        <v>278</v>
      </c>
      <c r="G595" s="16"/>
      <c r="H595" t="s" s="17">
        <v>253</v>
      </c>
      <c r="I595" t="s" s="17">
        <v>14</v>
      </c>
      <c r="J595" t="s" s="17">
        <v>279</v>
      </c>
      <c r="K595" t="s" s="17">
        <v>23</v>
      </c>
      <c r="L595" s="15">
        <f>IF(O595,P595/O595,0)</f>
        <v>31.3605</v>
      </c>
      <c r="M595" s="15">
        <v>31.3605</v>
      </c>
      <c r="N595" s="15">
        <f>A595</f>
        <v>593</v>
      </c>
      <c r="O595" s="15">
        <v>10</v>
      </c>
      <c r="P595" s="42">
        <f t="shared" si="1680"/>
        <v>313.605</v>
      </c>
      <c r="Q595" s="16"/>
    </row>
    <row r="596" ht="32.05" customHeight="1">
      <c r="A596" s="13">
        <f>A595+1</f>
        <v>594</v>
      </c>
      <c r="B596" s="14">
        <v>2023</v>
      </c>
      <c r="C596" s="15">
        <v>9</v>
      </c>
      <c r="D596" s="15">
        <v>12</v>
      </c>
      <c r="E596" s="16"/>
      <c r="F596" t="s" s="17">
        <v>278</v>
      </c>
      <c r="G596" s="16"/>
      <c r="H596" t="s" s="17">
        <v>253</v>
      </c>
      <c r="I596" t="s" s="17">
        <v>14</v>
      </c>
      <c r="J596" t="s" s="17">
        <v>283</v>
      </c>
      <c r="K596" t="s" s="17">
        <v>23</v>
      </c>
      <c r="L596" s="15">
        <f>IF(O596,P596/O596,0)</f>
        <v>32.724</v>
      </c>
      <c r="M596" s="15">
        <v>32.724</v>
      </c>
      <c r="N596" s="15">
        <f>A596</f>
        <v>594</v>
      </c>
      <c r="O596" s="15">
        <v>10</v>
      </c>
      <c r="P596" s="41">
        <f t="shared" si="1684"/>
        <v>327.24</v>
      </c>
      <c r="Q596" s="16"/>
    </row>
    <row r="597" ht="20.05" customHeight="1">
      <c r="A597" s="13">
        <f>A596+1</f>
        <v>595</v>
      </c>
      <c r="B597" s="14">
        <v>2023</v>
      </c>
      <c r="C597" s="15">
        <v>9</v>
      </c>
      <c r="D597" s="15">
        <v>12</v>
      </c>
      <c r="E597" s="16"/>
      <c r="F597" t="s" s="17">
        <v>278</v>
      </c>
      <c r="G597" s="16"/>
      <c r="H597" t="s" s="17">
        <v>253</v>
      </c>
      <c r="I597" t="s" s="17">
        <v>14</v>
      </c>
      <c r="J597" t="s" s="17">
        <v>282</v>
      </c>
      <c r="K597" t="s" s="17">
        <v>23</v>
      </c>
      <c r="L597" s="15">
        <f>IF(O597,P597/O597,0)</f>
        <v>24.9975</v>
      </c>
      <c r="M597" s="15">
        <v>24.9975</v>
      </c>
      <c r="N597" s="15">
        <f>A597</f>
        <v>595</v>
      </c>
      <c r="O597" s="15">
        <v>10</v>
      </c>
      <c r="P597" s="42">
        <f t="shared" si="1815"/>
        <v>249.975</v>
      </c>
      <c r="Q597" s="16"/>
    </row>
    <row r="598" ht="20.05" customHeight="1">
      <c r="A598" s="13">
        <f>A597+1</f>
        <v>596</v>
      </c>
      <c r="B598" s="14">
        <v>2023</v>
      </c>
      <c r="C598" s="15">
        <v>9</v>
      </c>
      <c r="D598" s="15">
        <v>12</v>
      </c>
      <c r="E598" s="16"/>
      <c r="F598" t="s" s="17">
        <v>294</v>
      </c>
      <c r="G598" t="s" s="17">
        <v>295</v>
      </c>
      <c r="H598" t="s" s="17">
        <v>253</v>
      </c>
      <c r="I598" t="s" s="17">
        <v>26</v>
      </c>
      <c r="J598" t="s" s="17">
        <v>82</v>
      </c>
      <c r="K598" t="s" s="17">
        <v>16</v>
      </c>
      <c r="L598" s="15">
        <f>IF(O598,P598/O598,0)</f>
        <v>0.134329761904762</v>
      </c>
      <c r="M598" s="15">
        <v>0.134329761904762</v>
      </c>
      <c r="N598" s="15">
        <f>A598</f>
        <v>596</v>
      </c>
      <c r="O598" s="15">
        <f>28*3*100</f>
        <v>8400</v>
      </c>
      <c r="P598" s="15">
        <v>1128.37</v>
      </c>
      <c r="Q598" s="16"/>
    </row>
    <row r="599" ht="20.05" customHeight="1">
      <c r="A599" s="13">
        <f>A598+1</f>
        <v>597</v>
      </c>
      <c r="B599" s="14">
        <v>2023</v>
      </c>
      <c r="C599" s="15">
        <v>9</v>
      </c>
      <c r="D599" s="15">
        <v>13</v>
      </c>
      <c r="E599" s="16"/>
      <c r="F599" t="s" s="17">
        <v>275</v>
      </c>
      <c r="G599" s="16"/>
      <c r="H599" t="s" s="17">
        <v>253</v>
      </c>
      <c r="I599" t="s" s="17">
        <v>19</v>
      </c>
      <c r="J599" t="s" s="17">
        <v>155</v>
      </c>
      <c r="K599" t="s" s="17">
        <v>16</v>
      </c>
      <c r="L599" s="15">
        <f>IF(O599,P599/O599,0)</f>
        <v>0.33936</v>
      </c>
      <c r="M599" s="15">
        <v>0.33936</v>
      </c>
      <c r="N599" s="15">
        <f>A599</f>
        <v>597</v>
      </c>
      <c r="O599" s="15">
        <f t="shared" si="1382"/>
        <v>2000</v>
      </c>
      <c r="P599" s="41">
        <f t="shared" si="1985" ref="P599:P836">672+672*1%</f>
        <v>678.72</v>
      </c>
      <c r="Q599" s="16"/>
    </row>
    <row r="600" ht="20.05" customHeight="1">
      <c r="A600" s="13">
        <f>A599+1</f>
        <v>598</v>
      </c>
      <c r="B600" s="14">
        <v>2023</v>
      </c>
      <c r="C600" s="15">
        <v>9</v>
      </c>
      <c r="D600" s="15">
        <v>13</v>
      </c>
      <c r="E600" s="16"/>
      <c r="F600" t="s" s="17">
        <v>275</v>
      </c>
      <c r="G600" s="16"/>
      <c r="H600" t="s" s="17">
        <v>253</v>
      </c>
      <c r="I600" t="s" s="17">
        <v>19</v>
      </c>
      <c r="J600" t="s" s="17">
        <v>56</v>
      </c>
      <c r="K600" t="s" s="17">
        <v>41</v>
      </c>
      <c r="L600" s="15">
        <f>IF(O600,P600/O600,0)</f>
        <v>0.28886</v>
      </c>
      <c r="M600" s="15">
        <v>0.28886</v>
      </c>
      <c r="N600" s="15">
        <f>A600</f>
        <v>598</v>
      </c>
      <c r="O600" s="15">
        <f t="shared" si="1521"/>
        <v>2000</v>
      </c>
      <c r="P600" s="41">
        <f t="shared" si="1990" ref="P600:P687">572+572*1%</f>
        <v>577.72</v>
      </c>
      <c r="Q600" s="16"/>
    </row>
    <row r="601" ht="20.05" customHeight="1">
      <c r="A601" s="13">
        <f>A600+1</f>
        <v>599</v>
      </c>
      <c r="B601" s="14">
        <v>2023</v>
      </c>
      <c r="C601" s="15">
        <v>9</v>
      </c>
      <c r="D601" s="15">
        <v>13</v>
      </c>
      <c r="E601" s="16"/>
      <c r="F601" t="s" s="17">
        <v>275</v>
      </c>
      <c r="G601" s="16"/>
      <c r="H601" t="s" s="17">
        <v>253</v>
      </c>
      <c r="I601" t="s" s="17">
        <v>19</v>
      </c>
      <c r="J601" t="s" s="17">
        <v>91</v>
      </c>
      <c r="K601" t="s" s="17">
        <v>41</v>
      </c>
      <c r="L601" s="15">
        <f>IF(O601,P601/O601,0)</f>
        <v>0.28886</v>
      </c>
      <c r="M601" s="15">
        <v>0.28886</v>
      </c>
      <c r="N601" s="15">
        <f>A601</f>
        <v>599</v>
      </c>
      <c r="O601" s="15">
        <f t="shared" si="1521"/>
        <v>2000</v>
      </c>
      <c r="P601" s="41">
        <f t="shared" si="1990"/>
        <v>577.72</v>
      </c>
      <c r="Q601" s="16"/>
    </row>
    <row r="602" ht="20.05" customHeight="1">
      <c r="A602" s="13">
        <f>A601+1</f>
        <v>600</v>
      </c>
      <c r="B602" s="14">
        <v>2023</v>
      </c>
      <c r="C602" s="15">
        <v>9</v>
      </c>
      <c r="D602" s="15">
        <v>13</v>
      </c>
      <c r="E602" s="16"/>
      <c r="F602" t="s" s="17">
        <v>275</v>
      </c>
      <c r="G602" s="16"/>
      <c r="H602" t="s" s="17">
        <v>253</v>
      </c>
      <c r="I602" t="s" s="17">
        <v>19</v>
      </c>
      <c r="J602" t="s" s="17">
        <v>93</v>
      </c>
      <c r="K602" t="s" s="17">
        <v>41</v>
      </c>
      <c r="L602" s="15">
        <f>IF(O602,P602/O602,0)</f>
        <v>0.63428</v>
      </c>
      <c r="M602" s="15">
        <v>0.63428</v>
      </c>
      <c r="N602" s="15">
        <f>A602</f>
        <v>600</v>
      </c>
      <c r="O602" s="15">
        <f t="shared" si="1725"/>
        <v>1000</v>
      </c>
      <c r="P602" s="41">
        <f>628+628*1%</f>
        <v>634.28</v>
      </c>
      <c r="Q602" s="16"/>
    </row>
    <row r="603" ht="20.05" customHeight="1">
      <c r="A603" s="13">
        <f>A602+1</f>
        <v>601</v>
      </c>
      <c r="B603" s="14">
        <v>2023</v>
      </c>
      <c r="C603" s="15">
        <v>9</v>
      </c>
      <c r="D603" s="15">
        <v>14</v>
      </c>
      <c r="E603" s="16"/>
      <c r="F603" t="s" s="17">
        <v>258</v>
      </c>
      <c r="G603" s="16"/>
      <c r="H603" t="s" s="17">
        <v>253</v>
      </c>
      <c r="I603" t="s" s="17">
        <v>19</v>
      </c>
      <c r="J603" t="s" s="17">
        <v>112</v>
      </c>
      <c r="K603" t="s" s="17">
        <v>41</v>
      </c>
      <c r="L603" s="15">
        <f>IF(O603,P603/O603,0)</f>
        <v>0.03795</v>
      </c>
      <c r="M603" s="15">
        <v>0.03795</v>
      </c>
      <c r="N603" s="15">
        <f>A603</f>
        <v>601</v>
      </c>
      <c r="O603" s="15">
        <v>1000</v>
      </c>
      <c r="P603" s="15">
        <v>37.95</v>
      </c>
      <c r="Q603" s="16"/>
    </row>
    <row r="604" ht="20.05" customHeight="1">
      <c r="A604" s="13">
        <f>A603+1</f>
        <v>602</v>
      </c>
      <c r="B604" s="14">
        <v>2023</v>
      </c>
      <c r="C604" s="15">
        <v>9</v>
      </c>
      <c r="D604" s="15">
        <v>14</v>
      </c>
      <c r="E604" s="16"/>
      <c r="F604" t="s" s="17">
        <v>278</v>
      </c>
      <c r="G604" s="16"/>
      <c r="H604" t="s" s="17">
        <v>253</v>
      </c>
      <c r="I604" t="s" s="17">
        <v>14</v>
      </c>
      <c r="J604" t="s" s="17">
        <v>279</v>
      </c>
      <c r="K604" t="s" s="17">
        <v>23</v>
      </c>
      <c r="L604" s="15">
        <f>IF(O604,P604/O604,0)</f>
        <v>62.721</v>
      </c>
      <c r="M604" s="15">
        <v>62.721</v>
      </c>
      <c r="N604" s="15">
        <f>A604</f>
        <v>602</v>
      </c>
      <c r="O604" s="15">
        <v>10</v>
      </c>
      <c r="P604" s="41">
        <f t="shared" si="1828"/>
        <v>627.21</v>
      </c>
      <c r="Q604" s="16"/>
    </row>
    <row r="605" ht="32.05" customHeight="1">
      <c r="A605" s="13">
        <f>A604+1</f>
        <v>603</v>
      </c>
      <c r="B605" s="14">
        <v>2023</v>
      </c>
      <c r="C605" s="15">
        <v>9</v>
      </c>
      <c r="D605" s="15">
        <v>14</v>
      </c>
      <c r="E605" s="16"/>
      <c r="F605" t="s" s="17">
        <v>278</v>
      </c>
      <c r="G605" s="16"/>
      <c r="H605" t="s" s="17">
        <v>253</v>
      </c>
      <c r="I605" t="s" s="17">
        <v>14</v>
      </c>
      <c r="J605" t="s" s="17">
        <v>283</v>
      </c>
      <c r="K605" t="s" s="17">
        <v>23</v>
      </c>
      <c r="L605" s="15">
        <f>IF(O605,P605/O605,0)</f>
        <v>32.724</v>
      </c>
      <c r="M605" s="15">
        <v>32.724</v>
      </c>
      <c r="N605" s="15">
        <f>A605</f>
        <v>603</v>
      </c>
      <c r="O605" s="15">
        <v>10</v>
      </c>
      <c r="P605" s="41">
        <f t="shared" si="1684"/>
        <v>327.24</v>
      </c>
      <c r="Q605" s="16"/>
    </row>
    <row r="606" ht="20.05" customHeight="1">
      <c r="A606" s="13">
        <f>A605+1</f>
        <v>604</v>
      </c>
      <c r="B606" s="14">
        <v>2023</v>
      </c>
      <c r="C606" s="15">
        <v>9</v>
      </c>
      <c r="D606" s="15">
        <v>16</v>
      </c>
      <c r="E606" s="16"/>
      <c r="F606" t="s" s="17">
        <v>141</v>
      </c>
      <c r="G606" s="16"/>
      <c r="H606" t="s" s="17">
        <v>253</v>
      </c>
      <c r="I606" t="s" s="17">
        <v>19</v>
      </c>
      <c r="J606" t="s" s="17">
        <v>159</v>
      </c>
      <c r="K606" t="s" s="17">
        <v>23</v>
      </c>
      <c r="L606" s="15">
        <f>IF(O606,P606/O606,0)</f>
        <v>2.57441666666667</v>
      </c>
      <c r="M606" s="15">
        <v>2.57441666666667</v>
      </c>
      <c r="N606" s="15">
        <f>A606</f>
        <v>604</v>
      </c>
      <c r="O606" s="15">
        <f t="shared" si="2015" ref="O606:O773">10*24</f>
        <v>240</v>
      </c>
      <c r="P606" s="15">
        <v>617.86</v>
      </c>
      <c r="Q606" s="16"/>
    </row>
    <row r="607" ht="20.05" customHeight="1">
      <c r="A607" s="13">
        <f>A606+1</f>
        <v>605</v>
      </c>
      <c r="B607" s="14">
        <v>2023</v>
      </c>
      <c r="C607" s="15">
        <v>9</v>
      </c>
      <c r="D607" s="15">
        <v>19</v>
      </c>
      <c r="E607" s="16"/>
      <c r="F607" t="s" s="17">
        <v>258</v>
      </c>
      <c r="G607" t="s" s="17">
        <v>296</v>
      </c>
      <c r="H607" t="s" s="17">
        <v>253</v>
      </c>
      <c r="I607" t="s" s="17">
        <v>127</v>
      </c>
      <c r="J607" t="s" s="17">
        <v>205</v>
      </c>
      <c r="K607" t="s" s="17">
        <v>23</v>
      </c>
      <c r="L607" s="15">
        <f>IF(O607,P607/O607,0)</f>
        <v>129.9</v>
      </c>
      <c r="M607" s="15">
        <v>129.9</v>
      </c>
      <c r="N607" s="15">
        <f>A607</f>
        <v>605</v>
      </c>
      <c r="O607" s="15">
        <v>1</v>
      </c>
      <c r="P607" s="15">
        <v>129.9</v>
      </c>
      <c r="Q607" s="16"/>
    </row>
    <row r="608" ht="20.05" customHeight="1">
      <c r="A608" s="13">
        <f>A607+1</f>
        <v>606</v>
      </c>
      <c r="B608" s="14">
        <v>2023</v>
      </c>
      <c r="C608" s="15">
        <v>9</v>
      </c>
      <c r="D608" s="15">
        <v>19</v>
      </c>
      <c r="E608" s="16"/>
      <c r="F608" t="s" s="17">
        <v>258</v>
      </c>
      <c r="G608" t="s" s="17">
        <v>297</v>
      </c>
      <c r="H608" t="s" s="17">
        <v>253</v>
      </c>
      <c r="I608" t="s" s="17">
        <v>127</v>
      </c>
      <c r="J608" t="s" s="17">
        <v>205</v>
      </c>
      <c r="K608" t="s" s="17">
        <v>23</v>
      </c>
      <c r="L608" s="15">
        <f>IF(O608,P608/O608,0)</f>
        <v>89.90000000000001</v>
      </c>
      <c r="M608" s="15">
        <v>89.90000000000001</v>
      </c>
      <c r="N608" s="15">
        <f>A608</f>
        <v>606</v>
      </c>
      <c r="O608" s="15">
        <v>1</v>
      </c>
      <c r="P608" s="15">
        <v>89.90000000000001</v>
      </c>
      <c r="Q608" s="16"/>
    </row>
    <row r="609" ht="32.05" customHeight="1">
      <c r="A609" s="13">
        <f>A608+1</f>
        <v>607</v>
      </c>
      <c r="B609" s="14">
        <v>2023</v>
      </c>
      <c r="C609" s="15">
        <v>9</v>
      </c>
      <c r="D609" s="15">
        <v>19</v>
      </c>
      <c r="E609" s="16"/>
      <c r="F609" t="s" s="17">
        <v>278</v>
      </c>
      <c r="G609" s="16"/>
      <c r="H609" t="s" s="17">
        <v>253</v>
      </c>
      <c r="I609" t="s" s="17">
        <v>17</v>
      </c>
      <c r="J609" t="s" s="17">
        <v>298</v>
      </c>
      <c r="K609" t="s" s="17">
        <v>23</v>
      </c>
      <c r="L609" s="15">
        <f>IF(O609,P609/O609,0)</f>
        <v>33.128</v>
      </c>
      <c r="M609" s="15">
        <v>33.128</v>
      </c>
      <c r="N609" s="15">
        <f>A609</f>
        <v>607</v>
      </c>
      <c r="O609" s="15">
        <v>24</v>
      </c>
      <c r="P609" s="42">
        <f t="shared" si="2025" ref="P609:P733">787.2+787.2*1%</f>
        <v>795.072</v>
      </c>
      <c r="Q609" s="16"/>
    </row>
    <row r="610" ht="32.05" customHeight="1">
      <c r="A610" s="13">
        <f>A609+1</f>
        <v>608</v>
      </c>
      <c r="B610" s="14">
        <v>2023</v>
      </c>
      <c r="C610" s="15">
        <v>9</v>
      </c>
      <c r="D610" s="15">
        <v>19</v>
      </c>
      <c r="E610" s="16"/>
      <c r="F610" t="s" s="17">
        <v>278</v>
      </c>
      <c r="G610" s="16"/>
      <c r="H610" t="s" s="17">
        <v>253</v>
      </c>
      <c r="I610" t="s" s="17">
        <v>17</v>
      </c>
      <c r="J610" t="s" s="17">
        <v>299</v>
      </c>
      <c r="K610" t="s" s="17">
        <v>23</v>
      </c>
      <c r="L610" s="15">
        <f>IF(O610,P610/O610,0)</f>
        <v>37.269</v>
      </c>
      <c r="M610" s="15">
        <v>37.269</v>
      </c>
      <c r="N610" s="15">
        <f>A610</f>
        <v>608</v>
      </c>
      <c r="O610" s="15">
        <v>24</v>
      </c>
      <c r="P610" s="42">
        <f t="shared" si="2029" ref="P610:P837">885.6+885.6*1%</f>
        <v>894.456</v>
      </c>
      <c r="Q610" s="16"/>
    </row>
    <row r="611" ht="32.05" customHeight="1">
      <c r="A611" s="13">
        <f>A610+1</f>
        <v>609</v>
      </c>
      <c r="B611" s="14">
        <v>2023</v>
      </c>
      <c r="C611" s="15">
        <v>9</v>
      </c>
      <c r="D611" s="15">
        <v>19</v>
      </c>
      <c r="E611" s="16"/>
      <c r="F611" t="s" s="17">
        <v>278</v>
      </c>
      <c r="G611" s="16"/>
      <c r="H611" t="s" s="17">
        <v>253</v>
      </c>
      <c r="I611" t="s" s="17">
        <v>17</v>
      </c>
      <c r="J611" t="s" s="17">
        <v>300</v>
      </c>
      <c r="K611" t="s" s="17">
        <v>23</v>
      </c>
      <c r="L611" s="15">
        <f>IF(O611,P611/O611,0)</f>
        <v>32.0978</v>
      </c>
      <c r="M611" s="15">
        <v>32.0978</v>
      </c>
      <c r="N611" s="15">
        <f>A611</f>
        <v>609</v>
      </c>
      <c r="O611" s="15">
        <v>24</v>
      </c>
      <c r="P611" s="43">
        <f t="shared" si="2033" ref="P611:P850">762.72+762.72*1%</f>
        <v>770.3472</v>
      </c>
      <c r="Q611" s="16"/>
    </row>
    <row r="612" ht="20.05" customHeight="1">
      <c r="A612" s="13">
        <f>A611+1</f>
        <v>610</v>
      </c>
      <c r="B612" s="14">
        <v>2023</v>
      </c>
      <c r="C612" s="15">
        <v>9</v>
      </c>
      <c r="D612" s="15">
        <v>19</v>
      </c>
      <c r="E612" s="16"/>
      <c r="F612" t="s" s="17">
        <v>278</v>
      </c>
      <c r="G612" s="16"/>
      <c r="H612" t="s" s="17">
        <v>253</v>
      </c>
      <c r="I612" t="s" s="17">
        <v>14</v>
      </c>
      <c r="J612" t="s" s="17">
        <v>282</v>
      </c>
      <c r="K612" t="s" s="17">
        <v>23</v>
      </c>
      <c r="L612" s="15">
        <f>IF(O612,P612/O612,0)</f>
        <v>24.9975</v>
      </c>
      <c r="M612" s="15">
        <v>24.9975</v>
      </c>
      <c r="N612" s="15">
        <f>A612</f>
        <v>610</v>
      </c>
      <c r="O612" s="15">
        <v>10</v>
      </c>
      <c r="P612" s="42">
        <f t="shared" si="1815"/>
        <v>249.975</v>
      </c>
      <c r="Q612" s="16"/>
    </row>
    <row r="613" ht="20.05" customHeight="1">
      <c r="A613" s="13">
        <f>A612+1</f>
        <v>611</v>
      </c>
      <c r="B613" s="14">
        <v>2023</v>
      </c>
      <c r="C613" s="15">
        <v>9</v>
      </c>
      <c r="D613" s="15">
        <v>21</v>
      </c>
      <c r="E613" s="16"/>
      <c r="F613" t="s" s="17">
        <v>258</v>
      </c>
      <c r="G613" s="16"/>
      <c r="H613" t="s" s="17">
        <v>253</v>
      </c>
      <c r="I613" t="s" s="17">
        <v>19</v>
      </c>
      <c r="J613" t="s" s="17">
        <v>157</v>
      </c>
      <c r="K613" t="s" s="17">
        <v>16</v>
      </c>
      <c r="L613" s="15">
        <f>IF(O613,P613/O613,0)</f>
        <v>0.0169024856596558</v>
      </c>
      <c r="M613" s="15">
        <v>0.0169024856596558</v>
      </c>
      <c r="N613" s="15">
        <f>A613</f>
        <v>611</v>
      </c>
      <c r="O613" s="15">
        <v>1046</v>
      </c>
      <c r="P613" s="15">
        <f>26.05-8.37</f>
        <v>17.68</v>
      </c>
      <c r="Q613" s="16"/>
    </row>
    <row r="614" ht="32.05" customHeight="1">
      <c r="A614" s="13">
        <f>A613+1</f>
        <v>612</v>
      </c>
      <c r="B614" s="14">
        <v>2023</v>
      </c>
      <c r="C614" s="15">
        <v>9</v>
      </c>
      <c r="D614" s="15">
        <v>25</v>
      </c>
      <c r="E614" s="16"/>
      <c r="F614" t="s" s="17">
        <v>270</v>
      </c>
      <c r="G614" s="16"/>
      <c r="H614" t="s" s="17">
        <v>253</v>
      </c>
      <c r="I614" t="s" s="17">
        <v>19</v>
      </c>
      <c r="J614" t="s" s="17">
        <v>271</v>
      </c>
      <c r="K614" t="s" s="17">
        <v>23</v>
      </c>
      <c r="L614" s="15">
        <f>IF(O614,P614/O614,0)</f>
        <v>2250</v>
      </c>
      <c r="M614" s="15">
        <v>2250</v>
      </c>
      <c r="N614" s="15">
        <f>A614</f>
        <v>612</v>
      </c>
      <c r="O614" s="15">
        <v>1</v>
      </c>
      <c r="P614" s="15">
        <v>2250</v>
      </c>
      <c r="Q614" s="16"/>
    </row>
    <row r="615" ht="20.05" customHeight="1">
      <c r="A615" s="13">
        <f>A614+1</f>
        <v>613</v>
      </c>
      <c r="B615" s="14">
        <v>2023</v>
      </c>
      <c r="C615" s="15">
        <v>9</v>
      </c>
      <c r="D615" s="15">
        <v>26</v>
      </c>
      <c r="E615" s="16"/>
      <c r="F615" t="s" s="17">
        <v>278</v>
      </c>
      <c r="G615" s="16"/>
      <c r="H615" t="s" s="17">
        <v>253</v>
      </c>
      <c r="I615" t="s" s="17">
        <v>14</v>
      </c>
      <c r="J615" t="s" s="17">
        <v>289</v>
      </c>
      <c r="K615" t="s" s="17">
        <v>23</v>
      </c>
      <c r="L615" s="15">
        <f>IF(O615,P615/O615,0)</f>
        <v>29.694</v>
      </c>
      <c r="M615" s="15">
        <v>29.694</v>
      </c>
      <c r="N615" s="15">
        <f>A615</f>
        <v>613</v>
      </c>
      <c r="O615" s="15">
        <v>10</v>
      </c>
      <c r="P615" s="41">
        <f t="shared" si="1878"/>
        <v>296.94</v>
      </c>
      <c r="Q615" s="16"/>
    </row>
    <row r="616" ht="32.05" customHeight="1">
      <c r="A616" s="13">
        <f>A615+1</f>
        <v>614</v>
      </c>
      <c r="B616" s="14">
        <v>2023</v>
      </c>
      <c r="C616" s="15">
        <v>9</v>
      </c>
      <c r="D616" s="15">
        <v>26</v>
      </c>
      <c r="E616" s="16"/>
      <c r="F616" t="s" s="17">
        <v>278</v>
      </c>
      <c r="G616" s="16"/>
      <c r="H616" t="s" s="17">
        <v>253</v>
      </c>
      <c r="I616" t="s" s="17">
        <v>14</v>
      </c>
      <c r="J616" t="s" s="17">
        <v>283</v>
      </c>
      <c r="K616" t="s" s="17">
        <v>23</v>
      </c>
      <c r="L616" s="15">
        <f>IF(O616,P616/O616,0)</f>
        <v>32.724</v>
      </c>
      <c r="M616" s="15">
        <v>32.724</v>
      </c>
      <c r="N616" s="15">
        <f>A616</f>
        <v>614</v>
      </c>
      <c r="O616" s="15">
        <v>10</v>
      </c>
      <c r="P616" s="41">
        <f t="shared" si="1684"/>
        <v>327.24</v>
      </c>
      <c r="Q616" s="16"/>
    </row>
    <row r="617" ht="20.05" customHeight="1">
      <c r="A617" s="13">
        <f>A616+1</f>
        <v>615</v>
      </c>
      <c r="B617" s="14">
        <v>2023</v>
      </c>
      <c r="C617" s="15">
        <v>9</v>
      </c>
      <c r="D617" s="15">
        <v>26</v>
      </c>
      <c r="E617" s="16"/>
      <c r="F617" t="s" s="17">
        <v>278</v>
      </c>
      <c r="G617" s="16"/>
      <c r="H617" t="s" s="17">
        <v>253</v>
      </c>
      <c r="I617" t="s" s="17">
        <v>14</v>
      </c>
      <c r="J617" t="s" s="17">
        <v>282</v>
      </c>
      <c r="K617" t="s" s="17">
        <v>23</v>
      </c>
      <c r="L617" s="15">
        <f>IF(O617,P617/O617,0)</f>
        <v>24.9975</v>
      </c>
      <c r="M617" s="15">
        <v>24.9975</v>
      </c>
      <c r="N617" s="15">
        <f>A617</f>
        <v>615</v>
      </c>
      <c r="O617" s="15">
        <v>10</v>
      </c>
      <c r="P617" s="42">
        <f t="shared" si="1815"/>
        <v>249.975</v>
      </c>
      <c r="Q617" s="16"/>
    </row>
    <row r="618" ht="20.05" customHeight="1">
      <c r="A618" s="13">
        <f>A617+1</f>
        <v>616</v>
      </c>
      <c r="B618" s="14">
        <v>2023</v>
      </c>
      <c r="C618" s="15">
        <v>9</v>
      </c>
      <c r="D618" s="15">
        <v>26</v>
      </c>
      <c r="E618" s="16"/>
      <c r="F618" t="s" s="17">
        <v>278</v>
      </c>
      <c r="G618" s="16"/>
      <c r="H618" t="s" s="17">
        <v>253</v>
      </c>
      <c r="I618" t="s" s="17">
        <v>14</v>
      </c>
      <c r="J618" t="s" s="17">
        <v>288</v>
      </c>
      <c r="K618" t="s" s="17">
        <v>23</v>
      </c>
      <c r="L618" s="15">
        <f>IF(O618,P618/O618,0)</f>
        <v>27.2195</v>
      </c>
      <c r="M618" s="15">
        <v>27.2195</v>
      </c>
      <c r="N618" s="15">
        <f>A618</f>
        <v>616</v>
      </c>
      <c r="O618" s="15">
        <v>10</v>
      </c>
      <c r="P618" s="42">
        <f t="shared" si="1874"/>
        <v>272.195</v>
      </c>
      <c r="Q618" s="16"/>
    </row>
    <row r="619" ht="20.05" customHeight="1">
      <c r="A619" s="13">
        <f>A618+1</f>
        <v>617</v>
      </c>
      <c r="B619" s="14">
        <v>2023</v>
      </c>
      <c r="C619" s="15">
        <v>9</v>
      </c>
      <c r="D619" s="15">
        <v>26</v>
      </c>
      <c r="E619" s="16"/>
      <c r="F619" t="s" s="17">
        <v>278</v>
      </c>
      <c r="G619" s="16"/>
      <c r="H619" t="s" s="17">
        <v>253</v>
      </c>
      <c r="I619" t="s" s="17">
        <v>14</v>
      </c>
      <c r="J619" t="s" s="17">
        <v>279</v>
      </c>
      <c r="K619" t="s" s="17">
        <v>23</v>
      </c>
      <c r="L619" s="15">
        <f>IF(O619,P619/O619,0)</f>
        <v>31.3605</v>
      </c>
      <c r="M619" s="15">
        <v>31.3605</v>
      </c>
      <c r="N619" s="15">
        <f>A619</f>
        <v>617</v>
      </c>
      <c r="O619" s="15">
        <v>10</v>
      </c>
      <c r="P619" s="42">
        <f t="shared" si="1680"/>
        <v>313.605</v>
      </c>
      <c r="Q619" s="16"/>
    </row>
    <row r="620" ht="20.05" customHeight="1">
      <c r="A620" s="13">
        <f>A619+1</f>
        <v>618</v>
      </c>
      <c r="B620" s="14">
        <v>2023</v>
      </c>
      <c r="C620" s="15">
        <v>9</v>
      </c>
      <c r="D620" s="15">
        <v>26</v>
      </c>
      <c r="E620" s="16"/>
      <c r="F620" t="s" s="17">
        <v>258</v>
      </c>
      <c r="G620" s="16"/>
      <c r="H620" t="s" s="17">
        <v>253</v>
      </c>
      <c r="I620" t="s" s="17">
        <v>19</v>
      </c>
      <c r="J620" t="s" s="17">
        <v>157</v>
      </c>
      <c r="K620" t="s" s="17">
        <v>16</v>
      </c>
      <c r="L620" s="15">
        <f>IF(O620,P620/O620,0)</f>
        <v>0.008989431968295899</v>
      </c>
      <c r="M620" s="15">
        <v>0.008989431968295899</v>
      </c>
      <c r="N620" s="15">
        <f>A620</f>
        <v>618</v>
      </c>
      <c r="O620" s="15">
        <v>1514</v>
      </c>
      <c r="P620" s="15">
        <v>13.61</v>
      </c>
      <c r="Q620" s="16"/>
    </row>
    <row r="621" ht="20.05" customHeight="1">
      <c r="A621" s="13">
        <f>A620+1</f>
        <v>619</v>
      </c>
      <c r="B621" s="14">
        <v>2023</v>
      </c>
      <c r="C621" s="15">
        <v>9</v>
      </c>
      <c r="D621" s="15">
        <v>27</v>
      </c>
      <c r="E621" s="16"/>
      <c r="F621" t="s" s="17">
        <v>275</v>
      </c>
      <c r="G621" s="16"/>
      <c r="H621" t="s" s="17">
        <v>253</v>
      </c>
      <c r="I621" t="s" s="17">
        <v>19</v>
      </c>
      <c r="J621" t="s" s="17">
        <v>155</v>
      </c>
      <c r="K621" t="s" s="17">
        <v>16</v>
      </c>
      <c r="L621" s="15">
        <f>IF(O621,P621/O621,0)</f>
        <v>0.33936</v>
      </c>
      <c r="M621" s="15">
        <v>0.33936</v>
      </c>
      <c r="N621" s="15">
        <f>A621</f>
        <v>619</v>
      </c>
      <c r="O621" s="15">
        <f t="shared" si="1393"/>
        <v>4000</v>
      </c>
      <c r="P621" s="41">
        <f t="shared" si="2072" ref="P621:P684">1344+1344*1%</f>
        <v>1357.44</v>
      </c>
      <c r="Q621" s="16"/>
    </row>
    <row r="622" ht="20.05" customHeight="1">
      <c r="A622" s="13">
        <f>A621+1</f>
        <v>620</v>
      </c>
      <c r="B622" s="14">
        <v>2023</v>
      </c>
      <c r="C622" s="15">
        <v>9</v>
      </c>
      <c r="D622" s="15">
        <v>27</v>
      </c>
      <c r="E622" s="16"/>
      <c r="F622" t="s" s="17">
        <v>275</v>
      </c>
      <c r="G622" s="16"/>
      <c r="H622" t="s" s="17">
        <v>253</v>
      </c>
      <c r="I622" t="s" s="17">
        <v>19</v>
      </c>
      <c r="J622" t="s" s="17">
        <v>105</v>
      </c>
      <c r="K622" t="s" s="17">
        <v>41</v>
      </c>
      <c r="L622" s="15">
        <f>IF(O622,P622/O622,0)</f>
        <v>0.360906666666667</v>
      </c>
      <c r="M622" s="15">
        <v>0.360906666666667</v>
      </c>
      <c r="N622" s="15">
        <f>A622</f>
        <v>620</v>
      </c>
      <c r="O622" s="15">
        <v>750</v>
      </c>
      <c r="P622" s="41">
        <f t="shared" si="2076" ref="P622:P821">268+268*1%</f>
        <v>270.68</v>
      </c>
      <c r="Q622" s="16"/>
    </row>
    <row r="623" ht="32.05" customHeight="1">
      <c r="A623" s="13">
        <f>A622+1</f>
        <v>621</v>
      </c>
      <c r="B623" s="14">
        <v>2023</v>
      </c>
      <c r="C623" s="15">
        <v>9</v>
      </c>
      <c r="D623" s="15">
        <v>27</v>
      </c>
      <c r="E623" s="16"/>
      <c r="F623" t="s" s="17">
        <v>126</v>
      </c>
      <c r="G623" s="16"/>
      <c r="H623" t="s" s="17">
        <v>253</v>
      </c>
      <c r="I623" t="s" s="17">
        <v>127</v>
      </c>
      <c r="J623" t="s" s="17">
        <v>136</v>
      </c>
      <c r="K623" t="s" s="17">
        <v>23</v>
      </c>
      <c r="L623" s="15">
        <f>IF(O623,P623/O623,0)</f>
        <v>0.149499</v>
      </c>
      <c r="M623" s="15">
        <v>0.149499</v>
      </c>
      <c r="N623" s="15">
        <f>A623</f>
        <v>621</v>
      </c>
      <c r="O623" s="15">
        <f t="shared" si="2080" ref="O623:O1944">2*10*200</f>
        <v>4000</v>
      </c>
      <c r="P623" s="42">
        <f>498.33+(498.33*20%)</f>
        <v>597.996</v>
      </c>
      <c r="Q623" s="16"/>
    </row>
    <row r="624" ht="32.05" customHeight="1">
      <c r="A624" s="13">
        <f>A623+1</f>
        <v>622</v>
      </c>
      <c r="B624" s="14">
        <v>2023</v>
      </c>
      <c r="C624" s="15">
        <v>9</v>
      </c>
      <c r="D624" s="15">
        <v>27</v>
      </c>
      <c r="E624" s="16"/>
      <c r="F624" t="s" s="17">
        <v>126</v>
      </c>
      <c r="G624" s="16"/>
      <c r="H624" t="s" s="17">
        <v>253</v>
      </c>
      <c r="I624" t="s" s="17">
        <v>127</v>
      </c>
      <c r="J624" t="s" s="17">
        <v>129</v>
      </c>
      <c r="K624" t="s" s="17">
        <v>23</v>
      </c>
      <c r="L624" s="15">
        <f>IF(O624,P624/O624,0)</f>
        <v>0.137085</v>
      </c>
      <c r="M624" s="15">
        <v>0.137085</v>
      </c>
      <c r="N624" s="15">
        <f>A624</f>
        <v>622</v>
      </c>
      <c r="O624" s="15">
        <f>1*2400</f>
        <v>2400</v>
      </c>
      <c r="P624" s="42">
        <f>274.17+274.17*20%</f>
        <v>329.004</v>
      </c>
      <c r="Q624" s="16"/>
    </row>
    <row r="625" ht="20.05" customHeight="1">
      <c r="A625" s="13">
        <f>A624+1</f>
        <v>623</v>
      </c>
      <c r="B625" s="14">
        <v>2023</v>
      </c>
      <c r="C625" s="15">
        <v>9</v>
      </c>
      <c r="D625" s="15">
        <v>27</v>
      </c>
      <c r="E625" s="16"/>
      <c r="F625" t="s" s="17">
        <v>122</v>
      </c>
      <c r="G625" s="16"/>
      <c r="H625" t="s" s="17">
        <v>253</v>
      </c>
      <c r="I625" t="s" s="17">
        <v>19</v>
      </c>
      <c r="J625" t="s" s="17">
        <v>67</v>
      </c>
      <c r="K625" t="s" s="17">
        <v>23</v>
      </c>
      <c r="L625" s="15">
        <f>IF(O625,P625/O625,0)</f>
        <v>0.95184639</v>
      </c>
      <c r="M625" s="15">
        <v>0.95184639</v>
      </c>
      <c r="N625" s="15">
        <f>A625</f>
        <v>623</v>
      </c>
      <c r="O625" s="15">
        <f t="shared" si="1369"/>
        <v>400</v>
      </c>
      <c r="P625" s="44">
        <f>418.44-(418.44*10%)+414.2556*1%</f>
        <v>380.738556</v>
      </c>
      <c r="Q625" s="16"/>
    </row>
    <row r="626" ht="20.05" customHeight="1">
      <c r="A626" s="13">
        <f>A625+1</f>
        <v>624</v>
      </c>
      <c r="B626" s="14">
        <v>2023</v>
      </c>
      <c r="C626" s="15">
        <v>9</v>
      </c>
      <c r="D626" s="15">
        <v>27</v>
      </c>
      <c r="E626" s="16"/>
      <c r="F626" t="s" s="17">
        <v>122</v>
      </c>
      <c r="G626" s="16"/>
      <c r="H626" t="s" s="17">
        <v>253</v>
      </c>
      <c r="I626" t="s" s="17">
        <v>19</v>
      </c>
      <c r="J626" t="s" s="17">
        <v>139</v>
      </c>
      <c r="K626" t="s" s="17">
        <v>23</v>
      </c>
      <c r="L626" s="15">
        <f>IF(O626,P626/O626,0)</f>
        <v>3.89270833333333</v>
      </c>
      <c r="M626" s="15">
        <v>3.89270833333333</v>
      </c>
      <c r="N626" s="15">
        <f>A626</f>
        <v>624</v>
      </c>
      <c r="O626" s="15">
        <f t="shared" si="1533"/>
        <v>24</v>
      </c>
      <c r="P626" s="42">
        <f t="shared" si="2096" ref="P626:P1064">92.5+92.5*1%</f>
        <v>93.425</v>
      </c>
      <c r="Q626" s="16"/>
    </row>
    <row r="627" ht="20.05" customHeight="1">
      <c r="A627" s="13">
        <f>A626+1</f>
        <v>625</v>
      </c>
      <c r="B627" s="14">
        <v>2023</v>
      </c>
      <c r="C627" s="15">
        <v>9</v>
      </c>
      <c r="D627" s="15">
        <v>27</v>
      </c>
      <c r="E627" s="16"/>
      <c r="F627" t="s" s="17">
        <v>122</v>
      </c>
      <c r="G627" s="16"/>
      <c r="H627" t="s" s="17">
        <v>253</v>
      </c>
      <c r="I627" t="s" s="17">
        <v>127</v>
      </c>
      <c r="J627" t="s" s="17">
        <v>164</v>
      </c>
      <c r="K627" t="s" s="17">
        <v>23</v>
      </c>
      <c r="L627" s="15">
        <f>IF(O627,P627/O627,0)</f>
        <v>10.24443</v>
      </c>
      <c r="M627" s="15">
        <v>10.24443</v>
      </c>
      <c r="N627" s="15">
        <f>A627</f>
        <v>625</v>
      </c>
      <c r="O627" s="15">
        <v>50</v>
      </c>
      <c r="P627" s="43">
        <f>507.15+507.15*1%</f>
        <v>512.2215</v>
      </c>
      <c r="Q627" s="16"/>
    </row>
    <row r="628" ht="32.05" customHeight="1">
      <c r="A628" s="13">
        <f>A627+1</f>
        <v>626</v>
      </c>
      <c r="B628" s="14">
        <v>2023</v>
      </c>
      <c r="C628" s="15">
        <v>9</v>
      </c>
      <c r="D628" s="15">
        <v>27</v>
      </c>
      <c r="E628" s="16"/>
      <c r="F628" t="s" s="17">
        <v>122</v>
      </c>
      <c r="G628" s="16"/>
      <c r="H628" t="s" s="17">
        <v>253</v>
      </c>
      <c r="I628" t="s" s="17">
        <v>127</v>
      </c>
      <c r="J628" t="s" s="17">
        <v>136</v>
      </c>
      <c r="K628" t="s" s="17">
        <v>23</v>
      </c>
      <c r="L628" s="15">
        <f>IF(O628,P628/O628,0)</f>
        <v>0.1053</v>
      </c>
      <c r="M628" s="15">
        <v>0.1053</v>
      </c>
      <c r="N628" s="15">
        <f>A628</f>
        <v>626</v>
      </c>
      <c r="O628" s="15">
        <f t="shared" si="1328"/>
        <v>4000</v>
      </c>
      <c r="P628" s="42">
        <f>702-(702*50%)+351*20%</f>
        <v>421.2</v>
      </c>
      <c r="Q628" s="16"/>
    </row>
    <row r="629" ht="20.05" customHeight="1">
      <c r="A629" s="13">
        <f>A628+1</f>
        <v>627</v>
      </c>
      <c r="B629" s="14">
        <v>2023</v>
      </c>
      <c r="C629" s="15">
        <v>9</v>
      </c>
      <c r="D629" s="15">
        <v>27</v>
      </c>
      <c r="E629" s="16"/>
      <c r="F629" t="s" s="17">
        <v>122</v>
      </c>
      <c r="G629" s="16"/>
      <c r="H629" t="s" s="17">
        <v>253</v>
      </c>
      <c r="I629" t="s" s="17">
        <v>19</v>
      </c>
      <c r="J629" t="s" s="17">
        <v>73</v>
      </c>
      <c r="K629" t="s" s="17">
        <v>23</v>
      </c>
      <c r="L629" s="15">
        <f>IF(O629,P629/O629,0)</f>
        <v>5.89166666666667</v>
      </c>
      <c r="M629" s="15">
        <v>5.89166666666667</v>
      </c>
      <c r="N629" s="15">
        <f>A629</f>
        <v>627</v>
      </c>
      <c r="O629" s="15">
        <v>24</v>
      </c>
      <c r="P629" s="42">
        <f t="shared" si="2109" ref="P629:P755">140+140*1%</f>
        <v>141.4</v>
      </c>
      <c r="Q629" s="16"/>
    </row>
    <row r="630" ht="20.05" customHeight="1">
      <c r="A630" s="13">
        <f>A629+1</f>
        <v>628</v>
      </c>
      <c r="B630" s="14">
        <v>2023</v>
      </c>
      <c r="C630" s="15">
        <v>9</v>
      </c>
      <c r="D630" s="15">
        <v>27</v>
      </c>
      <c r="E630" s="16"/>
      <c r="F630" t="s" s="17">
        <v>122</v>
      </c>
      <c r="G630" s="16"/>
      <c r="H630" t="s" s="17">
        <v>253</v>
      </c>
      <c r="I630" t="s" s="17">
        <v>19</v>
      </c>
      <c r="J630" t="s" s="17">
        <v>74</v>
      </c>
      <c r="K630" t="s" s="17">
        <v>23</v>
      </c>
      <c r="L630" s="15">
        <f>IF(O630,P630/O630,0)</f>
        <v>5.89166666666667</v>
      </c>
      <c r="M630" s="15">
        <v>5.89166666666667</v>
      </c>
      <c r="N630" s="15">
        <f>A630</f>
        <v>628</v>
      </c>
      <c r="O630" s="15">
        <v>24</v>
      </c>
      <c r="P630" s="42">
        <f t="shared" si="2109"/>
        <v>141.4</v>
      </c>
      <c r="Q630" s="16"/>
    </row>
    <row r="631" ht="20.05" customHeight="1">
      <c r="A631" s="13">
        <f>A630+1</f>
        <v>629</v>
      </c>
      <c r="B631" s="14">
        <v>2023</v>
      </c>
      <c r="C631" s="15">
        <v>9</v>
      </c>
      <c r="D631" s="15">
        <v>29</v>
      </c>
      <c r="E631" s="16"/>
      <c r="F631" t="s" s="17">
        <v>130</v>
      </c>
      <c r="G631" s="16"/>
      <c r="H631" t="s" s="17">
        <v>253</v>
      </c>
      <c r="I631" t="s" s="17">
        <v>19</v>
      </c>
      <c r="J631" t="s" s="17">
        <v>157</v>
      </c>
      <c r="K631" t="s" s="17">
        <v>16</v>
      </c>
      <c r="L631" s="15">
        <f>IF(O631,P631/O631,0)</f>
        <v>0.0169015280135823</v>
      </c>
      <c r="M631" s="15">
        <v>0.0169015280135823</v>
      </c>
      <c r="N631" s="15">
        <f>A631</f>
        <v>629</v>
      </c>
      <c r="O631" s="15">
        <v>1178</v>
      </c>
      <c r="P631" s="15">
        <v>19.91</v>
      </c>
      <c r="Q631" s="16"/>
    </row>
    <row r="632" ht="20.05" customHeight="1">
      <c r="A632" s="13">
        <f>A631+1</f>
        <v>630</v>
      </c>
      <c r="B632" s="14">
        <v>2023</v>
      </c>
      <c r="C632" s="15">
        <v>9</v>
      </c>
      <c r="D632" s="15">
        <v>30</v>
      </c>
      <c r="E632" s="16"/>
      <c r="F632" t="s" s="17">
        <v>141</v>
      </c>
      <c r="G632" s="16"/>
      <c r="H632" t="s" s="17">
        <v>253</v>
      </c>
      <c r="I632" t="s" s="17">
        <v>19</v>
      </c>
      <c r="J632" t="s" s="17">
        <v>159</v>
      </c>
      <c r="K632" t="s" s="17">
        <v>23</v>
      </c>
      <c r="L632" s="15">
        <f>IF(O632,P632/O632,0)</f>
        <v>2.57441666666667</v>
      </c>
      <c r="M632" s="15">
        <v>2.57441666666667</v>
      </c>
      <c r="N632" s="15">
        <f>A632</f>
        <v>630</v>
      </c>
      <c r="O632" s="15">
        <f>25*24</f>
        <v>600</v>
      </c>
      <c r="P632" s="15">
        <v>1544.65</v>
      </c>
      <c r="Q632" s="16"/>
    </row>
    <row r="633" ht="20.05" customHeight="1">
      <c r="A633" s="13">
        <f>A632+1</f>
        <v>631</v>
      </c>
      <c r="B633" s="14">
        <v>2023</v>
      </c>
      <c r="C633" s="15">
        <v>9</v>
      </c>
      <c r="D633" s="15">
        <v>30</v>
      </c>
      <c r="E633" s="16"/>
      <c r="F633" t="s" s="17">
        <v>141</v>
      </c>
      <c r="G633" s="16"/>
      <c r="H633" t="s" s="17">
        <v>253</v>
      </c>
      <c r="I633" t="s" s="17">
        <v>19</v>
      </c>
      <c r="J633" t="s" s="17">
        <v>142</v>
      </c>
      <c r="K633" t="s" s="17">
        <v>23</v>
      </c>
      <c r="L633" s="15">
        <f>IF(O633,P633/O633,0)</f>
        <v>12.5925</v>
      </c>
      <c r="M633" s="15">
        <v>12.5925</v>
      </c>
      <c r="N633" s="15">
        <f>A633</f>
        <v>631</v>
      </c>
      <c r="O633" s="15">
        <f t="shared" si="1533"/>
        <v>24</v>
      </c>
      <c r="P633" s="15">
        <v>302.22</v>
      </c>
      <c r="Q633" s="16"/>
    </row>
    <row r="634" ht="20.05" customHeight="1">
      <c r="A634" s="13">
        <f>A633+1</f>
        <v>632</v>
      </c>
      <c r="B634" s="14">
        <v>2023</v>
      </c>
      <c r="C634" s="15">
        <v>9</v>
      </c>
      <c r="D634" s="15">
        <v>30</v>
      </c>
      <c r="E634" s="16"/>
      <c r="F634" t="s" s="17">
        <v>141</v>
      </c>
      <c r="G634" s="16"/>
      <c r="H634" t="s" s="17">
        <v>253</v>
      </c>
      <c r="I634" t="s" s="17">
        <v>19</v>
      </c>
      <c r="J634" t="s" s="17">
        <v>144</v>
      </c>
      <c r="K634" t="s" s="17">
        <v>23</v>
      </c>
      <c r="L634" s="15">
        <f>IF(O634,P634/O634,0)</f>
        <v>12.5925</v>
      </c>
      <c r="M634" s="15">
        <v>12.5925</v>
      </c>
      <c r="N634" s="15">
        <f>A634</f>
        <v>632</v>
      </c>
      <c r="O634" s="15">
        <f t="shared" si="1533"/>
        <v>24</v>
      </c>
      <c r="P634" s="15">
        <v>302.22</v>
      </c>
      <c r="Q634" s="16"/>
    </row>
    <row r="635" ht="32.05" customHeight="1">
      <c r="A635" s="13">
        <f>A634+1</f>
        <v>633</v>
      </c>
      <c r="B635" s="14">
        <v>2023</v>
      </c>
      <c r="C635" s="15">
        <v>9</v>
      </c>
      <c r="D635" s="15">
        <v>30</v>
      </c>
      <c r="E635" s="16"/>
      <c r="F635" t="s" s="17">
        <v>278</v>
      </c>
      <c r="G635" s="16"/>
      <c r="H635" t="s" s="17">
        <v>253</v>
      </c>
      <c r="I635" t="s" s="17">
        <v>14</v>
      </c>
      <c r="J635" t="s" s="17">
        <v>283</v>
      </c>
      <c r="K635" t="s" s="17">
        <v>23</v>
      </c>
      <c r="L635" s="15">
        <f>IF(O635,P635/O635,0)</f>
        <v>32.724</v>
      </c>
      <c r="M635" s="15">
        <v>32.724</v>
      </c>
      <c r="N635" s="15">
        <f>A635</f>
        <v>633</v>
      </c>
      <c r="O635" s="15">
        <v>10</v>
      </c>
      <c r="P635" s="41">
        <f t="shared" si="1684"/>
        <v>327.24</v>
      </c>
      <c r="Q635" s="16"/>
    </row>
    <row r="636" ht="20.05" customHeight="1">
      <c r="A636" s="13">
        <f>A635+1</f>
        <v>634</v>
      </c>
      <c r="B636" s="14">
        <v>2023</v>
      </c>
      <c r="C636" s="15">
        <v>9</v>
      </c>
      <c r="D636" s="15">
        <v>30</v>
      </c>
      <c r="E636" s="16"/>
      <c r="F636" t="s" s="17">
        <v>278</v>
      </c>
      <c r="G636" s="16"/>
      <c r="H636" t="s" s="17">
        <v>253</v>
      </c>
      <c r="I636" t="s" s="17">
        <v>14</v>
      </c>
      <c r="J636" t="s" s="17">
        <v>288</v>
      </c>
      <c r="K636" t="s" s="17">
        <v>23</v>
      </c>
      <c r="L636" s="15">
        <f>IF(O636,P636/O636,0)</f>
        <v>27.2195</v>
      </c>
      <c r="M636" s="15">
        <v>27.2195</v>
      </c>
      <c r="N636" s="15">
        <f>A636</f>
        <v>634</v>
      </c>
      <c r="O636" s="15">
        <v>10</v>
      </c>
      <c r="P636" s="42">
        <f t="shared" si="1874"/>
        <v>272.195</v>
      </c>
      <c r="Q636" s="16"/>
    </row>
    <row r="637" ht="20.05" customHeight="1">
      <c r="A637" s="13">
        <f>A636+1</f>
        <v>635</v>
      </c>
      <c r="B637" s="14">
        <v>2023</v>
      </c>
      <c r="C637" s="15">
        <v>9</v>
      </c>
      <c r="D637" s="15">
        <v>30</v>
      </c>
      <c r="E637" s="16"/>
      <c r="F637" t="s" s="17">
        <v>278</v>
      </c>
      <c r="G637" s="16"/>
      <c r="H637" t="s" s="17">
        <v>253</v>
      </c>
      <c r="I637" t="s" s="17">
        <v>14</v>
      </c>
      <c r="J637" t="s" s="17">
        <v>279</v>
      </c>
      <c r="K637" t="s" s="17">
        <v>23</v>
      </c>
      <c r="L637" s="15">
        <f>IF(O637,P637/O637,0)</f>
        <v>31.3605</v>
      </c>
      <c r="M637" s="15">
        <v>31.3605</v>
      </c>
      <c r="N637" s="15">
        <f>A637</f>
        <v>635</v>
      </c>
      <c r="O637" s="15">
        <v>10</v>
      </c>
      <c r="P637" s="42">
        <f t="shared" si="1680"/>
        <v>313.605</v>
      </c>
      <c r="Q637" s="16"/>
    </row>
    <row r="638" ht="20.05" customHeight="1">
      <c r="A638" s="13">
        <f>A637+1</f>
        <v>636</v>
      </c>
      <c r="B638" s="14">
        <v>2023</v>
      </c>
      <c r="C638" s="15">
        <v>9</v>
      </c>
      <c r="D638" s="15">
        <v>22</v>
      </c>
      <c r="E638" s="16"/>
      <c r="F638" t="s" s="17">
        <v>111</v>
      </c>
      <c r="G638" s="16"/>
      <c r="H638" t="s" s="17">
        <v>253</v>
      </c>
      <c r="I638" t="s" s="17">
        <v>26</v>
      </c>
      <c r="J638" t="s" s="17">
        <v>117</v>
      </c>
      <c r="K638" t="s" s="17">
        <v>23</v>
      </c>
      <c r="L638" s="15">
        <f>IF(O638,P638/O638,0)</f>
        <v>31.896</v>
      </c>
      <c r="M638" s="15">
        <v>31.896</v>
      </c>
      <c r="N638" s="15">
        <f>A638</f>
        <v>636</v>
      </c>
      <c r="O638" s="15">
        <v>5</v>
      </c>
      <c r="P638" s="15">
        <v>159.48</v>
      </c>
      <c r="Q638" s="16"/>
    </row>
    <row r="639" ht="20.05" customHeight="1">
      <c r="A639" s="13">
        <f>A638+1</f>
        <v>637</v>
      </c>
      <c r="B639" s="14">
        <v>2023</v>
      </c>
      <c r="C639" s="15">
        <v>9</v>
      </c>
      <c r="D639" s="15">
        <v>22</v>
      </c>
      <c r="E639" s="16"/>
      <c r="F639" t="s" s="17">
        <v>111</v>
      </c>
      <c r="G639" s="16"/>
      <c r="H639" t="s" s="17">
        <v>253</v>
      </c>
      <c r="I639" t="s" s="17">
        <v>26</v>
      </c>
      <c r="J639" t="s" s="17">
        <v>134</v>
      </c>
      <c r="K639" t="s" s="17">
        <v>23</v>
      </c>
      <c r="L639" s="15">
        <f>IF(O639,P639/O639,0)</f>
        <v>32.896</v>
      </c>
      <c r="M639" s="15">
        <v>32.896</v>
      </c>
      <c r="N639" s="15">
        <f>A639</f>
        <v>637</v>
      </c>
      <c r="O639" s="15">
        <v>5</v>
      </c>
      <c r="P639" s="15">
        <v>164.48</v>
      </c>
      <c r="Q639" s="16"/>
    </row>
    <row r="640" ht="20.05" customHeight="1">
      <c r="A640" s="13">
        <f>A639+1</f>
        <v>638</v>
      </c>
      <c r="B640" s="14">
        <v>2023</v>
      </c>
      <c r="C640" s="15">
        <v>9</v>
      </c>
      <c r="D640" s="15">
        <v>22</v>
      </c>
      <c r="E640" s="16"/>
      <c r="F640" t="s" s="17">
        <v>111</v>
      </c>
      <c r="G640" s="16"/>
      <c r="H640" t="s" s="17">
        <v>253</v>
      </c>
      <c r="I640" t="s" s="17">
        <v>26</v>
      </c>
      <c r="J640" t="s" s="17">
        <v>118</v>
      </c>
      <c r="K640" t="s" s="17">
        <v>23</v>
      </c>
      <c r="L640" s="15">
        <f>IF(O640,P640/O640,0)</f>
        <v>32.896</v>
      </c>
      <c r="M640" s="15">
        <v>32.896</v>
      </c>
      <c r="N640" s="15">
        <f>A640</f>
        <v>638</v>
      </c>
      <c r="O640" s="15">
        <v>5</v>
      </c>
      <c r="P640" s="15">
        <v>164.48</v>
      </c>
      <c r="Q640" s="16"/>
    </row>
    <row r="641" ht="20.05" customHeight="1">
      <c r="A641" s="13">
        <f>A640+1</f>
        <v>639</v>
      </c>
      <c r="B641" s="14">
        <v>2023</v>
      </c>
      <c r="C641" s="15">
        <v>9</v>
      </c>
      <c r="D641" s="15">
        <v>27</v>
      </c>
      <c r="E641" s="16"/>
      <c r="F641" t="s" s="17">
        <v>111</v>
      </c>
      <c r="G641" s="16"/>
      <c r="H641" t="s" s="17">
        <v>253</v>
      </c>
      <c r="I641" t="s" s="17">
        <v>19</v>
      </c>
      <c r="J641" t="s" s="17">
        <v>112</v>
      </c>
      <c r="K641" t="s" s="17">
        <v>41</v>
      </c>
      <c r="L641" s="15">
        <f>IF(O641,P641/O641,0)</f>
        <v>0.0298966666666667</v>
      </c>
      <c r="M641" s="15">
        <v>0.0298966666666667</v>
      </c>
      <c r="N641" s="15">
        <f>A641</f>
        <v>639</v>
      </c>
      <c r="O641" s="15">
        <f t="shared" si="2153" ref="O641:O879">3*1000</f>
        <v>3000</v>
      </c>
      <c r="P641" s="15">
        <v>89.69</v>
      </c>
      <c r="Q641" s="16"/>
    </row>
    <row r="642" ht="20.05" customHeight="1">
      <c r="A642" s="13">
        <f>A641+1</f>
        <v>640</v>
      </c>
      <c r="B642" s="14">
        <v>2023</v>
      </c>
      <c r="C642" s="15">
        <v>9</v>
      </c>
      <c r="D642" s="15">
        <v>27</v>
      </c>
      <c r="E642" s="16"/>
      <c r="F642" t="s" s="17">
        <v>111</v>
      </c>
      <c r="G642" s="16"/>
      <c r="H642" t="s" s="17">
        <v>253</v>
      </c>
      <c r="I642" t="s" s="17">
        <v>19</v>
      </c>
      <c r="J642" t="s" s="17">
        <v>81</v>
      </c>
      <c r="K642" t="s" s="17">
        <v>23</v>
      </c>
      <c r="L642" s="15">
        <f>IF(O642,P642/O642,0)</f>
        <v>1.01944444444444</v>
      </c>
      <c r="M642" s="15">
        <v>1.01944444444444</v>
      </c>
      <c r="N642" s="15">
        <f>A642</f>
        <v>640</v>
      </c>
      <c r="O642" s="15">
        <f t="shared" si="2157" ref="O642:O855">3*108</f>
        <v>324</v>
      </c>
      <c r="P642" s="15">
        <v>330.3</v>
      </c>
      <c r="Q642" s="16"/>
    </row>
    <row r="643" ht="20.05" customHeight="1">
      <c r="A643" s="13">
        <f>A642+1</f>
        <v>641</v>
      </c>
      <c r="B643" s="14">
        <v>2023</v>
      </c>
      <c r="C643" s="15">
        <v>9</v>
      </c>
      <c r="D643" s="15">
        <v>27</v>
      </c>
      <c r="E643" s="16"/>
      <c r="F643" t="s" s="17">
        <v>111</v>
      </c>
      <c r="G643" s="16"/>
      <c r="H643" t="s" s="17">
        <v>253</v>
      </c>
      <c r="I643" t="s" s="17">
        <v>19</v>
      </c>
      <c r="J643" t="s" s="17">
        <v>101</v>
      </c>
      <c r="K643" t="s" s="17">
        <v>23</v>
      </c>
      <c r="L643" s="15">
        <f>IF(O643,P643/O643,0)</f>
        <v>6.61541666666667</v>
      </c>
      <c r="M643" s="15">
        <v>6.61541666666667</v>
      </c>
      <c r="N643" s="15">
        <f>A643</f>
        <v>641</v>
      </c>
      <c r="O643" s="15">
        <f t="shared" si="1533"/>
        <v>24</v>
      </c>
      <c r="P643" s="15">
        <v>158.77</v>
      </c>
      <c r="Q643" s="16"/>
    </row>
    <row r="644" ht="20.05" customHeight="1">
      <c r="A644" s="13">
        <f>A643+1</f>
        <v>642</v>
      </c>
      <c r="B644" s="14">
        <v>2023</v>
      </c>
      <c r="C644" s="15">
        <v>9</v>
      </c>
      <c r="D644" s="15">
        <v>27</v>
      </c>
      <c r="E644" s="16"/>
      <c r="F644" t="s" s="17">
        <v>111</v>
      </c>
      <c r="G644" s="16"/>
      <c r="H644" t="s" s="17">
        <v>253</v>
      </c>
      <c r="I644" t="s" s="17">
        <v>19</v>
      </c>
      <c r="J644" t="s" s="17">
        <v>135</v>
      </c>
      <c r="K644" t="s" s="17">
        <v>23</v>
      </c>
      <c r="L644" s="15">
        <f>IF(O644,P644/O644,0)</f>
        <v>0.40992</v>
      </c>
      <c r="M644" s="15">
        <v>0.40992</v>
      </c>
      <c r="N644" s="15">
        <f>A644</f>
        <v>642</v>
      </c>
      <c r="O644" s="15">
        <f t="shared" si="1317"/>
        <v>250</v>
      </c>
      <c r="P644" s="15">
        <v>102.48</v>
      </c>
      <c r="Q644" s="16"/>
    </row>
    <row r="645" ht="20.05" customHeight="1">
      <c r="A645" s="13">
        <f>A644+1</f>
        <v>643</v>
      </c>
      <c r="B645" s="14">
        <v>2023</v>
      </c>
      <c r="C645" s="15">
        <v>9</v>
      </c>
      <c r="D645" s="15">
        <v>27</v>
      </c>
      <c r="E645" s="16"/>
      <c r="F645" t="s" s="17">
        <v>111</v>
      </c>
      <c r="G645" t="s" s="17">
        <v>301</v>
      </c>
      <c r="H645" t="s" s="17">
        <v>253</v>
      </c>
      <c r="I645" t="s" s="17">
        <v>19</v>
      </c>
      <c r="J645" t="s" s="17">
        <v>103</v>
      </c>
      <c r="K645" t="s" s="17">
        <v>23</v>
      </c>
      <c r="L645" s="15">
        <f>IF(O645,P645/O645,0)</f>
        <v>0.575375</v>
      </c>
      <c r="M645" s="15">
        <v>0.575375</v>
      </c>
      <c r="N645" s="15">
        <f>A645</f>
        <v>643</v>
      </c>
      <c r="O645" s="15">
        <f t="shared" si="2169" ref="O645:O1056">2*80</f>
        <v>160</v>
      </c>
      <c r="P645" s="15">
        <v>92.06</v>
      </c>
      <c r="Q645" s="16"/>
    </row>
    <row r="646" ht="20.05" customHeight="1">
      <c r="A646" s="13">
        <f>A645+1</f>
        <v>644</v>
      </c>
      <c r="B646" s="14">
        <v>2023</v>
      </c>
      <c r="C646" s="15">
        <v>9</v>
      </c>
      <c r="D646" s="16"/>
      <c r="E646" s="16"/>
      <c r="F646" t="s" s="17">
        <v>302</v>
      </c>
      <c r="G646" s="16"/>
      <c r="H646" t="s" s="17">
        <v>253</v>
      </c>
      <c r="I646" t="s" s="17">
        <v>187</v>
      </c>
      <c r="J646" t="s" s="17">
        <v>303</v>
      </c>
      <c r="K646" t="s" s="17">
        <v>23</v>
      </c>
      <c r="L646" s="15">
        <f>IF(O646,P646/O646,0)</f>
        <v>1009.74</v>
      </c>
      <c r="M646" s="15">
        <v>1009.74</v>
      </c>
      <c r="N646" s="15">
        <f>A646</f>
        <v>644</v>
      </c>
      <c r="O646" s="15">
        <v>1</v>
      </c>
      <c r="P646" s="15">
        <v>1009.74</v>
      </c>
      <c r="Q646" s="16"/>
    </row>
    <row r="647" ht="20.05" customHeight="1">
      <c r="A647" s="13">
        <f>A646+1</f>
        <v>645</v>
      </c>
      <c r="B647" s="14">
        <v>2023</v>
      </c>
      <c r="C647" s="15">
        <v>9</v>
      </c>
      <c r="D647" s="15">
        <v>30</v>
      </c>
      <c r="E647" s="16"/>
      <c r="F647" t="s" s="17">
        <v>250</v>
      </c>
      <c r="G647" s="16"/>
      <c r="H647" s="16"/>
      <c r="I647" t="s" s="17">
        <v>187</v>
      </c>
      <c r="J647" t="s" s="17">
        <v>251</v>
      </c>
      <c r="K647" t="s" s="17">
        <v>23</v>
      </c>
      <c r="L647" s="15">
        <f>IF(O647,P647/O647,0)</f>
        <v>82.5</v>
      </c>
      <c r="M647" s="15">
        <v>82.5</v>
      </c>
      <c r="N647" s="15">
        <f>A647</f>
        <v>645</v>
      </c>
      <c r="O647" s="15">
        <v>351</v>
      </c>
      <c r="P647" s="15">
        <v>28957.5</v>
      </c>
      <c r="Q647" s="16"/>
    </row>
    <row r="648" ht="20.05" customHeight="1">
      <c r="A648" s="13">
        <f>A647+1</f>
        <v>646</v>
      </c>
      <c r="B648" s="14">
        <v>2023</v>
      </c>
      <c r="C648" s="15">
        <v>9</v>
      </c>
      <c r="D648" s="15">
        <v>30</v>
      </c>
      <c r="E648" s="16"/>
      <c r="F648" t="s" s="17">
        <v>304</v>
      </c>
      <c r="G648" s="16"/>
      <c r="H648" t="s" s="17">
        <v>163</v>
      </c>
      <c r="I648" t="s" s="17">
        <v>187</v>
      </c>
      <c r="J648" t="s" s="17">
        <v>305</v>
      </c>
      <c r="K648" t="s" s="17">
        <v>23</v>
      </c>
      <c r="L648" s="15">
        <f>IF(O648,P648/O648,0)</f>
        <v>2160</v>
      </c>
      <c r="M648" s="15">
        <v>2160</v>
      </c>
      <c r="N648" s="15">
        <f>A648</f>
        <v>646</v>
      </c>
      <c r="O648" s="15">
        <v>3</v>
      </c>
      <c r="P648" s="15">
        <v>6480</v>
      </c>
      <c r="Q648" s="16"/>
    </row>
    <row r="649" ht="20.05" customHeight="1">
      <c r="A649" s="13">
        <f>A648+1</f>
        <v>647</v>
      </c>
      <c r="B649" s="14">
        <v>2023</v>
      </c>
      <c r="C649" s="15">
        <v>9</v>
      </c>
      <c r="D649" s="15">
        <v>22</v>
      </c>
      <c r="E649" s="16"/>
      <c r="F649" t="s" s="17">
        <v>141</v>
      </c>
      <c r="G649" s="16"/>
      <c r="H649" t="s" s="17">
        <v>163</v>
      </c>
      <c r="I649" t="s" s="17">
        <v>19</v>
      </c>
      <c r="J649" t="s" s="17">
        <v>144</v>
      </c>
      <c r="K649" t="s" s="17">
        <v>23</v>
      </c>
      <c r="L649" s="15">
        <f>IF(O649,P649/O649,0)</f>
        <v>12.5925</v>
      </c>
      <c r="M649" s="15">
        <v>12.5925</v>
      </c>
      <c r="N649" s="15">
        <f>A649</f>
        <v>647</v>
      </c>
      <c r="O649" s="15">
        <v>24</v>
      </c>
      <c r="P649" s="15">
        <v>302.22</v>
      </c>
      <c r="Q649" s="16"/>
    </row>
    <row r="650" ht="20.05" customHeight="1">
      <c r="A650" s="13">
        <f>A649+1</f>
        <v>648</v>
      </c>
      <c r="B650" s="14">
        <v>2023</v>
      </c>
      <c r="C650" s="15">
        <v>9</v>
      </c>
      <c r="D650" s="15">
        <v>22</v>
      </c>
      <c r="E650" s="16"/>
      <c r="F650" t="s" s="17">
        <v>141</v>
      </c>
      <c r="G650" s="16"/>
      <c r="H650" t="s" s="17">
        <v>163</v>
      </c>
      <c r="I650" t="s" s="17">
        <v>19</v>
      </c>
      <c r="J650" t="s" s="17">
        <v>159</v>
      </c>
      <c r="K650" t="s" s="17">
        <v>23</v>
      </c>
      <c r="L650" s="15">
        <f>IF(O650,P650/O650,0)</f>
        <v>2.57441666666667</v>
      </c>
      <c r="M650" s="15">
        <v>2.57441666666667</v>
      </c>
      <c r="N650" s="15">
        <f>A650</f>
        <v>648</v>
      </c>
      <c r="O650" s="15">
        <f t="shared" si="1410"/>
        <v>48</v>
      </c>
      <c r="P650" s="15">
        <v>123.572</v>
      </c>
      <c r="Q650" s="16"/>
    </row>
    <row r="651" ht="20.05" customHeight="1">
      <c r="A651" s="13">
        <f>A650+1</f>
        <v>649</v>
      </c>
      <c r="B651" s="14">
        <v>2023</v>
      </c>
      <c r="C651" s="15">
        <v>9</v>
      </c>
      <c r="D651" s="15">
        <v>22</v>
      </c>
      <c r="E651" s="16"/>
      <c r="F651" t="s" s="17">
        <v>111</v>
      </c>
      <c r="G651" s="16"/>
      <c r="H651" t="s" s="17">
        <v>163</v>
      </c>
      <c r="I651" t="s" s="17">
        <v>19</v>
      </c>
      <c r="J651" t="s" s="17">
        <v>72</v>
      </c>
      <c r="K651" t="s" s="17">
        <v>41</v>
      </c>
      <c r="L651" s="15">
        <f>IF(O651,P651/O651,0)</f>
        <v>0.23032</v>
      </c>
      <c r="M651" s="15">
        <v>0.23032</v>
      </c>
      <c r="N651" s="15">
        <f>A651</f>
        <v>649</v>
      </c>
      <c r="O651" s="15">
        <f t="shared" si="1602"/>
        <v>500</v>
      </c>
      <c r="P651" s="15">
        <v>115.16</v>
      </c>
      <c r="Q651" s="16"/>
    </row>
    <row r="652" ht="20.05" customHeight="1">
      <c r="A652" s="13">
        <f>A651+1</f>
        <v>650</v>
      </c>
      <c r="B652" s="14">
        <v>2023</v>
      </c>
      <c r="C652" s="15">
        <v>9</v>
      </c>
      <c r="D652" s="15">
        <v>22</v>
      </c>
      <c r="E652" s="16"/>
      <c r="F652" t="s" s="17">
        <v>111</v>
      </c>
      <c r="G652" s="16"/>
      <c r="H652" t="s" s="17">
        <v>163</v>
      </c>
      <c r="I652" t="s" s="17">
        <v>26</v>
      </c>
      <c r="J652" t="s" s="17">
        <v>117</v>
      </c>
      <c r="K652" t="s" s="17">
        <v>23</v>
      </c>
      <c r="L652" s="15">
        <f>IF(O652,P652/O652,0)</f>
        <v>34.452</v>
      </c>
      <c r="M652" s="15">
        <v>34.452</v>
      </c>
      <c r="N652" s="15">
        <f>A652</f>
        <v>650</v>
      </c>
      <c r="O652" s="15">
        <v>5</v>
      </c>
      <c r="P652" s="15">
        <v>172.26</v>
      </c>
      <c r="Q652" s="16"/>
    </row>
    <row r="653" ht="20.05" customHeight="1">
      <c r="A653" s="13">
        <f>A652+1</f>
        <v>651</v>
      </c>
      <c r="B653" s="14">
        <v>2023</v>
      </c>
      <c r="C653" s="15">
        <v>9</v>
      </c>
      <c r="D653" s="15">
        <v>22</v>
      </c>
      <c r="E653" s="16"/>
      <c r="F653" t="s" s="17">
        <v>111</v>
      </c>
      <c r="G653" s="16"/>
      <c r="H653" t="s" s="17">
        <v>163</v>
      </c>
      <c r="I653" t="s" s="17">
        <v>26</v>
      </c>
      <c r="J653" t="s" s="17">
        <v>134</v>
      </c>
      <c r="K653" t="s" s="17">
        <v>23</v>
      </c>
      <c r="L653" s="15">
        <f>IF(O653,P653/O653,0)</f>
        <v>35.532</v>
      </c>
      <c r="M653" s="15">
        <v>35.532</v>
      </c>
      <c r="N653" s="15">
        <f>A653</f>
        <v>651</v>
      </c>
      <c r="O653" s="15">
        <v>5</v>
      </c>
      <c r="P653" s="15">
        <v>177.66</v>
      </c>
      <c r="Q653" s="16"/>
    </row>
    <row r="654" ht="20.05" customHeight="1">
      <c r="A654" s="13">
        <f>A653+1</f>
        <v>652</v>
      </c>
      <c r="B654" s="14">
        <v>2023</v>
      </c>
      <c r="C654" s="15">
        <v>9</v>
      </c>
      <c r="D654" s="15">
        <v>22</v>
      </c>
      <c r="E654" s="16"/>
      <c r="F654" t="s" s="17">
        <v>111</v>
      </c>
      <c r="G654" s="16"/>
      <c r="H654" t="s" s="17">
        <v>163</v>
      </c>
      <c r="I654" t="s" s="17">
        <v>26</v>
      </c>
      <c r="J654" t="s" s="17">
        <v>118</v>
      </c>
      <c r="K654" t="s" s="17">
        <v>23</v>
      </c>
      <c r="L654" s="15">
        <f>IF(O654,P654/O654,0)</f>
        <v>35.532</v>
      </c>
      <c r="M654" s="15">
        <v>35.532</v>
      </c>
      <c r="N654" s="15">
        <f>A654</f>
        <v>652</v>
      </c>
      <c r="O654" s="15">
        <v>5</v>
      </c>
      <c r="P654" s="15">
        <v>177.66</v>
      </c>
      <c r="Q654" s="16"/>
    </row>
    <row r="655" ht="20.05" customHeight="1">
      <c r="A655" s="13">
        <f>A654+1</f>
        <v>653</v>
      </c>
      <c r="B655" s="14">
        <v>2023</v>
      </c>
      <c r="C655" s="15">
        <v>9</v>
      </c>
      <c r="D655" s="15">
        <v>24</v>
      </c>
      <c r="E655" s="16"/>
      <c r="F655" t="s" s="17">
        <v>130</v>
      </c>
      <c r="G655" s="16"/>
      <c r="H655" t="s" s="17">
        <v>163</v>
      </c>
      <c r="I655" t="s" s="17">
        <v>19</v>
      </c>
      <c r="J655" t="s" s="17">
        <v>157</v>
      </c>
      <c r="K655" t="s" s="17">
        <v>16</v>
      </c>
      <c r="L655" s="15">
        <f>IF(O655,P655/O655,0)</f>
        <v>0.00989607390300231</v>
      </c>
      <c r="M655" s="15">
        <v>0.00989607390300231</v>
      </c>
      <c r="N655" s="15">
        <f>A655</f>
        <v>653</v>
      </c>
      <c r="O655" s="15">
        <v>866</v>
      </c>
      <c r="P655" s="15">
        <v>8.57</v>
      </c>
      <c r="Q655" s="16"/>
    </row>
    <row r="656" ht="20.05" customHeight="1">
      <c r="A656" s="13">
        <f>A655+1</f>
        <v>654</v>
      </c>
      <c r="B656" s="14">
        <v>2023</v>
      </c>
      <c r="C656" s="15">
        <v>9</v>
      </c>
      <c r="D656" s="15">
        <v>24</v>
      </c>
      <c r="E656" s="16"/>
      <c r="F656" t="s" s="17">
        <v>130</v>
      </c>
      <c r="G656" s="16"/>
      <c r="H656" t="s" s="17">
        <v>163</v>
      </c>
      <c r="I656" t="s" s="17">
        <v>19</v>
      </c>
      <c r="J656" t="s" s="17">
        <v>139</v>
      </c>
      <c r="K656" t="s" s="17">
        <v>23</v>
      </c>
      <c r="L656" s="15">
        <f>IF(O656,P656/O656,0)</f>
        <v>3.5</v>
      </c>
      <c r="M656" s="15">
        <v>3.5</v>
      </c>
      <c r="N656" s="15">
        <f>A656</f>
        <v>654</v>
      </c>
      <c r="O656" s="15">
        <f t="shared" si="1897"/>
        <v>24</v>
      </c>
      <c r="P656" s="15">
        <v>84</v>
      </c>
      <c r="Q656" s="16"/>
    </row>
    <row r="657" ht="20.05" customHeight="1">
      <c r="A657" s="13">
        <f>A656+1</f>
        <v>655</v>
      </c>
      <c r="B657" s="14">
        <v>2023</v>
      </c>
      <c r="C657" s="15">
        <v>9</v>
      </c>
      <c r="D657" s="15">
        <v>24</v>
      </c>
      <c r="E657" s="16"/>
      <c r="F657" t="s" s="17">
        <v>130</v>
      </c>
      <c r="G657" s="16"/>
      <c r="H657" t="s" s="17">
        <v>163</v>
      </c>
      <c r="I657" t="s" s="17">
        <v>19</v>
      </c>
      <c r="J657" t="s" s="17">
        <v>157</v>
      </c>
      <c r="K657" t="s" s="17">
        <v>16</v>
      </c>
      <c r="L657" s="15">
        <f>IF(O657,P657/O657,0)</f>
        <v>0.009899543378995431</v>
      </c>
      <c r="M657" s="15">
        <v>0.009899543378995431</v>
      </c>
      <c r="N657" s="15">
        <f>A657</f>
        <v>655</v>
      </c>
      <c r="O657" s="15">
        <v>2190</v>
      </c>
      <c r="P657" s="15">
        <v>21.68</v>
      </c>
      <c r="Q657" s="16"/>
    </row>
    <row r="658" ht="20.05" customHeight="1">
      <c r="A658" s="13">
        <f>A657+1</f>
        <v>656</v>
      </c>
      <c r="B658" s="14">
        <v>2023</v>
      </c>
      <c r="C658" s="15">
        <v>9</v>
      </c>
      <c r="D658" s="15">
        <v>24</v>
      </c>
      <c r="E658" s="16"/>
      <c r="F658" t="s" s="17">
        <v>130</v>
      </c>
      <c r="G658" s="16"/>
      <c r="H658" t="s" s="17">
        <v>163</v>
      </c>
      <c r="I658" t="s" s="17">
        <v>19</v>
      </c>
      <c r="J658" t="s" s="17">
        <v>131</v>
      </c>
      <c r="K658" t="s" s="17">
        <v>41</v>
      </c>
      <c r="L658" s="15">
        <f>IF(O658,P658/O658,0)</f>
        <v>0.10675</v>
      </c>
      <c r="M658" s="15">
        <v>0.10675</v>
      </c>
      <c r="N658" s="15">
        <f>A658</f>
        <v>656</v>
      </c>
      <c r="O658" s="15">
        <f t="shared" si="1382"/>
        <v>2000</v>
      </c>
      <c r="P658" s="15">
        <v>213.5</v>
      </c>
      <c r="Q658" s="16"/>
    </row>
    <row r="659" ht="32.05" customHeight="1">
      <c r="A659" s="13">
        <f>A658+1</f>
        <v>657</v>
      </c>
      <c r="B659" s="14">
        <v>2023</v>
      </c>
      <c r="C659" s="15">
        <v>9</v>
      </c>
      <c r="D659" s="15">
        <v>25</v>
      </c>
      <c r="E659" s="16"/>
      <c r="F659" t="s" s="17">
        <v>287</v>
      </c>
      <c r="G659" s="16"/>
      <c r="H659" t="s" s="17">
        <v>163</v>
      </c>
      <c r="I659" t="s" s="17">
        <v>14</v>
      </c>
      <c r="J659" t="s" s="17">
        <v>283</v>
      </c>
      <c r="K659" t="s" s="17">
        <v>23</v>
      </c>
      <c r="L659" s="15">
        <f>IF(O659,P659/O659,0)</f>
        <v>32.724</v>
      </c>
      <c r="M659" s="15">
        <v>32.724</v>
      </c>
      <c r="N659" s="15">
        <f>A659</f>
        <v>657</v>
      </c>
      <c r="O659" s="15">
        <v>10</v>
      </c>
      <c r="P659" s="41">
        <f t="shared" si="1684"/>
        <v>327.24</v>
      </c>
      <c r="Q659" s="16"/>
    </row>
    <row r="660" ht="20.05" customHeight="1">
      <c r="A660" s="13">
        <f>A659+1</f>
        <v>658</v>
      </c>
      <c r="B660" s="14">
        <v>2023</v>
      </c>
      <c r="C660" s="15">
        <v>9</v>
      </c>
      <c r="D660" s="15">
        <v>25</v>
      </c>
      <c r="E660" s="16"/>
      <c r="F660" t="s" s="17">
        <v>287</v>
      </c>
      <c r="G660" s="16"/>
      <c r="H660" t="s" s="17">
        <v>163</v>
      </c>
      <c r="I660" t="s" s="17">
        <v>14</v>
      </c>
      <c r="J660" t="s" s="17">
        <v>282</v>
      </c>
      <c r="K660" t="s" s="17">
        <v>23</v>
      </c>
      <c r="L660" s="15">
        <f>IF(O660,P660/O660,0)</f>
        <v>24.9975</v>
      </c>
      <c r="M660" s="15">
        <v>24.9975</v>
      </c>
      <c r="N660" s="15">
        <f>A660</f>
        <v>658</v>
      </c>
      <c r="O660" s="15">
        <v>10</v>
      </c>
      <c r="P660" s="42">
        <f t="shared" si="1815"/>
        <v>249.975</v>
      </c>
      <c r="Q660" s="16"/>
    </row>
    <row r="661" ht="20.05" customHeight="1">
      <c r="A661" s="13">
        <f>A660+1</f>
        <v>659</v>
      </c>
      <c r="B661" s="14">
        <v>2023</v>
      </c>
      <c r="C661" s="15">
        <v>9</v>
      </c>
      <c r="D661" s="15">
        <v>25</v>
      </c>
      <c r="E661" s="16"/>
      <c r="F661" t="s" s="17">
        <v>287</v>
      </c>
      <c r="G661" s="16"/>
      <c r="H661" t="s" s="17">
        <v>163</v>
      </c>
      <c r="I661" t="s" s="17">
        <v>14</v>
      </c>
      <c r="J661" t="s" s="17">
        <v>288</v>
      </c>
      <c r="K661" t="s" s="17">
        <v>23</v>
      </c>
      <c r="L661" s="15">
        <f>IF(O661,P661/O661,0)</f>
        <v>27.2195</v>
      </c>
      <c r="M661" s="15">
        <v>27.2195</v>
      </c>
      <c r="N661" s="15">
        <f>A661</f>
        <v>659</v>
      </c>
      <c r="O661" s="15">
        <v>10</v>
      </c>
      <c r="P661" s="42">
        <f t="shared" si="1874"/>
        <v>272.195</v>
      </c>
      <c r="Q661" s="16"/>
    </row>
    <row r="662" ht="20.05" customHeight="1">
      <c r="A662" s="13">
        <f>A661+1</f>
        <v>660</v>
      </c>
      <c r="B662" s="14">
        <v>2023</v>
      </c>
      <c r="C662" s="15">
        <v>9</v>
      </c>
      <c r="D662" s="15">
        <v>25</v>
      </c>
      <c r="E662" s="16"/>
      <c r="F662" t="s" s="17">
        <v>287</v>
      </c>
      <c r="G662" s="16"/>
      <c r="H662" t="s" s="17">
        <v>163</v>
      </c>
      <c r="I662" t="s" s="17">
        <v>14</v>
      </c>
      <c r="J662" t="s" s="17">
        <v>279</v>
      </c>
      <c r="K662" t="s" s="17">
        <v>23</v>
      </c>
      <c r="L662" s="15">
        <f>IF(O662,P662/O662,0)</f>
        <v>31.3605</v>
      </c>
      <c r="M662" s="15">
        <v>31.3605</v>
      </c>
      <c r="N662" s="15">
        <f>A662</f>
        <v>660</v>
      </c>
      <c r="O662" s="15">
        <v>10</v>
      </c>
      <c r="P662" s="42">
        <f t="shared" si="1680"/>
        <v>313.605</v>
      </c>
      <c r="Q662" s="16"/>
    </row>
    <row r="663" ht="32.05" customHeight="1">
      <c r="A663" s="13">
        <f>A662+1</f>
        <v>661</v>
      </c>
      <c r="B663" s="14">
        <v>2023</v>
      </c>
      <c r="C663" s="15">
        <v>9</v>
      </c>
      <c r="D663" s="15">
        <v>25</v>
      </c>
      <c r="E663" s="16"/>
      <c r="F663" t="s" s="17">
        <v>287</v>
      </c>
      <c r="G663" s="16"/>
      <c r="H663" t="s" s="17">
        <v>163</v>
      </c>
      <c r="I663" t="s" s="17">
        <v>17</v>
      </c>
      <c r="J663" t="s" s="17">
        <v>299</v>
      </c>
      <c r="K663" t="s" s="17">
        <v>23</v>
      </c>
      <c r="L663" s="15">
        <f>IF(O663,P663/O663,0)</f>
        <v>37.269</v>
      </c>
      <c r="M663" s="15">
        <v>37.269</v>
      </c>
      <c r="N663" s="15">
        <f>A663</f>
        <v>661</v>
      </c>
      <c r="O663" s="15">
        <v>24</v>
      </c>
      <c r="P663" s="42">
        <f t="shared" si="2029"/>
        <v>894.456</v>
      </c>
      <c r="Q663" s="16"/>
    </row>
    <row r="664" ht="32.05" customHeight="1">
      <c r="A664" s="13">
        <f>A663+1</f>
        <v>662</v>
      </c>
      <c r="B664" s="14">
        <v>2023</v>
      </c>
      <c r="C664" s="15">
        <v>9</v>
      </c>
      <c r="D664" s="15">
        <v>25</v>
      </c>
      <c r="E664" s="16"/>
      <c r="F664" t="s" s="17">
        <v>287</v>
      </c>
      <c r="G664" s="16"/>
      <c r="H664" t="s" s="17">
        <v>163</v>
      </c>
      <c r="I664" t="s" s="17">
        <v>17</v>
      </c>
      <c r="J664" t="s" s="17">
        <v>298</v>
      </c>
      <c r="K664" t="s" s="17">
        <v>23</v>
      </c>
      <c r="L664" s="15">
        <f>IF(O664,P664/O664,0)</f>
        <v>33.128</v>
      </c>
      <c r="M664" s="15">
        <v>33.128</v>
      </c>
      <c r="N664" s="15">
        <f>A664</f>
        <v>662</v>
      </c>
      <c r="O664" s="15">
        <v>24</v>
      </c>
      <c r="P664" s="42">
        <f t="shared" si="2025"/>
        <v>795.072</v>
      </c>
      <c r="Q664" s="16"/>
    </row>
    <row r="665" ht="20.35" customHeight="1">
      <c r="A665" s="13">
        <f>A664+1</f>
        <v>663</v>
      </c>
      <c r="B665" s="14">
        <v>2023</v>
      </c>
      <c r="C665" s="15">
        <v>9</v>
      </c>
      <c r="D665" s="15">
        <v>27</v>
      </c>
      <c r="E665" s="16"/>
      <c r="F665" t="s" s="17">
        <v>111</v>
      </c>
      <c r="G665" s="16"/>
      <c r="H665" t="s" s="17">
        <v>163</v>
      </c>
      <c r="I665" t="s" s="17">
        <v>127</v>
      </c>
      <c r="J665" t="s" s="17">
        <v>132</v>
      </c>
      <c r="K665" t="s" s="17">
        <v>41</v>
      </c>
      <c r="L665" s="15">
        <f>IF(O665,P665/O665,0)</f>
        <v>0.0347225</v>
      </c>
      <c r="M665" s="15">
        <v>0.0347225</v>
      </c>
      <c r="N665" s="15">
        <f>A665</f>
        <v>663</v>
      </c>
      <c r="O665" s="15">
        <v>4000</v>
      </c>
      <c r="P665" s="18">
        <v>138.89</v>
      </c>
      <c r="Q665" s="16"/>
    </row>
    <row r="666" ht="20.7" customHeight="1">
      <c r="A666" s="13">
        <f>A665+1</f>
        <v>664</v>
      </c>
      <c r="B666" s="14">
        <v>2023</v>
      </c>
      <c r="C666" s="15">
        <v>9</v>
      </c>
      <c r="D666" s="15">
        <v>27</v>
      </c>
      <c r="E666" s="16"/>
      <c r="F666" t="s" s="17">
        <v>122</v>
      </c>
      <c r="G666" s="16"/>
      <c r="H666" t="s" s="17">
        <v>163</v>
      </c>
      <c r="I666" t="s" s="17">
        <v>19</v>
      </c>
      <c r="J666" t="s" s="17">
        <v>67</v>
      </c>
      <c r="K666" t="s" s="17">
        <v>23</v>
      </c>
      <c r="L666" s="15">
        <f>IF(O666,P666/O666,0)</f>
        <v>0.9509</v>
      </c>
      <c r="M666" s="15">
        <v>0.9509</v>
      </c>
      <c r="N666" s="15">
        <f>A666</f>
        <v>664</v>
      </c>
      <c r="O666" s="19">
        <f t="shared" si="1369"/>
        <v>400</v>
      </c>
      <c r="P666" s="27">
        <f>376.6+3.76</f>
        <v>380.36</v>
      </c>
      <c r="Q666" s="21"/>
    </row>
    <row r="667" ht="20.7" customHeight="1">
      <c r="A667" s="13">
        <f>A666+1</f>
        <v>665</v>
      </c>
      <c r="B667" s="14">
        <v>2023</v>
      </c>
      <c r="C667" s="15">
        <v>9</v>
      </c>
      <c r="D667" s="15">
        <v>27</v>
      </c>
      <c r="E667" s="16"/>
      <c r="F667" t="s" s="17">
        <v>122</v>
      </c>
      <c r="G667" s="16"/>
      <c r="H667" t="s" s="17">
        <v>163</v>
      </c>
      <c r="I667" t="s" s="17">
        <v>19</v>
      </c>
      <c r="J667" t="s" s="17">
        <v>138</v>
      </c>
      <c r="K667" t="s" s="17">
        <v>41</v>
      </c>
      <c r="L667" s="15">
        <f>IF(O667,P667/O667,0)</f>
        <v>0.0268491666666667</v>
      </c>
      <c r="M667" s="15">
        <v>0.0268491666666667</v>
      </c>
      <c r="N667" s="15">
        <f>A667</f>
        <v>665</v>
      </c>
      <c r="O667" s="19">
        <f t="shared" si="2248" ref="O667:O753">3*12*1000</f>
        <v>36000</v>
      </c>
      <c r="P667" s="27">
        <f>957+9.57</f>
        <v>966.5700000000001</v>
      </c>
      <c r="Q667" s="21"/>
    </row>
    <row r="668" ht="20.7" customHeight="1">
      <c r="A668" s="13">
        <f>A667+1</f>
        <v>666</v>
      </c>
      <c r="B668" s="14">
        <v>2023</v>
      </c>
      <c r="C668" s="15">
        <v>9</v>
      </c>
      <c r="D668" s="15">
        <v>27</v>
      </c>
      <c r="E668" s="16"/>
      <c r="F668" t="s" s="17">
        <v>122</v>
      </c>
      <c r="G668" s="16"/>
      <c r="H668" t="s" s="17">
        <v>163</v>
      </c>
      <c r="I668" t="s" s="17">
        <v>19</v>
      </c>
      <c r="J668" t="s" s="17">
        <v>139</v>
      </c>
      <c r="K668" t="s" s="17">
        <v>23</v>
      </c>
      <c r="L668" s="15">
        <f>IF(O668,P668/O668,0)</f>
        <v>3.89275</v>
      </c>
      <c r="M668" s="15">
        <v>3.89275</v>
      </c>
      <c r="N668" s="15">
        <f>A668</f>
        <v>666</v>
      </c>
      <c r="O668" s="19">
        <f t="shared" si="2253" ref="O668:O1104">5*24</f>
        <v>120</v>
      </c>
      <c r="P668" s="27">
        <f>462.5+4.63</f>
        <v>467.13</v>
      </c>
      <c r="Q668" s="21"/>
    </row>
    <row r="669" ht="20.7" customHeight="1">
      <c r="A669" s="13">
        <f>A668+1</f>
        <v>667</v>
      </c>
      <c r="B669" s="14">
        <v>2023</v>
      </c>
      <c r="C669" s="15">
        <v>9</v>
      </c>
      <c r="D669" s="15">
        <v>27</v>
      </c>
      <c r="E669" s="16"/>
      <c r="F669" t="s" s="17">
        <v>122</v>
      </c>
      <c r="G669" s="16"/>
      <c r="H669" t="s" s="17">
        <v>163</v>
      </c>
      <c r="I669" t="s" s="17">
        <v>127</v>
      </c>
      <c r="J669" t="s" s="17">
        <v>161</v>
      </c>
      <c r="K669" t="s" s="17">
        <v>23</v>
      </c>
      <c r="L669" s="15">
        <f>IF(O669,P669/O669,0)</f>
        <v>7.4</v>
      </c>
      <c r="M669" s="15">
        <v>7.4</v>
      </c>
      <c r="N669" s="15">
        <f>A669</f>
        <v>667</v>
      </c>
      <c r="O669" s="19">
        <f t="shared" si="2258" ref="O669:O807">8*3</f>
        <v>24</v>
      </c>
      <c r="P669" s="27">
        <f>148+29.6</f>
        <v>177.6</v>
      </c>
      <c r="Q669" s="21"/>
    </row>
    <row r="670" ht="32.7" customHeight="1">
      <c r="A670" s="13">
        <f>A669+1</f>
        <v>668</v>
      </c>
      <c r="B670" s="14">
        <v>2023</v>
      </c>
      <c r="C670" s="15">
        <v>9</v>
      </c>
      <c r="D670" s="15">
        <v>27</v>
      </c>
      <c r="E670" s="16"/>
      <c r="F670" t="s" s="17">
        <v>122</v>
      </c>
      <c r="G670" s="16"/>
      <c r="H670" t="s" s="17">
        <v>163</v>
      </c>
      <c r="I670" t="s" s="17">
        <v>127</v>
      </c>
      <c r="J670" t="s" s="17">
        <v>165</v>
      </c>
      <c r="K670" t="s" s="17">
        <v>23</v>
      </c>
      <c r="L670" s="15">
        <f>IF(O670,P670/O670,0)</f>
        <v>4.761</v>
      </c>
      <c r="M670" s="15">
        <v>4.761</v>
      </c>
      <c r="N670" s="15">
        <f>A670</f>
        <v>668</v>
      </c>
      <c r="O670" s="19">
        <f t="shared" si="2263" ref="O670:O820">10*10</f>
        <v>100</v>
      </c>
      <c r="P670" s="27">
        <f>396.75+79.35</f>
        <v>476.1</v>
      </c>
      <c r="Q670" s="21"/>
    </row>
    <row r="671" ht="32.7" customHeight="1">
      <c r="A671" s="13">
        <f>A670+1</f>
        <v>669</v>
      </c>
      <c r="B671" s="14">
        <v>2023</v>
      </c>
      <c r="C671" s="15">
        <v>9</v>
      </c>
      <c r="D671" s="15">
        <v>27</v>
      </c>
      <c r="E671" s="16"/>
      <c r="F671" t="s" s="17">
        <v>122</v>
      </c>
      <c r="G671" s="16"/>
      <c r="H671" t="s" s="17">
        <v>163</v>
      </c>
      <c r="I671" t="s" s="17">
        <v>127</v>
      </c>
      <c r="J671" t="s" s="17">
        <v>137</v>
      </c>
      <c r="K671" t="s" s="17">
        <v>41</v>
      </c>
      <c r="L671" s="15">
        <f>IF(O671,P671/O671,0)</f>
        <v>0.017866</v>
      </c>
      <c r="M671" s="15">
        <v>0.017866</v>
      </c>
      <c r="N671" s="15">
        <f>A671</f>
        <v>669</v>
      </c>
      <c r="O671" s="19">
        <v>20000</v>
      </c>
      <c r="P671" s="27">
        <f>297.77+59.55</f>
        <v>357.32</v>
      </c>
      <c r="Q671" s="21"/>
    </row>
    <row r="672" ht="20.7" customHeight="1">
      <c r="A672" s="13">
        <f>A671+1</f>
        <v>670</v>
      </c>
      <c r="B672" s="14">
        <v>2023</v>
      </c>
      <c r="C672" s="15">
        <v>9</v>
      </c>
      <c r="D672" s="15">
        <v>27</v>
      </c>
      <c r="E672" s="16"/>
      <c r="F672" t="s" s="17">
        <v>122</v>
      </c>
      <c r="G672" s="16"/>
      <c r="H672" t="s" s="17">
        <v>163</v>
      </c>
      <c r="I672" t="s" s="17">
        <v>127</v>
      </c>
      <c r="J672" t="s" s="17">
        <v>167</v>
      </c>
      <c r="K672" t="s" s="17">
        <v>23</v>
      </c>
      <c r="L672" s="15">
        <f>IF(O672,P672/O672,0)</f>
        <v>0.66</v>
      </c>
      <c r="M672" s="15">
        <v>0.66</v>
      </c>
      <c r="N672" s="15">
        <f>A672</f>
        <v>670</v>
      </c>
      <c r="O672" s="19">
        <f t="shared" si="1700"/>
        <v>200</v>
      </c>
      <c r="P672" s="27">
        <f>120+12</f>
        <v>132</v>
      </c>
      <c r="Q672" s="21"/>
    </row>
    <row r="673" ht="20.7" customHeight="1">
      <c r="A673" s="13">
        <f>A672+1</f>
        <v>671</v>
      </c>
      <c r="B673" s="14">
        <v>2023</v>
      </c>
      <c r="C673" s="15">
        <v>9</v>
      </c>
      <c r="D673" s="15">
        <v>27</v>
      </c>
      <c r="E673" s="16"/>
      <c r="F673" t="s" s="17">
        <v>122</v>
      </c>
      <c r="G673" s="16"/>
      <c r="H673" t="s" s="17">
        <v>163</v>
      </c>
      <c r="I673" t="s" s="17">
        <v>19</v>
      </c>
      <c r="J673" t="s" s="17">
        <v>73</v>
      </c>
      <c r="K673" t="s" s="17">
        <v>23</v>
      </c>
      <c r="L673" s="15">
        <f>IF(O673,P673/O673,0)</f>
        <v>5.89166666666667</v>
      </c>
      <c r="M673" s="15">
        <v>5.89166666666667</v>
      </c>
      <c r="N673" s="15">
        <f>A673</f>
        <v>671</v>
      </c>
      <c r="O673" s="19">
        <f t="shared" si="1533"/>
        <v>24</v>
      </c>
      <c r="P673" s="27">
        <f t="shared" si="2278" ref="P673:P674">140+1.4</f>
        <v>141.4</v>
      </c>
      <c r="Q673" s="21"/>
    </row>
    <row r="674" ht="20.7" customHeight="1">
      <c r="A674" s="13">
        <f>A673+1</f>
        <v>672</v>
      </c>
      <c r="B674" s="14">
        <v>2023</v>
      </c>
      <c r="C674" s="15">
        <v>9</v>
      </c>
      <c r="D674" s="15">
        <v>27</v>
      </c>
      <c r="E674" s="16"/>
      <c r="F674" t="s" s="17">
        <v>122</v>
      </c>
      <c r="G674" s="16"/>
      <c r="H674" t="s" s="17">
        <v>163</v>
      </c>
      <c r="I674" t="s" s="17">
        <v>19</v>
      </c>
      <c r="J674" t="s" s="17">
        <v>74</v>
      </c>
      <c r="K674" t="s" s="17">
        <v>23</v>
      </c>
      <c r="L674" s="15">
        <f>IF(O674,P674/O674,0)</f>
        <v>5.89166666666667</v>
      </c>
      <c r="M674" s="15">
        <v>5.89166666666667</v>
      </c>
      <c r="N674" s="15">
        <f>A674</f>
        <v>672</v>
      </c>
      <c r="O674" s="19">
        <f t="shared" si="1533"/>
        <v>24</v>
      </c>
      <c r="P674" s="27">
        <f t="shared" si="2278"/>
        <v>141.4</v>
      </c>
      <c r="Q674" s="21"/>
    </row>
    <row r="675" ht="32.7" customHeight="1">
      <c r="A675" s="13">
        <f>A674+1</f>
        <v>673</v>
      </c>
      <c r="B675" s="14">
        <v>2023</v>
      </c>
      <c r="C675" s="15">
        <v>9</v>
      </c>
      <c r="D675" s="15">
        <v>27</v>
      </c>
      <c r="E675" s="16"/>
      <c r="F675" t="s" s="17">
        <v>122</v>
      </c>
      <c r="G675" s="16"/>
      <c r="H675" t="s" s="17">
        <v>163</v>
      </c>
      <c r="I675" t="s" s="17">
        <v>127</v>
      </c>
      <c r="J675" t="s" s="17">
        <v>136</v>
      </c>
      <c r="K675" t="s" s="17">
        <v>23</v>
      </c>
      <c r="L675" s="15">
        <f>IF(O675,P675/O675,0)</f>
        <v>0.1755</v>
      </c>
      <c r="M675" s="15">
        <v>0.1755</v>
      </c>
      <c r="N675" s="15">
        <f>A675</f>
        <v>673</v>
      </c>
      <c r="O675" s="19">
        <f>1*12*200</f>
        <v>2400</v>
      </c>
      <c r="P675" s="27">
        <f>351+70.2</f>
        <v>421.2</v>
      </c>
      <c r="Q675" s="21"/>
    </row>
    <row r="676" ht="20.7" customHeight="1">
      <c r="A676" s="13">
        <f>A675+1</f>
        <v>674</v>
      </c>
      <c r="B676" s="14">
        <v>2023</v>
      </c>
      <c r="C676" s="15">
        <v>9</v>
      </c>
      <c r="D676" s="15">
        <v>27</v>
      </c>
      <c r="E676" s="16"/>
      <c r="F676" t="s" s="17">
        <v>122</v>
      </c>
      <c r="G676" s="16"/>
      <c r="H676" t="s" s="17">
        <v>163</v>
      </c>
      <c r="I676" t="s" s="17">
        <v>127</v>
      </c>
      <c r="J676" t="s" s="17">
        <v>196</v>
      </c>
      <c r="K676" t="s" s="17">
        <v>41</v>
      </c>
      <c r="L676" s="15">
        <f>IF(O676,P676/O676,0)</f>
        <v>0.04104</v>
      </c>
      <c r="M676" s="15">
        <v>0.04104</v>
      </c>
      <c r="N676" s="15">
        <f>A676</f>
        <v>674</v>
      </c>
      <c r="O676" s="19">
        <v>4000</v>
      </c>
      <c r="P676" s="27">
        <f>136.8+27.36</f>
        <v>164.16</v>
      </c>
      <c r="Q676" s="21"/>
    </row>
    <row r="677" ht="20.35" customHeight="1">
      <c r="A677" s="13">
        <f>A676+1</f>
        <v>675</v>
      </c>
      <c r="B677" s="14">
        <v>2023</v>
      </c>
      <c r="C677" s="15">
        <v>9</v>
      </c>
      <c r="D677" s="15">
        <v>27</v>
      </c>
      <c r="E677" s="16"/>
      <c r="F677" t="s" s="17">
        <v>111</v>
      </c>
      <c r="G677" s="16"/>
      <c r="H677" t="s" s="17">
        <v>163</v>
      </c>
      <c r="I677" t="s" s="17">
        <v>19</v>
      </c>
      <c r="J677" t="s" s="17">
        <v>112</v>
      </c>
      <c r="K677" t="s" s="17">
        <v>41</v>
      </c>
      <c r="L677" s="15">
        <f>IF(O677,P677/O677,0)</f>
        <v>0.03333</v>
      </c>
      <c r="M677" s="15">
        <v>0.03333</v>
      </c>
      <c r="N677" s="15">
        <f>A677</f>
        <v>675</v>
      </c>
      <c r="O677" s="15">
        <f t="shared" si="2296" ref="O677:O913">10*1000</f>
        <v>10000</v>
      </c>
      <c r="P677" s="22">
        <v>333.3</v>
      </c>
      <c r="Q677" s="16"/>
    </row>
    <row r="678" ht="20.05" customHeight="1">
      <c r="A678" s="13">
        <f>A677+1</f>
        <v>676</v>
      </c>
      <c r="B678" s="14">
        <v>2023</v>
      </c>
      <c r="C678" s="15">
        <v>9</v>
      </c>
      <c r="D678" s="15">
        <v>27</v>
      </c>
      <c r="E678" s="16"/>
      <c r="F678" t="s" s="17">
        <v>111</v>
      </c>
      <c r="G678" s="16"/>
      <c r="H678" t="s" s="17">
        <v>163</v>
      </c>
      <c r="I678" t="s" s="17">
        <v>19</v>
      </c>
      <c r="J678" t="s" s="17">
        <v>72</v>
      </c>
      <c r="K678" t="s" s="17">
        <v>41</v>
      </c>
      <c r="L678" s="15">
        <f>IF(O678,P678/O678,0)</f>
        <v>0.23032</v>
      </c>
      <c r="M678" s="15">
        <v>0.23032</v>
      </c>
      <c r="N678" s="15">
        <f>A678</f>
        <v>676</v>
      </c>
      <c r="O678" s="15">
        <f t="shared" si="2300" ref="O678:O2005">250</f>
        <v>250</v>
      </c>
      <c r="P678" s="15">
        <v>57.58</v>
      </c>
      <c r="Q678" s="16"/>
    </row>
    <row r="679" ht="20.05" customHeight="1">
      <c r="A679" s="13">
        <f>A678+1</f>
        <v>677</v>
      </c>
      <c r="B679" s="14">
        <v>2023</v>
      </c>
      <c r="C679" s="15">
        <v>9</v>
      </c>
      <c r="D679" s="15">
        <v>27</v>
      </c>
      <c r="E679" s="16"/>
      <c r="F679" t="s" s="17">
        <v>111</v>
      </c>
      <c r="G679" s="16"/>
      <c r="H679" t="s" s="17">
        <v>163</v>
      </c>
      <c r="I679" t="s" s="17">
        <v>26</v>
      </c>
      <c r="J679" t="s" s="17">
        <v>117</v>
      </c>
      <c r="K679" t="s" s="17">
        <v>23</v>
      </c>
      <c r="L679" s="15">
        <f>IF(O679,P679/O679,0)</f>
        <v>34.452</v>
      </c>
      <c r="M679" s="15">
        <v>34.452</v>
      </c>
      <c r="N679" s="15">
        <f>A679</f>
        <v>677</v>
      </c>
      <c r="O679" s="15">
        <v>5</v>
      </c>
      <c r="P679" s="15">
        <v>172.26</v>
      </c>
      <c r="Q679" s="16"/>
    </row>
    <row r="680" ht="20.05" customHeight="1">
      <c r="A680" s="13">
        <f>A679+1</f>
        <v>678</v>
      </c>
      <c r="B680" s="14">
        <v>2023</v>
      </c>
      <c r="C680" s="15">
        <v>9</v>
      </c>
      <c r="D680" s="15">
        <v>27</v>
      </c>
      <c r="E680" s="16"/>
      <c r="F680" t="s" s="17">
        <v>111</v>
      </c>
      <c r="G680" s="16"/>
      <c r="H680" t="s" s="17">
        <v>163</v>
      </c>
      <c r="I680" t="s" s="17">
        <v>26</v>
      </c>
      <c r="J680" t="s" s="17">
        <v>118</v>
      </c>
      <c r="K680" t="s" s="17">
        <v>23</v>
      </c>
      <c r="L680" s="15">
        <f>IF(O680,P680/O680,0)</f>
        <v>35.532</v>
      </c>
      <c r="M680" s="15">
        <v>35.532</v>
      </c>
      <c r="N680" s="15">
        <f>A680</f>
        <v>678</v>
      </c>
      <c r="O680" s="15">
        <v>5</v>
      </c>
      <c r="P680" s="15">
        <v>177.66</v>
      </c>
      <c r="Q680" s="16"/>
    </row>
    <row r="681" ht="20.05" customHeight="1">
      <c r="A681" s="13">
        <f>A680+1</f>
        <v>679</v>
      </c>
      <c r="B681" s="14">
        <v>2023</v>
      </c>
      <c r="C681" s="15">
        <v>9</v>
      </c>
      <c r="D681" s="15">
        <v>27</v>
      </c>
      <c r="E681" s="16"/>
      <c r="F681" t="s" s="17">
        <v>111</v>
      </c>
      <c r="G681" s="16"/>
      <c r="H681" t="s" s="17">
        <v>163</v>
      </c>
      <c r="I681" t="s" s="17">
        <v>19</v>
      </c>
      <c r="J681" t="s" s="17">
        <v>81</v>
      </c>
      <c r="K681" t="s" s="17">
        <v>23</v>
      </c>
      <c r="L681" s="15">
        <f>IF(O681,P681/O681,0)</f>
        <v>1.25475308641975</v>
      </c>
      <c r="M681" s="15">
        <v>1.25475308641975</v>
      </c>
      <c r="N681" s="15">
        <f>A681</f>
        <v>679</v>
      </c>
      <c r="O681" s="15">
        <f t="shared" si="2157"/>
        <v>324</v>
      </c>
      <c r="P681" s="15">
        <v>406.54</v>
      </c>
      <c r="Q681" s="16"/>
    </row>
    <row r="682" ht="20.05" customHeight="1">
      <c r="A682" s="13">
        <f>A681+1</f>
        <v>680</v>
      </c>
      <c r="B682" s="14">
        <v>2023</v>
      </c>
      <c r="C682" s="15">
        <v>9</v>
      </c>
      <c r="D682" s="15">
        <v>27</v>
      </c>
      <c r="E682" s="16"/>
      <c r="F682" t="s" s="17">
        <v>111</v>
      </c>
      <c r="G682" s="16"/>
      <c r="H682" t="s" s="17">
        <v>163</v>
      </c>
      <c r="I682" t="s" s="17">
        <v>19</v>
      </c>
      <c r="J682" t="s" s="17">
        <v>101</v>
      </c>
      <c r="K682" t="s" s="17">
        <v>23</v>
      </c>
      <c r="L682" s="15">
        <f>IF(O682,P682/O682,0)</f>
        <v>6.61541666666667</v>
      </c>
      <c r="M682" s="15">
        <v>6.61541666666667</v>
      </c>
      <c r="N682" s="15">
        <f>A682</f>
        <v>680</v>
      </c>
      <c r="O682" s="15">
        <f t="shared" si="1533"/>
        <v>24</v>
      </c>
      <c r="P682" s="15">
        <v>158.77</v>
      </c>
      <c r="Q682" s="16"/>
    </row>
    <row r="683" ht="20.05" customHeight="1">
      <c r="A683" s="13">
        <f>A682+1</f>
        <v>681</v>
      </c>
      <c r="B683" s="14">
        <v>2023</v>
      </c>
      <c r="C683" s="15">
        <v>9</v>
      </c>
      <c r="D683" s="15">
        <v>27</v>
      </c>
      <c r="E683" s="16"/>
      <c r="F683" t="s" s="17">
        <v>111</v>
      </c>
      <c r="G683" s="16"/>
      <c r="H683" t="s" s="17">
        <v>163</v>
      </c>
      <c r="I683" t="s" s="17">
        <v>19</v>
      </c>
      <c r="J683" t="s" s="17">
        <v>135</v>
      </c>
      <c r="K683" t="s" s="17">
        <v>23</v>
      </c>
      <c r="L683" s="15">
        <f>IF(O683,P683/O683,0)</f>
        <v>0.4428</v>
      </c>
      <c r="M683" s="15">
        <v>0.4428</v>
      </c>
      <c r="N683" s="15">
        <f>A683</f>
        <v>681</v>
      </c>
      <c r="O683" s="15">
        <f t="shared" si="2318" ref="O683:O914">5*50</f>
        <v>250</v>
      </c>
      <c r="P683" s="15">
        <v>110.7</v>
      </c>
      <c r="Q683" s="16"/>
    </row>
    <row r="684" ht="20.05" customHeight="1">
      <c r="A684" s="13">
        <f>A683+1</f>
        <v>682</v>
      </c>
      <c r="B684" s="14">
        <v>2023</v>
      </c>
      <c r="C684" s="15">
        <v>9</v>
      </c>
      <c r="D684" s="15">
        <v>27</v>
      </c>
      <c r="E684" s="16"/>
      <c r="F684" t="s" s="17">
        <v>275</v>
      </c>
      <c r="G684" s="16"/>
      <c r="H684" t="s" s="17">
        <v>163</v>
      </c>
      <c r="I684" t="s" s="17">
        <v>19</v>
      </c>
      <c r="J684" t="s" s="17">
        <v>155</v>
      </c>
      <c r="K684" t="s" s="17">
        <v>16</v>
      </c>
      <c r="L684" s="15">
        <f>IF(O684,P684/O684,0)</f>
        <v>0.33936</v>
      </c>
      <c r="M684" s="15">
        <v>0.33936</v>
      </c>
      <c r="N684" s="15">
        <f>A684</f>
        <v>682</v>
      </c>
      <c r="O684" s="15">
        <f t="shared" si="1393"/>
        <v>4000</v>
      </c>
      <c r="P684" s="41">
        <f t="shared" si="2072"/>
        <v>1357.44</v>
      </c>
      <c r="Q684" s="16"/>
    </row>
    <row r="685" ht="20.05" customHeight="1">
      <c r="A685" s="13">
        <f>A684+1</f>
        <v>683</v>
      </c>
      <c r="B685" s="14">
        <v>2023</v>
      </c>
      <c r="C685" s="15">
        <v>9</v>
      </c>
      <c r="D685" s="15">
        <v>27</v>
      </c>
      <c r="E685" s="16"/>
      <c r="F685" t="s" s="17">
        <v>275</v>
      </c>
      <c r="G685" s="16"/>
      <c r="H685" t="s" s="17">
        <v>163</v>
      </c>
      <c r="I685" t="s" s="17">
        <v>19</v>
      </c>
      <c r="J685" t="s" s="17">
        <v>105</v>
      </c>
      <c r="K685" t="s" s="17">
        <v>41</v>
      </c>
      <c r="L685" s="15">
        <f>IF(O685,P685/O685,0)</f>
        <v>0.360906666666667</v>
      </c>
      <c r="M685" s="15">
        <v>0.360906666666667</v>
      </c>
      <c r="N685" s="15">
        <f>A685</f>
        <v>683</v>
      </c>
      <c r="O685" s="15">
        <v>750</v>
      </c>
      <c r="P685" s="41">
        <f t="shared" si="2076"/>
        <v>270.68</v>
      </c>
      <c r="Q685" s="16"/>
    </row>
    <row r="686" ht="20.05" customHeight="1">
      <c r="A686" s="13">
        <f>A685+1</f>
        <v>684</v>
      </c>
      <c r="B686" s="14">
        <v>2023</v>
      </c>
      <c r="C686" s="15">
        <v>9</v>
      </c>
      <c r="D686" s="15">
        <v>27</v>
      </c>
      <c r="E686" s="16"/>
      <c r="F686" t="s" s="17">
        <v>275</v>
      </c>
      <c r="G686" s="16"/>
      <c r="H686" t="s" s="17">
        <v>163</v>
      </c>
      <c r="I686" t="s" s="17">
        <v>19</v>
      </c>
      <c r="J686" t="s" s="17">
        <v>94</v>
      </c>
      <c r="K686" t="s" s="17">
        <v>41</v>
      </c>
      <c r="L686" s="15">
        <f>IF(O686,P686/O686,0)</f>
        <v>0.360906666666667</v>
      </c>
      <c r="M686" s="15">
        <v>0.360906666666667</v>
      </c>
      <c r="N686" s="15">
        <f>A686</f>
        <v>684</v>
      </c>
      <c r="O686" s="15">
        <v>750</v>
      </c>
      <c r="P686" s="41">
        <f t="shared" si="2076"/>
        <v>270.68</v>
      </c>
      <c r="Q686" s="16"/>
    </row>
    <row r="687" ht="20.05" customHeight="1">
      <c r="A687" s="13">
        <f>A686+1</f>
        <v>685</v>
      </c>
      <c r="B687" s="14">
        <v>2023</v>
      </c>
      <c r="C687" s="15">
        <v>9</v>
      </c>
      <c r="D687" s="15">
        <v>27</v>
      </c>
      <c r="E687" s="16"/>
      <c r="F687" t="s" s="17">
        <v>275</v>
      </c>
      <c r="G687" s="16"/>
      <c r="H687" t="s" s="17">
        <v>163</v>
      </c>
      <c r="I687" t="s" s="17">
        <v>19</v>
      </c>
      <c r="J687" t="s" s="17">
        <v>91</v>
      </c>
      <c r="K687" t="s" s="17">
        <v>41</v>
      </c>
      <c r="L687" s="15">
        <f>IF(O687,P687/O687,0)</f>
        <v>0.28886</v>
      </c>
      <c r="M687" s="15">
        <v>0.28886</v>
      </c>
      <c r="N687" s="15">
        <f>A687</f>
        <v>685</v>
      </c>
      <c r="O687" s="15">
        <v>2000</v>
      </c>
      <c r="P687" s="41">
        <f t="shared" si="1990"/>
        <v>577.72</v>
      </c>
      <c r="Q687" s="16"/>
    </row>
    <row r="688" ht="20.05" customHeight="1">
      <c r="A688" s="13">
        <f>A687+1</f>
        <v>686</v>
      </c>
      <c r="B688" s="14">
        <v>2023</v>
      </c>
      <c r="C688" s="15">
        <v>9</v>
      </c>
      <c r="D688" s="15">
        <v>27</v>
      </c>
      <c r="E688" s="16"/>
      <c r="F688" t="s" s="17">
        <v>275</v>
      </c>
      <c r="G688" s="16"/>
      <c r="H688" t="s" s="17">
        <v>163</v>
      </c>
      <c r="I688" t="s" s="17">
        <v>19</v>
      </c>
      <c r="J688" t="s" s="17">
        <v>100</v>
      </c>
      <c r="K688" t="s" s="17">
        <v>41</v>
      </c>
      <c r="L688" s="15">
        <f>IF(O688,P688/O688,0)</f>
        <v>0.48884</v>
      </c>
      <c r="M688" s="15">
        <v>0.48884</v>
      </c>
      <c r="N688" s="15">
        <f>A688</f>
        <v>686</v>
      </c>
      <c r="O688" s="15">
        <v>1000</v>
      </c>
      <c r="P688" s="41">
        <f t="shared" si="2339" ref="P688:P1204">484+484*1%</f>
        <v>488.84</v>
      </c>
      <c r="Q688" s="16"/>
    </row>
    <row r="689" ht="32.05" customHeight="1">
      <c r="A689" s="13">
        <f>A688+1</f>
        <v>687</v>
      </c>
      <c r="B689" s="14">
        <v>2023</v>
      </c>
      <c r="C689" s="15">
        <v>9</v>
      </c>
      <c r="D689" s="15">
        <v>27</v>
      </c>
      <c r="E689" s="16"/>
      <c r="F689" t="s" s="17">
        <v>126</v>
      </c>
      <c r="G689" s="16"/>
      <c r="H689" t="s" s="17">
        <v>163</v>
      </c>
      <c r="I689" t="s" s="17">
        <v>127</v>
      </c>
      <c r="J689" t="s" s="17">
        <v>136</v>
      </c>
      <c r="K689" t="s" s="17">
        <v>23</v>
      </c>
      <c r="L689" s="15">
        <f>IF(O689,P689/O689,0)</f>
        <v>0.1495</v>
      </c>
      <c r="M689" s="15">
        <v>0.1495</v>
      </c>
      <c r="N689" s="15">
        <f>A689</f>
        <v>687</v>
      </c>
      <c r="O689" s="15">
        <f t="shared" si="2343" ref="O689:O1691">2*200*10</f>
        <v>4000</v>
      </c>
      <c r="P689" s="15">
        <f>498.33+99.67</f>
        <v>598</v>
      </c>
      <c r="Q689" s="16"/>
    </row>
    <row r="690" ht="20.05" customHeight="1">
      <c r="A690" s="13">
        <f>A689+1</f>
        <v>688</v>
      </c>
      <c r="B690" s="14">
        <v>2023</v>
      </c>
      <c r="C690" s="15">
        <v>9</v>
      </c>
      <c r="D690" s="15">
        <v>28</v>
      </c>
      <c r="E690" s="16"/>
      <c r="F690" t="s" s="17">
        <v>231</v>
      </c>
      <c r="G690" s="16"/>
      <c r="H690" t="s" s="17">
        <v>163</v>
      </c>
      <c r="I690" t="s" s="17">
        <v>127</v>
      </c>
      <c r="J690" t="s" s="17">
        <v>205</v>
      </c>
      <c r="K690" t="s" s="17">
        <v>23</v>
      </c>
      <c r="L690" s="15">
        <f>IF(O690,P690/O690,0)</f>
        <v>49.9</v>
      </c>
      <c r="M690" s="15">
        <v>49.9</v>
      </c>
      <c r="N690" s="15">
        <f>A690</f>
        <v>688</v>
      </c>
      <c r="O690" s="15">
        <v>5</v>
      </c>
      <c r="P690" s="15">
        <v>249.5</v>
      </c>
      <c r="Q690" s="16"/>
    </row>
    <row r="691" ht="32.05" customHeight="1">
      <c r="A691" s="13">
        <f>A690+1</f>
        <v>689</v>
      </c>
      <c r="B691" s="14">
        <v>2023</v>
      </c>
      <c r="C691" s="15">
        <v>9</v>
      </c>
      <c r="D691" s="15">
        <v>28</v>
      </c>
      <c r="E691" s="16"/>
      <c r="F691" t="s" s="17">
        <v>231</v>
      </c>
      <c r="G691" s="16"/>
      <c r="H691" t="s" s="17">
        <v>163</v>
      </c>
      <c r="I691" t="s" s="17">
        <v>127</v>
      </c>
      <c r="J691" t="s" s="17">
        <v>306</v>
      </c>
      <c r="K691" t="s" s="17">
        <v>23</v>
      </c>
      <c r="L691" s="15">
        <f>IF(O691,P691/O691,0)</f>
        <v>34.9</v>
      </c>
      <c r="M691" s="15">
        <v>34.9</v>
      </c>
      <c r="N691" s="15">
        <f>A691</f>
        <v>689</v>
      </c>
      <c r="O691" s="15">
        <v>3</v>
      </c>
      <c r="P691" s="15">
        <v>104.7</v>
      </c>
      <c r="Q691" s="16"/>
    </row>
    <row r="692" ht="20.05" customHeight="1">
      <c r="A692" s="13">
        <f>A691+1</f>
        <v>690</v>
      </c>
      <c r="B692" s="14">
        <v>2023</v>
      </c>
      <c r="C692" s="15">
        <v>9</v>
      </c>
      <c r="D692" s="15">
        <v>29</v>
      </c>
      <c r="E692" s="16"/>
      <c r="F692" t="s" s="17">
        <v>130</v>
      </c>
      <c r="G692" s="16"/>
      <c r="H692" t="s" s="17">
        <v>163</v>
      </c>
      <c r="I692" t="s" s="17">
        <v>19</v>
      </c>
      <c r="J692" t="s" s="17">
        <v>157</v>
      </c>
      <c r="K692" t="s" s="17">
        <v>16</v>
      </c>
      <c r="L692" s="15">
        <f>IF(O692,P692/O692,0)</f>
        <v>0.00990421455938697</v>
      </c>
      <c r="M692" s="15">
        <v>0.00990421455938697</v>
      </c>
      <c r="N692" s="15">
        <f>A692</f>
        <v>690</v>
      </c>
      <c r="O692" s="15">
        <v>1044</v>
      </c>
      <c r="P692" s="15">
        <v>10.34</v>
      </c>
      <c r="Q692" s="16"/>
    </row>
    <row r="693" ht="20.05" customHeight="1">
      <c r="A693" s="13">
        <f>A692+1</f>
        <v>691</v>
      </c>
      <c r="B693" s="14">
        <v>2023</v>
      </c>
      <c r="C693" s="15">
        <v>9</v>
      </c>
      <c r="D693" s="15">
        <v>30</v>
      </c>
      <c r="E693" s="16"/>
      <c r="F693" t="s" s="17">
        <v>141</v>
      </c>
      <c r="G693" s="16"/>
      <c r="H693" t="s" s="17">
        <v>163</v>
      </c>
      <c r="I693" t="s" s="17">
        <v>19</v>
      </c>
      <c r="J693" t="s" s="17">
        <v>144</v>
      </c>
      <c r="K693" t="s" s="17">
        <v>23</v>
      </c>
      <c r="L693" s="15">
        <f>IF(O693,P693/O693,0)</f>
        <v>13.8516666666667</v>
      </c>
      <c r="M693" s="15">
        <v>13.8516666666667</v>
      </c>
      <c r="N693" s="15">
        <f>A693</f>
        <v>691</v>
      </c>
      <c r="O693" s="15">
        <f t="shared" si="1410"/>
        <v>48</v>
      </c>
      <c r="P693" s="15">
        <f>604.43+60.45</f>
        <v>664.88</v>
      </c>
      <c r="Q693" s="16"/>
    </row>
    <row r="694" ht="20.05" customHeight="1">
      <c r="A694" s="13">
        <f>A693+1</f>
        <v>692</v>
      </c>
      <c r="B694" s="14">
        <v>2023</v>
      </c>
      <c r="C694" s="15">
        <v>9</v>
      </c>
      <c r="D694" s="15">
        <v>30</v>
      </c>
      <c r="E694" s="16"/>
      <c r="F694" t="s" s="17">
        <v>141</v>
      </c>
      <c r="G694" s="16"/>
      <c r="H694" t="s" s="17">
        <v>163</v>
      </c>
      <c r="I694" t="s" s="17">
        <v>19</v>
      </c>
      <c r="J694" t="s" s="17">
        <v>159</v>
      </c>
      <c r="K694" t="s" s="17">
        <v>23</v>
      </c>
      <c r="L694" s="15">
        <f>IF(O694,P694/O694,0)</f>
        <v>2.125125</v>
      </c>
      <c r="M694" s="15">
        <v>2.125125</v>
      </c>
      <c r="N694" s="15">
        <f>A694</f>
        <v>692</v>
      </c>
      <c r="O694" s="15">
        <f t="shared" si="2015"/>
        <v>240</v>
      </c>
      <c r="P694" s="15">
        <f>504.98+5.05</f>
        <v>510.03</v>
      </c>
      <c r="Q694" s="16"/>
    </row>
    <row r="695" ht="20.05" customHeight="1">
      <c r="A695" s="13">
        <f>A694+1</f>
        <v>693</v>
      </c>
      <c r="B695" s="14">
        <v>2023</v>
      </c>
      <c r="C695" s="15">
        <v>9</v>
      </c>
      <c r="D695" s="15">
        <v>30</v>
      </c>
      <c r="E695" s="16"/>
      <c r="F695" t="s" s="17">
        <v>141</v>
      </c>
      <c r="G695" s="16"/>
      <c r="H695" t="s" s="17">
        <v>163</v>
      </c>
      <c r="I695" t="s" s="17">
        <v>19</v>
      </c>
      <c r="J695" t="s" s="17">
        <v>307</v>
      </c>
      <c r="K695" t="s" s="17">
        <v>23</v>
      </c>
      <c r="L695" s="15">
        <f>IF(O695,P695/O695,0)</f>
        <v>-6.60888888888889</v>
      </c>
      <c r="M695" s="15">
        <v>-6.60888888888889</v>
      </c>
      <c r="N695" s="15">
        <f>A695</f>
        <v>693</v>
      </c>
      <c r="O695" s="15">
        <v>18</v>
      </c>
      <c r="P695" s="15">
        <v>-118.96</v>
      </c>
      <c r="Q695" s="16"/>
    </row>
    <row r="696" ht="32.05" customHeight="1">
      <c r="A696" s="13">
        <f>A695+1</f>
        <v>694</v>
      </c>
      <c r="B696" s="14">
        <v>2023</v>
      </c>
      <c r="C696" s="15">
        <v>9</v>
      </c>
      <c r="D696" s="15">
        <v>30</v>
      </c>
      <c r="E696" s="16"/>
      <c r="F696" t="s" s="17">
        <v>308</v>
      </c>
      <c r="G696" t="s" s="17">
        <v>309</v>
      </c>
      <c r="H696" t="s" s="17">
        <v>163</v>
      </c>
      <c r="I696" t="s" s="17">
        <v>187</v>
      </c>
      <c r="J696" t="s" s="17">
        <v>310</v>
      </c>
      <c r="K696" t="s" s="17">
        <v>23</v>
      </c>
      <c r="L696" s="15">
        <f>IF(O696,P696/O696,0)</f>
        <v>1.374</v>
      </c>
      <c r="M696" s="15">
        <v>1.374</v>
      </c>
      <c r="N696" s="15">
        <f>A696</f>
        <v>694</v>
      </c>
      <c r="O696" s="15">
        <v>30</v>
      </c>
      <c r="P696" s="15">
        <v>41.22</v>
      </c>
      <c r="Q696" s="16"/>
    </row>
    <row r="697" ht="20.05" customHeight="1">
      <c r="A697" s="13">
        <f>A696+1</f>
        <v>695</v>
      </c>
      <c r="B697" s="14">
        <v>2023</v>
      </c>
      <c r="C697" s="15">
        <v>9</v>
      </c>
      <c r="D697" s="15">
        <v>30</v>
      </c>
      <c r="E697" s="16"/>
      <c r="F697" t="s" s="17">
        <v>130</v>
      </c>
      <c r="G697" s="16"/>
      <c r="H697" t="s" s="17">
        <v>163</v>
      </c>
      <c r="I697" t="s" s="17">
        <v>26</v>
      </c>
      <c r="J697" t="s" s="17">
        <v>113</v>
      </c>
      <c r="K697" t="s" s="17">
        <v>41</v>
      </c>
      <c r="L697" s="15">
        <f>IF(O697,P697/O697,0)</f>
        <v>0.0263333333333333</v>
      </c>
      <c r="M697" s="15">
        <v>0.0263333333333333</v>
      </c>
      <c r="N697" s="15">
        <f>A697</f>
        <v>695</v>
      </c>
      <c r="O697" s="15">
        <v>3000</v>
      </c>
      <c r="P697" s="15">
        <v>79</v>
      </c>
      <c r="Q697" s="16"/>
    </row>
    <row r="698" ht="20.05" customHeight="1">
      <c r="A698" s="13">
        <f>A697+1</f>
        <v>696</v>
      </c>
      <c r="B698" s="14">
        <v>2023</v>
      </c>
      <c r="C698" s="15">
        <v>9</v>
      </c>
      <c r="D698" s="15">
        <v>30</v>
      </c>
      <c r="E698" s="16"/>
      <c r="F698" t="s" s="17">
        <v>130</v>
      </c>
      <c r="G698" s="16"/>
      <c r="H698" t="s" s="17">
        <v>163</v>
      </c>
      <c r="I698" t="s" s="17">
        <v>19</v>
      </c>
      <c r="J698" t="s" s="17">
        <v>157</v>
      </c>
      <c r="K698" t="s" s="17">
        <v>16</v>
      </c>
      <c r="L698" s="15">
        <f>IF(O698,P698/O698,0)</f>
        <v>0.00990364025695931</v>
      </c>
      <c r="M698" s="15">
        <v>0.00990364025695931</v>
      </c>
      <c r="N698" s="15">
        <f>A698</f>
        <v>696</v>
      </c>
      <c r="O698" s="15">
        <v>934</v>
      </c>
      <c r="P698" s="15">
        <v>9.25</v>
      </c>
      <c r="Q698" s="16"/>
    </row>
    <row r="699" ht="32.05" customHeight="1">
      <c r="A699" s="13">
        <f>A698+1</f>
        <v>697</v>
      </c>
      <c r="B699" s="14">
        <v>2023</v>
      </c>
      <c r="C699" s="15">
        <v>9</v>
      </c>
      <c r="D699" s="15">
        <v>30</v>
      </c>
      <c r="E699" s="16"/>
      <c r="F699" t="s" s="17">
        <v>287</v>
      </c>
      <c r="G699" s="16"/>
      <c r="H699" t="s" s="17">
        <v>163</v>
      </c>
      <c r="I699" t="s" s="17">
        <v>14</v>
      </c>
      <c r="J699" t="s" s="17">
        <v>283</v>
      </c>
      <c r="K699" t="s" s="17">
        <v>23</v>
      </c>
      <c r="L699" s="15">
        <f>IF(O699,P699/O699,0)</f>
        <v>32.724</v>
      </c>
      <c r="M699" s="15">
        <v>32.724</v>
      </c>
      <c r="N699" s="15">
        <f>A699</f>
        <v>697</v>
      </c>
      <c r="O699" s="15">
        <v>10</v>
      </c>
      <c r="P699" s="41">
        <f t="shared" si="1684"/>
        <v>327.24</v>
      </c>
      <c r="Q699" s="16"/>
    </row>
    <row r="700" ht="20.05" customHeight="1">
      <c r="A700" s="13">
        <f>A699+1</f>
        <v>698</v>
      </c>
      <c r="B700" s="14">
        <v>2023</v>
      </c>
      <c r="C700" s="15">
        <v>9</v>
      </c>
      <c r="D700" s="15">
        <v>30</v>
      </c>
      <c r="E700" s="16"/>
      <c r="F700" t="s" s="17">
        <v>287</v>
      </c>
      <c r="G700" s="16"/>
      <c r="H700" t="s" s="17">
        <v>163</v>
      </c>
      <c r="I700" t="s" s="17">
        <v>14</v>
      </c>
      <c r="J700" t="s" s="17">
        <v>282</v>
      </c>
      <c r="K700" t="s" s="17">
        <v>23</v>
      </c>
      <c r="L700" s="15">
        <f>IF(O700,P700/O700,0)</f>
        <v>24.9975</v>
      </c>
      <c r="M700" s="15">
        <v>24.9975</v>
      </c>
      <c r="N700" s="15">
        <f>A700</f>
        <v>698</v>
      </c>
      <c r="O700" s="15">
        <v>10</v>
      </c>
      <c r="P700" s="42">
        <f t="shared" si="1815"/>
        <v>249.975</v>
      </c>
      <c r="Q700" s="16"/>
    </row>
    <row r="701" ht="20.05" customHeight="1">
      <c r="A701" s="13">
        <f>A700+1</f>
        <v>699</v>
      </c>
      <c r="B701" s="14">
        <v>2023</v>
      </c>
      <c r="C701" s="15">
        <v>9</v>
      </c>
      <c r="D701" s="15">
        <v>30</v>
      </c>
      <c r="E701" s="16"/>
      <c r="F701" t="s" s="17">
        <v>287</v>
      </c>
      <c r="G701" s="16"/>
      <c r="H701" t="s" s="17">
        <v>163</v>
      </c>
      <c r="I701" t="s" s="17">
        <v>14</v>
      </c>
      <c r="J701" t="s" s="17">
        <v>279</v>
      </c>
      <c r="K701" t="s" s="17">
        <v>23</v>
      </c>
      <c r="L701" s="15">
        <f>IF(O701,P701/O701,0)</f>
        <v>31.3605</v>
      </c>
      <c r="M701" s="15">
        <v>31.3605</v>
      </c>
      <c r="N701" s="15">
        <f>A701</f>
        <v>699</v>
      </c>
      <c r="O701" s="15">
        <v>10</v>
      </c>
      <c r="P701" s="42">
        <f t="shared" si="1680"/>
        <v>313.605</v>
      </c>
      <c r="Q701" s="16"/>
    </row>
    <row r="702" ht="20.05" customHeight="1">
      <c r="A702" s="13">
        <f>A701+1</f>
        <v>700</v>
      </c>
      <c r="B702" s="14">
        <v>2023</v>
      </c>
      <c r="C702" s="15">
        <v>9</v>
      </c>
      <c r="D702" s="15">
        <v>30</v>
      </c>
      <c r="E702" s="16"/>
      <c r="F702" t="s" s="17">
        <v>287</v>
      </c>
      <c r="G702" s="16"/>
      <c r="H702" t="s" s="17">
        <v>163</v>
      </c>
      <c r="I702" t="s" s="17">
        <v>14</v>
      </c>
      <c r="J702" t="s" s="17">
        <v>289</v>
      </c>
      <c r="K702" t="s" s="17">
        <v>23</v>
      </c>
      <c r="L702" s="15">
        <f>IF(O702,P702/O702,0)</f>
        <v>29.694</v>
      </c>
      <c r="M702" s="15">
        <v>29.694</v>
      </c>
      <c r="N702" s="15">
        <f>A702</f>
        <v>700</v>
      </c>
      <c r="O702" s="15">
        <v>10</v>
      </c>
      <c r="P702" s="41">
        <f t="shared" si="1878"/>
        <v>296.94</v>
      </c>
      <c r="Q702" s="16"/>
    </row>
    <row r="703" ht="20.05" customHeight="1">
      <c r="A703" s="13">
        <f>A702+1</f>
        <v>701</v>
      </c>
      <c r="B703" s="14">
        <v>2023</v>
      </c>
      <c r="C703" s="15">
        <v>10</v>
      </c>
      <c r="D703" s="15">
        <v>1</v>
      </c>
      <c r="E703" s="16"/>
      <c r="F703" t="s" s="17">
        <v>130</v>
      </c>
      <c r="G703" s="16"/>
      <c r="H703" t="s" s="17">
        <v>163</v>
      </c>
      <c r="I703" t="s" s="17">
        <v>26</v>
      </c>
      <c r="J703" t="s" s="17">
        <v>27</v>
      </c>
      <c r="K703" t="s" s="17">
        <v>16</v>
      </c>
      <c r="L703" s="15">
        <f>IF(O703,P703/O703,0)</f>
        <v>0.205</v>
      </c>
      <c r="M703" s="15">
        <v>0.205</v>
      </c>
      <c r="N703" s="15">
        <f>A703</f>
        <v>701</v>
      </c>
      <c r="O703" s="15">
        <f t="shared" si="1700"/>
        <v>200</v>
      </c>
      <c r="P703" s="15">
        <f>2*20.5</f>
        <v>41</v>
      </c>
      <c r="Q703" s="16"/>
    </row>
    <row r="704" ht="20.05" customHeight="1">
      <c r="A704" s="13">
        <f>A703+1</f>
        <v>702</v>
      </c>
      <c r="B704" s="14">
        <v>2023</v>
      </c>
      <c r="C704" s="15">
        <v>10</v>
      </c>
      <c r="D704" s="15">
        <v>1</v>
      </c>
      <c r="E704" s="16"/>
      <c r="F704" t="s" s="17">
        <v>130</v>
      </c>
      <c r="G704" s="16"/>
      <c r="H704" t="s" s="17">
        <v>163</v>
      </c>
      <c r="I704" t="s" s="17">
        <v>19</v>
      </c>
      <c r="J704" t="s" s="17">
        <v>157</v>
      </c>
      <c r="K704" t="s" s="17">
        <v>16</v>
      </c>
      <c r="L704" s="15">
        <f>IF(O704,P704/O704,0)</f>
        <v>0.00990253411306043</v>
      </c>
      <c r="M704" s="15">
        <v>0.00990253411306043</v>
      </c>
      <c r="N704" s="15">
        <f>A704</f>
        <v>702</v>
      </c>
      <c r="O704" s="15">
        <v>1026</v>
      </c>
      <c r="P704" s="15">
        <v>10.16</v>
      </c>
      <c r="Q704" s="16"/>
    </row>
    <row r="705" ht="20.05" customHeight="1">
      <c r="A705" s="13">
        <f>A704+1</f>
        <v>703</v>
      </c>
      <c r="B705" s="14">
        <v>2023</v>
      </c>
      <c r="C705" s="15">
        <v>10</v>
      </c>
      <c r="D705" s="15">
        <v>1</v>
      </c>
      <c r="E705" s="16"/>
      <c r="F705" t="s" s="17">
        <v>130</v>
      </c>
      <c r="G705" s="16"/>
      <c r="H705" t="s" s="17">
        <v>163</v>
      </c>
      <c r="I705" t="s" s="17">
        <v>311</v>
      </c>
      <c r="J705" t="s" s="17">
        <v>312</v>
      </c>
      <c r="K705" t="s" s="17">
        <v>16</v>
      </c>
      <c r="L705" s="15">
        <f>IF(O705,P705/O705,0)</f>
        <v>0.384285714285714</v>
      </c>
      <c r="M705" s="15">
        <v>0.384285714285714</v>
      </c>
      <c r="N705" s="15">
        <f>A705</f>
        <v>703</v>
      </c>
      <c r="O705" s="15">
        <v>70</v>
      </c>
      <c r="P705" s="15">
        <v>26.9</v>
      </c>
      <c r="Q705" s="16"/>
    </row>
    <row r="706" ht="20.05" customHeight="1">
      <c r="A706" s="13">
        <f>A705+1</f>
        <v>704</v>
      </c>
      <c r="B706" s="14">
        <v>2023</v>
      </c>
      <c r="C706" s="15">
        <v>10</v>
      </c>
      <c r="D706" s="15">
        <v>2</v>
      </c>
      <c r="E706" s="16"/>
      <c r="F706" t="s" s="17">
        <v>130</v>
      </c>
      <c r="G706" s="16"/>
      <c r="H706" t="s" s="17">
        <v>163</v>
      </c>
      <c r="I706" t="s" s="17">
        <v>19</v>
      </c>
      <c r="J706" t="s" s="17">
        <v>157</v>
      </c>
      <c r="K706" t="s" s="17">
        <v>16</v>
      </c>
      <c r="L706" s="15">
        <f>IF(O706,P706/O706,0)</f>
        <v>0.014953007518797</v>
      </c>
      <c r="M706" s="15">
        <v>0.014953007518797</v>
      </c>
      <c r="N706" s="15">
        <f>A706</f>
        <v>704</v>
      </c>
      <c r="O706" s="15">
        <v>1064</v>
      </c>
      <c r="P706" s="15">
        <v>15.91</v>
      </c>
      <c r="Q706" s="16"/>
    </row>
    <row r="707" ht="32.05" customHeight="1">
      <c r="A707" s="13">
        <f>A706+1</f>
        <v>705</v>
      </c>
      <c r="B707" s="14">
        <v>2023</v>
      </c>
      <c r="C707" s="15">
        <v>10</v>
      </c>
      <c r="D707" s="15">
        <v>3</v>
      </c>
      <c r="E707" s="16"/>
      <c r="F707" t="s" s="17">
        <v>287</v>
      </c>
      <c r="G707" s="16"/>
      <c r="H707" t="s" s="17">
        <v>163</v>
      </c>
      <c r="I707" t="s" s="17">
        <v>14</v>
      </c>
      <c r="J707" t="s" s="17">
        <v>283</v>
      </c>
      <c r="K707" t="s" s="17">
        <v>23</v>
      </c>
      <c r="L707" s="15">
        <f>IF(O707,P707/O707,0)</f>
        <v>32.724</v>
      </c>
      <c r="M707" s="15">
        <v>32.724</v>
      </c>
      <c r="N707" s="15">
        <f>A707</f>
        <v>705</v>
      </c>
      <c r="O707" s="15">
        <v>10</v>
      </c>
      <c r="P707" s="41">
        <f t="shared" si="1684"/>
        <v>327.24</v>
      </c>
      <c r="Q707" s="16"/>
    </row>
    <row r="708" ht="20.05" customHeight="1">
      <c r="A708" s="13">
        <f>A707+1</f>
        <v>706</v>
      </c>
      <c r="B708" s="14">
        <v>2023</v>
      </c>
      <c r="C708" s="15">
        <v>10</v>
      </c>
      <c r="D708" s="15">
        <v>3</v>
      </c>
      <c r="E708" s="16"/>
      <c r="F708" t="s" s="17">
        <v>287</v>
      </c>
      <c r="G708" s="16"/>
      <c r="H708" t="s" s="17">
        <v>163</v>
      </c>
      <c r="I708" t="s" s="17">
        <v>14</v>
      </c>
      <c r="J708" t="s" s="17">
        <v>279</v>
      </c>
      <c r="K708" t="s" s="17">
        <v>23</v>
      </c>
      <c r="L708" s="15">
        <f>IF(O708,P708/O708,0)</f>
        <v>31.3605</v>
      </c>
      <c r="M708" s="15">
        <v>31.3605</v>
      </c>
      <c r="N708" s="15">
        <f>A708</f>
        <v>706</v>
      </c>
      <c r="O708" s="15">
        <v>10</v>
      </c>
      <c r="P708" s="42">
        <f t="shared" si="1680"/>
        <v>313.605</v>
      </c>
      <c r="Q708" s="16"/>
    </row>
    <row r="709" ht="20.05" customHeight="1">
      <c r="A709" s="13">
        <f>A708+1</f>
        <v>707</v>
      </c>
      <c r="B709" s="14">
        <v>2023</v>
      </c>
      <c r="C709" s="15">
        <v>10</v>
      </c>
      <c r="D709" s="15">
        <v>3</v>
      </c>
      <c r="E709" s="16"/>
      <c r="F709" t="s" s="17">
        <v>287</v>
      </c>
      <c r="G709" s="16"/>
      <c r="H709" t="s" s="17">
        <v>163</v>
      </c>
      <c r="I709" t="s" s="17">
        <v>14</v>
      </c>
      <c r="J709" t="s" s="17">
        <v>282</v>
      </c>
      <c r="K709" t="s" s="17">
        <v>23</v>
      </c>
      <c r="L709" s="15">
        <f>IF(O709,P709/O709,0)</f>
        <v>24.9975</v>
      </c>
      <c r="M709" s="15">
        <v>24.9975</v>
      </c>
      <c r="N709" s="15">
        <f>A709</f>
        <v>707</v>
      </c>
      <c r="O709" s="15">
        <v>10</v>
      </c>
      <c r="P709" s="42">
        <f t="shared" si="1815"/>
        <v>249.975</v>
      </c>
      <c r="Q709" s="16"/>
    </row>
    <row r="710" ht="20.05" customHeight="1">
      <c r="A710" s="13">
        <f>A709+1</f>
        <v>708</v>
      </c>
      <c r="B710" s="14">
        <v>2023</v>
      </c>
      <c r="C710" s="15">
        <v>10</v>
      </c>
      <c r="D710" s="15">
        <v>3</v>
      </c>
      <c r="E710" s="16"/>
      <c r="F710" t="s" s="17">
        <v>287</v>
      </c>
      <c r="G710" s="16"/>
      <c r="H710" t="s" s="17">
        <v>163</v>
      </c>
      <c r="I710" t="s" s="17">
        <v>14</v>
      </c>
      <c r="J710" t="s" s="17">
        <v>288</v>
      </c>
      <c r="K710" t="s" s="17">
        <v>23</v>
      </c>
      <c r="L710" s="15">
        <f>IF(O710,P710/O710,0)</f>
        <v>27.2195</v>
      </c>
      <c r="M710" s="15">
        <v>27.2195</v>
      </c>
      <c r="N710" s="15">
        <f>A710</f>
        <v>708</v>
      </c>
      <c r="O710" s="15">
        <v>10</v>
      </c>
      <c r="P710" s="42">
        <f t="shared" si="1874"/>
        <v>272.195</v>
      </c>
      <c r="Q710" s="16"/>
    </row>
    <row r="711" ht="20.05" customHeight="1">
      <c r="A711" s="13">
        <f>A710+1</f>
        <v>709</v>
      </c>
      <c r="B711" s="14">
        <v>2023</v>
      </c>
      <c r="C711" s="15">
        <v>10</v>
      </c>
      <c r="D711" s="15">
        <v>4</v>
      </c>
      <c r="E711" s="16"/>
      <c r="F711" t="s" s="17">
        <v>130</v>
      </c>
      <c r="G711" s="16"/>
      <c r="H711" t="s" s="17">
        <v>163</v>
      </c>
      <c r="I711" t="s" s="17">
        <v>19</v>
      </c>
      <c r="J711" t="s" s="17">
        <v>157</v>
      </c>
      <c r="K711" t="s" s="17">
        <v>16</v>
      </c>
      <c r="L711" s="15">
        <f>IF(O711,P711/O711,0)</f>
        <v>0.0149509803921569</v>
      </c>
      <c r="M711" s="15">
        <v>0.0149509803921569</v>
      </c>
      <c r="N711" s="15">
        <f>A711</f>
        <v>709</v>
      </c>
      <c r="O711" s="15">
        <v>1020</v>
      </c>
      <c r="P711" s="15">
        <v>15.25</v>
      </c>
      <c r="Q711" s="16"/>
    </row>
    <row r="712" ht="20.05" customHeight="1">
      <c r="A712" s="13">
        <f>A711+1</f>
        <v>710</v>
      </c>
      <c r="B712" s="14">
        <v>2023</v>
      </c>
      <c r="C712" s="15">
        <v>10</v>
      </c>
      <c r="D712" s="15">
        <v>4</v>
      </c>
      <c r="E712" s="16"/>
      <c r="F712" t="s" s="17">
        <v>275</v>
      </c>
      <c r="G712" s="16"/>
      <c r="H712" t="s" s="17">
        <v>163</v>
      </c>
      <c r="I712" t="s" s="17">
        <v>19</v>
      </c>
      <c r="J712" t="s" s="17">
        <v>70</v>
      </c>
      <c r="K712" t="s" s="17">
        <v>16</v>
      </c>
      <c r="L712" s="15">
        <f>IF(O712,P712/O712,0)</f>
        <v>0.33936</v>
      </c>
      <c r="M712" s="15">
        <v>0.33936</v>
      </c>
      <c r="N712" s="15">
        <f>A712</f>
        <v>710</v>
      </c>
      <c r="O712" s="15">
        <f t="shared" si="2428" ref="O712:O915">2*1000</f>
        <v>2000</v>
      </c>
      <c r="P712" s="41">
        <f t="shared" si="1985"/>
        <v>678.72</v>
      </c>
      <c r="Q712" s="16"/>
    </row>
    <row r="713" ht="20.05" customHeight="1">
      <c r="A713" s="13">
        <f>A712+1</f>
        <v>711</v>
      </c>
      <c r="B713" s="14">
        <v>2023</v>
      </c>
      <c r="C713" s="15">
        <v>10</v>
      </c>
      <c r="D713" s="15">
        <v>4</v>
      </c>
      <c r="E713" s="16"/>
      <c r="F713" t="s" s="17">
        <v>275</v>
      </c>
      <c r="G713" s="16"/>
      <c r="H713" t="s" s="17">
        <v>163</v>
      </c>
      <c r="I713" t="s" s="17">
        <v>19</v>
      </c>
      <c r="J713" t="s" s="17">
        <v>155</v>
      </c>
      <c r="K713" t="s" s="17">
        <v>16</v>
      </c>
      <c r="L713" s="15">
        <f>IF(O713,P713/O713,0)</f>
        <v>0.33936</v>
      </c>
      <c r="M713" s="15">
        <v>0.33936</v>
      </c>
      <c r="N713" s="15">
        <f>A713</f>
        <v>711</v>
      </c>
      <c r="O713" s="15">
        <f t="shared" si="1324"/>
        <v>5000</v>
      </c>
      <c r="P713" s="42">
        <f t="shared" si="2434" ref="P713:P1081">1680+1680*1%</f>
        <v>1696.8</v>
      </c>
      <c r="Q713" s="16"/>
    </row>
    <row r="714" ht="32.05" customHeight="1">
      <c r="A714" s="13">
        <f>A713+1</f>
        <v>712</v>
      </c>
      <c r="B714" s="14">
        <v>2023</v>
      </c>
      <c r="C714" s="15">
        <v>10</v>
      </c>
      <c r="D714" s="15">
        <v>4</v>
      </c>
      <c r="E714" s="16"/>
      <c r="F714" t="s" s="17">
        <v>313</v>
      </c>
      <c r="G714" s="16"/>
      <c r="H714" t="s" s="17">
        <v>163</v>
      </c>
      <c r="I714" t="s" s="17">
        <v>187</v>
      </c>
      <c r="J714" t="s" s="17">
        <v>314</v>
      </c>
      <c r="K714" t="s" s="17">
        <v>41</v>
      </c>
      <c r="L714" s="15">
        <f>IF(O714,P714/O714,0)</f>
        <v>0.0769992</v>
      </c>
      <c r="M714" s="15">
        <v>0.0769992</v>
      </c>
      <c r="N714" s="15">
        <f>A714</f>
        <v>712</v>
      </c>
      <c r="O714" s="15">
        <v>5000</v>
      </c>
      <c r="P714" s="42">
        <f>320.83+320.83*20%</f>
        <v>384.996</v>
      </c>
      <c r="Q714" s="16"/>
    </row>
    <row r="715" ht="20.05" customHeight="1">
      <c r="A715" s="13">
        <f>A714+1</f>
        <v>713</v>
      </c>
      <c r="B715" s="14">
        <v>2023</v>
      </c>
      <c r="C715" s="15">
        <v>10</v>
      </c>
      <c r="D715" s="15">
        <v>4</v>
      </c>
      <c r="E715" s="16"/>
      <c r="F715" t="s" s="17">
        <v>315</v>
      </c>
      <c r="G715" s="16"/>
      <c r="H715" t="s" s="17">
        <v>163</v>
      </c>
      <c r="I715" t="s" s="17">
        <v>19</v>
      </c>
      <c r="J715" t="s" s="17">
        <v>72</v>
      </c>
      <c r="K715" t="s" s="17">
        <v>41</v>
      </c>
      <c r="L715" s="15">
        <f>IF(O715,P715/O715,0)</f>
        <v>0.22992</v>
      </c>
      <c r="M715" s="15">
        <v>0.22992</v>
      </c>
      <c r="N715" s="15">
        <f>A715</f>
        <v>713</v>
      </c>
      <c r="O715" s="15">
        <f t="shared" si="1602"/>
        <v>500</v>
      </c>
      <c r="P715" s="15">
        <v>114.96</v>
      </c>
      <c r="Q715" s="16"/>
    </row>
    <row r="716" ht="20.05" customHeight="1">
      <c r="A716" s="13">
        <f>A715+1</f>
        <v>714</v>
      </c>
      <c r="B716" s="14">
        <v>2023</v>
      </c>
      <c r="C716" s="15">
        <v>10</v>
      </c>
      <c r="D716" s="15">
        <v>4</v>
      </c>
      <c r="E716" s="16"/>
      <c r="F716" t="s" s="17">
        <v>315</v>
      </c>
      <c r="G716" s="16"/>
      <c r="H716" t="s" s="17">
        <v>163</v>
      </c>
      <c r="I716" t="s" s="17">
        <v>26</v>
      </c>
      <c r="J716" t="s" s="17">
        <v>82</v>
      </c>
      <c r="K716" t="s" s="17">
        <v>16</v>
      </c>
      <c r="L716" s="15">
        <f>IF(O716,P716/O716,0)</f>
        <v>0.05862</v>
      </c>
      <c r="M716" s="15">
        <v>0.05862</v>
      </c>
      <c r="N716" s="15">
        <f>A716</f>
        <v>714</v>
      </c>
      <c r="O716" s="15">
        <f t="shared" si="2446" ref="O716:O1461">3*500</f>
        <v>1500</v>
      </c>
      <c r="P716" s="15">
        <v>87.93000000000001</v>
      </c>
      <c r="Q716" s="16"/>
    </row>
    <row r="717" ht="20.05" customHeight="1">
      <c r="A717" s="13">
        <f>A716+1</f>
        <v>715</v>
      </c>
      <c r="B717" s="14">
        <v>2023</v>
      </c>
      <c r="C717" s="15">
        <v>10</v>
      </c>
      <c r="D717" s="15">
        <v>4</v>
      </c>
      <c r="E717" s="16"/>
      <c r="F717" t="s" s="17">
        <v>315</v>
      </c>
      <c r="G717" s="16"/>
      <c r="H717" t="s" s="17">
        <v>163</v>
      </c>
      <c r="I717" t="s" s="17">
        <v>26</v>
      </c>
      <c r="J717" t="s" s="17">
        <v>117</v>
      </c>
      <c r="K717" t="s" s="17">
        <v>23</v>
      </c>
      <c r="L717" s="15">
        <f>IF(O717,P717/O717,0)</f>
        <v>44.328</v>
      </c>
      <c r="M717" s="15">
        <v>44.328</v>
      </c>
      <c r="N717" s="15">
        <f>A717</f>
        <v>715</v>
      </c>
      <c r="O717" s="15">
        <v>5</v>
      </c>
      <c r="P717" s="15">
        <v>221.64</v>
      </c>
      <c r="Q717" s="16"/>
    </row>
    <row r="718" ht="20.05" customHeight="1">
      <c r="A718" s="13">
        <f>A717+1</f>
        <v>716</v>
      </c>
      <c r="B718" s="14">
        <v>2023</v>
      </c>
      <c r="C718" s="15">
        <v>10</v>
      </c>
      <c r="D718" s="15">
        <v>4</v>
      </c>
      <c r="E718" s="16"/>
      <c r="F718" t="s" s="17">
        <v>315</v>
      </c>
      <c r="G718" s="16"/>
      <c r="H718" t="s" s="17">
        <v>163</v>
      </c>
      <c r="I718" t="s" s="17">
        <v>26</v>
      </c>
      <c r="J718" t="s" s="17">
        <v>134</v>
      </c>
      <c r="K718" t="s" s="17">
        <v>23</v>
      </c>
      <c r="L718" s="15">
        <f>IF(O718,P718/O718,0)</f>
        <v>45.47</v>
      </c>
      <c r="M718" s="15">
        <v>45.47</v>
      </c>
      <c r="N718" s="15">
        <f>A718</f>
        <v>716</v>
      </c>
      <c r="O718" s="15">
        <v>4</v>
      </c>
      <c r="P718" s="15">
        <v>181.88</v>
      </c>
      <c r="Q718" s="16"/>
    </row>
    <row r="719" ht="20.05" customHeight="1">
      <c r="A719" s="13">
        <f>A718+1</f>
        <v>717</v>
      </c>
      <c r="B719" s="14">
        <v>2023</v>
      </c>
      <c r="C719" s="15">
        <v>10</v>
      </c>
      <c r="D719" s="15">
        <v>4</v>
      </c>
      <c r="E719" s="16"/>
      <c r="F719" t="s" s="17">
        <v>315</v>
      </c>
      <c r="G719" s="16"/>
      <c r="H719" t="s" s="17">
        <v>163</v>
      </c>
      <c r="I719" t="s" s="17">
        <v>26</v>
      </c>
      <c r="J719" t="s" s="17">
        <v>118</v>
      </c>
      <c r="K719" t="s" s="17">
        <v>23</v>
      </c>
      <c r="L719" s="15">
        <f>IF(O719,P719/O719,0)</f>
        <v>45.47</v>
      </c>
      <c r="M719" s="15">
        <v>45.47</v>
      </c>
      <c r="N719" s="15">
        <f>A719</f>
        <v>717</v>
      </c>
      <c r="O719" s="15">
        <v>5</v>
      </c>
      <c r="P719" s="15">
        <v>227.35</v>
      </c>
      <c r="Q719" s="16"/>
    </row>
    <row r="720" ht="32.05" customHeight="1">
      <c r="A720" s="13">
        <f>A719+1</f>
        <v>718</v>
      </c>
      <c r="B720" s="14">
        <v>2023</v>
      </c>
      <c r="C720" s="15">
        <v>10</v>
      </c>
      <c r="D720" s="15">
        <v>6</v>
      </c>
      <c r="E720" s="16"/>
      <c r="F720" t="s" s="17">
        <v>287</v>
      </c>
      <c r="G720" s="16"/>
      <c r="H720" t="s" s="17">
        <v>163</v>
      </c>
      <c r="I720" t="s" s="17">
        <v>14</v>
      </c>
      <c r="J720" t="s" s="17">
        <v>283</v>
      </c>
      <c r="K720" t="s" s="17">
        <v>23</v>
      </c>
      <c r="L720" s="15">
        <f>IF(O720,P720/O720,0)</f>
        <v>32.724</v>
      </c>
      <c r="M720" s="15">
        <v>32.724</v>
      </c>
      <c r="N720" s="15">
        <f>A720</f>
        <v>718</v>
      </c>
      <c r="O720" s="15">
        <v>10</v>
      </c>
      <c r="P720" s="41">
        <f t="shared" si="1684"/>
        <v>327.24</v>
      </c>
      <c r="Q720" s="16"/>
    </row>
    <row r="721" ht="20.05" customHeight="1">
      <c r="A721" s="13">
        <f>A720+1</f>
        <v>719</v>
      </c>
      <c r="B721" s="14">
        <v>2023</v>
      </c>
      <c r="C721" s="15">
        <v>10</v>
      </c>
      <c r="D721" s="15">
        <v>6</v>
      </c>
      <c r="E721" s="16"/>
      <c r="F721" t="s" s="17">
        <v>287</v>
      </c>
      <c r="G721" s="16"/>
      <c r="H721" t="s" s="17">
        <v>163</v>
      </c>
      <c r="I721" t="s" s="17">
        <v>14</v>
      </c>
      <c r="J721" t="s" s="17">
        <v>288</v>
      </c>
      <c r="K721" t="s" s="17">
        <v>23</v>
      </c>
      <c r="L721" s="15">
        <f>IF(O721,P721/O721,0)</f>
        <v>27.2195</v>
      </c>
      <c r="M721" s="15">
        <v>27.2195</v>
      </c>
      <c r="N721" s="15">
        <f>A721</f>
        <v>719</v>
      </c>
      <c r="O721" s="15">
        <v>10</v>
      </c>
      <c r="P721" s="42">
        <f t="shared" si="1874"/>
        <v>272.195</v>
      </c>
      <c r="Q721" s="16"/>
    </row>
    <row r="722" ht="20.05" customHeight="1">
      <c r="A722" s="13">
        <f>A721+1</f>
        <v>720</v>
      </c>
      <c r="B722" s="14">
        <v>2023</v>
      </c>
      <c r="C722" s="15">
        <v>10</v>
      </c>
      <c r="D722" s="15">
        <v>6</v>
      </c>
      <c r="E722" s="16"/>
      <c r="F722" t="s" s="17">
        <v>287</v>
      </c>
      <c r="G722" s="16"/>
      <c r="H722" t="s" s="17">
        <v>163</v>
      </c>
      <c r="I722" t="s" s="17">
        <v>14</v>
      </c>
      <c r="J722" t="s" s="17">
        <v>289</v>
      </c>
      <c r="K722" t="s" s="17">
        <v>23</v>
      </c>
      <c r="L722" s="15">
        <f>IF(O722,P722/O722,0)</f>
        <v>29.694</v>
      </c>
      <c r="M722" s="15">
        <v>29.694</v>
      </c>
      <c r="N722" s="15">
        <f>A722</f>
        <v>720</v>
      </c>
      <c r="O722" s="15">
        <v>10</v>
      </c>
      <c r="P722" s="41">
        <f t="shared" si="1878"/>
        <v>296.94</v>
      </c>
      <c r="Q722" s="16"/>
    </row>
    <row r="723" ht="20.05" customHeight="1">
      <c r="A723" s="13">
        <f>A722+1</f>
        <v>721</v>
      </c>
      <c r="B723" s="14">
        <v>2023</v>
      </c>
      <c r="C723" s="15">
        <v>10</v>
      </c>
      <c r="D723" s="15">
        <v>6</v>
      </c>
      <c r="E723" s="16"/>
      <c r="F723" t="s" s="17">
        <v>287</v>
      </c>
      <c r="G723" s="16"/>
      <c r="H723" t="s" s="17">
        <v>163</v>
      </c>
      <c r="I723" t="s" s="17">
        <v>14</v>
      </c>
      <c r="J723" t="s" s="17">
        <v>279</v>
      </c>
      <c r="K723" t="s" s="17">
        <v>23</v>
      </c>
      <c r="L723" s="15">
        <f>IF(O723,P723/O723,0)</f>
        <v>31.3605</v>
      </c>
      <c r="M723" s="15">
        <v>31.3605</v>
      </c>
      <c r="N723" s="15">
        <f>A723</f>
        <v>721</v>
      </c>
      <c r="O723" s="15">
        <f t="shared" si="1827"/>
        <v>20</v>
      </c>
      <c r="P723" s="41">
        <f t="shared" si="1828"/>
        <v>627.21</v>
      </c>
      <c r="Q723" s="16"/>
    </row>
    <row r="724" ht="20.05" customHeight="1">
      <c r="A724" s="13">
        <f>A723+1</f>
        <v>722</v>
      </c>
      <c r="B724" s="14">
        <v>2023</v>
      </c>
      <c r="C724" s="15">
        <v>10</v>
      </c>
      <c r="D724" s="15">
        <v>6</v>
      </c>
      <c r="E724" s="16"/>
      <c r="F724" t="s" s="17">
        <v>130</v>
      </c>
      <c r="G724" s="16"/>
      <c r="H724" t="s" s="17">
        <v>163</v>
      </c>
      <c r="I724" t="s" s="17">
        <v>26</v>
      </c>
      <c r="J724" t="s" s="17">
        <v>113</v>
      </c>
      <c r="K724" t="s" s="17">
        <v>41</v>
      </c>
      <c r="L724" s="15">
        <f>IF(O724,P724/O724,0)</f>
        <v>0.03225</v>
      </c>
      <c r="M724" s="15">
        <v>0.03225</v>
      </c>
      <c r="N724" s="15">
        <f>A724</f>
        <v>722</v>
      </c>
      <c r="O724" s="15">
        <v>2000</v>
      </c>
      <c r="P724" s="15">
        <v>64.5</v>
      </c>
      <c r="Q724" s="16"/>
    </row>
    <row r="725" ht="20.05" customHeight="1">
      <c r="A725" s="13">
        <f>A724+1</f>
        <v>723</v>
      </c>
      <c r="B725" s="14">
        <v>2023</v>
      </c>
      <c r="C725" s="15">
        <v>10</v>
      </c>
      <c r="D725" s="15">
        <v>7</v>
      </c>
      <c r="E725" s="16"/>
      <c r="F725" t="s" s="17">
        <v>141</v>
      </c>
      <c r="G725" s="16"/>
      <c r="H725" t="s" s="17">
        <v>163</v>
      </c>
      <c r="I725" t="s" s="17">
        <v>19</v>
      </c>
      <c r="J725" t="s" s="17">
        <v>142</v>
      </c>
      <c r="K725" t="s" s="17">
        <v>23</v>
      </c>
      <c r="L725" s="15">
        <f>IF(O725,P725/O725,0)</f>
        <v>13.8515208333333</v>
      </c>
      <c r="M725" s="15">
        <v>13.8515208333333</v>
      </c>
      <c r="N725" s="15">
        <f>A725</f>
        <v>723</v>
      </c>
      <c r="O725" s="15">
        <f t="shared" si="2479" ref="O725:O946">2*24</f>
        <v>48</v>
      </c>
      <c r="P725" s="42">
        <f t="shared" si="2480" ref="P725:P933">604.43+604.43*10%</f>
        <v>664.873</v>
      </c>
      <c r="Q725" s="16"/>
    </row>
    <row r="726" ht="20.05" customHeight="1">
      <c r="A726" s="13">
        <f>A725+1</f>
        <v>724</v>
      </c>
      <c r="B726" s="14">
        <v>2023</v>
      </c>
      <c r="C726" s="15">
        <v>10</v>
      </c>
      <c r="D726" s="15">
        <v>7</v>
      </c>
      <c r="E726" s="16"/>
      <c r="F726" t="s" s="17">
        <v>141</v>
      </c>
      <c r="G726" s="16"/>
      <c r="H726" t="s" s="17">
        <v>163</v>
      </c>
      <c r="I726" t="s" s="17">
        <v>19</v>
      </c>
      <c r="J726" t="s" s="17">
        <v>159</v>
      </c>
      <c r="K726" t="s" s="17">
        <v>23</v>
      </c>
      <c r="L726" s="15">
        <f>IF(O726,P726/O726,0)</f>
        <v>2.60018888888889</v>
      </c>
      <c r="M726" s="15">
        <v>2.60018888888889</v>
      </c>
      <c r="N726" s="15">
        <f>A726</f>
        <v>724</v>
      </c>
      <c r="O726" s="15">
        <f t="shared" si="2484" ref="O726:O1033">6*24</f>
        <v>144</v>
      </c>
      <c r="P726" s="43">
        <f t="shared" si="2485" ref="P726:P1033">370.72+370.72*1%</f>
        <v>374.4272</v>
      </c>
      <c r="Q726" s="16"/>
    </row>
    <row r="727" ht="20.05" customHeight="1">
      <c r="A727" s="13">
        <f>A726+1</f>
        <v>725</v>
      </c>
      <c r="B727" s="14">
        <v>2023</v>
      </c>
      <c r="C727" s="15">
        <v>10</v>
      </c>
      <c r="D727" s="15">
        <v>8</v>
      </c>
      <c r="E727" s="16"/>
      <c r="F727" t="s" s="17">
        <v>231</v>
      </c>
      <c r="G727" s="16"/>
      <c r="H727" t="s" s="17">
        <v>163</v>
      </c>
      <c r="I727" t="s" s="17">
        <v>14</v>
      </c>
      <c r="J727" t="s" s="17">
        <v>316</v>
      </c>
      <c r="K727" t="s" s="17">
        <v>23</v>
      </c>
      <c r="L727" s="15">
        <f>IF(O727,P727/O727,0)</f>
        <v>39.925</v>
      </c>
      <c r="M727" s="15">
        <v>39.925</v>
      </c>
      <c r="N727" s="15">
        <f>A727</f>
        <v>725</v>
      </c>
      <c r="O727" s="15">
        <v>10</v>
      </c>
      <c r="P727" s="15">
        <v>399.25</v>
      </c>
      <c r="Q727" s="16"/>
    </row>
    <row r="728" ht="20.05" customHeight="1">
      <c r="A728" s="13">
        <f>A727+1</f>
        <v>726</v>
      </c>
      <c r="B728" s="14">
        <v>2023</v>
      </c>
      <c r="C728" s="15">
        <v>10</v>
      </c>
      <c r="D728" s="15">
        <v>8</v>
      </c>
      <c r="E728" s="16"/>
      <c r="F728" t="s" s="17">
        <v>130</v>
      </c>
      <c r="G728" s="16"/>
      <c r="H728" t="s" s="17">
        <v>163</v>
      </c>
      <c r="I728" t="s" s="17">
        <v>19</v>
      </c>
      <c r="J728" t="s" s="17">
        <v>157</v>
      </c>
      <c r="K728" t="s" s="17">
        <v>16</v>
      </c>
      <c r="L728" s="15">
        <f>IF(O728,P728/O728,0)</f>
        <v>0.0149503475670308</v>
      </c>
      <c r="M728" s="15">
        <v>0.0149503475670308</v>
      </c>
      <c r="N728" s="15">
        <f>A728</f>
        <v>726</v>
      </c>
      <c r="O728" s="15">
        <v>2014</v>
      </c>
      <c r="P728" s="15">
        <v>30.11</v>
      </c>
      <c r="Q728" s="16"/>
    </row>
    <row r="729" ht="20.05" customHeight="1">
      <c r="A729" s="13">
        <f>A728+1</f>
        <v>727</v>
      </c>
      <c r="B729" s="14">
        <v>2023</v>
      </c>
      <c r="C729" s="15">
        <v>10</v>
      </c>
      <c r="D729" s="15">
        <v>8</v>
      </c>
      <c r="E729" s="16"/>
      <c r="F729" t="s" s="17">
        <v>130</v>
      </c>
      <c r="G729" s="16"/>
      <c r="H729" t="s" s="17">
        <v>163</v>
      </c>
      <c r="I729" t="s" s="17">
        <v>19</v>
      </c>
      <c r="J729" t="s" s="17">
        <v>157</v>
      </c>
      <c r="K729" t="s" s="17">
        <v>16</v>
      </c>
      <c r="L729" s="15">
        <f>IF(O729,P729/O729,0)</f>
        <v>0.0149473684210526</v>
      </c>
      <c r="M729" s="15">
        <v>0.0149473684210526</v>
      </c>
      <c r="N729" s="15">
        <f>A729</f>
        <v>727</v>
      </c>
      <c r="O729" s="15">
        <v>950</v>
      </c>
      <c r="P729" s="15">
        <v>14.2</v>
      </c>
      <c r="Q729" s="16"/>
    </row>
    <row r="730" ht="20.05" customHeight="1">
      <c r="A730" s="13">
        <f>A729+1</f>
        <v>728</v>
      </c>
      <c r="B730" s="14">
        <v>2023</v>
      </c>
      <c r="C730" s="15">
        <v>10</v>
      </c>
      <c r="D730" s="15">
        <v>8</v>
      </c>
      <c r="E730" s="16"/>
      <c r="F730" t="s" s="17">
        <v>317</v>
      </c>
      <c r="G730" s="16"/>
      <c r="H730" t="s" s="17">
        <v>163</v>
      </c>
      <c r="I730" t="s" s="17">
        <v>14</v>
      </c>
      <c r="J730" t="s" s="17">
        <v>318</v>
      </c>
      <c r="K730" t="s" s="17">
        <v>23</v>
      </c>
      <c r="L730" s="15">
        <f>IF(O730,P730/O730,0)</f>
        <v>7.5</v>
      </c>
      <c r="M730" s="15">
        <v>7.5</v>
      </c>
      <c r="N730" s="15">
        <f>A730</f>
        <v>728</v>
      </c>
      <c r="O730" s="15">
        <v>6</v>
      </c>
      <c r="P730" s="15">
        <v>45</v>
      </c>
      <c r="Q730" s="16"/>
    </row>
    <row r="731" ht="20.05" customHeight="1">
      <c r="A731" s="13">
        <f>A730+1</f>
        <v>729</v>
      </c>
      <c r="B731" s="14">
        <v>2023</v>
      </c>
      <c r="C731" s="15">
        <v>10</v>
      </c>
      <c r="D731" s="15">
        <v>8</v>
      </c>
      <c r="E731" s="16"/>
      <c r="F731" t="s" s="17">
        <v>287</v>
      </c>
      <c r="G731" s="16"/>
      <c r="H731" t="s" s="17">
        <v>163</v>
      </c>
      <c r="I731" t="s" s="17">
        <v>14</v>
      </c>
      <c r="J731" t="s" s="17">
        <v>288</v>
      </c>
      <c r="K731" t="s" s="17">
        <v>23</v>
      </c>
      <c r="L731" s="15">
        <f>IF(O731,P731/O731,0)</f>
        <v>34.1155555555556</v>
      </c>
      <c r="M731" s="15">
        <v>34.1155555555556</v>
      </c>
      <c r="N731" s="15">
        <f>A731</f>
        <v>729</v>
      </c>
      <c r="O731" s="15">
        <v>9</v>
      </c>
      <c r="P731" s="41">
        <f t="shared" si="2501" ref="P731:P761">304+304*1%</f>
        <v>307.04</v>
      </c>
      <c r="Q731" s="16"/>
    </row>
    <row r="732" ht="20.05" customHeight="1">
      <c r="A732" s="13">
        <f>A731+1</f>
        <v>730</v>
      </c>
      <c r="B732" s="14">
        <v>2023</v>
      </c>
      <c r="C732" s="15">
        <v>10</v>
      </c>
      <c r="D732" s="15">
        <v>8</v>
      </c>
      <c r="E732" s="16"/>
      <c r="F732" t="s" s="17">
        <v>287</v>
      </c>
      <c r="G732" s="16"/>
      <c r="H732" t="s" s="17">
        <v>163</v>
      </c>
      <c r="I732" t="s" s="17">
        <v>14</v>
      </c>
      <c r="J732" t="s" s="17">
        <v>282</v>
      </c>
      <c r="K732" t="s" s="17">
        <v>23</v>
      </c>
      <c r="L732" s="15">
        <f>IF(O732,P732/O732,0)</f>
        <v>24.9975</v>
      </c>
      <c r="M732" s="15">
        <v>24.9975</v>
      </c>
      <c r="N732" s="15">
        <f>A732</f>
        <v>730</v>
      </c>
      <c r="O732" s="15">
        <v>10</v>
      </c>
      <c r="P732" s="42">
        <f t="shared" si="1815"/>
        <v>249.975</v>
      </c>
      <c r="Q732" s="16"/>
    </row>
    <row r="733" ht="32.05" customHeight="1">
      <c r="A733" s="13">
        <f>A732+1</f>
        <v>731</v>
      </c>
      <c r="B733" s="14">
        <v>2023</v>
      </c>
      <c r="C733" s="15">
        <v>10</v>
      </c>
      <c r="D733" s="15">
        <v>8</v>
      </c>
      <c r="E733" s="16"/>
      <c r="F733" t="s" s="17">
        <v>287</v>
      </c>
      <c r="G733" s="16"/>
      <c r="H733" t="s" s="17">
        <v>163</v>
      </c>
      <c r="I733" t="s" s="17">
        <v>17</v>
      </c>
      <c r="J733" t="s" s="17">
        <v>298</v>
      </c>
      <c r="K733" t="s" s="17">
        <v>23</v>
      </c>
      <c r="L733" s="15">
        <f>IF(O733,P733/O733,0)</f>
        <v>33.128</v>
      </c>
      <c r="M733" s="15">
        <v>33.128</v>
      </c>
      <c r="N733" s="15">
        <f>A733</f>
        <v>731</v>
      </c>
      <c r="O733" s="15">
        <v>24</v>
      </c>
      <c r="P733" s="42">
        <f t="shared" si="2025"/>
        <v>795.072</v>
      </c>
      <c r="Q733" s="16"/>
    </row>
    <row r="734" ht="32.05" customHeight="1">
      <c r="A734" s="13">
        <f>A733+1</f>
        <v>732</v>
      </c>
      <c r="B734" s="14">
        <v>2023</v>
      </c>
      <c r="C734" s="15">
        <v>10</v>
      </c>
      <c r="D734" s="15">
        <v>8</v>
      </c>
      <c r="E734" s="16"/>
      <c r="F734" t="s" s="17">
        <v>287</v>
      </c>
      <c r="G734" s="16"/>
      <c r="H734" t="s" s="17">
        <v>163</v>
      </c>
      <c r="I734" t="s" s="17">
        <v>17</v>
      </c>
      <c r="J734" t="s" s="17">
        <v>300</v>
      </c>
      <c r="K734" t="s" s="17">
        <v>23</v>
      </c>
      <c r="L734" s="15">
        <f>IF(O734,P734/O734,0)</f>
        <v>32.0978</v>
      </c>
      <c r="M734" s="15">
        <v>32.0978</v>
      </c>
      <c r="N734" s="15">
        <f>A734</f>
        <v>732</v>
      </c>
      <c r="O734" s="15">
        <v>24</v>
      </c>
      <c r="P734" s="43">
        <f t="shared" si="2033"/>
        <v>770.3472</v>
      </c>
      <c r="Q734" s="16"/>
    </row>
    <row r="735" ht="32.05" customHeight="1">
      <c r="A735" s="13">
        <f>A734+1</f>
        <v>733</v>
      </c>
      <c r="B735" s="14">
        <v>2023</v>
      </c>
      <c r="C735" s="15">
        <v>10</v>
      </c>
      <c r="D735" s="15">
        <v>8</v>
      </c>
      <c r="E735" s="16"/>
      <c r="F735" t="s" s="17">
        <v>287</v>
      </c>
      <c r="G735" s="16"/>
      <c r="H735" t="s" s="17">
        <v>163</v>
      </c>
      <c r="I735" t="s" s="17">
        <v>17</v>
      </c>
      <c r="J735" t="s" s="17">
        <v>299</v>
      </c>
      <c r="K735" t="s" s="17">
        <v>23</v>
      </c>
      <c r="L735" s="15">
        <f>IF(O735,P735/O735,0)</f>
        <v>37.269</v>
      </c>
      <c r="M735" s="15">
        <v>37.269</v>
      </c>
      <c r="N735" s="15">
        <f>A735</f>
        <v>733</v>
      </c>
      <c r="O735" s="15">
        <v>24</v>
      </c>
      <c r="P735" s="42">
        <f t="shared" si="2029"/>
        <v>894.456</v>
      </c>
      <c r="Q735" s="16"/>
    </row>
    <row r="736" ht="20.05" customHeight="1">
      <c r="A736" s="13">
        <f>A735+1</f>
        <v>734</v>
      </c>
      <c r="B736" s="14">
        <v>2023</v>
      </c>
      <c r="C736" s="15">
        <v>10</v>
      </c>
      <c r="D736" s="15">
        <v>9</v>
      </c>
      <c r="E736" s="16"/>
      <c r="F736" t="s" s="17">
        <v>319</v>
      </c>
      <c r="G736" s="16"/>
      <c r="H736" t="s" s="17">
        <v>163</v>
      </c>
      <c r="I736" t="s" s="17">
        <v>320</v>
      </c>
      <c r="J736" t="s" s="17">
        <v>321</v>
      </c>
      <c r="K736" t="s" s="17">
        <v>23</v>
      </c>
      <c r="L736" s="15">
        <f>IF(O736,P736/O736,0)</f>
        <v>11350</v>
      </c>
      <c r="M736" s="15">
        <v>11350</v>
      </c>
      <c r="N736" s="15">
        <f>A736</f>
        <v>734</v>
      </c>
      <c r="O736" s="15">
        <v>1</v>
      </c>
      <c r="P736" s="15">
        <v>11350</v>
      </c>
      <c r="Q736" s="16"/>
    </row>
    <row r="737" ht="20.05" customHeight="1">
      <c r="A737" s="13">
        <f>A736+1</f>
        <v>735</v>
      </c>
      <c r="B737" s="14">
        <v>2023</v>
      </c>
      <c r="C737" s="15">
        <v>10</v>
      </c>
      <c r="D737" s="15">
        <v>11</v>
      </c>
      <c r="E737" s="16"/>
      <c r="F737" t="s" s="17">
        <v>315</v>
      </c>
      <c r="G737" s="16"/>
      <c r="H737" t="s" s="17">
        <v>163</v>
      </c>
      <c r="I737" t="s" s="17">
        <v>19</v>
      </c>
      <c r="J737" t="s" s="17">
        <v>112</v>
      </c>
      <c r="K737" t="s" s="17">
        <v>41</v>
      </c>
      <c r="L737" s="15">
        <f>IF(O737,P737/O737,0)</f>
        <v>0.03434</v>
      </c>
      <c r="M737" s="15">
        <v>0.03434</v>
      </c>
      <c r="N737" s="15">
        <f>A737</f>
        <v>735</v>
      </c>
      <c r="O737" s="15">
        <f>8*1000</f>
        <v>8000</v>
      </c>
      <c r="P737" s="15">
        <v>274.72</v>
      </c>
      <c r="Q737" s="16"/>
    </row>
    <row r="738" ht="20.05" customHeight="1">
      <c r="A738" s="13">
        <f>A737+1</f>
        <v>736</v>
      </c>
      <c r="B738" s="14">
        <v>2023</v>
      </c>
      <c r="C738" s="15">
        <v>10</v>
      </c>
      <c r="D738" s="15">
        <v>11</v>
      </c>
      <c r="E738" s="16"/>
      <c r="F738" t="s" s="17">
        <v>315</v>
      </c>
      <c r="G738" s="16"/>
      <c r="H738" t="s" s="17">
        <v>163</v>
      </c>
      <c r="I738" t="s" s="17">
        <v>26</v>
      </c>
      <c r="J738" t="s" s="17">
        <v>113</v>
      </c>
      <c r="K738" t="s" s="17">
        <v>41</v>
      </c>
      <c r="L738" s="15">
        <f>IF(O738,P738/O738,0)</f>
        <v>0.02585</v>
      </c>
      <c r="M738" s="15">
        <v>0.02585</v>
      </c>
      <c r="N738" s="15">
        <f>A738</f>
        <v>736</v>
      </c>
      <c r="O738" s="15">
        <v>3000</v>
      </c>
      <c r="P738" s="15">
        <v>77.55</v>
      </c>
      <c r="Q738" s="16"/>
    </row>
    <row r="739" ht="20.05" customHeight="1">
      <c r="A739" s="13">
        <f>A738+1</f>
        <v>737</v>
      </c>
      <c r="B739" s="14">
        <v>2023</v>
      </c>
      <c r="C739" s="15">
        <v>10</v>
      </c>
      <c r="D739" s="15">
        <v>11</v>
      </c>
      <c r="E739" s="16"/>
      <c r="F739" t="s" s="17">
        <v>315</v>
      </c>
      <c r="G739" s="16"/>
      <c r="H739" t="s" s="17">
        <v>163</v>
      </c>
      <c r="I739" t="s" s="17">
        <v>19</v>
      </c>
      <c r="J739" t="s" s="17">
        <v>72</v>
      </c>
      <c r="K739" t="s" s="17">
        <v>41</v>
      </c>
      <c r="L739" s="15">
        <f>IF(O739,P739/O739,0)</f>
        <v>0.22992</v>
      </c>
      <c r="M739" s="15">
        <v>0.22992</v>
      </c>
      <c r="N739" s="15">
        <f>A739</f>
        <v>737</v>
      </c>
      <c r="O739" s="15">
        <v>250</v>
      </c>
      <c r="P739" s="15">
        <v>57.48</v>
      </c>
      <c r="Q739" s="16"/>
    </row>
    <row r="740" ht="20.05" customHeight="1">
      <c r="A740" s="13">
        <f>A739+1</f>
        <v>738</v>
      </c>
      <c r="B740" s="14">
        <v>2023</v>
      </c>
      <c r="C740" s="15">
        <v>10</v>
      </c>
      <c r="D740" s="15">
        <v>11</v>
      </c>
      <c r="E740" s="16"/>
      <c r="F740" t="s" s="17">
        <v>315</v>
      </c>
      <c r="G740" s="16"/>
      <c r="H740" t="s" s="17">
        <v>163</v>
      </c>
      <c r="I740" t="s" s="17">
        <v>26</v>
      </c>
      <c r="J740" t="s" s="17">
        <v>27</v>
      </c>
      <c r="K740" t="s" s="17">
        <v>16</v>
      </c>
      <c r="L740" s="15">
        <f>IF(O740,P740/O740,0)</f>
        <v>0.2974</v>
      </c>
      <c r="M740" s="15">
        <v>0.2974</v>
      </c>
      <c r="N740" s="15">
        <f>A740</f>
        <v>738</v>
      </c>
      <c r="O740" s="15">
        <v>550</v>
      </c>
      <c r="P740" s="15">
        <v>163.57</v>
      </c>
      <c r="Q740" s="16"/>
    </row>
    <row r="741" ht="20.05" customHeight="1">
      <c r="A741" s="13">
        <f>A740+1</f>
        <v>739</v>
      </c>
      <c r="B741" s="14">
        <v>2023</v>
      </c>
      <c r="C741" s="15">
        <v>10</v>
      </c>
      <c r="D741" s="15">
        <v>11</v>
      </c>
      <c r="E741" s="16"/>
      <c r="F741" t="s" s="17">
        <v>315</v>
      </c>
      <c r="G741" s="16"/>
      <c r="H741" t="s" s="17">
        <v>163</v>
      </c>
      <c r="I741" t="s" s="17">
        <v>26</v>
      </c>
      <c r="J741" t="s" s="17">
        <v>117</v>
      </c>
      <c r="K741" t="s" s="17">
        <v>23</v>
      </c>
      <c r="L741" s="15">
        <f>IF(O741,P741/O741,0)</f>
        <v>44.329</v>
      </c>
      <c r="M741" s="15">
        <v>44.329</v>
      </c>
      <c r="N741" s="15">
        <f>A741</f>
        <v>739</v>
      </c>
      <c r="O741" s="15">
        <v>10</v>
      </c>
      <c r="P741" s="15">
        <v>443.29</v>
      </c>
      <c r="Q741" s="16"/>
    </row>
    <row r="742" ht="20.05" customHeight="1">
      <c r="A742" s="13">
        <f>A741+1</f>
        <v>740</v>
      </c>
      <c r="B742" s="14">
        <v>2023</v>
      </c>
      <c r="C742" s="15">
        <v>10</v>
      </c>
      <c r="D742" s="15">
        <v>11</v>
      </c>
      <c r="E742" s="16"/>
      <c r="F742" t="s" s="17">
        <v>315</v>
      </c>
      <c r="G742" s="16"/>
      <c r="H742" t="s" s="17">
        <v>163</v>
      </c>
      <c r="I742" t="s" s="17">
        <v>26</v>
      </c>
      <c r="J742" t="s" s="17">
        <v>118</v>
      </c>
      <c r="K742" t="s" s="17">
        <v>23</v>
      </c>
      <c r="L742" s="15">
        <f>IF(O742,P742/O742,0)</f>
        <v>45.47</v>
      </c>
      <c r="M742" s="15">
        <v>45.47</v>
      </c>
      <c r="N742" s="15">
        <f>A742</f>
        <v>740</v>
      </c>
      <c r="O742" s="15">
        <v>10</v>
      </c>
      <c r="P742" s="15">
        <v>454.7</v>
      </c>
      <c r="Q742" s="16"/>
    </row>
    <row r="743" ht="20.05" customHeight="1">
      <c r="A743" s="13">
        <f>A742+1</f>
        <v>741</v>
      </c>
      <c r="B743" s="14">
        <v>2023</v>
      </c>
      <c r="C743" s="15">
        <v>10</v>
      </c>
      <c r="D743" s="15">
        <v>11</v>
      </c>
      <c r="E743" s="16"/>
      <c r="F743" t="s" s="17">
        <v>315</v>
      </c>
      <c r="G743" s="16"/>
      <c r="H743" t="s" s="17">
        <v>163</v>
      </c>
      <c r="I743" t="s" s="17">
        <v>19</v>
      </c>
      <c r="J743" t="s" s="17">
        <v>135</v>
      </c>
      <c r="K743" t="s" s="17">
        <v>23</v>
      </c>
      <c r="L743" s="15">
        <f>IF(O743,P743/O743,0)</f>
        <v>0.4428</v>
      </c>
      <c r="M743" s="15">
        <v>0.4428</v>
      </c>
      <c r="N743" s="15">
        <f>A743</f>
        <v>741</v>
      </c>
      <c r="O743" s="15">
        <f t="shared" si="2318"/>
        <v>250</v>
      </c>
      <c r="P743" s="15">
        <v>110.7</v>
      </c>
      <c r="Q743" s="16"/>
    </row>
    <row r="744" ht="20.05" customHeight="1">
      <c r="A744" s="13">
        <f>A743+1</f>
        <v>742</v>
      </c>
      <c r="B744" s="14">
        <v>2023</v>
      </c>
      <c r="C744" s="15">
        <v>10</v>
      </c>
      <c r="D744" s="15">
        <v>23</v>
      </c>
      <c r="E744" s="16"/>
      <c r="F744" t="s" s="17">
        <v>322</v>
      </c>
      <c r="G744" s="16"/>
      <c r="H744" t="s" s="17">
        <v>253</v>
      </c>
      <c r="I744" t="s" s="17">
        <v>14</v>
      </c>
      <c r="J744" t="s" s="17">
        <v>323</v>
      </c>
      <c r="K744" t="s" s="17">
        <v>23</v>
      </c>
      <c r="L744" s="15">
        <f>IF(O744,P744/O744,0)</f>
        <v>30.8</v>
      </c>
      <c r="M744" s="15">
        <v>30.8</v>
      </c>
      <c r="N744" s="15">
        <f>A744</f>
        <v>742</v>
      </c>
      <c r="O744" s="15">
        <v>25</v>
      </c>
      <c r="P744" s="41">
        <f t="shared" si="2547" ref="P744:P1574">700+700*10%</f>
        <v>770</v>
      </c>
      <c r="Q744" s="16"/>
    </row>
    <row r="745" ht="20.05" customHeight="1">
      <c r="A745" s="13">
        <f>A744+1</f>
        <v>743</v>
      </c>
      <c r="B745" s="14">
        <v>2023</v>
      </c>
      <c r="C745" s="15">
        <v>10</v>
      </c>
      <c r="D745" s="15">
        <v>8</v>
      </c>
      <c r="E745" s="16"/>
      <c r="F745" t="s" s="17">
        <v>324</v>
      </c>
      <c r="G745" s="16"/>
      <c r="H745" t="s" s="17">
        <v>163</v>
      </c>
      <c r="I745" t="s" s="17">
        <v>199</v>
      </c>
      <c r="J745" t="s" s="17">
        <v>209</v>
      </c>
      <c r="K745" t="s" s="17">
        <v>23</v>
      </c>
      <c r="L745" s="15">
        <f>IF(O745,P745/O745,0)</f>
        <v>70</v>
      </c>
      <c r="M745" s="15">
        <v>70</v>
      </c>
      <c r="N745" s="15">
        <f>A745</f>
        <v>743</v>
      </c>
      <c r="O745" s="15">
        <v>1</v>
      </c>
      <c r="P745" s="15">
        <v>70</v>
      </c>
      <c r="Q745" s="16"/>
    </row>
    <row r="746" ht="20.05" customHeight="1">
      <c r="A746" s="13">
        <f>A745+1</f>
        <v>744</v>
      </c>
      <c r="B746" s="14">
        <v>2023</v>
      </c>
      <c r="C746" s="15">
        <v>10</v>
      </c>
      <c r="D746" s="15">
        <v>8</v>
      </c>
      <c r="E746" s="16"/>
      <c r="F746" t="s" s="17">
        <v>324</v>
      </c>
      <c r="G746" s="16"/>
      <c r="H746" t="s" s="17">
        <v>163</v>
      </c>
      <c r="I746" t="s" s="17">
        <v>199</v>
      </c>
      <c r="J746" t="s" s="17">
        <v>8</v>
      </c>
      <c r="K746" t="s" s="17">
        <v>23</v>
      </c>
      <c r="L746" s="15">
        <f>IF(O746,P746/O746,0)</f>
        <v>4.33333333333333</v>
      </c>
      <c r="M746" s="15">
        <v>4.33333333333333</v>
      </c>
      <c r="N746" s="15">
        <f>A746</f>
        <v>744</v>
      </c>
      <c r="O746" s="15">
        <v>30</v>
      </c>
      <c r="P746" s="15">
        <v>130</v>
      </c>
      <c r="Q746" s="16"/>
    </row>
    <row r="747" ht="20.05" customHeight="1">
      <c r="A747" s="13">
        <f>A746+1</f>
        <v>745</v>
      </c>
      <c r="B747" s="14">
        <v>2023</v>
      </c>
      <c r="C747" s="15">
        <v>10</v>
      </c>
      <c r="D747" s="15">
        <v>11</v>
      </c>
      <c r="E747" s="16"/>
      <c r="F747" t="s" s="17">
        <v>275</v>
      </c>
      <c r="G747" s="16"/>
      <c r="H747" t="s" s="17">
        <v>163</v>
      </c>
      <c r="I747" t="s" s="17">
        <v>19</v>
      </c>
      <c r="J747" t="s" s="17">
        <v>97</v>
      </c>
      <c r="K747" t="s" s="17">
        <v>41</v>
      </c>
      <c r="L747" s="15">
        <f>IF(O747,P747/O747,0)</f>
        <v>0.29694</v>
      </c>
      <c r="M747" s="15">
        <v>0.29694</v>
      </c>
      <c r="N747" s="15">
        <f>A747</f>
        <v>745</v>
      </c>
      <c r="O747" s="15">
        <v>1000</v>
      </c>
      <c r="P747" s="41">
        <f t="shared" si="1878"/>
        <v>296.94</v>
      </c>
      <c r="Q747" s="16"/>
    </row>
    <row r="748" ht="32.05" customHeight="1">
      <c r="A748" s="13">
        <f>A747+1</f>
        <v>746</v>
      </c>
      <c r="B748" s="14">
        <v>2023</v>
      </c>
      <c r="C748" s="15">
        <v>10</v>
      </c>
      <c r="D748" s="15">
        <v>9</v>
      </c>
      <c r="E748" s="16"/>
      <c r="F748" t="s" s="17">
        <v>284</v>
      </c>
      <c r="G748" s="16"/>
      <c r="H748" t="s" s="17">
        <v>163</v>
      </c>
      <c r="I748" t="s" s="17">
        <v>19</v>
      </c>
      <c r="J748" t="s" s="17">
        <v>285</v>
      </c>
      <c r="K748" t="s" s="17">
        <v>41</v>
      </c>
      <c r="L748" s="15">
        <f>IF(O748,P748/O748,0)</f>
        <v>0.045</v>
      </c>
      <c r="M748" s="15">
        <v>0.045</v>
      </c>
      <c r="N748" s="15">
        <f>A748</f>
        <v>746</v>
      </c>
      <c r="O748" s="15">
        <v>20000</v>
      </c>
      <c r="P748" s="41">
        <f t="shared" si="1777"/>
        <v>900</v>
      </c>
      <c r="Q748" s="16"/>
    </row>
    <row r="749" ht="20.05" customHeight="1">
      <c r="A749" s="13">
        <f>A748+1</f>
        <v>747</v>
      </c>
      <c r="B749" s="14">
        <v>2023</v>
      </c>
      <c r="C749" s="15">
        <v>10</v>
      </c>
      <c r="D749" s="15">
        <v>11</v>
      </c>
      <c r="E749" s="16"/>
      <c r="F749" t="s" s="17">
        <v>130</v>
      </c>
      <c r="G749" t="s" s="45">
        <v>325</v>
      </c>
      <c r="H749" t="s" s="17">
        <v>163</v>
      </c>
      <c r="I749" t="s" s="17">
        <v>26</v>
      </c>
      <c r="J749" t="s" s="17">
        <v>134</v>
      </c>
      <c r="K749" t="s" s="17">
        <v>23</v>
      </c>
      <c r="L749" s="15">
        <f>IF(O749,P749/O749,0)</f>
        <v>21.9666666666667</v>
      </c>
      <c r="M749" s="15">
        <v>21.9666666666667</v>
      </c>
      <c r="N749" s="15">
        <f>A749</f>
        <v>747</v>
      </c>
      <c r="O749" s="15">
        <v>6</v>
      </c>
      <c r="P749" s="15">
        <f>32.95*4</f>
        <v>131.8</v>
      </c>
      <c r="Q749" s="16"/>
    </row>
    <row r="750" ht="20.35" customHeight="1">
      <c r="A750" s="13">
        <f>A749+1</f>
        <v>748</v>
      </c>
      <c r="B750" s="14">
        <v>2023</v>
      </c>
      <c r="C750" s="15">
        <v>10</v>
      </c>
      <c r="D750" s="15">
        <v>11</v>
      </c>
      <c r="E750" s="16"/>
      <c r="F750" t="s" s="17">
        <v>130</v>
      </c>
      <c r="G750" s="16"/>
      <c r="H750" t="s" s="17">
        <v>163</v>
      </c>
      <c r="I750" t="s" s="17">
        <v>26</v>
      </c>
      <c r="J750" t="s" s="17">
        <v>82</v>
      </c>
      <c r="K750" t="s" s="17">
        <v>16</v>
      </c>
      <c r="L750" s="15">
        <f>IF(O750,P750/O750,0)</f>
        <v>0.0379</v>
      </c>
      <c r="M750" s="15">
        <v>0.0379</v>
      </c>
      <c r="N750" s="15">
        <f>A750</f>
        <v>748</v>
      </c>
      <c r="O750" s="15">
        <f t="shared" si="2428"/>
        <v>2000</v>
      </c>
      <c r="P750" s="18">
        <f>2*37.9</f>
        <v>75.8</v>
      </c>
      <c r="Q750" s="16"/>
    </row>
    <row r="751" ht="20.7" customHeight="1">
      <c r="A751" s="13">
        <f>A750+1</f>
        <v>749</v>
      </c>
      <c r="B751" s="14">
        <v>2023</v>
      </c>
      <c r="C751" s="15">
        <v>10</v>
      </c>
      <c r="D751" s="15">
        <v>11</v>
      </c>
      <c r="E751" s="16"/>
      <c r="F751" t="s" s="17">
        <v>122</v>
      </c>
      <c r="G751" s="16"/>
      <c r="H751" t="s" s="17">
        <v>163</v>
      </c>
      <c r="I751" t="s" s="17">
        <v>127</v>
      </c>
      <c r="J751" t="s" s="17">
        <v>169</v>
      </c>
      <c r="K751" t="s" s="17">
        <v>23</v>
      </c>
      <c r="L751" s="15">
        <f>IF(O751,P751/O751,0)</f>
        <v>0.4032</v>
      </c>
      <c r="M751" s="15">
        <v>0.4032</v>
      </c>
      <c r="N751" s="15">
        <f>A751</f>
        <v>749</v>
      </c>
      <c r="O751" s="19">
        <v>1000</v>
      </c>
      <c r="P751" s="46">
        <f t="shared" si="1726"/>
        <v>403.2</v>
      </c>
      <c r="Q751" s="21"/>
    </row>
    <row r="752" ht="20.7" customHeight="1">
      <c r="A752" s="13">
        <f>A751+1</f>
        <v>750</v>
      </c>
      <c r="B752" s="14">
        <v>2023</v>
      </c>
      <c r="C752" s="15">
        <v>10</v>
      </c>
      <c r="D752" s="15">
        <v>11</v>
      </c>
      <c r="E752" s="16"/>
      <c r="F752" t="s" s="17">
        <v>122</v>
      </c>
      <c r="G752" s="16"/>
      <c r="H752" t="s" s="17">
        <v>163</v>
      </c>
      <c r="I752" t="s" s="17">
        <v>19</v>
      </c>
      <c r="J752" t="s" s="17">
        <v>67</v>
      </c>
      <c r="K752" t="s" s="17">
        <v>23</v>
      </c>
      <c r="L752" s="15">
        <f>IF(O752,P752/O752,0)</f>
        <v>1.167459</v>
      </c>
      <c r="M752" s="15">
        <v>1.167459</v>
      </c>
      <c r="N752" s="15">
        <f>A752</f>
        <v>750</v>
      </c>
      <c r="O752" s="19">
        <f t="shared" si="1700"/>
        <v>200</v>
      </c>
      <c r="P752" s="47">
        <f>231.18+231.18*1%</f>
        <v>233.4918</v>
      </c>
      <c r="Q752" s="21"/>
    </row>
    <row r="753" ht="20.7" customHeight="1">
      <c r="A753" s="13">
        <f>A752+1</f>
        <v>751</v>
      </c>
      <c r="B753" s="14">
        <v>2023</v>
      </c>
      <c r="C753" s="15">
        <v>10</v>
      </c>
      <c r="D753" s="15">
        <v>11</v>
      </c>
      <c r="E753" s="16"/>
      <c r="F753" t="s" s="17">
        <v>122</v>
      </c>
      <c r="G753" s="16"/>
      <c r="H753" t="s" s="17">
        <v>163</v>
      </c>
      <c r="I753" t="s" s="17">
        <v>19</v>
      </c>
      <c r="J753" t="s" s="17">
        <v>138</v>
      </c>
      <c r="K753" t="s" s="17">
        <v>41</v>
      </c>
      <c r="L753" s="15">
        <f>IF(O753,P753/O753,0)</f>
        <v>0.033835</v>
      </c>
      <c r="M753" s="15">
        <v>0.033835</v>
      </c>
      <c r="N753" s="15">
        <f>A753</f>
        <v>751</v>
      </c>
      <c r="O753" s="19">
        <f t="shared" si="2248"/>
        <v>36000</v>
      </c>
      <c r="P753" s="48">
        <f>1206+1206*1%</f>
        <v>1218.06</v>
      </c>
      <c r="Q753" s="21"/>
    </row>
    <row r="754" ht="20.7" customHeight="1">
      <c r="A754" s="13">
        <f>A753+1</f>
        <v>752</v>
      </c>
      <c r="B754" s="14">
        <v>2023</v>
      </c>
      <c r="C754" s="15">
        <v>10</v>
      </c>
      <c r="D754" s="15">
        <v>11</v>
      </c>
      <c r="E754" s="16"/>
      <c r="F754" t="s" s="17">
        <v>122</v>
      </c>
      <c r="G754" s="16"/>
      <c r="H754" t="s" s="17">
        <v>163</v>
      </c>
      <c r="I754" t="s" s="17">
        <v>19</v>
      </c>
      <c r="J754" t="s" s="17">
        <v>139</v>
      </c>
      <c r="K754" t="s" s="17">
        <v>23</v>
      </c>
      <c r="L754" s="15">
        <f>IF(O754,P754/O754,0)</f>
        <v>3.89270833333333</v>
      </c>
      <c r="M754" s="15">
        <v>3.89270833333333</v>
      </c>
      <c r="N754" s="15">
        <f>A754</f>
        <v>752</v>
      </c>
      <c r="O754" s="19">
        <f t="shared" si="1960"/>
        <v>72</v>
      </c>
      <c r="P754" s="46">
        <f t="shared" si="2589" ref="P754:P819">277.5+277.5*1%</f>
        <v>280.275</v>
      </c>
      <c r="Q754" s="21"/>
    </row>
    <row r="755" ht="20.7" customHeight="1">
      <c r="A755" s="13">
        <f>A754+1</f>
        <v>753</v>
      </c>
      <c r="B755" s="14">
        <v>2023</v>
      </c>
      <c r="C755" s="15">
        <v>10</v>
      </c>
      <c r="D755" s="15">
        <v>11</v>
      </c>
      <c r="E755" s="16"/>
      <c r="F755" t="s" s="17">
        <v>122</v>
      </c>
      <c r="G755" s="16"/>
      <c r="H755" t="s" s="17">
        <v>163</v>
      </c>
      <c r="I755" t="s" s="17">
        <v>19</v>
      </c>
      <c r="J755" t="s" s="17">
        <v>73</v>
      </c>
      <c r="K755" t="s" s="17">
        <v>23</v>
      </c>
      <c r="L755" s="15">
        <f>IF(O755,P755/O755,0)</f>
        <v>5.89166666666667</v>
      </c>
      <c r="M755" s="15">
        <v>5.89166666666667</v>
      </c>
      <c r="N755" s="15">
        <f>A755</f>
        <v>753</v>
      </c>
      <c r="O755" s="19">
        <f t="shared" si="2593" ref="O755:O845">1*24</f>
        <v>24</v>
      </c>
      <c r="P755" s="46">
        <f t="shared" si="2109"/>
        <v>141.4</v>
      </c>
      <c r="Q755" s="21"/>
    </row>
    <row r="756" ht="20.7" customHeight="1">
      <c r="A756" s="13">
        <f>A755+1</f>
        <v>754</v>
      </c>
      <c r="B756" s="14">
        <v>2023</v>
      </c>
      <c r="C756" s="15">
        <v>10</v>
      </c>
      <c r="D756" s="15">
        <v>12</v>
      </c>
      <c r="E756" s="16"/>
      <c r="F756" t="s" s="17">
        <v>130</v>
      </c>
      <c r="G756" s="16"/>
      <c r="H756" t="s" s="17">
        <v>163</v>
      </c>
      <c r="I756" t="s" s="17">
        <v>19</v>
      </c>
      <c r="J756" t="s" s="17">
        <v>157</v>
      </c>
      <c r="K756" t="s" s="17">
        <v>16</v>
      </c>
      <c r="L756" s="15">
        <f>IF(O756,P756/O756,0)</f>
        <v>0.0149479708636837</v>
      </c>
      <c r="M756" s="15">
        <v>0.0149479708636837</v>
      </c>
      <c r="N756" s="15">
        <f>A756</f>
        <v>754</v>
      </c>
      <c r="O756" s="15">
        <v>1922</v>
      </c>
      <c r="P756" s="23">
        <v>28.73</v>
      </c>
      <c r="Q756" s="16"/>
    </row>
    <row r="757" ht="32.7" customHeight="1">
      <c r="A757" s="13">
        <f>A756+1</f>
        <v>755</v>
      </c>
      <c r="B757" s="14">
        <v>2023</v>
      </c>
      <c r="C757" s="15">
        <v>10</v>
      </c>
      <c r="D757" s="15">
        <v>12</v>
      </c>
      <c r="E757" s="16"/>
      <c r="F757" t="s" s="17">
        <v>122</v>
      </c>
      <c r="G757" s="16"/>
      <c r="H757" t="s" s="17">
        <v>163</v>
      </c>
      <c r="I757" t="s" s="17">
        <v>127</v>
      </c>
      <c r="J757" t="s" s="17">
        <v>136</v>
      </c>
      <c r="K757" t="s" s="17">
        <v>23</v>
      </c>
      <c r="L757" s="15">
        <f>IF(O757,P757/O757,0)</f>
        <v>0.1755</v>
      </c>
      <c r="M757" s="15">
        <v>0.1755</v>
      </c>
      <c r="N757" s="15">
        <f>A757</f>
        <v>755</v>
      </c>
      <c r="O757" s="19">
        <f t="shared" si="2601" ref="O757:O1813">12*200</f>
        <v>2400</v>
      </c>
      <c r="P757" s="46">
        <f>351+351*20%</f>
        <v>421.2</v>
      </c>
      <c r="Q757" s="21"/>
    </row>
    <row r="758" ht="20.7" customHeight="1">
      <c r="A758" s="13">
        <f>A757+1</f>
        <v>756</v>
      </c>
      <c r="B758" s="14">
        <v>2023</v>
      </c>
      <c r="C758" s="15">
        <v>10</v>
      </c>
      <c r="D758" s="15">
        <v>12</v>
      </c>
      <c r="E758" s="16"/>
      <c r="F758" t="s" s="17">
        <v>122</v>
      </c>
      <c r="G758" s="16"/>
      <c r="H758" t="s" s="17">
        <v>163</v>
      </c>
      <c r="I758" t="s" s="17">
        <v>127</v>
      </c>
      <c r="J758" t="s" s="17">
        <v>128</v>
      </c>
      <c r="K758" t="s" s="17">
        <v>23</v>
      </c>
      <c r="L758" s="15">
        <f>IF(O758,P758/O758,0)</f>
        <v>8.516666666666669</v>
      </c>
      <c r="M758" s="15">
        <v>8.516666666666669</v>
      </c>
      <c r="N758" s="15">
        <f>A758</f>
        <v>756</v>
      </c>
      <c r="O758" s="19">
        <f t="shared" si="1960"/>
        <v>72</v>
      </c>
      <c r="P758" s="46">
        <f t="shared" si="2607" ref="P758:P951">511+511*20%</f>
        <v>613.2</v>
      </c>
      <c r="Q758" s="21"/>
    </row>
    <row r="759" ht="20.35" customHeight="1">
      <c r="A759" s="13">
        <f>A758+1</f>
        <v>757</v>
      </c>
      <c r="B759" s="14">
        <v>2023</v>
      </c>
      <c r="C759" s="15">
        <v>10</v>
      </c>
      <c r="D759" s="15">
        <v>12</v>
      </c>
      <c r="E759" s="16"/>
      <c r="F759" t="s" s="17">
        <v>185</v>
      </c>
      <c r="G759" s="16"/>
      <c r="H759" t="s" s="17">
        <v>163</v>
      </c>
      <c r="I759" t="s" s="17">
        <v>187</v>
      </c>
      <c r="J759" t="s" s="17">
        <v>326</v>
      </c>
      <c r="K759" t="s" s="17">
        <v>23</v>
      </c>
      <c r="L759" s="15">
        <f>IF(O759,P759/O759,0)</f>
        <v>59.5</v>
      </c>
      <c r="M759" s="15">
        <v>59.5</v>
      </c>
      <c r="N759" s="15">
        <f>A759</f>
        <v>757</v>
      </c>
      <c r="O759" s="15">
        <v>1</v>
      </c>
      <c r="P759" s="22">
        <v>59.5</v>
      </c>
      <c r="Q759" s="16"/>
    </row>
    <row r="760" ht="20.05" customHeight="1">
      <c r="A760" s="13">
        <f>A759+1</f>
        <v>758</v>
      </c>
      <c r="B760" s="14">
        <v>2023</v>
      </c>
      <c r="C760" s="15">
        <v>10</v>
      </c>
      <c r="D760" s="15">
        <v>12</v>
      </c>
      <c r="E760" s="16"/>
      <c r="F760" t="s" s="17">
        <v>287</v>
      </c>
      <c r="G760" s="16"/>
      <c r="H760" t="s" s="17">
        <v>163</v>
      </c>
      <c r="I760" t="s" s="17">
        <v>14</v>
      </c>
      <c r="J760" t="s" s="17">
        <v>289</v>
      </c>
      <c r="K760" t="s" s="17">
        <v>23</v>
      </c>
      <c r="L760" s="15">
        <f>IF(O760,P760/O760,0)</f>
        <v>29.694</v>
      </c>
      <c r="M760" s="15">
        <v>29.694</v>
      </c>
      <c r="N760" s="15">
        <f>A760</f>
        <v>758</v>
      </c>
      <c r="O760" s="15">
        <v>10</v>
      </c>
      <c r="P760" s="41">
        <f t="shared" si="1878"/>
        <v>296.94</v>
      </c>
      <c r="Q760" s="16"/>
    </row>
    <row r="761" ht="20.05" customHeight="1">
      <c r="A761" s="13">
        <f>A760+1</f>
        <v>759</v>
      </c>
      <c r="B761" s="14">
        <v>2023</v>
      </c>
      <c r="C761" s="15">
        <v>10</v>
      </c>
      <c r="D761" s="15">
        <v>12</v>
      </c>
      <c r="E761" s="16"/>
      <c r="F761" t="s" s="17">
        <v>287</v>
      </c>
      <c r="G761" s="16"/>
      <c r="H761" t="s" s="17">
        <v>163</v>
      </c>
      <c r="I761" t="s" s="17">
        <v>14</v>
      </c>
      <c r="J761" t="s" s="17">
        <v>288</v>
      </c>
      <c r="K761" t="s" s="17">
        <v>23</v>
      </c>
      <c r="L761" s="15">
        <f>IF(O761,P761/O761,0)</f>
        <v>34.1155555555556</v>
      </c>
      <c r="M761" s="15">
        <v>34.1155555555556</v>
      </c>
      <c r="N761" s="15">
        <f>A761</f>
        <v>759</v>
      </c>
      <c r="O761" s="15">
        <v>9</v>
      </c>
      <c r="P761" s="41">
        <f t="shared" si="2501"/>
        <v>307.04</v>
      </c>
      <c r="Q761" s="16"/>
    </row>
    <row r="762" ht="32.05" customHeight="1">
      <c r="A762" s="13">
        <f>A761+1</f>
        <v>760</v>
      </c>
      <c r="B762" s="14">
        <v>2023</v>
      </c>
      <c r="C762" s="15">
        <v>10</v>
      </c>
      <c r="D762" s="15">
        <v>12</v>
      </c>
      <c r="E762" s="16"/>
      <c r="F762" t="s" s="17">
        <v>287</v>
      </c>
      <c r="G762" s="16"/>
      <c r="H762" t="s" s="17">
        <v>163</v>
      </c>
      <c r="I762" t="s" s="17">
        <v>14</v>
      </c>
      <c r="J762" t="s" s="17">
        <v>283</v>
      </c>
      <c r="K762" t="s" s="17">
        <v>23</v>
      </c>
      <c r="L762" s="15">
        <f>IF(O762,P762/O762,0)</f>
        <v>32.724</v>
      </c>
      <c r="M762" s="15">
        <v>32.724</v>
      </c>
      <c r="N762" s="15">
        <f>A762</f>
        <v>760</v>
      </c>
      <c r="O762" s="15">
        <f t="shared" si="1827"/>
        <v>20</v>
      </c>
      <c r="P762" s="41">
        <f t="shared" si="1833"/>
        <v>654.48</v>
      </c>
      <c r="Q762" s="16"/>
    </row>
    <row r="763" ht="20.05" customHeight="1">
      <c r="A763" s="13">
        <f>A762+1</f>
        <v>761</v>
      </c>
      <c r="B763" s="14">
        <v>2023</v>
      </c>
      <c r="C763" s="15">
        <v>10</v>
      </c>
      <c r="D763" s="15">
        <v>13</v>
      </c>
      <c r="E763" s="16"/>
      <c r="F763" t="s" s="17">
        <v>130</v>
      </c>
      <c r="G763" t="s" s="17">
        <v>327</v>
      </c>
      <c r="H763" t="s" s="17">
        <v>163</v>
      </c>
      <c r="I763" t="s" s="17">
        <v>199</v>
      </c>
      <c r="J763" t="s" s="17">
        <v>328</v>
      </c>
      <c r="K763" t="s" s="17">
        <v>23</v>
      </c>
      <c r="L763" s="15">
        <f>IF(O763,P763/O763,0)</f>
        <v>34.975</v>
      </c>
      <c r="M763" s="15">
        <v>34.975</v>
      </c>
      <c r="N763" s="15">
        <f>A763</f>
        <v>761</v>
      </c>
      <c r="O763" s="15">
        <v>4</v>
      </c>
      <c r="P763" s="15">
        <v>139.9</v>
      </c>
      <c r="Q763" s="16"/>
    </row>
    <row r="764" ht="20.05" customHeight="1">
      <c r="A764" s="13">
        <f>A763+1</f>
        <v>762</v>
      </c>
      <c r="B764" s="14">
        <v>2023</v>
      </c>
      <c r="C764" s="15">
        <v>10</v>
      </c>
      <c r="D764" s="15">
        <v>13</v>
      </c>
      <c r="E764" s="16"/>
      <c r="F764" t="s" s="17">
        <v>130</v>
      </c>
      <c r="G764" s="16"/>
      <c r="H764" t="s" s="17">
        <v>163</v>
      </c>
      <c r="I764" t="s" s="17">
        <v>19</v>
      </c>
      <c r="J764" t="s" s="17">
        <v>157</v>
      </c>
      <c r="K764" t="s" s="17">
        <v>16</v>
      </c>
      <c r="L764" s="15">
        <f>IF(O764,P764/O764,0)</f>
        <v>0.0149488752556237</v>
      </c>
      <c r="M764" s="15">
        <v>0.0149488752556237</v>
      </c>
      <c r="N764" s="15">
        <f>A764</f>
        <v>762</v>
      </c>
      <c r="O764" s="15">
        <v>978</v>
      </c>
      <c r="P764" s="15">
        <v>14.62</v>
      </c>
      <c r="Q764" s="16"/>
    </row>
    <row r="765" ht="20.05" customHeight="1">
      <c r="A765" s="13">
        <f>A764+1</f>
        <v>763</v>
      </c>
      <c r="B765" s="14">
        <v>2023</v>
      </c>
      <c r="C765" s="15">
        <v>10</v>
      </c>
      <c r="D765" s="15">
        <v>13</v>
      </c>
      <c r="E765" s="16"/>
      <c r="F765" t="s" s="17">
        <v>324</v>
      </c>
      <c r="G765" t="s" s="17">
        <v>329</v>
      </c>
      <c r="H765" t="s" s="17">
        <v>163</v>
      </c>
      <c r="I765" t="s" s="17">
        <v>187</v>
      </c>
      <c r="J765" t="s" s="17">
        <v>330</v>
      </c>
      <c r="K765" t="s" s="17">
        <v>23</v>
      </c>
      <c r="L765" s="15">
        <f>IF(O765,P765/O765,0)</f>
        <v>100</v>
      </c>
      <c r="M765" s="15">
        <v>100</v>
      </c>
      <c r="N765" s="15">
        <f>A765</f>
        <v>763</v>
      </c>
      <c r="O765" s="15">
        <v>1</v>
      </c>
      <c r="P765" s="15">
        <v>100</v>
      </c>
      <c r="Q765" s="16"/>
    </row>
    <row r="766" ht="32.05" customHeight="1">
      <c r="A766" s="13">
        <f>A765+1</f>
        <v>764</v>
      </c>
      <c r="B766" s="14">
        <v>2023</v>
      </c>
      <c r="C766" s="15">
        <v>10</v>
      </c>
      <c r="D766" s="15">
        <v>13</v>
      </c>
      <c r="E766" s="16"/>
      <c r="F766" t="s" s="17">
        <v>331</v>
      </c>
      <c r="G766" s="16"/>
      <c r="H766" t="s" s="17">
        <v>163</v>
      </c>
      <c r="I766" t="s" s="17">
        <v>19</v>
      </c>
      <c r="J766" t="s" s="17">
        <v>185</v>
      </c>
      <c r="K766" t="s" s="17">
        <v>23</v>
      </c>
      <c r="L766" s="15">
        <f>IF(O766,P766/O766,0)</f>
        <v>191.5</v>
      </c>
      <c r="M766" s="15">
        <v>191.5</v>
      </c>
      <c r="N766" s="15">
        <f>A766</f>
        <v>764</v>
      </c>
      <c r="O766" s="15">
        <v>1</v>
      </c>
      <c r="P766" s="15">
        <v>191.5</v>
      </c>
      <c r="Q766" s="16"/>
    </row>
    <row r="767" ht="20.05" customHeight="1">
      <c r="A767" s="13">
        <f>A766+1</f>
        <v>765</v>
      </c>
      <c r="B767" s="14">
        <v>2023</v>
      </c>
      <c r="C767" s="15">
        <v>10</v>
      </c>
      <c r="D767" s="15">
        <v>13</v>
      </c>
      <c r="E767" s="16"/>
      <c r="F767" t="s" s="17">
        <v>332</v>
      </c>
      <c r="G767" s="16"/>
      <c r="H767" t="s" s="17">
        <v>163</v>
      </c>
      <c r="I767" t="s" s="17">
        <v>19</v>
      </c>
      <c r="J767" t="s" s="17">
        <v>333</v>
      </c>
      <c r="K767" t="s" s="17">
        <v>23</v>
      </c>
      <c r="L767" s="15">
        <f>IF(O767,P767/O767,0)</f>
        <v>32.99</v>
      </c>
      <c r="M767" s="15">
        <v>32.99</v>
      </c>
      <c r="N767" s="15">
        <f>A767</f>
        <v>765</v>
      </c>
      <c r="O767" s="15">
        <v>21</v>
      </c>
      <c r="P767" s="15">
        <v>692.79</v>
      </c>
      <c r="Q767" s="16"/>
    </row>
    <row r="768" ht="20.05" customHeight="1">
      <c r="A768" s="13">
        <f>A767+1</f>
        <v>766</v>
      </c>
      <c r="B768" s="14">
        <v>2023</v>
      </c>
      <c r="C768" s="15">
        <v>10</v>
      </c>
      <c r="D768" s="15">
        <v>13</v>
      </c>
      <c r="E768" s="16"/>
      <c r="F768" t="s" s="17">
        <v>332</v>
      </c>
      <c r="G768" s="16"/>
      <c r="H768" t="s" s="17">
        <v>163</v>
      </c>
      <c r="I768" t="s" s="17">
        <v>19</v>
      </c>
      <c r="J768" t="s" s="17">
        <v>334</v>
      </c>
      <c r="K768" t="s" s="17">
        <v>23</v>
      </c>
      <c r="L768" s="15">
        <f>IF(O768,P768/O768,0)</f>
        <v>57.99</v>
      </c>
      <c r="M768" s="15">
        <v>57.99</v>
      </c>
      <c r="N768" s="15">
        <f>A768</f>
        <v>766</v>
      </c>
      <c r="O768" s="15">
        <v>16</v>
      </c>
      <c r="P768" s="15">
        <v>927.84</v>
      </c>
      <c r="Q768" s="16"/>
    </row>
    <row r="769" ht="20.05" customHeight="1">
      <c r="A769" s="13">
        <f>A768+1</f>
        <v>767</v>
      </c>
      <c r="B769" s="14">
        <v>2023</v>
      </c>
      <c r="C769" s="15">
        <v>10</v>
      </c>
      <c r="D769" s="15">
        <v>13</v>
      </c>
      <c r="E769" s="16"/>
      <c r="F769" t="s" s="17">
        <v>332</v>
      </c>
      <c r="G769" s="16"/>
      <c r="H769" t="s" s="17">
        <v>163</v>
      </c>
      <c r="I769" t="s" s="17">
        <v>14</v>
      </c>
      <c r="J769" t="s" s="17">
        <v>316</v>
      </c>
      <c r="K769" t="s" s="17">
        <v>23</v>
      </c>
      <c r="L769" s="15">
        <f>IF(O769,P769/O769,0)</f>
        <v>219</v>
      </c>
      <c r="M769" s="15">
        <v>219</v>
      </c>
      <c r="N769" s="15">
        <f>A769</f>
        <v>767</v>
      </c>
      <c r="O769" s="15">
        <v>6</v>
      </c>
      <c r="P769" s="15">
        <v>1314</v>
      </c>
      <c r="Q769" s="16"/>
    </row>
    <row r="770" ht="20.05" customHeight="1">
      <c r="A770" s="13">
        <f>A769+1</f>
        <v>768</v>
      </c>
      <c r="B770" s="14">
        <v>2023</v>
      </c>
      <c r="C770" s="15">
        <v>10</v>
      </c>
      <c r="D770" s="15">
        <v>13</v>
      </c>
      <c r="E770" s="16"/>
      <c r="F770" t="s" s="17">
        <v>111</v>
      </c>
      <c r="G770" s="16"/>
      <c r="H770" t="s" s="17">
        <v>163</v>
      </c>
      <c r="I770" t="s" s="17">
        <v>14</v>
      </c>
      <c r="J770" t="s" s="17">
        <v>335</v>
      </c>
      <c r="K770" t="s" s="17">
        <v>23</v>
      </c>
      <c r="L770" s="15">
        <f>IF(O770,P770/O770,0)</f>
        <v>279.9</v>
      </c>
      <c r="M770" s="15">
        <v>279.9</v>
      </c>
      <c r="N770" s="15">
        <f>A770</f>
        <v>768</v>
      </c>
      <c r="O770" s="15">
        <v>2</v>
      </c>
      <c r="P770" s="15">
        <v>559.8</v>
      </c>
      <c r="Q770" s="16"/>
    </row>
    <row r="771" ht="32.05" customHeight="1">
      <c r="A771" s="13">
        <f>A770+1</f>
        <v>769</v>
      </c>
      <c r="B771" s="14">
        <v>2023</v>
      </c>
      <c r="C771" s="15">
        <v>10</v>
      </c>
      <c r="D771" s="15">
        <v>13</v>
      </c>
      <c r="E771" s="16"/>
      <c r="F771" t="s" s="17">
        <v>111</v>
      </c>
      <c r="G771" s="16"/>
      <c r="H771" t="s" s="17">
        <v>163</v>
      </c>
      <c r="I771" t="s" s="17">
        <v>14</v>
      </c>
      <c r="J771" t="s" s="17">
        <v>336</v>
      </c>
      <c r="K771" t="s" s="17">
        <v>23</v>
      </c>
      <c r="L771" s="15">
        <f>IF(O771,P771/O771,0)</f>
        <v>229.9</v>
      </c>
      <c r="M771" s="15">
        <v>229.9</v>
      </c>
      <c r="N771" s="15">
        <f>A771</f>
        <v>769</v>
      </c>
      <c r="O771" s="15">
        <v>1</v>
      </c>
      <c r="P771" s="15">
        <v>229.9</v>
      </c>
      <c r="Q771" s="16"/>
    </row>
    <row r="772" ht="20.05" customHeight="1">
      <c r="A772" s="13">
        <f>A771+1</f>
        <v>770</v>
      </c>
      <c r="B772" s="14">
        <v>2023</v>
      </c>
      <c r="C772" s="15">
        <v>10</v>
      </c>
      <c r="D772" s="15">
        <v>13</v>
      </c>
      <c r="E772" s="16"/>
      <c r="F772" t="s" s="17">
        <v>141</v>
      </c>
      <c r="G772" s="16"/>
      <c r="H772" t="s" s="17">
        <v>163</v>
      </c>
      <c r="I772" t="s" s="17">
        <v>19</v>
      </c>
      <c r="J772" t="s" s="17">
        <v>144</v>
      </c>
      <c r="K772" t="s" s="17">
        <v>23</v>
      </c>
      <c r="L772" s="15">
        <f>IF(O772,P772/O772,0)</f>
        <v>13.85175</v>
      </c>
      <c r="M772" s="15">
        <v>13.85175</v>
      </c>
      <c r="N772" s="15">
        <f>A772</f>
        <v>770</v>
      </c>
      <c r="O772" s="15">
        <v>24</v>
      </c>
      <c r="P772" s="42">
        <f t="shared" si="2654" ref="P772:P1006">302.22+302.22*10%</f>
        <v>332.442</v>
      </c>
      <c r="Q772" s="16"/>
    </row>
    <row r="773" ht="20.05" customHeight="1">
      <c r="A773" s="13">
        <f>A772+1</f>
        <v>771</v>
      </c>
      <c r="B773" s="14">
        <v>2023</v>
      </c>
      <c r="C773" s="15">
        <v>10</v>
      </c>
      <c r="D773" s="15">
        <v>13</v>
      </c>
      <c r="E773" s="16"/>
      <c r="F773" t="s" s="17">
        <v>141</v>
      </c>
      <c r="G773" s="16"/>
      <c r="H773" t="s" s="17">
        <v>163</v>
      </c>
      <c r="I773" t="s" s="17">
        <v>19</v>
      </c>
      <c r="J773" t="s" s="17">
        <v>159</v>
      </c>
      <c r="K773" t="s" s="17">
        <v>23</v>
      </c>
      <c r="L773" s="15">
        <f>IF(O773,P773/O773,0)</f>
        <v>1.99984208333333</v>
      </c>
      <c r="M773" s="15">
        <v>1.99984208333333</v>
      </c>
      <c r="N773" s="15">
        <f>A773</f>
        <v>771</v>
      </c>
      <c r="O773" s="15">
        <f t="shared" si="2015"/>
        <v>240</v>
      </c>
      <c r="P773" s="43">
        <f t="shared" si="2659" ref="P773:P936">475.21+475.21*1%</f>
        <v>479.9621</v>
      </c>
      <c r="Q773" s="16"/>
    </row>
    <row r="774" ht="20.05" customHeight="1">
      <c r="A774" s="13">
        <f>A773+1</f>
        <v>772</v>
      </c>
      <c r="B774" s="14">
        <v>2023</v>
      </c>
      <c r="C774" s="15">
        <v>10</v>
      </c>
      <c r="D774" s="15">
        <v>13</v>
      </c>
      <c r="E774" s="16"/>
      <c r="F774" t="s" s="17">
        <v>141</v>
      </c>
      <c r="G774" s="16"/>
      <c r="H774" t="s" s="17">
        <v>163</v>
      </c>
      <c r="I774" t="s" s="17">
        <v>19</v>
      </c>
      <c r="J774" t="s" s="17">
        <v>337</v>
      </c>
      <c r="K774" t="s" s="17">
        <v>23</v>
      </c>
      <c r="L774" s="15">
        <f>IF(O774,P774/O774,0)</f>
        <v>-114</v>
      </c>
      <c r="M774" s="15">
        <v>-114</v>
      </c>
      <c r="N774" s="15">
        <f>A774</f>
        <v>772</v>
      </c>
      <c r="O774" s="15">
        <v>2</v>
      </c>
      <c r="P774" s="15">
        <f>114-342</f>
        <v>-228</v>
      </c>
      <c r="Q774" s="16"/>
    </row>
    <row r="775" ht="20.05" customHeight="1">
      <c r="A775" s="13">
        <f>A774+1</f>
        <v>773</v>
      </c>
      <c r="B775" s="14">
        <v>2023</v>
      </c>
      <c r="C775" s="15">
        <v>10</v>
      </c>
      <c r="D775" s="15">
        <v>14</v>
      </c>
      <c r="E775" s="16"/>
      <c r="F775" t="s" s="17">
        <v>130</v>
      </c>
      <c r="G775" s="16"/>
      <c r="H775" t="s" s="17">
        <v>163</v>
      </c>
      <c r="I775" t="s" s="17">
        <v>19</v>
      </c>
      <c r="J775" t="s" s="17">
        <v>157</v>
      </c>
      <c r="K775" t="s" s="17">
        <v>16</v>
      </c>
      <c r="L775" s="15">
        <f>IF(O775,P775/O775,0)</f>
        <v>0.0134988452655889</v>
      </c>
      <c r="M775" s="15">
        <v>0.0134988452655889</v>
      </c>
      <c r="N775" s="15">
        <f>A775</f>
        <v>773</v>
      </c>
      <c r="O775" s="15">
        <v>1732</v>
      </c>
      <c r="P775" s="15">
        <v>23.38</v>
      </c>
      <c r="Q775" s="16"/>
    </row>
    <row r="776" ht="20.05" customHeight="1">
      <c r="A776" s="13">
        <f>A775+1</f>
        <v>774</v>
      </c>
      <c r="B776" s="14">
        <v>2023</v>
      </c>
      <c r="C776" s="15">
        <v>10</v>
      </c>
      <c r="D776" s="15">
        <v>14</v>
      </c>
      <c r="E776" s="16"/>
      <c r="F776" t="s" s="17">
        <v>287</v>
      </c>
      <c r="G776" s="16"/>
      <c r="H776" t="s" s="17">
        <v>163</v>
      </c>
      <c r="I776" t="s" s="17">
        <v>14</v>
      </c>
      <c r="J776" t="s" s="17">
        <v>289</v>
      </c>
      <c r="K776" t="s" s="17">
        <v>23</v>
      </c>
      <c r="L776" s="15">
        <f>IF(O776,P776/O776,0)</f>
        <v>32.724</v>
      </c>
      <c r="M776" s="15">
        <v>32.724</v>
      </c>
      <c r="N776" s="15">
        <f>A776</f>
        <v>774</v>
      </c>
      <c r="O776" s="15">
        <f t="shared" si="1827"/>
        <v>20</v>
      </c>
      <c r="P776" s="41">
        <f t="shared" si="1833"/>
        <v>654.48</v>
      </c>
      <c r="Q776" s="16"/>
    </row>
    <row r="777" ht="32.05" customHeight="1">
      <c r="A777" s="13">
        <f>A776+1</f>
        <v>775</v>
      </c>
      <c r="B777" s="14">
        <v>2023</v>
      </c>
      <c r="C777" s="15">
        <v>10</v>
      </c>
      <c r="D777" s="15">
        <v>14</v>
      </c>
      <c r="E777" s="16"/>
      <c r="F777" t="s" s="17">
        <v>287</v>
      </c>
      <c r="G777" s="16"/>
      <c r="H777" t="s" s="17">
        <v>163</v>
      </c>
      <c r="I777" t="s" s="17">
        <v>14</v>
      </c>
      <c r="J777" t="s" s="17">
        <v>283</v>
      </c>
      <c r="K777" t="s" s="17">
        <v>23</v>
      </c>
      <c r="L777" s="15">
        <f>IF(O777,P777/O777,0)</f>
        <v>35.8045</v>
      </c>
      <c r="M777" s="15">
        <v>35.8045</v>
      </c>
      <c r="N777" s="15">
        <f>A777</f>
        <v>775</v>
      </c>
      <c r="O777" s="15">
        <f t="shared" si="1827"/>
        <v>20</v>
      </c>
      <c r="P777" s="41">
        <f t="shared" si="2676" ref="P777:P791">709+709*1%</f>
        <v>716.09</v>
      </c>
      <c r="Q777" s="16"/>
    </row>
    <row r="778" ht="20.05" customHeight="1">
      <c r="A778" s="13">
        <f>A777+1</f>
        <v>776</v>
      </c>
      <c r="B778" s="14">
        <v>2023</v>
      </c>
      <c r="C778" s="15">
        <v>10</v>
      </c>
      <c r="D778" s="15">
        <v>14</v>
      </c>
      <c r="E778" s="16"/>
      <c r="F778" t="s" s="17">
        <v>287</v>
      </c>
      <c r="G778" s="16"/>
      <c r="H778" t="s" s="17">
        <v>163</v>
      </c>
      <c r="I778" t="s" s="17">
        <v>14</v>
      </c>
      <c r="J778" t="s" s="17">
        <v>282</v>
      </c>
      <c r="K778" t="s" s="17">
        <v>23</v>
      </c>
      <c r="L778" s="15">
        <f>IF(O778,P778/O778,0)</f>
        <v>27.4215</v>
      </c>
      <c r="M778" s="15">
        <v>27.4215</v>
      </c>
      <c r="N778" s="15">
        <f>A778</f>
        <v>776</v>
      </c>
      <c r="O778" s="15">
        <f t="shared" si="1827"/>
        <v>20</v>
      </c>
      <c r="P778" s="41">
        <f t="shared" si="2681" ref="P778:P1222">543+543*1%</f>
        <v>548.4299999999999</v>
      </c>
      <c r="Q778" s="16"/>
    </row>
    <row r="779" ht="20.05" customHeight="1">
      <c r="A779" s="13">
        <f>A778+1</f>
        <v>777</v>
      </c>
      <c r="B779" s="14">
        <v>2023</v>
      </c>
      <c r="C779" s="15">
        <v>10</v>
      </c>
      <c r="D779" s="15">
        <v>14</v>
      </c>
      <c r="E779" s="16"/>
      <c r="F779" t="s" s="17">
        <v>287</v>
      </c>
      <c r="G779" s="16"/>
      <c r="H779" t="s" s="17">
        <v>163</v>
      </c>
      <c r="I779" t="s" s="17">
        <v>14</v>
      </c>
      <c r="J779" t="s" s="17">
        <v>288</v>
      </c>
      <c r="K779" t="s" s="17">
        <v>23</v>
      </c>
      <c r="L779" s="15">
        <f>IF(O779,P779/O779,0)</f>
        <v>37.5383333333333</v>
      </c>
      <c r="M779" s="15">
        <v>37.5383333333333</v>
      </c>
      <c r="N779" s="15">
        <f>A779</f>
        <v>777</v>
      </c>
      <c r="O779" s="15">
        <f t="shared" si="2685" ref="O779:O891">2*9</f>
        <v>18</v>
      </c>
      <c r="P779" s="41">
        <f t="shared" si="2686" ref="P779:P891">669+669*1%</f>
        <v>675.6900000000001</v>
      </c>
      <c r="Q779" s="16"/>
    </row>
    <row r="780" ht="20.05" customHeight="1">
      <c r="A780" s="13">
        <f>A779+1</f>
        <v>778</v>
      </c>
      <c r="B780" s="14">
        <v>2023</v>
      </c>
      <c r="C780" s="15">
        <v>10</v>
      </c>
      <c r="D780" s="15">
        <v>14</v>
      </c>
      <c r="E780" s="16"/>
      <c r="F780" t="s" s="17">
        <v>287</v>
      </c>
      <c r="G780" s="16"/>
      <c r="H780" t="s" s="17">
        <v>163</v>
      </c>
      <c r="I780" t="s" s="17">
        <v>14</v>
      </c>
      <c r="J780" t="s" s="17">
        <v>279</v>
      </c>
      <c r="K780" t="s" s="17">
        <v>23</v>
      </c>
      <c r="L780" s="15">
        <f>IF(O780,P780/O780,0)</f>
        <v>34.3905</v>
      </c>
      <c r="M780" s="15">
        <v>34.3905</v>
      </c>
      <c r="N780" s="15">
        <f>A780</f>
        <v>778</v>
      </c>
      <c r="O780" s="15">
        <v>10</v>
      </c>
      <c r="P780" s="42">
        <f t="shared" si="2690" ref="P780:P1009">340.5+340.5*1%</f>
        <v>343.905</v>
      </c>
      <c r="Q780" s="16"/>
    </row>
    <row r="781" ht="32.05" customHeight="1">
      <c r="A781" s="13">
        <f>A780+1</f>
        <v>779</v>
      </c>
      <c r="B781" s="14">
        <v>2023</v>
      </c>
      <c r="C781" s="15">
        <v>10</v>
      </c>
      <c r="D781" s="15">
        <v>14</v>
      </c>
      <c r="E781" s="16"/>
      <c r="F781" t="s" s="17">
        <v>287</v>
      </c>
      <c r="G781" s="16"/>
      <c r="H781" t="s" s="17">
        <v>163</v>
      </c>
      <c r="I781" t="s" s="17">
        <v>17</v>
      </c>
      <c r="J781" t="s" s="17">
        <v>300</v>
      </c>
      <c r="K781" t="s" s="17">
        <v>23</v>
      </c>
      <c r="L781" s="15">
        <f>IF(O781,P781/O781,0)</f>
        <v>32.0978</v>
      </c>
      <c r="M781" s="15">
        <v>32.0978</v>
      </c>
      <c r="N781" s="15">
        <f>A781</f>
        <v>779</v>
      </c>
      <c r="O781" s="15">
        <v>24</v>
      </c>
      <c r="P781" s="43">
        <f t="shared" si="2033"/>
        <v>770.3472</v>
      </c>
      <c r="Q781" s="16"/>
    </row>
    <row r="782" ht="20.05" customHeight="1">
      <c r="A782" s="13">
        <f>A781+1</f>
        <v>780</v>
      </c>
      <c r="B782" s="14">
        <v>2023</v>
      </c>
      <c r="C782" s="15">
        <v>10</v>
      </c>
      <c r="D782" s="15">
        <v>15</v>
      </c>
      <c r="E782" s="16"/>
      <c r="F782" t="s" s="17">
        <v>130</v>
      </c>
      <c r="G782" s="16"/>
      <c r="H782" t="s" s="17">
        <v>163</v>
      </c>
      <c r="I782" t="s" s="17">
        <v>19</v>
      </c>
      <c r="J782" t="s" s="17">
        <v>157</v>
      </c>
      <c r="K782" t="s" s="17">
        <v>16</v>
      </c>
      <c r="L782" s="15">
        <f>IF(O782,P782/O782,0)</f>
        <v>0.0134954751131222</v>
      </c>
      <c r="M782" s="15">
        <v>0.0134954751131222</v>
      </c>
      <c r="N782" s="15">
        <f>A782</f>
        <v>780</v>
      </c>
      <c r="O782" s="15">
        <v>884</v>
      </c>
      <c r="P782" s="15">
        <v>11.93</v>
      </c>
      <c r="Q782" s="16"/>
    </row>
    <row r="783" ht="20.05" customHeight="1">
      <c r="A783" s="13">
        <f>A782+1</f>
        <v>781</v>
      </c>
      <c r="B783" s="14">
        <v>2023</v>
      </c>
      <c r="C783" s="15">
        <v>10</v>
      </c>
      <c r="D783" s="15">
        <v>16</v>
      </c>
      <c r="E783" s="16"/>
      <c r="F783" t="s" s="17">
        <v>130</v>
      </c>
      <c r="G783" s="16"/>
      <c r="H783" t="s" s="17">
        <v>163</v>
      </c>
      <c r="I783" t="s" s="17">
        <v>19</v>
      </c>
      <c r="J783" t="s" s="17">
        <v>157</v>
      </c>
      <c r="K783" t="s" s="17">
        <v>16</v>
      </c>
      <c r="L783" s="15">
        <f>IF(O783,P783/O783,0)</f>
        <v>0.0169462365591398</v>
      </c>
      <c r="M783" s="15">
        <v>0.0169462365591398</v>
      </c>
      <c r="N783" s="15">
        <f>A783</f>
        <v>781</v>
      </c>
      <c r="O783" s="15">
        <v>930</v>
      </c>
      <c r="P783" s="15">
        <v>15.76</v>
      </c>
      <c r="Q783" s="16"/>
    </row>
    <row r="784" ht="20.05" customHeight="1">
      <c r="A784" s="13">
        <f>A783+1</f>
        <v>782</v>
      </c>
      <c r="B784" s="14">
        <v>2023</v>
      </c>
      <c r="C784" s="15">
        <v>10</v>
      </c>
      <c r="D784" s="15">
        <v>16</v>
      </c>
      <c r="E784" s="16"/>
      <c r="F784" t="s" s="17">
        <v>130</v>
      </c>
      <c r="G784" s="16"/>
      <c r="H784" t="s" s="17">
        <v>163</v>
      </c>
      <c r="I784" t="s" s="17">
        <v>19</v>
      </c>
      <c r="J784" t="s" s="17">
        <v>274</v>
      </c>
      <c r="K784" t="s" s="17">
        <v>23</v>
      </c>
      <c r="L784" s="15">
        <f>IF(O784,P784/O784,0)</f>
        <v>9.9</v>
      </c>
      <c r="M784" s="15">
        <v>9.9</v>
      </c>
      <c r="N784" s="15">
        <f>A784</f>
        <v>782</v>
      </c>
      <c r="O784" s="15">
        <v>2</v>
      </c>
      <c r="P784" s="15">
        <v>19.8</v>
      </c>
      <c r="Q784" s="16"/>
    </row>
    <row r="785" ht="20.05" customHeight="1">
      <c r="A785" s="13">
        <f>A784+1</f>
        <v>783</v>
      </c>
      <c r="B785" s="14">
        <v>2023</v>
      </c>
      <c r="C785" s="15">
        <v>10</v>
      </c>
      <c r="D785" s="15">
        <v>16</v>
      </c>
      <c r="E785" s="16"/>
      <c r="F785" t="s" s="17">
        <v>130</v>
      </c>
      <c r="G785" s="16"/>
      <c r="H785" t="s" s="17">
        <v>163</v>
      </c>
      <c r="I785" t="s" s="17">
        <v>26</v>
      </c>
      <c r="J785" t="s" s="17">
        <v>338</v>
      </c>
      <c r="K785" t="s" s="17">
        <v>23</v>
      </c>
      <c r="L785" s="15">
        <f>IF(O785,P785/O785,0)</f>
        <v>0.0445</v>
      </c>
      <c r="M785" s="15">
        <v>0.0445</v>
      </c>
      <c r="N785" s="15">
        <f>A785</f>
        <v>783</v>
      </c>
      <c r="O785" s="15">
        <v>1000</v>
      </c>
      <c r="P785" s="15">
        <v>44.5</v>
      </c>
      <c r="Q785" s="16"/>
    </row>
    <row r="786" ht="20.05" customHeight="1">
      <c r="A786" s="13">
        <f>A785+1</f>
        <v>784</v>
      </c>
      <c r="B786" s="14">
        <v>2023</v>
      </c>
      <c r="C786" s="15">
        <v>10</v>
      </c>
      <c r="D786" s="15">
        <v>16</v>
      </c>
      <c r="E786" s="16"/>
      <c r="F786" t="s" s="17">
        <v>130</v>
      </c>
      <c r="G786" s="16"/>
      <c r="H786" t="s" s="17">
        <v>163</v>
      </c>
      <c r="I786" t="s" s="17">
        <v>26</v>
      </c>
      <c r="J786" t="s" s="17">
        <v>113</v>
      </c>
      <c r="K786" t="s" s="17">
        <v>41</v>
      </c>
      <c r="L786" s="15">
        <f>IF(O786,P786/O786,0)</f>
        <v>0.033</v>
      </c>
      <c r="M786" s="15">
        <v>0.033</v>
      </c>
      <c r="N786" s="15">
        <f>A786</f>
        <v>784</v>
      </c>
      <c r="O786" s="15">
        <v>1500</v>
      </c>
      <c r="P786" s="15">
        <v>49.5</v>
      </c>
      <c r="Q786" s="16"/>
    </row>
    <row r="787" ht="20.05" customHeight="1">
      <c r="A787" s="13">
        <f>A786+1</f>
        <v>785</v>
      </c>
      <c r="B787" s="14">
        <v>2023</v>
      </c>
      <c r="C787" s="15">
        <v>10</v>
      </c>
      <c r="D787" s="15">
        <v>16</v>
      </c>
      <c r="E787" s="16"/>
      <c r="F787" t="s" s="17">
        <v>130</v>
      </c>
      <c r="G787" s="16"/>
      <c r="H787" t="s" s="17">
        <v>163</v>
      </c>
      <c r="I787" t="s" s="17">
        <v>19</v>
      </c>
      <c r="J787" t="s" s="17">
        <v>157</v>
      </c>
      <c r="K787" t="s" s="17">
        <v>16</v>
      </c>
      <c r="L787" s="15">
        <f>IF(O787,P787/O787,0)</f>
        <v>0.0169500531349628</v>
      </c>
      <c r="M787" s="15">
        <v>0.0169500531349628</v>
      </c>
      <c r="N787" s="15">
        <f>A787</f>
        <v>785</v>
      </c>
      <c r="O787" s="15">
        <v>1882</v>
      </c>
      <c r="P787" s="15">
        <v>31.9</v>
      </c>
      <c r="Q787" s="16"/>
    </row>
    <row r="788" ht="20.05" customHeight="1">
      <c r="A788" s="13">
        <f>A787+1</f>
        <v>786</v>
      </c>
      <c r="B788" s="14">
        <v>2023</v>
      </c>
      <c r="C788" s="15">
        <v>10</v>
      </c>
      <c r="D788" s="15">
        <v>16</v>
      </c>
      <c r="E788" s="16"/>
      <c r="F788" t="s" s="17">
        <v>324</v>
      </c>
      <c r="G788" s="16"/>
      <c r="H788" t="s" s="17">
        <v>163</v>
      </c>
      <c r="I788" t="s" s="17">
        <v>199</v>
      </c>
      <c r="J788" t="s" s="17">
        <v>185</v>
      </c>
      <c r="K788" t="s" s="17">
        <v>23</v>
      </c>
      <c r="L788" s="15">
        <f>IF(O788,P788/O788,0)</f>
        <v>175</v>
      </c>
      <c r="M788" s="15">
        <v>175</v>
      </c>
      <c r="N788" s="15">
        <f>A788</f>
        <v>786</v>
      </c>
      <c r="O788" s="15">
        <v>1</v>
      </c>
      <c r="P788" s="15">
        <v>175</v>
      </c>
      <c r="Q788" s="16"/>
    </row>
    <row r="789" ht="20.05" customHeight="1">
      <c r="A789" s="13">
        <f>A788+1</f>
        <v>787</v>
      </c>
      <c r="B789" s="14">
        <v>2023</v>
      </c>
      <c r="C789" s="15">
        <v>10</v>
      </c>
      <c r="D789" s="15">
        <v>16</v>
      </c>
      <c r="E789" s="16"/>
      <c r="F789" t="s" s="17">
        <v>177</v>
      </c>
      <c r="G789" s="16"/>
      <c r="H789" t="s" s="17">
        <v>163</v>
      </c>
      <c r="I789" t="s" s="17">
        <v>26</v>
      </c>
      <c r="J789" t="s" s="17">
        <v>82</v>
      </c>
      <c r="K789" t="s" s="17">
        <v>16</v>
      </c>
      <c r="L789" s="15">
        <f>IF(O789,P789/O789,0)</f>
        <v>0.0318</v>
      </c>
      <c r="M789" s="15">
        <v>0.0318</v>
      </c>
      <c r="N789" s="15">
        <f>A789</f>
        <v>787</v>
      </c>
      <c r="O789" s="15">
        <f t="shared" si="953"/>
        <v>1000</v>
      </c>
      <c r="P789" s="15">
        <v>31.8</v>
      </c>
      <c r="Q789" s="16"/>
    </row>
    <row r="790" ht="20.05" customHeight="1">
      <c r="A790" s="13">
        <f>A789+1</f>
        <v>788</v>
      </c>
      <c r="B790" s="14">
        <v>2023</v>
      </c>
      <c r="C790" s="15">
        <v>10</v>
      </c>
      <c r="D790" s="15">
        <v>16</v>
      </c>
      <c r="E790" s="16"/>
      <c r="F790" t="s" s="17">
        <v>287</v>
      </c>
      <c r="G790" s="16"/>
      <c r="H790" t="s" s="17">
        <v>163</v>
      </c>
      <c r="I790" t="s" s="17">
        <v>14</v>
      </c>
      <c r="J790" t="s" s="17">
        <v>289</v>
      </c>
      <c r="K790" t="s" s="17">
        <v>23</v>
      </c>
      <c r="L790" s="15">
        <f>IF(O790,P790/O790,0)</f>
        <v>32.724</v>
      </c>
      <c r="M790" s="15">
        <v>32.724</v>
      </c>
      <c r="N790" s="15">
        <f>A790</f>
        <v>788</v>
      </c>
      <c r="O790" s="15">
        <v>10</v>
      </c>
      <c r="P790" s="41">
        <f t="shared" si="2723" ref="P790:P1007">324+(324*1%)</f>
        <v>327.24</v>
      </c>
      <c r="Q790" s="16"/>
    </row>
    <row r="791" ht="32.05" customHeight="1">
      <c r="A791" s="13">
        <f>A790+1</f>
        <v>789</v>
      </c>
      <c r="B791" s="14">
        <v>2023</v>
      </c>
      <c r="C791" s="15">
        <v>10</v>
      </c>
      <c r="D791" s="15">
        <v>16</v>
      </c>
      <c r="E791" s="16"/>
      <c r="F791" t="s" s="17">
        <v>287</v>
      </c>
      <c r="G791" s="16"/>
      <c r="H791" t="s" s="17">
        <v>163</v>
      </c>
      <c r="I791" t="s" s="17">
        <v>14</v>
      </c>
      <c r="J791" t="s" s="17">
        <v>283</v>
      </c>
      <c r="K791" t="s" s="17">
        <v>23</v>
      </c>
      <c r="L791" s="15">
        <f>IF(O791,P791/O791,0)</f>
        <v>35.8045</v>
      </c>
      <c r="M791" s="15">
        <v>35.8045</v>
      </c>
      <c r="N791" s="15">
        <f>A791</f>
        <v>789</v>
      </c>
      <c r="O791" s="15">
        <f t="shared" si="1827"/>
        <v>20</v>
      </c>
      <c r="P791" s="41">
        <f t="shared" si="2676"/>
        <v>716.09</v>
      </c>
      <c r="Q791" s="16"/>
    </row>
    <row r="792" ht="20.05" customHeight="1">
      <c r="A792" s="13">
        <f>A791+1</f>
        <v>790</v>
      </c>
      <c r="B792" s="14">
        <v>2023</v>
      </c>
      <c r="C792" s="15">
        <v>10</v>
      </c>
      <c r="D792" s="15">
        <v>16</v>
      </c>
      <c r="E792" s="16"/>
      <c r="F792" t="s" s="17">
        <v>287</v>
      </c>
      <c r="G792" s="16"/>
      <c r="H792" t="s" s="17">
        <v>163</v>
      </c>
      <c r="I792" t="s" s="17">
        <v>14</v>
      </c>
      <c r="J792" t="s" s="17">
        <v>288</v>
      </c>
      <c r="K792" t="s" s="17">
        <v>23</v>
      </c>
      <c r="L792" s="15">
        <f>IF(O792,P792/O792,0)</f>
        <v>37.5383333333333</v>
      </c>
      <c r="M792" s="15">
        <v>37.5383333333333</v>
      </c>
      <c r="N792" s="15">
        <f>A792</f>
        <v>790</v>
      </c>
      <c r="O792" s="15">
        <v>9</v>
      </c>
      <c r="P792" s="42">
        <f t="shared" si="2732" ref="P792:P1046">334.5+334.5*1%</f>
        <v>337.845</v>
      </c>
      <c r="Q792" s="16"/>
    </row>
    <row r="793" ht="20.05" customHeight="1">
      <c r="A793" s="13">
        <f>A792+1</f>
        <v>791</v>
      </c>
      <c r="B793" s="14">
        <v>2023</v>
      </c>
      <c r="C793" s="15">
        <v>10</v>
      </c>
      <c r="D793" s="15">
        <v>16</v>
      </c>
      <c r="E793" s="16"/>
      <c r="F793" t="s" s="17">
        <v>287</v>
      </c>
      <c r="G793" s="16"/>
      <c r="H793" t="s" s="17">
        <v>163</v>
      </c>
      <c r="I793" t="s" s="17">
        <v>14</v>
      </c>
      <c r="J793" t="s" s="17">
        <v>279</v>
      </c>
      <c r="K793" t="s" s="17">
        <v>23</v>
      </c>
      <c r="L793" s="15">
        <f>IF(O793,P793/O793,0)</f>
        <v>34.3905</v>
      </c>
      <c r="M793" s="15">
        <v>34.3905</v>
      </c>
      <c r="N793" s="15">
        <f>A793</f>
        <v>791</v>
      </c>
      <c r="O793" s="15">
        <v>10</v>
      </c>
      <c r="P793" s="42">
        <f t="shared" si="2690"/>
        <v>343.905</v>
      </c>
      <c r="Q793" s="16"/>
    </row>
    <row r="794" ht="20.05" customHeight="1">
      <c r="A794" s="13">
        <f>A793+1</f>
        <v>792</v>
      </c>
      <c r="B794" s="14">
        <v>2023</v>
      </c>
      <c r="C794" s="15">
        <v>10</v>
      </c>
      <c r="D794" s="15">
        <v>16</v>
      </c>
      <c r="E794" s="16"/>
      <c r="F794" t="s" s="17">
        <v>317</v>
      </c>
      <c r="G794" s="16"/>
      <c r="H794" t="s" s="17">
        <v>163</v>
      </c>
      <c r="I794" t="s" s="17">
        <v>14</v>
      </c>
      <c r="J794" t="s" s="17">
        <v>318</v>
      </c>
      <c r="K794" t="s" s="17">
        <v>23</v>
      </c>
      <c r="L794" s="15">
        <f>IF(O794,P794/O794,0)</f>
        <v>6.5</v>
      </c>
      <c r="M794" s="15">
        <v>6.5</v>
      </c>
      <c r="N794" s="15">
        <f>A794</f>
        <v>792</v>
      </c>
      <c r="O794" s="15">
        <v>6</v>
      </c>
      <c r="P794" s="15">
        <v>39</v>
      </c>
      <c r="Q794" s="16"/>
    </row>
    <row r="795" ht="20.05" customHeight="1">
      <c r="A795" s="13">
        <f>A794+1</f>
        <v>793</v>
      </c>
      <c r="B795" s="14">
        <v>2023</v>
      </c>
      <c r="C795" s="15">
        <v>10</v>
      </c>
      <c r="D795" s="15">
        <v>18</v>
      </c>
      <c r="E795" s="16"/>
      <c r="F795" t="s" s="17">
        <v>111</v>
      </c>
      <c r="G795" s="16"/>
      <c r="H795" t="s" s="17">
        <v>163</v>
      </c>
      <c r="I795" t="s" s="17">
        <v>26</v>
      </c>
      <c r="J795" t="s" s="17">
        <v>82</v>
      </c>
      <c r="K795" t="s" s="17">
        <v>16</v>
      </c>
      <c r="L795" s="15">
        <f>IF(O795,P795/O795,0)</f>
        <v>0.031966</v>
      </c>
      <c r="M795" s="15">
        <v>0.031966</v>
      </c>
      <c r="N795" s="15">
        <f>A795</f>
        <v>793</v>
      </c>
      <c r="O795" s="15">
        <f t="shared" si="2743" ref="O795:O1003">5*1000</f>
        <v>5000</v>
      </c>
      <c r="P795" s="15">
        <v>159.83</v>
      </c>
      <c r="Q795" s="16"/>
    </row>
    <row r="796" ht="20.05" customHeight="1">
      <c r="A796" s="13">
        <f>A795+1</f>
        <v>794</v>
      </c>
      <c r="B796" s="14">
        <v>2023</v>
      </c>
      <c r="C796" s="15">
        <v>10</v>
      </c>
      <c r="D796" s="15">
        <v>18</v>
      </c>
      <c r="E796" s="16"/>
      <c r="F796" t="s" s="17">
        <v>111</v>
      </c>
      <c r="G796" s="16"/>
      <c r="H796" t="s" s="17">
        <v>163</v>
      </c>
      <c r="I796" t="s" s="17">
        <v>26</v>
      </c>
      <c r="J796" t="s" s="17">
        <v>117</v>
      </c>
      <c r="K796" t="s" s="17">
        <v>23</v>
      </c>
      <c r="L796" s="15">
        <f>IF(O796,P796/O796,0)</f>
        <v>44.329</v>
      </c>
      <c r="M796" s="15">
        <v>44.329</v>
      </c>
      <c r="N796" s="15">
        <f>A796</f>
        <v>794</v>
      </c>
      <c r="O796" s="15">
        <v>10</v>
      </c>
      <c r="P796" s="15">
        <v>443.29</v>
      </c>
      <c r="Q796" s="16"/>
    </row>
    <row r="797" ht="20.05" customHeight="1">
      <c r="A797" s="13">
        <f>A796+1</f>
        <v>795</v>
      </c>
      <c r="B797" s="14">
        <v>2023</v>
      </c>
      <c r="C797" s="15">
        <v>10</v>
      </c>
      <c r="D797" s="15">
        <v>18</v>
      </c>
      <c r="E797" s="16"/>
      <c r="F797" t="s" s="17">
        <v>111</v>
      </c>
      <c r="G797" s="16"/>
      <c r="H797" t="s" s="17">
        <v>163</v>
      </c>
      <c r="I797" t="s" s="17">
        <v>26</v>
      </c>
      <c r="J797" t="s" s="17">
        <v>118</v>
      </c>
      <c r="K797" t="s" s="17">
        <v>23</v>
      </c>
      <c r="L797" s="15">
        <f>IF(O797,P797/O797,0)</f>
        <v>45.47</v>
      </c>
      <c r="M797" s="15">
        <v>45.47</v>
      </c>
      <c r="N797" s="15">
        <f>A797</f>
        <v>795</v>
      </c>
      <c r="O797" s="15">
        <v>10</v>
      </c>
      <c r="P797" s="15">
        <v>454.7</v>
      </c>
      <c r="Q797" s="16"/>
    </row>
    <row r="798" ht="20.05" customHeight="1">
      <c r="A798" s="13">
        <f>A797+1</f>
        <v>796</v>
      </c>
      <c r="B798" s="14">
        <v>2023</v>
      </c>
      <c r="C798" s="15">
        <v>10</v>
      </c>
      <c r="D798" s="15">
        <v>19</v>
      </c>
      <c r="E798" s="16"/>
      <c r="F798" t="s" s="17">
        <v>111</v>
      </c>
      <c r="G798" s="16"/>
      <c r="H798" t="s" s="17">
        <v>163</v>
      </c>
      <c r="I798" t="s" s="17">
        <v>127</v>
      </c>
      <c r="J798" t="s" s="17">
        <v>132</v>
      </c>
      <c r="K798" t="s" s="17">
        <v>41</v>
      </c>
      <c r="L798" s="15">
        <f>IF(O798,P798/O798,0)</f>
        <v>0.01677</v>
      </c>
      <c r="M798" s="15">
        <v>0.01677</v>
      </c>
      <c r="N798" s="15">
        <f>A798</f>
        <v>796</v>
      </c>
      <c r="O798" s="15">
        <v>4000</v>
      </c>
      <c r="P798" s="15">
        <v>67.08</v>
      </c>
      <c r="Q798" s="16"/>
    </row>
    <row r="799" ht="20.05" customHeight="1">
      <c r="A799" s="13">
        <f>A798+1</f>
        <v>797</v>
      </c>
      <c r="B799" s="14">
        <v>2023</v>
      </c>
      <c r="C799" s="15">
        <v>10</v>
      </c>
      <c r="D799" s="15">
        <v>19</v>
      </c>
      <c r="E799" s="16"/>
      <c r="F799" t="s" s="17">
        <v>111</v>
      </c>
      <c r="G799" s="16"/>
      <c r="H799" t="s" s="17">
        <v>163</v>
      </c>
      <c r="I799" t="s" s="17">
        <v>26</v>
      </c>
      <c r="J799" t="s" s="17">
        <v>113</v>
      </c>
      <c r="K799" t="s" s="17">
        <v>41</v>
      </c>
      <c r="L799" s="15">
        <f>IF(O799,P799/O799,0)</f>
        <v>0.02585</v>
      </c>
      <c r="M799" s="15">
        <v>0.02585</v>
      </c>
      <c r="N799" s="15">
        <f>A799</f>
        <v>797</v>
      </c>
      <c r="O799" s="15">
        <v>3000</v>
      </c>
      <c r="P799" s="15">
        <v>77.55</v>
      </c>
      <c r="Q799" s="16"/>
    </row>
    <row r="800" ht="20.05" customHeight="1">
      <c r="A800" s="13">
        <f>A799+1</f>
        <v>798</v>
      </c>
      <c r="B800" s="14">
        <v>2023</v>
      </c>
      <c r="C800" s="15">
        <v>10</v>
      </c>
      <c r="D800" s="15">
        <v>19</v>
      </c>
      <c r="E800" s="16"/>
      <c r="F800" t="s" s="17">
        <v>111</v>
      </c>
      <c r="G800" s="16"/>
      <c r="H800" t="s" s="17">
        <v>163</v>
      </c>
      <c r="I800" t="s" s="17">
        <v>19</v>
      </c>
      <c r="J800" t="s" s="17">
        <v>72</v>
      </c>
      <c r="K800" t="s" s="17">
        <v>41</v>
      </c>
      <c r="L800" s="15">
        <f>IF(O800,P800/O800,0)</f>
        <v>0.22992</v>
      </c>
      <c r="M800" s="15">
        <v>0.22992</v>
      </c>
      <c r="N800" s="15">
        <f>A800</f>
        <v>798</v>
      </c>
      <c r="O800" s="15">
        <v>250</v>
      </c>
      <c r="P800" s="15">
        <v>57.48</v>
      </c>
      <c r="Q800" s="16"/>
    </row>
    <row r="801" ht="20.05" customHeight="1">
      <c r="A801" s="13">
        <f>A800+1</f>
        <v>799</v>
      </c>
      <c r="B801" s="14">
        <v>2023</v>
      </c>
      <c r="C801" s="15">
        <v>10</v>
      </c>
      <c r="D801" s="15">
        <v>19</v>
      </c>
      <c r="E801" s="16"/>
      <c r="F801" t="s" s="17">
        <v>111</v>
      </c>
      <c r="G801" s="16"/>
      <c r="H801" t="s" s="17">
        <v>163</v>
      </c>
      <c r="I801" t="s" s="17">
        <v>19</v>
      </c>
      <c r="J801" t="s" s="17">
        <v>81</v>
      </c>
      <c r="K801" t="s" s="17">
        <v>23</v>
      </c>
      <c r="L801" s="15">
        <f>IF(O801,P801/O801,0)</f>
        <v>0.998981481481481</v>
      </c>
      <c r="M801" s="15">
        <v>0.998981481481481</v>
      </c>
      <c r="N801" s="15">
        <f>A801</f>
        <v>799</v>
      </c>
      <c r="O801" s="15">
        <f t="shared" si="2762" ref="O801:O1187">2*108</f>
        <v>216</v>
      </c>
      <c r="P801" s="15">
        <v>215.78</v>
      </c>
      <c r="Q801" s="16"/>
    </row>
    <row r="802" ht="20.05" customHeight="1">
      <c r="A802" s="13">
        <f>A801+1</f>
        <v>800</v>
      </c>
      <c r="B802" s="14">
        <v>2023</v>
      </c>
      <c r="C802" s="15">
        <v>10</v>
      </c>
      <c r="D802" s="15">
        <v>19</v>
      </c>
      <c r="E802" s="16"/>
      <c r="F802" t="s" s="17">
        <v>111</v>
      </c>
      <c r="G802" s="16"/>
      <c r="H802" t="s" s="17">
        <v>163</v>
      </c>
      <c r="I802" t="s" s="17">
        <v>19</v>
      </c>
      <c r="J802" t="s" s="17">
        <v>135</v>
      </c>
      <c r="K802" t="s" s="17">
        <v>23</v>
      </c>
      <c r="L802" s="15">
        <f>IF(O802,P802/O802,0)</f>
        <v>0.4428</v>
      </c>
      <c r="M802" s="15">
        <v>0.4428</v>
      </c>
      <c r="N802" s="15">
        <f>A802</f>
        <v>800</v>
      </c>
      <c r="O802" s="15">
        <f t="shared" si="2318"/>
        <v>250</v>
      </c>
      <c r="P802" s="15">
        <v>110.7</v>
      </c>
      <c r="Q802" s="16"/>
    </row>
    <row r="803" ht="20.05" customHeight="1">
      <c r="A803" s="13">
        <f>A802+1</f>
        <v>801</v>
      </c>
      <c r="B803" s="14">
        <v>2023</v>
      </c>
      <c r="C803" s="15">
        <v>10</v>
      </c>
      <c r="D803" s="15">
        <v>19</v>
      </c>
      <c r="E803" s="16"/>
      <c r="F803" t="s" s="17">
        <v>111</v>
      </c>
      <c r="G803" s="16"/>
      <c r="H803" t="s" s="17">
        <v>163</v>
      </c>
      <c r="I803" t="s" s="17">
        <v>127</v>
      </c>
      <c r="J803" t="s" s="17">
        <v>166</v>
      </c>
      <c r="K803" t="s" s="17">
        <v>41</v>
      </c>
      <c r="L803" s="15">
        <f>IF(O803,P803/O803,0)</f>
        <v>0.04286</v>
      </c>
      <c r="M803" s="15">
        <v>0.04286</v>
      </c>
      <c r="N803" s="15">
        <f>A803</f>
        <v>801</v>
      </c>
      <c r="O803" s="15">
        <f t="shared" si="2770" ref="O803:O1601">2*500</f>
        <v>1000</v>
      </c>
      <c r="P803" s="15">
        <v>42.86</v>
      </c>
      <c r="Q803" s="16"/>
    </row>
    <row r="804" ht="20.05" customHeight="1">
      <c r="A804" s="13">
        <f>A803+1</f>
        <v>802</v>
      </c>
      <c r="B804" s="14">
        <v>2023</v>
      </c>
      <c r="C804" s="15">
        <v>10</v>
      </c>
      <c r="D804" s="15">
        <v>19</v>
      </c>
      <c r="E804" s="16"/>
      <c r="F804" t="s" s="17">
        <v>122</v>
      </c>
      <c r="G804" s="16"/>
      <c r="H804" t="s" s="17">
        <v>163</v>
      </c>
      <c r="I804" t="s" s="17">
        <v>19</v>
      </c>
      <c r="J804" t="s" s="17">
        <v>138</v>
      </c>
      <c r="K804" t="s" s="17">
        <v>41</v>
      </c>
      <c r="L804" s="15">
        <f>IF(O804,P804/O804,0)</f>
        <v>0.033835</v>
      </c>
      <c r="M804" s="15">
        <v>0.033835</v>
      </c>
      <c r="N804" s="15">
        <f>A804</f>
        <v>802</v>
      </c>
      <c r="O804" s="15">
        <f t="shared" si="1585"/>
        <v>24000</v>
      </c>
      <c r="P804" s="41">
        <f t="shared" si="2775" ref="P804:P810">804+804*1%</f>
        <v>812.04</v>
      </c>
      <c r="Q804" s="16"/>
    </row>
    <row r="805" ht="20.05" customHeight="1">
      <c r="A805" s="13">
        <f>A804+1</f>
        <v>803</v>
      </c>
      <c r="B805" s="14">
        <v>2023</v>
      </c>
      <c r="C805" s="15">
        <v>10</v>
      </c>
      <c r="D805" s="15">
        <v>19</v>
      </c>
      <c r="E805" s="16"/>
      <c r="F805" t="s" s="17">
        <v>122</v>
      </c>
      <c r="G805" s="16"/>
      <c r="H805" t="s" s="17">
        <v>163</v>
      </c>
      <c r="I805" t="s" s="17">
        <v>19</v>
      </c>
      <c r="J805" t="s" s="17">
        <v>139</v>
      </c>
      <c r="K805" t="s" s="17">
        <v>23</v>
      </c>
      <c r="L805" s="15">
        <f>IF(O805,P805/O805,0)</f>
        <v>3.89270833333333</v>
      </c>
      <c r="M805" s="15">
        <v>3.89270833333333</v>
      </c>
      <c r="N805" s="15">
        <f>A805</f>
        <v>803</v>
      </c>
      <c r="O805" s="15">
        <f t="shared" si="1960"/>
        <v>72</v>
      </c>
      <c r="P805" s="42">
        <f t="shared" si="2589"/>
        <v>280.275</v>
      </c>
      <c r="Q805" s="16"/>
    </row>
    <row r="806" ht="20.05" customHeight="1">
      <c r="A806" s="13">
        <f>A805+1</f>
        <v>804</v>
      </c>
      <c r="B806" s="14">
        <v>2023</v>
      </c>
      <c r="C806" s="15">
        <v>10</v>
      </c>
      <c r="D806" s="15">
        <v>19</v>
      </c>
      <c r="E806" s="16"/>
      <c r="F806" t="s" s="17">
        <v>122</v>
      </c>
      <c r="G806" s="16"/>
      <c r="H806" t="s" s="17">
        <v>163</v>
      </c>
      <c r="I806" t="s" s="17">
        <v>19</v>
      </c>
      <c r="J806" t="s" s="17">
        <v>67</v>
      </c>
      <c r="K806" t="s" s="17">
        <v>23</v>
      </c>
      <c r="L806" s="15">
        <f>IF(O806,P806/O806,0)</f>
        <v>0.961452666666667</v>
      </c>
      <c r="M806" s="15">
        <v>0.961452666666667</v>
      </c>
      <c r="N806" s="15">
        <f>A806</f>
        <v>804</v>
      </c>
      <c r="O806" s="15">
        <f t="shared" si="2784" ref="O806:O1025">3*100</f>
        <v>300</v>
      </c>
      <c r="P806" s="43">
        <f t="shared" si="2785" ref="P806:P857">285.58+285.58*1%</f>
        <v>288.4358</v>
      </c>
      <c r="Q806" s="43">
        <f>367.17+367.17*1%</f>
        <v>370.8417</v>
      </c>
    </row>
    <row r="807" ht="20.05" customHeight="1">
      <c r="A807" s="13">
        <f>A806+1</f>
        <v>805</v>
      </c>
      <c r="B807" s="14">
        <v>2023</v>
      </c>
      <c r="C807" s="15">
        <v>10</v>
      </c>
      <c r="D807" s="15">
        <v>19</v>
      </c>
      <c r="E807" s="16"/>
      <c r="F807" t="s" s="17">
        <v>122</v>
      </c>
      <c r="G807" s="16"/>
      <c r="H807" t="s" s="17">
        <v>163</v>
      </c>
      <c r="I807" t="s" s="17">
        <v>127</v>
      </c>
      <c r="J807" t="s" s="17">
        <v>161</v>
      </c>
      <c r="K807" t="s" s="17">
        <v>23</v>
      </c>
      <c r="L807" s="15">
        <f>IF(O807,P807/O807,0)</f>
        <v>9.176</v>
      </c>
      <c r="M807" s="15">
        <v>9.176</v>
      </c>
      <c r="N807" s="15">
        <f>A807</f>
        <v>805</v>
      </c>
      <c r="O807" s="15">
        <f t="shared" si="2258"/>
        <v>24</v>
      </c>
      <c r="P807" s="42">
        <f>183.52+183.52*20%</f>
        <v>220.224</v>
      </c>
      <c r="Q807" s="16"/>
    </row>
    <row r="808" ht="20.35" customHeight="1">
      <c r="A808" s="13">
        <f>A807+1</f>
        <v>806</v>
      </c>
      <c r="B808" s="14">
        <v>2023</v>
      </c>
      <c r="C808" s="15">
        <v>10</v>
      </c>
      <c r="D808" s="15">
        <v>19</v>
      </c>
      <c r="E808" s="16"/>
      <c r="F808" t="s" s="17">
        <v>122</v>
      </c>
      <c r="G808" s="16"/>
      <c r="H808" t="s" s="17">
        <v>163</v>
      </c>
      <c r="I808" t="s" s="17">
        <v>127</v>
      </c>
      <c r="J808" t="s" s="17">
        <v>167</v>
      </c>
      <c r="K808" t="s" s="17">
        <v>23</v>
      </c>
      <c r="L808" s="15">
        <f>IF(O808,P808/O808,0)</f>
        <v>0.77</v>
      </c>
      <c r="M808" s="15">
        <v>0.77</v>
      </c>
      <c r="N808" s="15">
        <f>A808</f>
        <v>806</v>
      </c>
      <c r="O808" s="15">
        <f t="shared" si="2795" ref="O808:O964">2*100</f>
        <v>200</v>
      </c>
      <c r="P808" s="49">
        <f t="shared" si="2796" ref="P808:P949">140+140*10%</f>
        <v>154</v>
      </c>
      <c r="Q808" s="16"/>
    </row>
    <row r="809" ht="20.7" customHeight="1">
      <c r="A809" s="13">
        <f>A808+1</f>
        <v>807</v>
      </c>
      <c r="B809" s="14">
        <v>2023</v>
      </c>
      <c r="C809" s="15">
        <v>10</v>
      </c>
      <c r="D809" s="15">
        <v>4</v>
      </c>
      <c r="E809" s="16"/>
      <c r="F809" t="s" s="17">
        <v>122</v>
      </c>
      <c r="G809" s="16"/>
      <c r="H809" t="s" s="17">
        <v>163</v>
      </c>
      <c r="I809" t="s" s="17">
        <v>19</v>
      </c>
      <c r="J809" t="s" s="17">
        <v>67</v>
      </c>
      <c r="K809" t="s" s="17">
        <v>23</v>
      </c>
      <c r="L809" s="15">
        <f>IF(O809,P809/O809,0)</f>
        <v>1.236138</v>
      </c>
      <c r="M809" s="15">
        <v>1.236138</v>
      </c>
      <c r="N809" s="15">
        <f>A809</f>
        <v>807</v>
      </c>
      <c r="O809" s="19">
        <f t="shared" si="2784"/>
        <v>300</v>
      </c>
      <c r="P809" s="47">
        <f t="shared" si="2801" ref="P809:P1063">367.17+367.14*1%</f>
        <v>370.8414</v>
      </c>
      <c r="Q809" s="21"/>
    </row>
    <row r="810" ht="20.7" customHeight="1">
      <c r="A810" s="13">
        <f>A809+1</f>
        <v>808</v>
      </c>
      <c r="B810" s="14">
        <v>2023</v>
      </c>
      <c r="C810" s="15">
        <v>10</v>
      </c>
      <c r="D810" s="15">
        <v>4</v>
      </c>
      <c r="E810" s="16"/>
      <c r="F810" t="s" s="17">
        <v>122</v>
      </c>
      <c r="G810" s="16"/>
      <c r="H810" t="s" s="17">
        <v>163</v>
      </c>
      <c r="I810" t="s" s="17">
        <v>19</v>
      </c>
      <c r="J810" t="s" s="17">
        <v>138</v>
      </c>
      <c r="K810" t="s" s="17">
        <v>41</v>
      </c>
      <c r="L810" s="15">
        <f>IF(O810,P810/O810,0)</f>
        <v>0.033835</v>
      </c>
      <c r="M810" s="15">
        <v>0.033835</v>
      </c>
      <c r="N810" s="15">
        <f>A810</f>
        <v>808</v>
      </c>
      <c r="O810" s="19">
        <f t="shared" si="2805" ref="O810:O1066">2*12*1000</f>
        <v>24000</v>
      </c>
      <c r="P810" s="48">
        <f t="shared" si="2775"/>
        <v>812.04</v>
      </c>
      <c r="Q810" s="21"/>
    </row>
    <row r="811" ht="20.7" customHeight="1">
      <c r="A811" s="13">
        <f>A810+1</f>
        <v>809</v>
      </c>
      <c r="B811" s="14">
        <v>2023</v>
      </c>
      <c r="C811" s="15">
        <v>10</v>
      </c>
      <c r="D811" s="15">
        <v>4</v>
      </c>
      <c r="E811" s="16"/>
      <c r="F811" t="s" s="17">
        <v>122</v>
      </c>
      <c r="G811" s="16"/>
      <c r="H811" t="s" s="17">
        <v>163</v>
      </c>
      <c r="I811" t="s" s="17">
        <v>19</v>
      </c>
      <c r="J811" t="s" s="17">
        <v>139</v>
      </c>
      <c r="K811" t="s" s="17">
        <v>23</v>
      </c>
      <c r="L811" s="15">
        <f>IF(O811,P811/O811,0)</f>
        <v>3.89270833333333</v>
      </c>
      <c r="M811" s="15">
        <v>3.89270833333333</v>
      </c>
      <c r="N811" s="15">
        <f>A811</f>
        <v>809</v>
      </c>
      <c r="O811" s="19">
        <f t="shared" si="1960"/>
        <v>72</v>
      </c>
      <c r="P811" s="46">
        <f t="shared" si="2589"/>
        <v>280.275</v>
      </c>
      <c r="Q811" s="21"/>
    </row>
    <row r="812" ht="20.7" customHeight="1">
      <c r="A812" s="13">
        <f>A811+1</f>
        <v>810</v>
      </c>
      <c r="B812" s="14">
        <v>2023</v>
      </c>
      <c r="C812" s="15">
        <v>10</v>
      </c>
      <c r="D812" s="15">
        <v>4</v>
      </c>
      <c r="E812" s="16"/>
      <c r="F812" t="s" s="17">
        <v>122</v>
      </c>
      <c r="G812" s="16"/>
      <c r="H812" t="s" s="17">
        <v>163</v>
      </c>
      <c r="I812" t="s" s="17">
        <v>127</v>
      </c>
      <c r="J812" t="s" s="17">
        <v>237</v>
      </c>
      <c r="K812" t="s" s="17">
        <v>41</v>
      </c>
      <c r="L812" s="15">
        <f>IF(O812,P812/O812,0)</f>
        <v>0.1188</v>
      </c>
      <c r="M812" s="15">
        <v>0.1188</v>
      </c>
      <c r="N812" s="15">
        <f>A812</f>
        <v>810</v>
      </c>
      <c r="O812" s="19">
        <v>1000</v>
      </c>
      <c r="P812" s="46">
        <f t="shared" si="2815" ref="P812:P1243">99+99*20%</f>
        <v>118.8</v>
      </c>
      <c r="Q812" s="21"/>
    </row>
    <row r="813" ht="32.35" customHeight="1">
      <c r="A813" s="13">
        <f>A812+1</f>
        <v>811</v>
      </c>
      <c r="B813" s="14">
        <v>2023</v>
      </c>
      <c r="C813" s="15">
        <v>10</v>
      </c>
      <c r="D813" s="15">
        <v>3</v>
      </c>
      <c r="E813" s="16"/>
      <c r="F813" t="s" s="17">
        <v>287</v>
      </c>
      <c r="G813" s="16"/>
      <c r="H813" t="s" s="17">
        <v>253</v>
      </c>
      <c r="I813" t="s" s="17">
        <v>14</v>
      </c>
      <c r="J813" t="s" s="17">
        <v>283</v>
      </c>
      <c r="K813" t="s" s="17">
        <v>23</v>
      </c>
      <c r="L813" s="15">
        <f>IF(O813,P813/O813,0)</f>
        <v>32.724</v>
      </c>
      <c r="M813" s="15">
        <v>32.724</v>
      </c>
      <c r="N813" s="15">
        <f>A813</f>
        <v>811</v>
      </c>
      <c r="O813" s="15">
        <v>10</v>
      </c>
      <c r="P813" s="50">
        <f t="shared" si="2723"/>
        <v>327.24</v>
      </c>
      <c r="Q813" s="16"/>
    </row>
    <row r="814" ht="20.05" customHeight="1">
      <c r="A814" s="13">
        <f>A813+1</f>
        <v>812</v>
      </c>
      <c r="B814" s="14">
        <v>2023</v>
      </c>
      <c r="C814" s="15">
        <v>10</v>
      </c>
      <c r="D814" s="15">
        <v>3</v>
      </c>
      <c r="E814" s="16"/>
      <c r="F814" t="s" s="17">
        <v>287</v>
      </c>
      <c r="G814" s="16"/>
      <c r="H814" t="s" s="17">
        <v>253</v>
      </c>
      <c r="I814" t="s" s="17">
        <v>14</v>
      </c>
      <c r="J814" t="s" s="17">
        <v>289</v>
      </c>
      <c r="K814" t="s" s="17">
        <v>23</v>
      </c>
      <c r="L814" s="15">
        <f>IF(O814,P814/O814,0)</f>
        <v>29.694</v>
      </c>
      <c r="M814" s="15">
        <v>29.694</v>
      </c>
      <c r="N814" s="15">
        <f>A814</f>
        <v>812</v>
      </c>
      <c r="O814" s="15">
        <v>10</v>
      </c>
      <c r="P814" s="41">
        <f t="shared" si="1878"/>
        <v>296.94</v>
      </c>
      <c r="Q814" s="16"/>
    </row>
    <row r="815" ht="20.05" customHeight="1">
      <c r="A815" s="13">
        <f>A814+1</f>
        <v>813</v>
      </c>
      <c r="B815" s="14">
        <v>2023</v>
      </c>
      <c r="C815" s="15">
        <v>10</v>
      </c>
      <c r="D815" s="15">
        <v>3</v>
      </c>
      <c r="E815" s="16"/>
      <c r="F815" t="s" s="17">
        <v>287</v>
      </c>
      <c r="G815" s="16"/>
      <c r="H815" t="s" s="17">
        <v>253</v>
      </c>
      <c r="I815" t="s" s="17">
        <v>14</v>
      </c>
      <c r="J815" t="s" s="17">
        <v>288</v>
      </c>
      <c r="K815" t="s" s="17">
        <v>23</v>
      </c>
      <c r="L815" s="15">
        <f>IF(O815,P815/O815,0)</f>
        <v>27.2195</v>
      </c>
      <c r="M815" s="15">
        <v>27.2195</v>
      </c>
      <c r="N815" s="15">
        <f>A815</f>
        <v>813</v>
      </c>
      <c r="O815" s="15">
        <v>10</v>
      </c>
      <c r="P815" s="42">
        <f t="shared" si="1874"/>
        <v>272.195</v>
      </c>
      <c r="Q815" s="16"/>
    </row>
    <row r="816" ht="20.05" customHeight="1">
      <c r="A816" s="13">
        <f>A815+1</f>
        <v>814</v>
      </c>
      <c r="B816" s="14">
        <v>2023</v>
      </c>
      <c r="C816" s="15">
        <v>10</v>
      </c>
      <c r="D816" s="15">
        <v>3</v>
      </c>
      <c r="E816" s="16"/>
      <c r="F816" t="s" s="17">
        <v>287</v>
      </c>
      <c r="G816" s="16"/>
      <c r="H816" t="s" s="17">
        <v>253</v>
      </c>
      <c r="I816" t="s" s="17">
        <v>14</v>
      </c>
      <c r="J816" t="s" s="17">
        <v>282</v>
      </c>
      <c r="K816" t="s" s="17">
        <v>23</v>
      </c>
      <c r="L816" s="15">
        <f>IF(O816,P816/O816,0)</f>
        <v>24.9975</v>
      </c>
      <c r="M816" s="15">
        <v>24.9975</v>
      </c>
      <c r="N816" s="15">
        <f>A816</f>
        <v>814</v>
      </c>
      <c r="O816" s="15">
        <v>10</v>
      </c>
      <c r="P816" s="42">
        <f t="shared" si="2831" ref="P816:P840">247.5+(247.5*1%)</f>
        <v>249.975</v>
      </c>
      <c r="Q816" s="16"/>
    </row>
    <row r="817" ht="20.05" customHeight="1">
      <c r="A817" s="13">
        <f>A816+1</f>
        <v>815</v>
      </c>
      <c r="B817" s="14">
        <v>2023</v>
      </c>
      <c r="C817" s="15">
        <v>10</v>
      </c>
      <c r="D817" s="15">
        <v>3</v>
      </c>
      <c r="E817" s="16"/>
      <c r="F817" t="s" s="17">
        <v>258</v>
      </c>
      <c r="G817" s="16"/>
      <c r="H817" t="s" s="17">
        <v>253</v>
      </c>
      <c r="I817" t="s" s="17">
        <v>19</v>
      </c>
      <c r="J817" t="s" s="17">
        <v>157</v>
      </c>
      <c r="K817" t="s" s="17">
        <v>16</v>
      </c>
      <c r="L817" s="15">
        <f>IF(O817,P817/O817,0)</f>
        <v>0.0149045801526718</v>
      </c>
      <c r="M817" s="15">
        <v>0.0149045801526718</v>
      </c>
      <c r="N817" s="15">
        <f>A817</f>
        <v>815</v>
      </c>
      <c r="O817" s="15">
        <v>1048</v>
      </c>
      <c r="P817" s="15">
        <v>15.62</v>
      </c>
      <c r="Q817" s="16"/>
    </row>
    <row r="818" ht="20.05" customHeight="1">
      <c r="A818" s="13">
        <f>A817+1</f>
        <v>816</v>
      </c>
      <c r="B818" s="14">
        <v>2023</v>
      </c>
      <c r="C818" s="15">
        <v>10</v>
      </c>
      <c r="D818" s="15">
        <v>4</v>
      </c>
      <c r="E818" s="16"/>
      <c r="F818" t="s" s="17">
        <v>122</v>
      </c>
      <c r="G818" s="16"/>
      <c r="H818" t="s" s="17">
        <v>253</v>
      </c>
      <c r="I818" t="s" s="17">
        <v>19</v>
      </c>
      <c r="J818" t="s" s="17">
        <v>67</v>
      </c>
      <c r="K818" t="s" s="17">
        <v>23</v>
      </c>
      <c r="L818" s="15">
        <f>IF(O818,P818/O818,0)</f>
        <v>1.236139</v>
      </c>
      <c r="M818" s="15">
        <v>1.236139</v>
      </c>
      <c r="N818" s="15">
        <f>A818</f>
        <v>816</v>
      </c>
      <c r="O818" s="15">
        <f t="shared" si="2784"/>
        <v>300</v>
      </c>
      <c r="P818" s="43">
        <f>367.17+367.17*1%</f>
        <v>370.8417</v>
      </c>
      <c r="Q818" s="16"/>
    </row>
    <row r="819" ht="20.05" customHeight="1">
      <c r="A819" s="13">
        <f>A818+1</f>
        <v>817</v>
      </c>
      <c r="B819" s="14">
        <v>2023</v>
      </c>
      <c r="C819" s="15">
        <v>10</v>
      </c>
      <c r="D819" s="15">
        <v>4</v>
      </c>
      <c r="E819" s="16"/>
      <c r="F819" t="s" s="17">
        <v>122</v>
      </c>
      <c r="G819" s="16"/>
      <c r="H819" t="s" s="17">
        <v>253</v>
      </c>
      <c r="I819" t="s" s="17">
        <v>19</v>
      </c>
      <c r="J819" t="s" s="17">
        <v>139</v>
      </c>
      <c r="K819" t="s" s="17">
        <v>23</v>
      </c>
      <c r="L819" s="15">
        <f>IF(O819,P819/O819,0)</f>
        <v>3.89270833333333</v>
      </c>
      <c r="M819" s="15">
        <v>3.89270833333333</v>
      </c>
      <c r="N819" s="15">
        <f>A819</f>
        <v>817</v>
      </c>
      <c r="O819" s="15">
        <f t="shared" si="1960"/>
        <v>72</v>
      </c>
      <c r="P819" s="42">
        <f t="shared" si="2589"/>
        <v>280.275</v>
      </c>
      <c r="Q819" s="16"/>
    </row>
    <row r="820" ht="32.05" customHeight="1">
      <c r="A820" s="13">
        <f>A819+1</f>
        <v>818</v>
      </c>
      <c r="B820" s="14">
        <v>2023</v>
      </c>
      <c r="C820" s="15">
        <v>10</v>
      </c>
      <c r="D820" s="15">
        <v>4</v>
      </c>
      <c r="E820" s="16"/>
      <c r="F820" t="s" s="17">
        <v>122</v>
      </c>
      <c r="G820" s="16"/>
      <c r="H820" t="s" s="17">
        <v>253</v>
      </c>
      <c r="I820" t="s" s="17">
        <v>127</v>
      </c>
      <c r="J820" t="s" s="17">
        <v>165</v>
      </c>
      <c r="K820" t="s" s="17">
        <v>23</v>
      </c>
      <c r="L820" s="15">
        <f>IF(O820,P820/O820,0)</f>
        <v>4.761</v>
      </c>
      <c r="M820" s="15">
        <v>4.761</v>
      </c>
      <c r="N820" s="15">
        <f>A820</f>
        <v>818</v>
      </c>
      <c r="O820" s="15">
        <f t="shared" si="2263"/>
        <v>100</v>
      </c>
      <c r="P820" s="42">
        <f t="shared" si="2849" ref="P820:P1331">396.75+396.75*20%</f>
        <v>476.1</v>
      </c>
      <c r="Q820" s="16"/>
    </row>
    <row r="821" ht="20.05" customHeight="1">
      <c r="A821" s="13">
        <f>A820+1</f>
        <v>819</v>
      </c>
      <c r="B821" s="14">
        <v>2023</v>
      </c>
      <c r="C821" s="15">
        <v>10</v>
      </c>
      <c r="D821" s="15">
        <v>4</v>
      </c>
      <c r="E821" s="16"/>
      <c r="F821" t="s" s="17">
        <v>275</v>
      </c>
      <c r="G821" s="16"/>
      <c r="H821" t="s" s="17">
        <v>253</v>
      </c>
      <c r="I821" t="s" s="17">
        <v>19</v>
      </c>
      <c r="J821" t="s" s="17">
        <v>56</v>
      </c>
      <c r="K821" t="s" s="17">
        <v>41</v>
      </c>
      <c r="L821" s="15">
        <f>IF(O821,P821/O821,0)</f>
        <v>0.360906666666667</v>
      </c>
      <c r="M821" s="15">
        <v>0.360906666666667</v>
      </c>
      <c r="N821" s="15">
        <f>A821</f>
        <v>819</v>
      </c>
      <c r="O821" s="15">
        <v>750</v>
      </c>
      <c r="P821" s="41">
        <f t="shared" si="2076"/>
        <v>270.68</v>
      </c>
      <c r="Q821" s="16"/>
    </row>
    <row r="822" ht="20.05" customHeight="1">
      <c r="A822" s="13">
        <f>A821+1</f>
        <v>820</v>
      </c>
      <c r="B822" s="14">
        <v>2023</v>
      </c>
      <c r="C822" s="15">
        <v>10</v>
      </c>
      <c r="D822" s="15">
        <v>4</v>
      </c>
      <c r="E822" s="16"/>
      <c r="F822" t="s" s="17">
        <v>275</v>
      </c>
      <c r="G822" s="16"/>
      <c r="H822" t="s" s="17">
        <v>253</v>
      </c>
      <c r="I822" t="s" s="17">
        <v>19</v>
      </c>
      <c r="J822" t="s" s="17">
        <v>155</v>
      </c>
      <c r="K822" t="s" s="17">
        <v>16</v>
      </c>
      <c r="L822" s="15">
        <f>IF(O822,P822/O822,0)</f>
        <v>0.33936</v>
      </c>
      <c r="M822" s="15">
        <v>0.33936</v>
      </c>
      <c r="N822" s="15">
        <f>A822</f>
        <v>820</v>
      </c>
      <c r="O822" s="15">
        <f t="shared" si="2428"/>
        <v>2000</v>
      </c>
      <c r="P822" s="41">
        <f t="shared" si="1985"/>
        <v>678.72</v>
      </c>
      <c r="Q822" s="16"/>
    </row>
    <row r="823" ht="20.05" customHeight="1">
      <c r="A823" s="13">
        <f>A822+1</f>
        <v>821</v>
      </c>
      <c r="B823" s="14">
        <v>2023</v>
      </c>
      <c r="C823" s="15">
        <v>10</v>
      </c>
      <c r="D823" s="15">
        <v>4</v>
      </c>
      <c r="E823" s="16"/>
      <c r="F823" t="s" s="17">
        <v>111</v>
      </c>
      <c r="G823" s="16"/>
      <c r="H823" t="s" s="17">
        <v>253</v>
      </c>
      <c r="I823" t="s" s="17">
        <v>19</v>
      </c>
      <c r="J823" t="s" s="17">
        <v>72</v>
      </c>
      <c r="K823" t="s" s="17">
        <v>41</v>
      </c>
      <c r="L823" s="15">
        <f>IF(O823,P823/O823,0)</f>
        <v>0.22992</v>
      </c>
      <c r="M823" s="15">
        <v>0.22992</v>
      </c>
      <c r="N823" s="15">
        <f>A823</f>
        <v>821</v>
      </c>
      <c r="O823" s="15">
        <v>250</v>
      </c>
      <c r="P823" s="15">
        <v>57.48</v>
      </c>
      <c r="Q823" s="16"/>
    </row>
    <row r="824" ht="20.05" customHeight="1">
      <c r="A824" s="13">
        <f>A823+1</f>
        <v>822</v>
      </c>
      <c r="B824" s="14">
        <v>2023</v>
      </c>
      <c r="C824" s="15">
        <v>10</v>
      </c>
      <c r="D824" s="15">
        <v>4</v>
      </c>
      <c r="E824" s="16"/>
      <c r="F824" t="s" s="17">
        <v>111</v>
      </c>
      <c r="G824" s="16"/>
      <c r="H824" t="s" s="17">
        <v>253</v>
      </c>
      <c r="I824" t="s" s="17">
        <v>19</v>
      </c>
      <c r="J824" t="s" s="17">
        <v>135</v>
      </c>
      <c r="K824" t="s" s="17">
        <v>23</v>
      </c>
      <c r="L824" s="15">
        <f>IF(O824,P824/O824,0)</f>
        <v>0.40992</v>
      </c>
      <c r="M824" s="15">
        <v>0.40992</v>
      </c>
      <c r="N824" s="15">
        <f>A824</f>
        <v>822</v>
      </c>
      <c r="O824" s="15">
        <f t="shared" si="2318"/>
        <v>250</v>
      </c>
      <c r="P824" s="15">
        <v>102.48</v>
      </c>
      <c r="Q824" s="16"/>
    </row>
    <row r="825" ht="20.05" customHeight="1">
      <c r="A825" s="13">
        <f>A824+1</f>
        <v>823</v>
      </c>
      <c r="B825" s="14">
        <v>2023</v>
      </c>
      <c r="C825" s="15">
        <v>10</v>
      </c>
      <c r="D825" s="15">
        <v>5</v>
      </c>
      <c r="E825" s="16"/>
      <c r="F825" t="s" s="17">
        <v>258</v>
      </c>
      <c r="G825" s="16"/>
      <c r="H825" t="s" s="17">
        <v>253</v>
      </c>
      <c r="I825" t="s" s="17">
        <v>127</v>
      </c>
      <c r="J825" t="s" s="17">
        <v>339</v>
      </c>
      <c r="K825" t="s" s="17">
        <v>23</v>
      </c>
      <c r="L825" s="15">
        <f>IF(O825,P825/O825,0)</f>
        <v>10.5</v>
      </c>
      <c r="M825" s="15">
        <v>10.5</v>
      </c>
      <c r="N825" s="15">
        <f>A825</f>
        <v>823</v>
      </c>
      <c r="O825" s="15">
        <v>3</v>
      </c>
      <c r="P825" s="15">
        <f>38.9-7.4</f>
        <v>31.5</v>
      </c>
      <c r="Q825" s="16"/>
    </row>
    <row r="826" ht="20.05" customHeight="1">
      <c r="A826" s="13">
        <f>A825+1</f>
        <v>824</v>
      </c>
      <c r="B826" s="14">
        <v>2023</v>
      </c>
      <c r="C826" s="15">
        <v>10</v>
      </c>
      <c r="D826" s="15">
        <v>5</v>
      </c>
      <c r="E826" s="16"/>
      <c r="F826" t="s" s="17">
        <v>258</v>
      </c>
      <c r="G826" s="16"/>
      <c r="H826" t="s" s="17">
        <v>253</v>
      </c>
      <c r="I826" t="s" s="17">
        <v>127</v>
      </c>
      <c r="J826" t="s" s="17">
        <v>276</v>
      </c>
      <c r="K826" t="s" s="17">
        <v>41</v>
      </c>
      <c r="L826" s="15">
        <f>IF(O826,P826/O826,0)</f>
        <v>0.05545</v>
      </c>
      <c r="M826" s="15">
        <v>0.05545</v>
      </c>
      <c r="N826" s="15">
        <f>A826</f>
        <v>824</v>
      </c>
      <c r="O826" s="15">
        <v>1000</v>
      </c>
      <c r="P826" s="15">
        <v>55.45</v>
      </c>
      <c r="Q826" s="16"/>
    </row>
    <row r="827" ht="20.05" customHeight="1">
      <c r="A827" s="13">
        <f>A826+1</f>
        <v>825</v>
      </c>
      <c r="B827" s="14">
        <v>2023</v>
      </c>
      <c r="C827" s="15">
        <v>10</v>
      </c>
      <c r="D827" s="15">
        <v>5</v>
      </c>
      <c r="E827" s="16"/>
      <c r="F827" t="s" s="17">
        <v>258</v>
      </c>
      <c r="G827" s="16"/>
      <c r="H827" t="s" s="17">
        <v>253</v>
      </c>
      <c r="I827" t="s" s="17">
        <v>127</v>
      </c>
      <c r="J827" t="s" s="17">
        <v>340</v>
      </c>
      <c r="K827" t="s" s="17">
        <v>41</v>
      </c>
      <c r="L827" s="15">
        <f>IF(O827,P827/O827,0)</f>
        <v>0.0423333333333333</v>
      </c>
      <c r="M827" s="15">
        <v>0.0423333333333333</v>
      </c>
      <c r="N827" s="15">
        <f>A827</f>
        <v>825</v>
      </c>
      <c r="O827" s="15">
        <v>750</v>
      </c>
      <c r="P827" s="15">
        <v>31.75</v>
      </c>
      <c r="Q827" s="16"/>
    </row>
    <row r="828" ht="20.05" customHeight="1">
      <c r="A828" s="13">
        <f>A827+1</f>
        <v>826</v>
      </c>
      <c r="B828" s="14">
        <v>2023</v>
      </c>
      <c r="C828" s="15">
        <v>10</v>
      </c>
      <c r="D828" s="15">
        <v>5</v>
      </c>
      <c r="E828" s="16"/>
      <c r="F828" t="s" s="17">
        <v>258</v>
      </c>
      <c r="G828" s="16"/>
      <c r="H828" t="s" s="17">
        <v>253</v>
      </c>
      <c r="I828" t="s" s="17">
        <v>127</v>
      </c>
      <c r="J828" t="s" s="17">
        <v>166</v>
      </c>
      <c r="K828" t="s" s="17">
        <v>41</v>
      </c>
      <c r="L828" s="15">
        <f>IF(O828,P828/O828,0)</f>
        <v>0.0287333333333333</v>
      </c>
      <c r="M828" s="15">
        <v>0.0287333333333333</v>
      </c>
      <c r="N828" s="15">
        <f>A828</f>
        <v>826</v>
      </c>
      <c r="O828" s="15">
        <v>750</v>
      </c>
      <c r="P828" s="15">
        <v>21.55</v>
      </c>
      <c r="Q828" s="16"/>
    </row>
    <row r="829" ht="20.05" customHeight="1">
      <c r="A829" s="13">
        <f>A828+1</f>
        <v>827</v>
      </c>
      <c r="B829" s="14">
        <v>2023</v>
      </c>
      <c r="C829" s="15">
        <v>10</v>
      </c>
      <c r="D829" s="15">
        <v>5</v>
      </c>
      <c r="E829" s="16"/>
      <c r="F829" t="s" s="17">
        <v>258</v>
      </c>
      <c r="G829" s="16"/>
      <c r="H829" t="s" s="17">
        <v>253</v>
      </c>
      <c r="I829" t="s" s="17">
        <v>127</v>
      </c>
      <c r="J829" t="s" s="17">
        <v>196</v>
      </c>
      <c r="K829" t="s" s="17">
        <v>41</v>
      </c>
      <c r="L829" s="15">
        <f>IF(O829,P829/O829,0)</f>
        <v>0.042972972972973</v>
      </c>
      <c r="M829" s="15">
        <v>0.042972972972973</v>
      </c>
      <c r="N829" s="15">
        <f>A829</f>
        <v>827</v>
      </c>
      <c r="O829" s="15">
        <v>1850</v>
      </c>
      <c r="P829" s="15">
        <v>79.5</v>
      </c>
      <c r="Q829" s="16"/>
    </row>
    <row r="830" ht="20.05" customHeight="1">
      <c r="A830" s="13">
        <f>A829+1</f>
        <v>828</v>
      </c>
      <c r="B830" s="14">
        <v>2023</v>
      </c>
      <c r="C830" s="15">
        <v>10</v>
      </c>
      <c r="D830" s="15">
        <v>6</v>
      </c>
      <c r="E830" s="16"/>
      <c r="F830" t="s" s="17">
        <v>258</v>
      </c>
      <c r="G830" s="16"/>
      <c r="H830" t="s" s="17">
        <v>253</v>
      </c>
      <c r="I830" t="s" s="17">
        <v>19</v>
      </c>
      <c r="J830" t="s" s="17">
        <v>157</v>
      </c>
      <c r="K830" t="s" s="17">
        <v>16</v>
      </c>
      <c r="L830" s="15">
        <f>IF(O830,P830/O830,0)</f>
        <v>0.0151442307692308</v>
      </c>
      <c r="M830" s="15">
        <v>0.0151442307692308</v>
      </c>
      <c r="N830" s="15">
        <f>A830</f>
        <v>828</v>
      </c>
      <c r="O830" s="15">
        <v>1040</v>
      </c>
      <c r="P830" s="15">
        <v>15.75</v>
      </c>
      <c r="Q830" s="16"/>
    </row>
    <row r="831" ht="32.05" customHeight="1">
      <c r="A831" s="13">
        <f>A830+1</f>
        <v>829</v>
      </c>
      <c r="B831" s="14">
        <v>2023</v>
      </c>
      <c r="C831" s="15">
        <v>10</v>
      </c>
      <c r="D831" s="15">
        <v>7</v>
      </c>
      <c r="E831" s="16"/>
      <c r="F831" t="s" s="17">
        <v>287</v>
      </c>
      <c r="G831" s="16"/>
      <c r="H831" t="s" s="17">
        <v>253</v>
      </c>
      <c r="I831" t="s" s="17">
        <v>14</v>
      </c>
      <c r="J831" t="s" s="17">
        <v>283</v>
      </c>
      <c r="K831" t="s" s="17">
        <v>23</v>
      </c>
      <c r="L831" s="15">
        <f>IF(O831,P831/O831,0)</f>
        <v>32.724</v>
      </c>
      <c r="M831" s="15">
        <v>32.724</v>
      </c>
      <c r="N831" s="15">
        <f>A831</f>
        <v>829</v>
      </c>
      <c r="O831" s="15">
        <v>10</v>
      </c>
      <c r="P831" s="41">
        <f t="shared" si="2723"/>
        <v>327.24</v>
      </c>
      <c r="Q831" s="16"/>
    </row>
    <row r="832" ht="20.05" customHeight="1">
      <c r="A832" s="13">
        <f>A831+1</f>
        <v>830</v>
      </c>
      <c r="B832" s="14">
        <v>2023</v>
      </c>
      <c r="C832" s="15">
        <v>10</v>
      </c>
      <c r="D832" s="15">
        <v>7</v>
      </c>
      <c r="E832" s="16"/>
      <c r="F832" t="s" s="17">
        <v>287</v>
      </c>
      <c r="G832" s="16"/>
      <c r="H832" t="s" s="17">
        <v>253</v>
      </c>
      <c r="I832" t="s" s="17">
        <v>14</v>
      </c>
      <c r="J832" t="s" s="17">
        <v>288</v>
      </c>
      <c r="K832" t="s" s="17">
        <v>23</v>
      </c>
      <c r="L832" s="15">
        <f>IF(O832,P832/O832,0)</f>
        <v>27.3195</v>
      </c>
      <c r="M832" s="15">
        <v>27.3195</v>
      </c>
      <c r="N832" s="15">
        <f>A832</f>
        <v>830</v>
      </c>
      <c r="O832" s="15">
        <v>10</v>
      </c>
      <c r="P832" s="42">
        <f>269.5+369.5*1%</f>
        <v>273.195</v>
      </c>
      <c r="Q832" s="16"/>
    </row>
    <row r="833" ht="20.05" customHeight="1">
      <c r="A833" s="13">
        <f>A832+1</f>
        <v>831</v>
      </c>
      <c r="B833" s="14">
        <v>2023</v>
      </c>
      <c r="C833" s="15">
        <v>10</v>
      </c>
      <c r="D833" s="15">
        <v>7</v>
      </c>
      <c r="E833" s="16"/>
      <c r="F833" t="s" s="17">
        <v>287</v>
      </c>
      <c r="G833" s="16"/>
      <c r="H833" t="s" s="17">
        <v>253</v>
      </c>
      <c r="I833" t="s" s="17">
        <v>14</v>
      </c>
      <c r="J833" t="s" s="17">
        <v>279</v>
      </c>
      <c r="K833" t="s" s="17">
        <v>23</v>
      </c>
      <c r="L833" s="15">
        <f>IF(O833,P833/O833,0)</f>
        <v>31.3605</v>
      </c>
      <c r="M833" s="15">
        <v>31.3605</v>
      </c>
      <c r="N833" s="15">
        <f>A833</f>
        <v>831</v>
      </c>
      <c r="O833" s="15">
        <v>10</v>
      </c>
      <c r="P833" s="42">
        <f>310.5+(310.5*1%)</f>
        <v>313.605</v>
      </c>
      <c r="Q833" s="16"/>
    </row>
    <row r="834" ht="20.05" customHeight="1">
      <c r="A834" s="13">
        <f>A833+1</f>
        <v>832</v>
      </c>
      <c r="B834" s="14">
        <v>2023</v>
      </c>
      <c r="C834" s="15">
        <v>10</v>
      </c>
      <c r="D834" s="15">
        <v>8</v>
      </c>
      <c r="E834" s="16"/>
      <c r="F834" t="s" s="17">
        <v>258</v>
      </c>
      <c r="G834" s="16"/>
      <c r="H834" t="s" s="17">
        <v>253</v>
      </c>
      <c r="I834" t="s" s="17">
        <v>26</v>
      </c>
      <c r="J834" t="s" s="17">
        <v>113</v>
      </c>
      <c r="K834" t="s" s="17">
        <v>41</v>
      </c>
      <c r="L834" s="15">
        <f>IF(O834,P834/O834,0)</f>
        <v>0.0233</v>
      </c>
      <c r="M834" s="15">
        <v>0.0233</v>
      </c>
      <c r="N834" s="15">
        <f>A834</f>
        <v>832</v>
      </c>
      <c r="O834" s="15">
        <v>1500</v>
      </c>
      <c r="P834" s="15">
        <v>34.95</v>
      </c>
      <c r="Q834" s="16"/>
    </row>
    <row r="835" ht="20.05" customHeight="1">
      <c r="A835" s="13">
        <f>A834+1</f>
        <v>833</v>
      </c>
      <c r="B835" s="14">
        <v>2023</v>
      </c>
      <c r="C835" s="15">
        <v>10</v>
      </c>
      <c r="D835" s="15">
        <v>10</v>
      </c>
      <c r="E835" s="16"/>
      <c r="F835" t="s" s="17">
        <v>258</v>
      </c>
      <c r="G835" s="16"/>
      <c r="H835" t="s" s="17">
        <v>253</v>
      </c>
      <c r="I835" t="s" s="17">
        <v>19</v>
      </c>
      <c r="J835" t="s" s="17">
        <v>157</v>
      </c>
      <c r="K835" t="s" s="17">
        <v>16</v>
      </c>
      <c r="L835" s="15">
        <f>IF(O835,P835/O835,0)</f>
        <v>0.0149009900990099</v>
      </c>
      <c r="M835" s="15">
        <v>0.0149009900990099</v>
      </c>
      <c r="N835" s="15">
        <f>A835</f>
        <v>833</v>
      </c>
      <c r="O835" s="15">
        <v>1212</v>
      </c>
      <c r="P835" s="15">
        <v>18.06</v>
      </c>
      <c r="Q835" s="16"/>
    </row>
    <row r="836" ht="20.05" customHeight="1">
      <c r="A836" s="13">
        <f>A835+1</f>
        <v>834</v>
      </c>
      <c r="B836" s="14">
        <v>2023</v>
      </c>
      <c r="C836" s="15">
        <v>10</v>
      </c>
      <c r="D836" s="15">
        <v>11</v>
      </c>
      <c r="E836" s="16"/>
      <c r="F836" t="s" s="17">
        <v>275</v>
      </c>
      <c r="G836" s="16"/>
      <c r="H836" t="s" s="17">
        <v>253</v>
      </c>
      <c r="I836" t="s" s="17">
        <v>19</v>
      </c>
      <c r="J836" t="s" s="17">
        <v>70</v>
      </c>
      <c r="K836" t="s" s="17">
        <v>16</v>
      </c>
      <c r="L836" s="15">
        <f>IF(O836,P836/O836,0)</f>
        <v>0.33936</v>
      </c>
      <c r="M836" s="15">
        <v>0.33936</v>
      </c>
      <c r="N836" s="15">
        <f>A836</f>
        <v>834</v>
      </c>
      <c r="O836" s="15">
        <f t="shared" si="2428"/>
        <v>2000</v>
      </c>
      <c r="P836" s="41">
        <f t="shared" si="1985"/>
        <v>678.72</v>
      </c>
      <c r="Q836" s="16"/>
    </row>
    <row r="837" ht="32.05" customHeight="1">
      <c r="A837" s="13">
        <f>A836+1</f>
        <v>835</v>
      </c>
      <c r="B837" s="14">
        <v>2023</v>
      </c>
      <c r="C837" s="15">
        <v>10</v>
      </c>
      <c r="D837" s="15">
        <v>12</v>
      </c>
      <c r="E837" s="16"/>
      <c r="F837" t="s" s="17">
        <v>287</v>
      </c>
      <c r="G837" s="16"/>
      <c r="H837" t="s" s="17">
        <v>253</v>
      </c>
      <c r="I837" t="s" s="17">
        <v>17</v>
      </c>
      <c r="J837" t="s" s="17">
        <v>299</v>
      </c>
      <c r="K837" t="s" s="17">
        <v>23</v>
      </c>
      <c r="L837" s="15">
        <f>IF(O837,P837/O837,0)</f>
        <v>37.269</v>
      </c>
      <c r="M837" s="15">
        <v>37.269</v>
      </c>
      <c r="N837" s="15">
        <f>A837</f>
        <v>835</v>
      </c>
      <c r="O837" s="15">
        <v>24</v>
      </c>
      <c r="P837" s="42">
        <f t="shared" si="2029"/>
        <v>894.456</v>
      </c>
      <c r="Q837" s="16"/>
    </row>
    <row r="838" ht="20.05" customHeight="1">
      <c r="A838" s="13">
        <f>A837+1</f>
        <v>836</v>
      </c>
      <c r="B838" s="14">
        <v>2023</v>
      </c>
      <c r="C838" s="15">
        <v>10</v>
      </c>
      <c r="D838" s="15">
        <v>12</v>
      </c>
      <c r="E838" s="16"/>
      <c r="F838" t="s" s="17">
        <v>287</v>
      </c>
      <c r="G838" s="16"/>
      <c r="H838" t="s" s="17">
        <v>253</v>
      </c>
      <c r="I838" t="s" s="17">
        <v>14</v>
      </c>
      <c r="J838" t="s" s="17">
        <v>289</v>
      </c>
      <c r="K838" t="s" s="17">
        <v>23</v>
      </c>
      <c r="L838" s="15">
        <f>IF(O838,P838/O838,0)</f>
        <v>29.694</v>
      </c>
      <c r="M838" s="15">
        <v>29.694</v>
      </c>
      <c r="N838" s="15">
        <f>A838</f>
        <v>836</v>
      </c>
      <c r="O838" s="15">
        <v>10</v>
      </c>
      <c r="P838" s="41">
        <f t="shared" si="2915" ref="P838:P878">294+(294*1%)</f>
        <v>296.94</v>
      </c>
      <c r="Q838" s="16"/>
    </row>
    <row r="839" ht="20.05" customHeight="1">
      <c r="A839" s="13">
        <f>A838+1</f>
        <v>837</v>
      </c>
      <c r="B839" s="14">
        <v>2023</v>
      </c>
      <c r="C839" s="15">
        <v>10</v>
      </c>
      <c r="D839" s="15">
        <v>12</v>
      </c>
      <c r="E839" s="16"/>
      <c r="F839" t="s" s="17">
        <v>287</v>
      </c>
      <c r="G839" s="16"/>
      <c r="H839" t="s" s="17">
        <v>253</v>
      </c>
      <c r="I839" t="s" s="17">
        <v>14</v>
      </c>
      <c r="J839" t="s" s="17">
        <v>288</v>
      </c>
      <c r="K839" t="s" s="17">
        <v>23</v>
      </c>
      <c r="L839" s="15">
        <f>IF(O839,P839/O839,0)</f>
        <v>27.2195</v>
      </c>
      <c r="M839" s="15">
        <v>27.2195</v>
      </c>
      <c r="N839" s="15">
        <f>A839</f>
        <v>837</v>
      </c>
      <c r="O839" s="15">
        <v>10</v>
      </c>
      <c r="P839" s="42">
        <f>269.5+(269.5*1%)</f>
        <v>272.195</v>
      </c>
      <c r="Q839" s="16"/>
    </row>
    <row r="840" ht="20.05" customHeight="1">
      <c r="A840" s="13">
        <f>A839+1</f>
        <v>838</v>
      </c>
      <c r="B840" s="14">
        <v>2023</v>
      </c>
      <c r="C840" s="15">
        <v>10</v>
      </c>
      <c r="D840" s="15">
        <v>12</v>
      </c>
      <c r="E840" s="16"/>
      <c r="F840" t="s" s="17">
        <v>287</v>
      </c>
      <c r="G840" s="16"/>
      <c r="H840" t="s" s="17">
        <v>253</v>
      </c>
      <c r="I840" t="s" s="17">
        <v>14</v>
      </c>
      <c r="J840" t="s" s="17">
        <v>282</v>
      </c>
      <c r="K840" t="s" s="17">
        <v>23</v>
      </c>
      <c r="L840" s="15">
        <f>IF(O840,P840/O840,0)</f>
        <v>24.9975</v>
      </c>
      <c r="M840" s="15">
        <v>24.9975</v>
      </c>
      <c r="N840" s="15">
        <f>A840</f>
        <v>838</v>
      </c>
      <c r="O840" s="15">
        <v>10</v>
      </c>
      <c r="P840" s="42">
        <f t="shared" si="2831"/>
        <v>249.975</v>
      </c>
      <c r="Q840" s="16"/>
    </row>
    <row r="841" ht="20.05" customHeight="1">
      <c r="A841" s="13">
        <f>A840+1</f>
        <v>839</v>
      </c>
      <c r="B841" s="14">
        <v>2023</v>
      </c>
      <c r="C841" s="15">
        <v>10</v>
      </c>
      <c r="D841" s="15">
        <v>13</v>
      </c>
      <c r="E841" s="16"/>
      <c r="F841" t="s" s="17">
        <v>258</v>
      </c>
      <c r="G841" s="16"/>
      <c r="H841" t="s" s="17">
        <v>253</v>
      </c>
      <c r="I841" t="s" s="17">
        <v>19</v>
      </c>
      <c r="J841" t="s" s="17">
        <v>112</v>
      </c>
      <c r="K841" t="s" s="17">
        <v>41</v>
      </c>
      <c r="L841" s="15">
        <f>IF(O841,P841/O841,0)</f>
        <v>0.03795</v>
      </c>
      <c r="M841" s="15">
        <v>0.03795</v>
      </c>
      <c r="N841" s="15">
        <f>A841</f>
        <v>839</v>
      </c>
      <c r="O841" s="15">
        <v>1000</v>
      </c>
      <c r="P841" s="15">
        <v>37.95</v>
      </c>
      <c r="Q841" s="16"/>
    </row>
    <row r="842" ht="20.05" customHeight="1">
      <c r="A842" s="13">
        <f>A841+1</f>
        <v>840</v>
      </c>
      <c r="B842" s="14">
        <v>2023</v>
      </c>
      <c r="C842" s="15">
        <v>10</v>
      </c>
      <c r="D842" s="15">
        <v>13</v>
      </c>
      <c r="E842" s="16"/>
      <c r="F842" t="s" s="17">
        <v>258</v>
      </c>
      <c r="G842" s="16"/>
      <c r="H842" t="s" s="17">
        <v>253</v>
      </c>
      <c r="I842" t="s" s="17">
        <v>19</v>
      </c>
      <c r="J842" t="s" s="17">
        <v>157</v>
      </c>
      <c r="K842" t="s" s="17">
        <v>16</v>
      </c>
      <c r="L842" s="15">
        <f>IF(O842,P842/O842,0)</f>
        <v>0.0149014778325123</v>
      </c>
      <c r="M842" s="15">
        <v>0.0149014778325123</v>
      </c>
      <c r="N842" s="15">
        <f>A842</f>
        <v>840</v>
      </c>
      <c r="O842" s="15">
        <v>1624</v>
      </c>
      <c r="P842" s="15">
        <v>24.2</v>
      </c>
      <c r="Q842" s="16"/>
    </row>
    <row r="843" ht="20.35" customHeight="1">
      <c r="A843" s="13">
        <f>A842+1</f>
        <v>841</v>
      </c>
      <c r="B843" s="14">
        <v>2023</v>
      </c>
      <c r="C843" s="15">
        <v>10</v>
      </c>
      <c r="D843" s="15">
        <v>13</v>
      </c>
      <c r="E843" s="16"/>
      <c r="F843" t="s" s="17">
        <v>258</v>
      </c>
      <c r="G843" s="16"/>
      <c r="H843" t="s" s="17">
        <v>253</v>
      </c>
      <c r="I843" t="s" s="17">
        <v>19</v>
      </c>
      <c r="J843" t="s" s="17">
        <v>113</v>
      </c>
      <c r="K843" t="s" s="17">
        <v>41</v>
      </c>
      <c r="L843" s="15">
        <f>IF(O843,P843/O843,0)</f>
        <v>0.02165</v>
      </c>
      <c r="M843" s="15">
        <v>0.02165</v>
      </c>
      <c r="N843" s="15">
        <f>A843</f>
        <v>841</v>
      </c>
      <c r="O843" s="15">
        <v>3000</v>
      </c>
      <c r="P843" s="18">
        <v>64.95</v>
      </c>
      <c r="Q843" s="16"/>
    </row>
    <row r="844" ht="20.7" customHeight="1">
      <c r="A844" s="13">
        <f>A843+1</f>
        <v>842</v>
      </c>
      <c r="B844" s="14">
        <v>2023</v>
      </c>
      <c r="C844" s="15">
        <v>10</v>
      </c>
      <c r="D844" s="15">
        <v>14</v>
      </c>
      <c r="E844" s="16"/>
      <c r="F844" t="s" s="17">
        <v>141</v>
      </c>
      <c r="G844" s="16"/>
      <c r="H844" t="s" s="17">
        <v>253</v>
      </c>
      <c r="I844" t="s" s="17">
        <v>19</v>
      </c>
      <c r="J844" t="s" s="17">
        <v>142</v>
      </c>
      <c r="K844" t="s" s="17">
        <v>23</v>
      </c>
      <c r="L844" s="15">
        <f>IF(O844,P844/O844,0)</f>
        <v>13.8515208333333</v>
      </c>
      <c r="M844" s="15">
        <v>13.8515208333333</v>
      </c>
      <c r="N844" s="15">
        <f>A844</f>
        <v>842</v>
      </c>
      <c r="O844" s="19">
        <f t="shared" si="2479"/>
        <v>48</v>
      </c>
      <c r="P844" s="51">
        <f t="shared" si="2480"/>
        <v>664.873</v>
      </c>
      <c r="Q844" s="21"/>
    </row>
    <row r="845" ht="20.7" customHeight="1">
      <c r="A845" s="13">
        <f>A844+1</f>
        <v>843</v>
      </c>
      <c r="B845" s="14">
        <v>2023</v>
      </c>
      <c r="C845" s="15">
        <v>10</v>
      </c>
      <c r="D845" s="15">
        <v>14</v>
      </c>
      <c r="E845" s="16"/>
      <c r="F845" t="s" s="17">
        <v>141</v>
      </c>
      <c r="G845" s="16"/>
      <c r="H845" t="s" s="17">
        <v>253</v>
      </c>
      <c r="I845" t="s" s="17">
        <v>19</v>
      </c>
      <c r="J845" t="s" s="17">
        <v>144</v>
      </c>
      <c r="K845" t="s" s="17">
        <v>23</v>
      </c>
      <c r="L845" s="15">
        <f>IF(O845,P845/O845,0)</f>
        <v>13.85175</v>
      </c>
      <c r="M845" s="15">
        <v>13.85175</v>
      </c>
      <c r="N845" s="15">
        <f>A845</f>
        <v>843</v>
      </c>
      <c r="O845" s="19">
        <f t="shared" si="2593"/>
        <v>24</v>
      </c>
      <c r="P845" s="51">
        <f t="shared" si="2654"/>
        <v>332.442</v>
      </c>
      <c r="Q845" s="21"/>
    </row>
    <row r="846" ht="20.7" customHeight="1">
      <c r="A846" s="13">
        <f>A845+1</f>
        <v>844</v>
      </c>
      <c r="B846" s="14">
        <v>2023</v>
      </c>
      <c r="C846" s="15">
        <v>10</v>
      </c>
      <c r="D846" s="15">
        <v>14</v>
      </c>
      <c r="E846" s="16"/>
      <c r="F846" t="s" s="17">
        <v>141</v>
      </c>
      <c r="G846" s="16"/>
      <c r="H846" t="s" s="17">
        <v>253</v>
      </c>
      <c r="I846" t="s" s="17">
        <v>19</v>
      </c>
      <c r="J846" t="s" s="17">
        <v>159</v>
      </c>
      <c r="K846" t="s" s="17">
        <v>23</v>
      </c>
      <c r="L846" s="15">
        <f>IF(O846,P846/O846,0)</f>
        <v>2.00779583333333</v>
      </c>
      <c r="M846" s="15">
        <v>2.00779583333333</v>
      </c>
      <c r="N846" s="15">
        <f>A846</f>
        <v>844</v>
      </c>
      <c r="O846" s="19">
        <f t="shared" si="2479"/>
        <v>48</v>
      </c>
      <c r="P846" s="52">
        <f>95.42+95.42*1%</f>
        <v>96.3742</v>
      </c>
      <c r="Q846" s="21"/>
    </row>
    <row r="847" ht="20.7" customHeight="1">
      <c r="A847" s="13">
        <f>A846+1</f>
        <v>845</v>
      </c>
      <c r="B847" s="14">
        <v>2023</v>
      </c>
      <c r="C847" s="15">
        <v>10</v>
      </c>
      <c r="D847" s="15">
        <v>14</v>
      </c>
      <c r="E847" s="16"/>
      <c r="F847" t="s" s="17">
        <v>141</v>
      </c>
      <c r="G847" s="16"/>
      <c r="H847" t="s" s="17">
        <v>253</v>
      </c>
      <c r="I847" t="s" s="17">
        <v>19</v>
      </c>
      <c r="J847" t="s" s="17">
        <v>337</v>
      </c>
      <c r="K847" t="s" s="17">
        <v>23</v>
      </c>
      <c r="L847" s="15">
        <f>IF(O847,P847/O847,0)</f>
        <v>-114</v>
      </c>
      <c r="M847" s="15">
        <v>-114</v>
      </c>
      <c r="N847" s="15">
        <f>A847</f>
        <v>845</v>
      </c>
      <c r="O847" s="19">
        <v>1</v>
      </c>
      <c r="P847" s="20">
        <v>-114</v>
      </c>
      <c r="Q847" s="21"/>
    </row>
    <row r="848" ht="32.35" customHeight="1">
      <c r="A848" s="13">
        <f>A847+1</f>
        <v>846</v>
      </c>
      <c r="B848" s="14">
        <v>2023</v>
      </c>
      <c r="C848" s="15">
        <v>10</v>
      </c>
      <c r="D848" s="15">
        <v>14</v>
      </c>
      <c r="E848" s="16"/>
      <c r="F848" t="s" s="17">
        <v>287</v>
      </c>
      <c r="G848" s="16"/>
      <c r="H848" t="s" s="17">
        <v>253</v>
      </c>
      <c r="I848" t="s" s="17">
        <v>19</v>
      </c>
      <c r="J848" t="s" s="17">
        <v>283</v>
      </c>
      <c r="K848" t="s" s="17">
        <v>23</v>
      </c>
      <c r="L848" s="15">
        <f>IF(O848,P848/O848,0)</f>
        <v>35.8045</v>
      </c>
      <c r="M848" s="15">
        <v>35.8045</v>
      </c>
      <c r="N848" s="15">
        <f>A848</f>
        <v>846</v>
      </c>
      <c r="O848" s="15">
        <v>10</v>
      </c>
      <c r="P848" s="53">
        <f t="shared" si="2954" ref="P848:P1092">354.5+354.5*1%</f>
        <v>358.045</v>
      </c>
      <c r="Q848" s="16"/>
    </row>
    <row r="849" ht="20.05" customHeight="1">
      <c r="A849" s="13">
        <f>A848+1</f>
        <v>847</v>
      </c>
      <c r="B849" s="14">
        <v>2023</v>
      </c>
      <c r="C849" s="15">
        <v>10</v>
      </c>
      <c r="D849" s="15">
        <v>14</v>
      </c>
      <c r="E849" s="16"/>
      <c r="F849" t="s" s="17">
        <v>287</v>
      </c>
      <c r="G849" s="16"/>
      <c r="H849" t="s" s="17">
        <v>253</v>
      </c>
      <c r="I849" t="s" s="17">
        <v>19</v>
      </c>
      <c r="J849" t="s" s="17">
        <v>279</v>
      </c>
      <c r="K849" t="s" s="17">
        <v>23</v>
      </c>
      <c r="L849" s="15">
        <f>IF(O849,P849/O849,0)</f>
        <v>34.3905</v>
      </c>
      <c r="M849" s="15">
        <v>34.3905</v>
      </c>
      <c r="N849" s="15">
        <f>A849</f>
        <v>847</v>
      </c>
      <c r="O849" s="15">
        <v>10</v>
      </c>
      <c r="P849" s="42">
        <f t="shared" si="2690"/>
        <v>343.905</v>
      </c>
      <c r="Q849" s="16"/>
    </row>
    <row r="850" ht="32.05" customHeight="1">
      <c r="A850" s="13">
        <f>A849+1</f>
        <v>848</v>
      </c>
      <c r="B850" s="14">
        <v>2023</v>
      </c>
      <c r="C850" s="15">
        <v>10</v>
      </c>
      <c r="D850" s="15">
        <v>14</v>
      </c>
      <c r="E850" s="16"/>
      <c r="F850" t="s" s="17">
        <v>287</v>
      </c>
      <c r="G850" s="16"/>
      <c r="H850" t="s" s="17">
        <v>253</v>
      </c>
      <c r="I850" t="s" s="17">
        <v>17</v>
      </c>
      <c r="J850" t="s" s="17">
        <v>300</v>
      </c>
      <c r="K850" t="s" s="17">
        <v>23</v>
      </c>
      <c r="L850" s="15">
        <f>IF(O850,P850/O850,0)</f>
        <v>32.0978</v>
      </c>
      <c r="M850" s="15">
        <v>32.0978</v>
      </c>
      <c r="N850" s="15">
        <f>A850</f>
        <v>848</v>
      </c>
      <c r="O850" s="15">
        <v>24</v>
      </c>
      <c r="P850" s="43">
        <f t="shared" si="2033"/>
        <v>770.3472</v>
      </c>
      <c r="Q850" s="16"/>
    </row>
    <row r="851" ht="20.05" customHeight="1">
      <c r="A851" s="13">
        <f>A850+1</f>
        <v>849</v>
      </c>
      <c r="B851" s="14">
        <v>2023</v>
      </c>
      <c r="C851" s="15">
        <v>10</v>
      </c>
      <c r="D851" s="15">
        <v>18</v>
      </c>
      <c r="E851" s="16"/>
      <c r="F851" t="s" s="17">
        <v>111</v>
      </c>
      <c r="G851" s="16"/>
      <c r="H851" t="s" s="17">
        <v>253</v>
      </c>
      <c r="I851" t="s" s="17">
        <v>26</v>
      </c>
      <c r="J851" t="s" s="17">
        <v>117</v>
      </c>
      <c r="K851" t="s" s="17">
        <v>23</v>
      </c>
      <c r="L851" s="15">
        <f>IF(O851,P851/O851,0)</f>
        <v>36.016</v>
      </c>
      <c r="M851" s="15">
        <v>36.016</v>
      </c>
      <c r="N851" s="15">
        <f>A851</f>
        <v>849</v>
      </c>
      <c r="O851" s="15">
        <v>5</v>
      </c>
      <c r="P851" s="15">
        <v>180.08</v>
      </c>
      <c r="Q851" s="16"/>
    </row>
    <row r="852" ht="20.05" customHeight="1">
      <c r="A852" s="13">
        <f>A851+1</f>
        <v>850</v>
      </c>
      <c r="B852" s="14">
        <v>2023</v>
      </c>
      <c r="C852" s="15">
        <v>10</v>
      </c>
      <c r="D852" s="15">
        <v>18</v>
      </c>
      <c r="E852" s="16"/>
      <c r="F852" t="s" s="17">
        <v>111</v>
      </c>
      <c r="G852" s="16"/>
      <c r="H852" t="s" s="17">
        <v>253</v>
      </c>
      <c r="I852" t="s" s="17">
        <v>26</v>
      </c>
      <c r="J852" t="s" s="17">
        <v>118</v>
      </c>
      <c r="K852" t="s" s="17">
        <v>23</v>
      </c>
      <c r="L852" s="15">
        <f>IF(O852,P852/O852,0)</f>
        <v>36.946</v>
      </c>
      <c r="M852" s="15">
        <v>36.946</v>
      </c>
      <c r="N852" s="15">
        <f>A852</f>
        <v>850</v>
      </c>
      <c r="O852" s="15">
        <v>5</v>
      </c>
      <c r="P852" s="15">
        <v>184.73</v>
      </c>
      <c r="Q852" s="16"/>
    </row>
    <row r="853" ht="20.05" customHeight="1">
      <c r="A853" s="13">
        <f>A852+1</f>
        <v>851</v>
      </c>
      <c r="B853" s="14">
        <v>2023</v>
      </c>
      <c r="C853" s="15">
        <v>10</v>
      </c>
      <c r="D853" s="15">
        <v>19</v>
      </c>
      <c r="E853" s="16"/>
      <c r="F853" t="s" s="17">
        <v>275</v>
      </c>
      <c r="G853" s="16"/>
      <c r="H853" t="s" s="17">
        <v>253</v>
      </c>
      <c r="I853" t="s" s="17">
        <v>19</v>
      </c>
      <c r="J853" t="s" s="17">
        <v>89</v>
      </c>
      <c r="K853" t="s" s="17">
        <v>41</v>
      </c>
      <c r="L853" s="15">
        <f>IF(O853,P853/O853,0)</f>
        <v>0.490571428571429</v>
      </c>
      <c r="M853" s="15">
        <v>0.490571428571429</v>
      </c>
      <c r="N853" s="15">
        <f>A853</f>
        <v>851</v>
      </c>
      <c r="O853" s="15">
        <v>700</v>
      </c>
      <c r="P853" s="42">
        <f t="shared" si="2972" ref="P853:P988">340+340*1%</f>
        <v>343.4</v>
      </c>
      <c r="Q853" s="16"/>
    </row>
    <row r="854" ht="20.05" customHeight="1">
      <c r="A854" s="13">
        <f>A853+1</f>
        <v>852</v>
      </c>
      <c r="B854" s="14">
        <v>2023</v>
      </c>
      <c r="C854" s="15">
        <v>10</v>
      </c>
      <c r="D854" s="15">
        <v>19</v>
      </c>
      <c r="E854" s="16"/>
      <c r="F854" t="s" s="17">
        <v>111</v>
      </c>
      <c r="G854" s="16"/>
      <c r="H854" t="s" s="17">
        <v>253</v>
      </c>
      <c r="I854" t="s" s="17">
        <v>19</v>
      </c>
      <c r="J854" t="s" s="17">
        <v>60</v>
      </c>
      <c r="K854" t="s" s="17">
        <v>23</v>
      </c>
      <c r="L854" s="15">
        <f>IF(O854,P854/O854,0)</f>
        <v>3.46975</v>
      </c>
      <c r="M854" s="15">
        <v>3.46975</v>
      </c>
      <c r="N854" s="15">
        <f>A854</f>
        <v>852</v>
      </c>
      <c r="O854" s="15">
        <v>120</v>
      </c>
      <c r="P854" s="15">
        <v>416.37</v>
      </c>
      <c r="Q854" s="16"/>
    </row>
    <row r="855" ht="20.05" customHeight="1">
      <c r="A855" s="13">
        <f>A854+1</f>
        <v>853</v>
      </c>
      <c r="B855" s="14">
        <v>2023</v>
      </c>
      <c r="C855" s="15">
        <v>10</v>
      </c>
      <c r="D855" s="15">
        <v>19</v>
      </c>
      <c r="E855" s="16"/>
      <c r="F855" t="s" s="17">
        <v>111</v>
      </c>
      <c r="G855" s="16"/>
      <c r="H855" t="s" s="17">
        <v>253</v>
      </c>
      <c r="I855" t="s" s="17">
        <v>19</v>
      </c>
      <c r="J855" t="s" s="17">
        <v>81</v>
      </c>
      <c r="K855" t="s" s="17">
        <v>23</v>
      </c>
      <c r="L855" s="15">
        <f>IF(O855,P855/O855,0)</f>
        <v>0.925</v>
      </c>
      <c r="M855" s="15">
        <v>0.925</v>
      </c>
      <c r="N855" s="15">
        <f>A855</f>
        <v>853</v>
      </c>
      <c r="O855" s="15">
        <f t="shared" si="2157"/>
        <v>324</v>
      </c>
      <c r="P855" s="15">
        <v>299.7</v>
      </c>
      <c r="Q855" s="16"/>
    </row>
    <row r="856" ht="20.05" customHeight="1">
      <c r="A856" s="13">
        <f>A855+1</f>
        <v>854</v>
      </c>
      <c r="B856" s="14">
        <v>2023</v>
      </c>
      <c r="C856" s="15">
        <v>10</v>
      </c>
      <c r="D856" s="15">
        <v>19</v>
      </c>
      <c r="E856" s="16"/>
      <c r="F856" t="s" s="17">
        <v>111</v>
      </c>
      <c r="G856" s="16"/>
      <c r="H856" t="s" s="17">
        <v>253</v>
      </c>
      <c r="I856" t="s" s="17">
        <v>19</v>
      </c>
      <c r="J856" t="s" s="17">
        <v>63</v>
      </c>
      <c r="K856" t="s" s="17">
        <v>16</v>
      </c>
      <c r="L856" s="15">
        <f>IF(O856,P856/O856,0)</f>
        <v>0.76956</v>
      </c>
      <c r="M856" s="15">
        <v>0.76956</v>
      </c>
      <c r="N856" s="15">
        <f>A856</f>
        <v>854</v>
      </c>
      <c r="O856" s="15">
        <v>250</v>
      </c>
      <c r="P856" s="15">
        <v>192.39</v>
      </c>
      <c r="Q856" s="16"/>
    </row>
    <row r="857" ht="20.05" customHeight="1">
      <c r="A857" s="13">
        <f>A856+1</f>
        <v>855</v>
      </c>
      <c r="B857" s="14">
        <v>2023</v>
      </c>
      <c r="C857" s="15">
        <v>10</v>
      </c>
      <c r="D857" s="15">
        <v>19</v>
      </c>
      <c r="E857" s="16"/>
      <c r="F857" t="s" s="17">
        <v>341</v>
      </c>
      <c r="G857" s="16"/>
      <c r="H857" t="s" s="17">
        <v>253</v>
      </c>
      <c r="I857" t="s" s="17">
        <v>19</v>
      </c>
      <c r="J857" t="s" s="17">
        <v>67</v>
      </c>
      <c r="K857" t="s" s="17">
        <v>23</v>
      </c>
      <c r="L857" s="15">
        <f>IF(O857,P857/O857,0)</f>
        <v>0.961452666666667</v>
      </c>
      <c r="M857" s="15">
        <v>0.961452666666667</v>
      </c>
      <c r="N857" s="15">
        <f>A857</f>
        <v>855</v>
      </c>
      <c r="O857" s="15">
        <f t="shared" si="2784"/>
        <v>300</v>
      </c>
      <c r="P857" s="43">
        <f t="shared" si="2785"/>
        <v>288.4358</v>
      </c>
      <c r="Q857" s="16"/>
    </row>
    <row r="858" ht="20.05" customHeight="1">
      <c r="A858" s="13">
        <f>A857+1</f>
        <v>856</v>
      </c>
      <c r="B858" s="14">
        <v>2023</v>
      </c>
      <c r="C858" s="15">
        <v>10</v>
      </c>
      <c r="D858" s="15">
        <v>19</v>
      </c>
      <c r="E858" s="16"/>
      <c r="F858" t="s" s="17">
        <v>341</v>
      </c>
      <c r="G858" s="16"/>
      <c r="H858" t="s" s="17">
        <v>253</v>
      </c>
      <c r="I858" t="s" s="17">
        <v>19</v>
      </c>
      <c r="J858" t="s" s="17">
        <v>139</v>
      </c>
      <c r="K858" t="s" s="17">
        <v>23</v>
      </c>
      <c r="L858" s="15">
        <f>IF(O858,P858/O858,0)</f>
        <v>3.89270833333333</v>
      </c>
      <c r="M858" s="15">
        <v>3.89270833333333</v>
      </c>
      <c r="N858" s="15">
        <f>A858</f>
        <v>856</v>
      </c>
      <c r="O858" s="15">
        <f t="shared" si="2479"/>
        <v>48</v>
      </c>
      <c r="P858" s="41">
        <f t="shared" si="2992" ref="P858:P946">185+185*1%</f>
        <v>186.85</v>
      </c>
      <c r="Q858" s="16"/>
    </row>
    <row r="859" ht="20.05" customHeight="1">
      <c r="A859" s="13">
        <f>A858+1</f>
        <v>857</v>
      </c>
      <c r="B859" s="14">
        <v>2023</v>
      </c>
      <c r="C859" s="15">
        <v>10</v>
      </c>
      <c r="D859" s="15">
        <v>19</v>
      </c>
      <c r="E859" s="16"/>
      <c r="F859" t="s" s="17">
        <v>341</v>
      </c>
      <c r="G859" s="16"/>
      <c r="H859" t="s" s="17">
        <v>253</v>
      </c>
      <c r="I859" t="s" s="17">
        <v>19</v>
      </c>
      <c r="J859" t="s" s="17">
        <v>73</v>
      </c>
      <c r="K859" t="s" s="17">
        <v>23</v>
      </c>
      <c r="L859" s="15">
        <f>IF(O859,P859/O859,0)</f>
        <v>6.0095</v>
      </c>
      <c r="M859" s="15">
        <v>6.0095</v>
      </c>
      <c r="N859" s="15">
        <f>A859</f>
        <v>857</v>
      </c>
      <c r="O859" s="15">
        <f t="shared" si="2479"/>
        <v>48</v>
      </c>
      <c r="P859" s="42">
        <f>285.6+285.6*1%</f>
        <v>288.456</v>
      </c>
      <c r="Q859" s="16"/>
    </row>
    <row r="860" ht="32.05" customHeight="1">
      <c r="A860" s="13">
        <f>A859+1</f>
        <v>858</v>
      </c>
      <c r="B860" s="14">
        <v>2023</v>
      </c>
      <c r="C860" s="15">
        <v>10</v>
      </c>
      <c r="D860" s="15">
        <v>20</v>
      </c>
      <c r="E860" s="16"/>
      <c r="F860" t="s" s="17">
        <v>287</v>
      </c>
      <c r="G860" s="16"/>
      <c r="H860" t="s" s="17">
        <v>253</v>
      </c>
      <c r="I860" t="s" s="17">
        <v>14</v>
      </c>
      <c r="J860" t="s" s="17">
        <v>283</v>
      </c>
      <c r="K860" t="s" s="17">
        <v>23</v>
      </c>
      <c r="L860" s="15">
        <f>IF(O860,P860/O860,0)</f>
        <v>35.8045</v>
      </c>
      <c r="M860" s="15">
        <v>35.8045</v>
      </c>
      <c r="N860" s="15">
        <f>A860</f>
        <v>858</v>
      </c>
      <c r="O860" s="15">
        <v>10</v>
      </c>
      <c r="P860" s="42">
        <f t="shared" si="2954"/>
        <v>358.045</v>
      </c>
      <c r="Q860" s="16"/>
    </row>
    <row r="861" ht="20.05" customHeight="1">
      <c r="A861" s="13">
        <f>A860+1</f>
        <v>859</v>
      </c>
      <c r="B861" s="14">
        <v>2023</v>
      </c>
      <c r="C861" s="15">
        <v>10</v>
      </c>
      <c r="D861" s="15">
        <v>20</v>
      </c>
      <c r="E861" s="16"/>
      <c r="F861" t="s" s="17">
        <v>287</v>
      </c>
      <c r="G861" s="16"/>
      <c r="H861" t="s" s="17">
        <v>253</v>
      </c>
      <c r="I861" t="s" s="17">
        <v>14</v>
      </c>
      <c r="J861" t="s" s="17">
        <v>288</v>
      </c>
      <c r="K861" t="s" s="17">
        <v>23</v>
      </c>
      <c r="L861" s="15">
        <f>IF(O861,P861/O861,0)</f>
        <v>37.5383333333333</v>
      </c>
      <c r="M861" s="15">
        <v>37.5383333333333</v>
      </c>
      <c r="N861" s="15">
        <f>A861</f>
        <v>859</v>
      </c>
      <c r="O861" s="15">
        <v>9</v>
      </c>
      <c r="P861" s="42">
        <f t="shared" si="2732"/>
        <v>337.845</v>
      </c>
      <c r="Q861" s="16"/>
    </row>
    <row r="862" ht="20.35" customHeight="1">
      <c r="A862" s="13">
        <f>A861+1</f>
        <v>860</v>
      </c>
      <c r="B862" s="14">
        <v>2023</v>
      </c>
      <c r="C862" s="15">
        <v>10</v>
      </c>
      <c r="D862" s="15">
        <v>20</v>
      </c>
      <c r="E862" s="16"/>
      <c r="F862" t="s" s="17">
        <v>287</v>
      </c>
      <c r="G862" s="16"/>
      <c r="H862" t="s" s="17">
        <v>253</v>
      </c>
      <c r="I862" t="s" s="17">
        <v>14</v>
      </c>
      <c r="J862" t="s" s="17">
        <v>282</v>
      </c>
      <c r="K862" t="s" s="17">
        <v>23</v>
      </c>
      <c r="L862" s="15">
        <f>IF(O862,P862/O862,0)</f>
        <v>27.4215</v>
      </c>
      <c r="M862" s="15">
        <v>27.4215</v>
      </c>
      <c r="N862" s="15">
        <f>A862</f>
        <v>860</v>
      </c>
      <c r="O862" s="15">
        <v>10</v>
      </c>
      <c r="P862" s="54">
        <f t="shared" si="3009" ref="P862:P927">271.5+271.5*1%</f>
        <v>274.215</v>
      </c>
      <c r="Q862" s="16"/>
    </row>
    <row r="863" ht="20.7" customHeight="1">
      <c r="A863" s="13">
        <f>A862+1</f>
        <v>861</v>
      </c>
      <c r="B863" s="14">
        <v>2023</v>
      </c>
      <c r="C863" s="15">
        <v>10</v>
      </c>
      <c r="D863" s="15">
        <v>21</v>
      </c>
      <c r="E863" s="16"/>
      <c r="F863" t="s" s="17">
        <v>141</v>
      </c>
      <c r="G863" s="16"/>
      <c r="H863" t="s" s="17">
        <v>253</v>
      </c>
      <c r="I863" t="s" s="17">
        <v>19</v>
      </c>
      <c r="J863" t="s" s="17">
        <v>143</v>
      </c>
      <c r="K863" t="s" s="17">
        <v>23</v>
      </c>
      <c r="L863" s="15">
        <f>IF(O863,P863/O863,0)</f>
        <v>13.85175</v>
      </c>
      <c r="M863" s="15">
        <v>13.85175</v>
      </c>
      <c r="N863" s="15">
        <f>A863</f>
        <v>861</v>
      </c>
      <c r="O863" s="19">
        <v>24</v>
      </c>
      <c r="P863" s="51">
        <f t="shared" si="2654"/>
        <v>332.442</v>
      </c>
      <c r="Q863" s="21"/>
    </row>
    <row r="864" ht="20.7" customHeight="1">
      <c r="A864" s="13">
        <f>A863+1</f>
        <v>862</v>
      </c>
      <c r="B864" s="14">
        <v>2023</v>
      </c>
      <c r="C864" s="15">
        <v>10</v>
      </c>
      <c r="D864" s="15">
        <v>21</v>
      </c>
      <c r="E864" s="16"/>
      <c r="F864" t="s" s="17">
        <v>141</v>
      </c>
      <c r="G864" s="16"/>
      <c r="H864" t="s" s="17">
        <v>253</v>
      </c>
      <c r="I864" t="s" s="17">
        <v>19</v>
      </c>
      <c r="J864" t="s" s="17">
        <v>158</v>
      </c>
      <c r="K864" t="s" s="17">
        <v>23</v>
      </c>
      <c r="L864" s="15">
        <f>IF(O864,P864/O864,0)</f>
        <v>13.85175</v>
      </c>
      <c r="M864" s="15">
        <v>13.85175</v>
      </c>
      <c r="N864" s="15">
        <f>A864</f>
        <v>862</v>
      </c>
      <c r="O864" s="19">
        <v>24</v>
      </c>
      <c r="P864" s="51">
        <f t="shared" si="2654"/>
        <v>332.442</v>
      </c>
      <c r="Q864" s="21"/>
    </row>
    <row r="865" ht="20.7" customHeight="1">
      <c r="A865" s="13">
        <f>A864+1</f>
        <v>863</v>
      </c>
      <c r="B865" s="14">
        <v>2023</v>
      </c>
      <c r="C865" s="15">
        <v>10</v>
      </c>
      <c r="D865" s="15">
        <v>21</v>
      </c>
      <c r="E865" s="16"/>
      <c r="F865" t="s" s="17">
        <v>141</v>
      </c>
      <c r="G865" s="16"/>
      <c r="H865" t="s" s="17">
        <v>253</v>
      </c>
      <c r="I865" t="s" s="17">
        <v>19</v>
      </c>
      <c r="J865" t="s" s="17">
        <v>159</v>
      </c>
      <c r="K865" t="s" s="17">
        <v>23</v>
      </c>
      <c r="L865" s="15">
        <f>IF(O865,P865/O865,0)</f>
        <v>1.41666527777778</v>
      </c>
      <c r="M865" s="15">
        <v>1.41666527777778</v>
      </c>
      <c r="N865" s="15">
        <f>A865</f>
        <v>863</v>
      </c>
      <c r="O865" s="19">
        <f t="shared" si="3021" ref="O865:O1027">3*24</f>
        <v>72</v>
      </c>
      <c r="P865" s="52">
        <f>100.99+100.99*1%</f>
        <v>101.9999</v>
      </c>
      <c r="Q865" s="21"/>
    </row>
    <row r="866" ht="20.7" customHeight="1">
      <c r="A866" s="13">
        <f>A865+1</f>
        <v>864</v>
      </c>
      <c r="B866" s="14">
        <v>2023</v>
      </c>
      <c r="C866" s="15">
        <v>10</v>
      </c>
      <c r="D866" s="15">
        <v>21</v>
      </c>
      <c r="E866" s="16"/>
      <c r="F866" t="s" s="17">
        <v>141</v>
      </c>
      <c r="G866" s="16"/>
      <c r="H866" t="s" s="17">
        <v>253</v>
      </c>
      <c r="I866" t="s" s="17">
        <v>19</v>
      </c>
      <c r="J866" t="s" s="17">
        <v>337</v>
      </c>
      <c r="K866" t="s" s="17">
        <v>23</v>
      </c>
      <c r="L866" s="15">
        <f>IF(O866,P866/O866,0)</f>
        <v>-114</v>
      </c>
      <c r="M866" s="15">
        <v>-114</v>
      </c>
      <c r="N866" s="15">
        <f>A866</f>
        <v>864</v>
      </c>
      <c r="O866" s="19">
        <v>3</v>
      </c>
      <c r="P866" s="20">
        <f>3*-114</f>
        <v>-342</v>
      </c>
      <c r="Q866" s="21"/>
    </row>
    <row r="867" ht="20.35" customHeight="1">
      <c r="A867" s="13">
        <f>A866+1</f>
        <v>865</v>
      </c>
      <c r="B867" s="14">
        <v>2023</v>
      </c>
      <c r="C867" s="15">
        <v>10</v>
      </c>
      <c r="D867" s="15">
        <v>22</v>
      </c>
      <c r="E867" s="16"/>
      <c r="F867" t="s" s="17">
        <v>258</v>
      </c>
      <c r="G867" s="16"/>
      <c r="H867" t="s" s="17">
        <v>253</v>
      </c>
      <c r="I867" t="s" s="17">
        <v>187</v>
      </c>
      <c r="J867" t="s" s="17">
        <v>342</v>
      </c>
      <c r="K867" t="s" s="17">
        <v>16</v>
      </c>
      <c r="L867" s="15">
        <f>IF(O867,P867/O867,0)</f>
        <v>0.0299</v>
      </c>
      <c r="M867" s="15">
        <v>0.0299</v>
      </c>
      <c r="N867" s="15">
        <f>A867</f>
        <v>865</v>
      </c>
      <c r="O867" s="15">
        <v>600</v>
      </c>
      <c r="P867" s="22">
        <f>23.34-5.4</f>
        <v>17.94</v>
      </c>
      <c r="Q867" s="16"/>
    </row>
    <row r="868" ht="20.05" customHeight="1">
      <c r="A868" s="13">
        <f>A867+1</f>
        <v>866</v>
      </c>
      <c r="B868" s="14">
        <v>2023</v>
      </c>
      <c r="C868" s="15">
        <v>10</v>
      </c>
      <c r="D868" s="15">
        <v>22</v>
      </c>
      <c r="E868" s="16"/>
      <c r="F868" t="s" s="17">
        <v>258</v>
      </c>
      <c r="G868" s="16"/>
      <c r="H868" t="s" s="17">
        <v>253</v>
      </c>
      <c r="I868" t="s" s="17">
        <v>187</v>
      </c>
      <c r="J868" t="s" s="17">
        <v>342</v>
      </c>
      <c r="K868" t="s" s="17">
        <v>16</v>
      </c>
      <c r="L868" s="15">
        <f>IF(O868,P868/O868,0)</f>
        <v>0.0299034749034749</v>
      </c>
      <c r="M868" s="15">
        <v>0.0299034749034749</v>
      </c>
      <c r="N868" s="15">
        <f>A868</f>
        <v>866</v>
      </c>
      <c r="O868" s="15">
        <v>1036</v>
      </c>
      <c r="P868" s="15">
        <f>40.3-9.32</f>
        <v>30.98</v>
      </c>
      <c r="Q868" s="16"/>
    </row>
    <row r="869" ht="20.05" customHeight="1">
      <c r="A869" s="13">
        <f>A868+1</f>
        <v>867</v>
      </c>
      <c r="B869" s="14">
        <v>2023</v>
      </c>
      <c r="C869" s="15">
        <v>10</v>
      </c>
      <c r="D869" s="15">
        <v>23</v>
      </c>
      <c r="E869" s="16"/>
      <c r="F869" t="s" s="17">
        <v>262</v>
      </c>
      <c r="G869" s="16"/>
      <c r="H869" t="s" s="17">
        <v>253</v>
      </c>
      <c r="I869" t="s" s="17">
        <v>127</v>
      </c>
      <c r="J869" t="s" s="17">
        <v>263</v>
      </c>
      <c r="K869" t="s" s="17">
        <v>23</v>
      </c>
      <c r="L869" s="15">
        <f>IF(O869,P869/O869,0)</f>
        <v>420</v>
      </c>
      <c r="M869" s="15">
        <v>420</v>
      </c>
      <c r="N869" s="15">
        <f>A869</f>
        <v>867</v>
      </c>
      <c r="O869" s="15">
        <v>1</v>
      </c>
      <c r="P869" s="41">
        <f t="shared" si="3038" ref="P869:P1516">350+350*20%</f>
        <v>420</v>
      </c>
      <c r="Q869" s="16"/>
    </row>
    <row r="870" ht="20.05" customHeight="1">
      <c r="A870" s="13">
        <f>A869+1</f>
        <v>868</v>
      </c>
      <c r="B870" s="14">
        <v>2023</v>
      </c>
      <c r="C870" s="15">
        <v>10</v>
      </c>
      <c r="D870" s="15">
        <v>23</v>
      </c>
      <c r="E870" s="16"/>
      <c r="F870" t="s" s="17">
        <v>343</v>
      </c>
      <c r="G870" s="16"/>
      <c r="H870" t="s" s="17">
        <v>253</v>
      </c>
      <c r="I870" t="s" s="17">
        <v>127</v>
      </c>
      <c r="J870" t="s" s="17">
        <v>344</v>
      </c>
      <c r="K870" t="s" s="17">
        <v>23</v>
      </c>
      <c r="L870" s="15">
        <f>IF(O870,P870/O870,0)</f>
        <v>4200</v>
      </c>
      <c r="M870" s="15">
        <v>4200</v>
      </c>
      <c r="N870" s="15">
        <f>A870</f>
        <v>868</v>
      </c>
      <c r="O870" s="15">
        <v>1</v>
      </c>
      <c r="P870" s="41">
        <f t="shared" si="3042" ref="P870:P1705">3500+3500*20%</f>
        <v>4200</v>
      </c>
      <c r="Q870" s="16"/>
    </row>
    <row r="871" ht="20.05" customHeight="1">
      <c r="A871" s="13">
        <f>A870+1</f>
        <v>869</v>
      </c>
      <c r="B871" s="14">
        <v>2023</v>
      </c>
      <c r="C871" s="15">
        <v>10</v>
      </c>
      <c r="D871" s="15">
        <v>18</v>
      </c>
      <c r="E871" s="16"/>
      <c r="F871" t="s" s="17">
        <v>322</v>
      </c>
      <c r="G871" s="16"/>
      <c r="H871" t="s" s="17">
        <v>253</v>
      </c>
      <c r="I871" t="s" s="17">
        <v>14</v>
      </c>
      <c r="J871" t="s" s="17">
        <v>323</v>
      </c>
      <c r="K871" t="s" s="17">
        <v>23</v>
      </c>
      <c r="L871" s="15">
        <f>IF(O871,P871/O871,0)</f>
        <v>30.8</v>
      </c>
      <c r="M871" s="15">
        <v>30.8</v>
      </c>
      <c r="N871" s="15">
        <f>A871</f>
        <v>869</v>
      </c>
      <c r="O871" s="15">
        <v>55</v>
      </c>
      <c r="P871" s="41">
        <f>1540+1540*10%</f>
        <v>1694</v>
      </c>
      <c r="Q871" s="16"/>
    </row>
    <row r="872" ht="32.05" customHeight="1">
      <c r="A872" s="13">
        <f>A871+1</f>
        <v>870</v>
      </c>
      <c r="B872" s="14">
        <v>2023</v>
      </c>
      <c r="C872" s="15">
        <v>10</v>
      </c>
      <c r="D872" s="15">
        <v>17</v>
      </c>
      <c r="E872" s="16"/>
      <c r="F872" t="s" s="17">
        <v>270</v>
      </c>
      <c r="G872" s="16"/>
      <c r="H872" t="s" s="17">
        <v>253</v>
      </c>
      <c r="I872" t="s" s="17">
        <v>19</v>
      </c>
      <c r="J872" t="s" s="17">
        <v>345</v>
      </c>
      <c r="K872" t="s" s="17">
        <v>23</v>
      </c>
      <c r="L872" s="15">
        <f>IF(O872,P872/O872,0)</f>
        <v>1800</v>
      </c>
      <c r="M872" s="15">
        <v>1800</v>
      </c>
      <c r="N872" s="15">
        <f>A872</f>
        <v>870</v>
      </c>
      <c r="O872" s="15">
        <v>1</v>
      </c>
      <c r="P872" s="41">
        <f t="shared" si="3050" ref="P872:P1165">1500+1500*20%</f>
        <v>1800</v>
      </c>
      <c r="Q872" s="16"/>
    </row>
    <row r="873" ht="20.05" customHeight="1">
      <c r="A873" s="13">
        <f>A872+1</f>
        <v>871</v>
      </c>
      <c r="B873" s="14">
        <v>2023</v>
      </c>
      <c r="C873" s="15">
        <v>10</v>
      </c>
      <c r="D873" s="15">
        <v>10</v>
      </c>
      <c r="E873" s="16"/>
      <c r="F873" t="s" s="17">
        <v>270</v>
      </c>
      <c r="G873" s="16"/>
      <c r="H873" t="s" s="17">
        <v>253</v>
      </c>
      <c r="I873" t="s" s="17">
        <v>19</v>
      </c>
      <c r="J873" t="s" s="17">
        <v>346</v>
      </c>
      <c r="K873" t="s" s="17">
        <v>23</v>
      </c>
      <c r="L873" s="15">
        <f>IF(O873,P873/O873,0)</f>
        <v>930</v>
      </c>
      <c r="M873" s="15">
        <v>930</v>
      </c>
      <c r="N873" s="15">
        <f>A873</f>
        <v>871</v>
      </c>
      <c r="O873" s="15">
        <v>1</v>
      </c>
      <c r="P873" s="41">
        <f>775+775*20%</f>
        <v>930</v>
      </c>
      <c r="Q873" s="16"/>
    </row>
    <row r="874" ht="20.05" customHeight="1">
      <c r="A874" s="13">
        <f>A873+1</f>
        <v>872</v>
      </c>
      <c r="B874" s="14">
        <v>2023</v>
      </c>
      <c r="C874" s="15">
        <v>10</v>
      </c>
      <c r="D874" s="15">
        <v>2</v>
      </c>
      <c r="E874" s="16"/>
      <c r="F874" t="s" s="17">
        <v>347</v>
      </c>
      <c r="G874" s="16"/>
      <c r="H874" t="s" s="17">
        <v>163</v>
      </c>
      <c r="I874" t="s" s="17">
        <v>14</v>
      </c>
      <c r="J874" t="s" s="17">
        <v>233</v>
      </c>
      <c r="K874" t="s" s="17">
        <v>23</v>
      </c>
      <c r="L874" s="15">
        <f>IF(O874,P874/O874,0)</f>
        <v>274</v>
      </c>
      <c r="M874" s="15">
        <v>274</v>
      </c>
      <c r="N874" s="15">
        <f>A874</f>
        <v>872</v>
      </c>
      <c r="O874" s="15">
        <v>2</v>
      </c>
      <c r="P874" s="15">
        <v>548</v>
      </c>
      <c r="Q874" s="16"/>
    </row>
    <row r="875" ht="32.05" customHeight="1">
      <c r="A875" s="13">
        <f>A874+1</f>
        <v>873</v>
      </c>
      <c r="B875" s="14">
        <v>2023</v>
      </c>
      <c r="C875" s="15">
        <v>10</v>
      </c>
      <c r="D875" s="15">
        <v>5</v>
      </c>
      <c r="E875" s="16"/>
      <c r="F875" t="s" s="17">
        <v>348</v>
      </c>
      <c r="G875" t="s" s="17">
        <v>349</v>
      </c>
      <c r="H875" t="s" s="17">
        <v>163</v>
      </c>
      <c r="I875" t="s" s="17">
        <v>187</v>
      </c>
      <c r="J875" t="s" s="17">
        <v>350</v>
      </c>
      <c r="K875" t="s" s="17">
        <v>23</v>
      </c>
      <c r="L875" s="15">
        <f>IF(O875,P875/O875,0)</f>
        <v>4.84</v>
      </c>
      <c r="M875" s="15">
        <v>4.84</v>
      </c>
      <c r="N875" s="15">
        <f>A875</f>
        <v>873</v>
      </c>
      <c r="O875" s="15">
        <f t="shared" si="3061" ref="O875:O1395">2*40</f>
        <v>80</v>
      </c>
      <c r="P875" s="15">
        <v>387.2</v>
      </c>
      <c r="Q875" s="16"/>
    </row>
    <row r="876" ht="20.05" customHeight="1">
      <c r="A876" s="13">
        <f>A875+1</f>
        <v>874</v>
      </c>
      <c r="B876" s="14">
        <v>2023</v>
      </c>
      <c r="C876" s="15">
        <v>10</v>
      </c>
      <c r="D876" s="15">
        <v>5</v>
      </c>
      <c r="E876" s="16"/>
      <c r="F876" t="s" s="17">
        <v>351</v>
      </c>
      <c r="G876" s="16"/>
      <c r="H876" t="s" s="17">
        <v>163</v>
      </c>
      <c r="I876" t="s" s="17">
        <v>187</v>
      </c>
      <c r="J876" t="s" s="17">
        <v>352</v>
      </c>
      <c r="K876" t="s" s="17">
        <v>23</v>
      </c>
      <c r="L876" s="15">
        <f>IF(O876,P876/O876,0)</f>
        <v>599</v>
      </c>
      <c r="M876" s="15">
        <v>599</v>
      </c>
      <c r="N876" s="15">
        <f>A876</f>
        <v>874</v>
      </c>
      <c r="O876" s="15">
        <v>2</v>
      </c>
      <c r="P876" s="15">
        <v>1198</v>
      </c>
      <c r="Q876" s="16"/>
    </row>
    <row r="877" ht="20.05" customHeight="1">
      <c r="A877" s="13">
        <f>A876+1</f>
        <v>875</v>
      </c>
      <c r="B877" s="14">
        <v>2023</v>
      </c>
      <c r="C877" s="15">
        <v>10</v>
      </c>
      <c r="D877" s="15">
        <v>6</v>
      </c>
      <c r="E877" s="16"/>
      <c r="F877" t="s" s="17">
        <v>347</v>
      </c>
      <c r="G877" s="16"/>
      <c r="H877" t="s" s="17">
        <v>163</v>
      </c>
      <c r="I877" t="s" s="17">
        <v>14</v>
      </c>
      <c r="J877" t="s" s="17">
        <v>233</v>
      </c>
      <c r="K877" t="s" s="17">
        <v>23</v>
      </c>
      <c r="L877" s="15">
        <f>IF(O877,P877/O877,0)</f>
        <v>279</v>
      </c>
      <c r="M877" s="15">
        <v>279</v>
      </c>
      <c r="N877" s="15">
        <f>A877</f>
        <v>875</v>
      </c>
      <c r="O877" s="15">
        <v>2</v>
      </c>
      <c r="P877" s="15">
        <v>558</v>
      </c>
      <c r="Q877" s="16"/>
    </row>
    <row r="878" ht="20.05" customHeight="1">
      <c r="A878" s="13">
        <f>A877+1</f>
        <v>876</v>
      </c>
      <c r="B878" s="14">
        <v>2023</v>
      </c>
      <c r="C878" s="15">
        <v>10</v>
      </c>
      <c r="D878" s="15">
        <v>19</v>
      </c>
      <c r="E878" s="16"/>
      <c r="F878" t="s" s="17">
        <v>275</v>
      </c>
      <c r="G878" s="16"/>
      <c r="H878" t="s" s="17">
        <v>163</v>
      </c>
      <c r="I878" t="s" s="17">
        <v>19</v>
      </c>
      <c r="J878" t="s" s="17">
        <v>97</v>
      </c>
      <c r="K878" t="s" s="17">
        <v>41</v>
      </c>
      <c r="L878" s="15">
        <f>IF(O878,P878/O878,0)</f>
        <v>0.29694</v>
      </c>
      <c r="M878" s="15">
        <v>0.29694</v>
      </c>
      <c r="N878" s="15">
        <f>A878</f>
        <v>876</v>
      </c>
      <c r="O878" s="15">
        <v>1000</v>
      </c>
      <c r="P878" s="41">
        <f t="shared" si="2915"/>
        <v>296.94</v>
      </c>
      <c r="Q878" s="16"/>
    </row>
    <row r="879" ht="20.05" customHeight="1">
      <c r="A879" s="13">
        <f>A878+1</f>
        <v>877</v>
      </c>
      <c r="B879" s="14">
        <v>2023</v>
      </c>
      <c r="C879" s="15">
        <v>10</v>
      </c>
      <c r="D879" s="15">
        <v>19</v>
      </c>
      <c r="E879" s="16"/>
      <c r="F879" t="s" s="17">
        <v>275</v>
      </c>
      <c r="G879" s="16"/>
      <c r="H879" t="s" s="17">
        <v>163</v>
      </c>
      <c r="I879" t="s" s="17">
        <v>19</v>
      </c>
      <c r="J879" t="s" s="17">
        <v>70</v>
      </c>
      <c r="K879" t="s" s="17">
        <v>16</v>
      </c>
      <c r="L879" s="15">
        <f>IF(O879,P879/O879,0)</f>
        <v>0.33936</v>
      </c>
      <c r="M879" s="15">
        <v>0.33936</v>
      </c>
      <c r="N879" s="15">
        <f>A879</f>
        <v>877</v>
      </c>
      <c r="O879" s="15">
        <f t="shared" si="2153"/>
        <v>3000</v>
      </c>
      <c r="P879" s="41">
        <f t="shared" si="3076" ref="P879:P1080">1008+1008*1%</f>
        <v>1018.08</v>
      </c>
      <c r="Q879" s="16"/>
    </row>
    <row r="880" ht="20.05" customHeight="1">
      <c r="A880" s="13">
        <f>A879+1</f>
        <v>878</v>
      </c>
      <c r="B880" s="14">
        <v>2023</v>
      </c>
      <c r="C880" s="15">
        <v>10</v>
      </c>
      <c r="D880" s="15">
        <v>19</v>
      </c>
      <c r="E880" s="16"/>
      <c r="F880" t="s" s="17">
        <v>275</v>
      </c>
      <c r="G880" s="16"/>
      <c r="H880" t="s" s="17">
        <v>163</v>
      </c>
      <c r="I880" t="s" s="17">
        <v>19</v>
      </c>
      <c r="J880" t="s" s="17">
        <v>353</v>
      </c>
      <c r="K880" t="s" s="17">
        <v>23</v>
      </c>
      <c r="L880" s="15">
        <f>IF(O880,P880/O880,0)</f>
        <v>0.336</v>
      </c>
      <c r="M880" s="15">
        <v>0.336</v>
      </c>
      <c r="N880" s="15">
        <f>A880</f>
        <v>878</v>
      </c>
      <c r="O880" s="15">
        <v>1000</v>
      </c>
      <c r="P880" s="41">
        <f t="shared" si="3080" ref="P880:P1255">280+280*20%</f>
        <v>336</v>
      </c>
      <c r="Q880" s="16"/>
    </row>
    <row r="881" ht="32.05" customHeight="1">
      <c r="A881" s="13">
        <f>A880+1</f>
        <v>879</v>
      </c>
      <c r="B881" s="14">
        <v>2023</v>
      </c>
      <c r="C881" s="15">
        <v>10</v>
      </c>
      <c r="D881" s="15">
        <v>19</v>
      </c>
      <c r="E881" s="16"/>
      <c r="F881" t="s" s="17">
        <v>354</v>
      </c>
      <c r="G881" s="16"/>
      <c r="H881" t="s" s="17">
        <v>163</v>
      </c>
      <c r="I881" t="s" s="17">
        <v>127</v>
      </c>
      <c r="J881" t="s" s="17">
        <v>355</v>
      </c>
      <c r="K881" t="s" s="17">
        <v>23</v>
      </c>
      <c r="L881" s="15">
        <f>IF(O881,P881/O881,0)</f>
        <v>276</v>
      </c>
      <c r="M881" s="15">
        <v>276</v>
      </c>
      <c r="N881" s="15">
        <f>A881</f>
        <v>879</v>
      </c>
      <c r="O881" s="15">
        <v>1</v>
      </c>
      <c r="P881" s="15">
        <v>276</v>
      </c>
      <c r="Q881" s="16"/>
    </row>
    <row r="882" ht="20.05" customHeight="1">
      <c r="A882" s="13">
        <f>A881+1</f>
        <v>880</v>
      </c>
      <c r="B882" s="14">
        <v>2023</v>
      </c>
      <c r="C882" s="15">
        <v>10</v>
      </c>
      <c r="D882" s="15">
        <v>19</v>
      </c>
      <c r="E882" s="16"/>
      <c r="F882" t="s" s="17">
        <v>130</v>
      </c>
      <c r="G882" s="16"/>
      <c r="H882" t="s" s="17">
        <v>163</v>
      </c>
      <c r="I882" t="s" s="17">
        <v>26</v>
      </c>
      <c r="J882" t="s" s="17">
        <v>134</v>
      </c>
      <c r="K882" t="s" s="17">
        <v>23</v>
      </c>
      <c r="L882" s="15">
        <f>IF(O882,P882/O882,0)</f>
        <v>39.95</v>
      </c>
      <c r="M882" s="15">
        <v>39.95</v>
      </c>
      <c r="N882" s="15">
        <f>A882</f>
        <v>880</v>
      </c>
      <c r="O882" s="15">
        <v>5</v>
      </c>
      <c r="P882" s="15">
        <v>199.75</v>
      </c>
      <c r="Q882" s="16"/>
    </row>
    <row r="883" ht="20.05" customHeight="1">
      <c r="A883" s="13">
        <f>A882+1</f>
        <v>881</v>
      </c>
      <c r="B883" s="14">
        <v>2023</v>
      </c>
      <c r="C883" s="15">
        <v>10</v>
      </c>
      <c r="D883" s="15">
        <v>19</v>
      </c>
      <c r="E883" s="16"/>
      <c r="F883" t="s" s="17">
        <v>356</v>
      </c>
      <c r="G883" s="16"/>
      <c r="H883" t="s" s="17">
        <v>163</v>
      </c>
      <c r="I883" t="s" s="17">
        <v>357</v>
      </c>
      <c r="J883" t="s" s="17">
        <v>358</v>
      </c>
      <c r="K883" t="s" s="17">
        <v>23</v>
      </c>
      <c r="L883" s="15">
        <f>IF(O883,P883/O883,0)</f>
        <v>3.9745</v>
      </c>
      <c r="M883" s="15">
        <v>3.9745</v>
      </c>
      <c r="N883" s="15">
        <f>A883</f>
        <v>881</v>
      </c>
      <c r="O883" s="15">
        <v>200</v>
      </c>
      <c r="P883" s="15">
        <v>794.9</v>
      </c>
      <c r="Q883" s="16"/>
    </row>
    <row r="884" ht="20.05" customHeight="1">
      <c r="A884" s="13">
        <f>A883+1</f>
        <v>882</v>
      </c>
      <c r="B884" s="14">
        <v>2023</v>
      </c>
      <c r="C884" s="15">
        <v>10</v>
      </c>
      <c r="D884" s="15">
        <v>20</v>
      </c>
      <c r="E884" s="16"/>
      <c r="F884" t="s" s="17">
        <v>317</v>
      </c>
      <c r="G884" s="16"/>
      <c r="H884" t="s" s="17">
        <v>163</v>
      </c>
      <c r="I884" t="s" s="17">
        <v>14</v>
      </c>
      <c r="J884" t="s" s="17">
        <v>318</v>
      </c>
      <c r="K884" t="s" s="17">
        <v>23</v>
      </c>
      <c r="L884" s="15">
        <f>IF(O884,P884/O884,0)</f>
        <v>6</v>
      </c>
      <c r="M884" s="15">
        <v>6</v>
      </c>
      <c r="N884" s="15">
        <f>A884</f>
        <v>882</v>
      </c>
      <c r="O884" s="15">
        <v>105</v>
      </c>
      <c r="P884" s="15">
        <v>630</v>
      </c>
      <c r="Q884" s="16"/>
    </row>
    <row r="885" ht="20.05" customHeight="1">
      <c r="A885" s="13">
        <f>A884+1</f>
        <v>883</v>
      </c>
      <c r="B885" s="14">
        <v>2023</v>
      </c>
      <c r="C885" s="15">
        <v>10</v>
      </c>
      <c r="D885" s="15">
        <v>20</v>
      </c>
      <c r="E885" s="16"/>
      <c r="F885" t="s" s="17">
        <v>130</v>
      </c>
      <c r="G885" s="16"/>
      <c r="H885" t="s" s="17">
        <v>163</v>
      </c>
      <c r="I885" t="s" s="17">
        <v>19</v>
      </c>
      <c r="J885" t="s" s="17">
        <v>157</v>
      </c>
      <c r="K885" t="s" s="17">
        <v>16</v>
      </c>
      <c r="L885" s="15">
        <f>IF(O885,P885/O885,0)</f>
        <v>0.0169498806682578</v>
      </c>
      <c r="M885" s="15">
        <v>0.0169498806682578</v>
      </c>
      <c r="N885" s="15">
        <f>A885</f>
        <v>883</v>
      </c>
      <c r="O885" s="15">
        <v>2095</v>
      </c>
      <c r="P885" s="15">
        <v>35.51</v>
      </c>
      <c r="Q885" s="16"/>
    </row>
    <row r="886" ht="20.05" customHeight="1">
      <c r="A886" s="13">
        <f>A885+1</f>
        <v>884</v>
      </c>
      <c r="B886" s="14">
        <v>2023</v>
      </c>
      <c r="C886" s="15">
        <v>10</v>
      </c>
      <c r="D886" s="15">
        <v>20</v>
      </c>
      <c r="E886" s="16"/>
      <c r="F886" t="s" s="17">
        <v>287</v>
      </c>
      <c r="G886" s="16"/>
      <c r="H886" t="s" s="17">
        <v>163</v>
      </c>
      <c r="I886" t="s" s="17">
        <v>14</v>
      </c>
      <c r="J886" t="s" s="17">
        <v>289</v>
      </c>
      <c r="K886" t="s" s="17">
        <v>23</v>
      </c>
      <c r="L886" s="15">
        <f>IF(O886,P886/O886,0)</f>
        <v>32.724</v>
      </c>
      <c r="M886" s="15">
        <v>32.724</v>
      </c>
      <c r="N886" s="15">
        <f>A886</f>
        <v>884</v>
      </c>
      <c r="O886" s="15">
        <v>10</v>
      </c>
      <c r="P886" s="41">
        <f t="shared" si="2723"/>
        <v>327.24</v>
      </c>
      <c r="Q886" s="16"/>
    </row>
    <row r="887" ht="32.05" customHeight="1">
      <c r="A887" s="13">
        <f>A886+1</f>
        <v>885</v>
      </c>
      <c r="B887" s="14">
        <v>2023</v>
      </c>
      <c r="C887" s="15">
        <v>10</v>
      </c>
      <c r="D887" s="15">
        <v>20</v>
      </c>
      <c r="E887" s="16"/>
      <c r="F887" t="s" s="17">
        <v>287</v>
      </c>
      <c r="G887" s="16"/>
      <c r="H887" t="s" s="17">
        <v>163</v>
      </c>
      <c r="I887" t="s" s="17">
        <v>14</v>
      </c>
      <c r="J887" t="s" s="17">
        <v>283</v>
      </c>
      <c r="K887" t="s" s="17">
        <v>23</v>
      </c>
      <c r="L887" s="15">
        <f>IF(O887,P887/O887,0)</f>
        <v>35.8045</v>
      </c>
      <c r="M887" s="15">
        <v>35.8045</v>
      </c>
      <c r="N887" s="15">
        <f>A887</f>
        <v>885</v>
      </c>
      <c r="O887" s="15">
        <v>10</v>
      </c>
      <c r="P887" s="42">
        <f t="shared" si="2954"/>
        <v>358.045</v>
      </c>
      <c r="Q887" s="16"/>
    </row>
    <row r="888" ht="20.05" customHeight="1">
      <c r="A888" s="13">
        <f>A887+1</f>
        <v>886</v>
      </c>
      <c r="B888" s="14">
        <v>2023</v>
      </c>
      <c r="C888" s="15">
        <v>10</v>
      </c>
      <c r="D888" s="15">
        <v>20</v>
      </c>
      <c r="E888" s="16"/>
      <c r="F888" t="s" s="17">
        <v>287</v>
      </c>
      <c r="G888" s="16"/>
      <c r="H888" t="s" s="17">
        <v>163</v>
      </c>
      <c r="I888" t="s" s="17">
        <v>14</v>
      </c>
      <c r="J888" t="s" s="17">
        <v>288</v>
      </c>
      <c r="K888" t="s" s="17">
        <v>23</v>
      </c>
      <c r="L888" s="15">
        <f>IF(O888,P888/O888,0)</f>
        <v>37.5383333333333</v>
      </c>
      <c r="M888" s="15">
        <v>37.5383333333333</v>
      </c>
      <c r="N888" s="15">
        <f>A888</f>
        <v>886</v>
      </c>
      <c r="O888" s="15">
        <f t="shared" si="2685"/>
        <v>18</v>
      </c>
      <c r="P888" s="41">
        <f t="shared" si="2686"/>
        <v>675.6900000000001</v>
      </c>
      <c r="Q888" s="16"/>
    </row>
    <row r="889" ht="20.05" customHeight="1">
      <c r="A889" s="13">
        <f>A888+1</f>
        <v>887</v>
      </c>
      <c r="B889" s="14">
        <v>2023</v>
      </c>
      <c r="C889" s="15">
        <v>10</v>
      </c>
      <c r="D889" s="15">
        <v>20</v>
      </c>
      <c r="E889" s="16"/>
      <c r="F889" t="s" s="17">
        <v>287</v>
      </c>
      <c r="G889" s="16"/>
      <c r="H889" t="s" s="17">
        <v>163</v>
      </c>
      <c r="I889" t="s" s="17">
        <v>14</v>
      </c>
      <c r="J889" t="s" s="17">
        <v>282</v>
      </c>
      <c r="K889" t="s" s="17">
        <v>23</v>
      </c>
      <c r="L889" s="15">
        <f>IF(O889,P889/O889,0)</f>
        <v>27.4215</v>
      </c>
      <c r="M889" s="15">
        <v>27.4215</v>
      </c>
      <c r="N889" s="15">
        <f>A889</f>
        <v>887</v>
      </c>
      <c r="O889" s="15">
        <v>10</v>
      </c>
      <c r="P889" s="42">
        <f t="shared" si="3009"/>
        <v>274.215</v>
      </c>
      <c r="Q889" s="16"/>
    </row>
    <row r="890" ht="32.05" customHeight="1">
      <c r="A890" s="13">
        <f>A889+1</f>
        <v>888</v>
      </c>
      <c r="B890" s="14">
        <v>2023</v>
      </c>
      <c r="C890" s="15">
        <v>10</v>
      </c>
      <c r="D890" s="15">
        <v>20</v>
      </c>
      <c r="E890" s="16"/>
      <c r="F890" t="s" s="17">
        <v>287</v>
      </c>
      <c r="G890" s="16"/>
      <c r="H890" t="s" s="17">
        <v>163</v>
      </c>
      <c r="I890" t="s" s="17">
        <v>17</v>
      </c>
      <c r="J890" t="s" s="17">
        <v>299</v>
      </c>
      <c r="K890" t="s" s="17">
        <v>23</v>
      </c>
      <c r="L890" s="15">
        <f>IF(O890,P890/O890,0)</f>
        <v>37.269</v>
      </c>
      <c r="M890" s="15">
        <v>37.269</v>
      </c>
      <c r="N890" s="15">
        <f>A890</f>
        <v>888</v>
      </c>
      <c r="O890" s="15">
        <v>24</v>
      </c>
      <c r="P890" s="42">
        <f t="shared" si="3116" ref="P890:P907">885.6+885.6*1%</f>
        <v>894.456</v>
      </c>
      <c r="Q890" s="16"/>
    </row>
    <row r="891" ht="20.05" customHeight="1">
      <c r="A891" s="13">
        <f>A890+1</f>
        <v>889</v>
      </c>
      <c r="B891" s="14">
        <v>2023</v>
      </c>
      <c r="C891" s="15">
        <v>10</v>
      </c>
      <c r="D891" s="15">
        <v>21</v>
      </c>
      <c r="E891" s="16"/>
      <c r="F891" t="s" s="17">
        <v>287</v>
      </c>
      <c r="G891" s="16"/>
      <c r="H891" t="s" s="17">
        <v>163</v>
      </c>
      <c r="I891" t="s" s="17">
        <v>14</v>
      </c>
      <c r="J891" t="s" s="17">
        <v>288</v>
      </c>
      <c r="K891" t="s" s="17">
        <v>23</v>
      </c>
      <c r="L891" s="15">
        <f>IF(O891,P891/O891,0)</f>
        <v>37.5383333333333</v>
      </c>
      <c r="M891" s="15">
        <v>37.5383333333333</v>
      </c>
      <c r="N891" s="15">
        <f>A891</f>
        <v>889</v>
      </c>
      <c r="O891" s="15">
        <f t="shared" si="2685"/>
        <v>18</v>
      </c>
      <c r="P891" s="41">
        <f t="shared" si="2686"/>
        <v>675.6900000000001</v>
      </c>
      <c r="Q891" s="16"/>
    </row>
    <row r="892" ht="20.05" customHeight="1">
      <c r="A892" s="13">
        <f>A891+1</f>
        <v>890</v>
      </c>
      <c r="B892" s="14">
        <v>2023</v>
      </c>
      <c r="C892" s="15">
        <v>10</v>
      </c>
      <c r="D892" s="15">
        <v>21</v>
      </c>
      <c r="E892" s="16"/>
      <c r="F892" t="s" s="17">
        <v>287</v>
      </c>
      <c r="G892" s="16"/>
      <c r="H892" t="s" s="17">
        <v>163</v>
      </c>
      <c r="I892" t="s" s="17">
        <v>14</v>
      </c>
      <c r="J892" t="s" s="17">
        <v>282</v>
      </c>
      <c r="K892" t="s" s="17">
        <v>23</v>
      </c>
      <c r="L892" s="15">
        <f>IF(O892,P892/O892,0)</f>
        <v>27.4215</v>
      </c>
      <c r="M892" s="15">
        <v>27.4215</v>
      </c>
      <c r="N892" s="15">
        <f>A892</f>
        <v>890</v>
      </c>
      <c r="O892" s="15">
        <v>10</v>
      </c>
      <c r="P892" s="42">
        <f t="shared" si="3009"/>
        <v>274.215</v>
      </c>
      <c r="Q892" s="16"/>
    </row>
    <row r="893" ht="20.05" customHeight="1">
      <c r="A893" s="13">
        <f>A892+1</f>
        <v>891</v>
      </c>
      <c r="B893" s="14">
        <v>2023</v>
      </c>
      <c r="C893" s="15">
        <v>10</v>
      </c>
      <c r="D893" s="15">
        <v>21</v>
      </c>
      <c r="E893" s="16"/>
      <c r="F893" t="s" s="17">
        <v>141</v>
      </c>
      <c r="G893" s="16"/>
      <c r="H893" t="s" s="17">
        <v>163</v>
      </c>
      <c r="I893" t="s" s="17">
        <v>19</v>
      </c>
      <c r="J893" t="s" s="17">
        <v>142</v>
      </c>
      <c r="K893" t="s" s="17">
        <v>23</v>
      </c>
      <c r="L893" s="15">
        <f>IF(O893,P893/O893,0)</f>
        <v>13.8515208333333</v>
      </c>
      <c r="M893" s="15">
        <v>13.8515208333333</v>
      </c>
      <c r="N893" s="15">
        <f>A893</f>
        <v>891</v>
      </c>
      <c r="O893" s="15">
        <f t="shared" si="2479"/>
        <v>48</v>
      </c>
      <c r="P893" s="42">
        <f t="shared" si="2480"/>
        <v>664.873</v>
      </c>
      <c r="Q893" s="16"/>
    </row>
    <row r="894" ht="20.05" customHeight="1">
      <c r="A894" s="13">
        <f>A893+1</f>
        <v>892</v>
      </c>
      <c r="B894" s="14">
        <v>2023</v>
      </c>
      <c r="C894" s="15">
        <v>10</v>
      </c>
      <c r="D894" s="15">
        <v>21</v>
      </c>
      <c r="E894" s="16"/>
      <c r="F894" t="s" s="17">
        <v>141</v>
      </c>
      <c r="G894" s="16"/>
      <c r="H894" t="s" s="17">
        <v>163</v>
      </c>
      <c r="I894" t="s" s="17">
        <v>19</v>
      </c>
      <c r="J894" t="s" s="17">
        <v>144</v>
      </c>
      <c r="K894" t="s" s="17">
        <v>23</v>
      </c>
      <c r="L894" s="15">
        <f>IF(O894,P894/O894,0)</f>
        <v>13.8515208333333</v>
      </c>
      <c r="M894" s="15">
        <v>13.8515208333333</v>
      </c>
      <c r="N894" s="15">
        <f>A894</f>
        <v>892</v>
      </c>
      <c r="O894" s="15">
        <f t="shared" si="2479"/>
        <v>48</v>
      </c>
      <c r="P894" s="42">
        <f t="shared" si="2480"/>
        <v>664.873</v>
      </c>
      <c r="Q894" s="16"/>
    </row>
    <row r="895" ht="20.05" customHeight="1">
      <c r="A895" s="13">
        <f>A894+1</f>
        <v>893</v>
      </c>
      <c r="B895" s="14">
        <v>2023</v>
      </c>
      <c r="C895" s="15">
        <v>10</v>
      </c>
      <c r="D895" s="15">
        <v>21</v>
      </c>
      <c r="E895" s="16"/>
      <c r="F895" t="s" s="17">
        <v>141</v>
      </c>
      <c r="G895" s="16"/>
      <c r="H895" t="s" s="17">
        <v>163</v>
      </c>
      <c r="I895" t="s" s="17">
        <v>19</v>
      </c>
      <c r="J895" t="s" s="17">
        <v>159</v>
      </c>
      <c r="K895" t="s" s="17">
        <v>23</v>
      </c>
      <c r="L895" s="15">
        <f>IF(O895,P895/O895,0)</f>
        <v>1.99983825757576</v>
      </c>
      <c r="M895" s="15">
        <v>1.99983825757576</v>
      </c>
      <c r="N895" s="15">
        <f>A895</f>
        <v>893</v>
      </c>
      <c r="O895" s="15">
        <f>11*24</f>
        <v>264</v>
      </c>
      <c r="P895" s="43">
        <f>522.73+522.73*1%</f>
        <v>527.9573</v>
      </c>
      <c r="Q895" s="16"/>
    </row>
    <row r="896" ht="20.05" customHeight="1">
      <c r="A896" s="13">
        <f>A895+1</f>
        <v>894</v>
      </c>
      <c r="B896" s="14">
        <v>2023</v>
      </c>
      <c r="C896" s="15">
        <v>10</v>
      </c>
      <c r="D896" s="15">
        <v>21</v>
      </c>
      <c r="E896" s="16"/>
      <c r="F896" t="s" s="17">
        <v>141</v>
      </c>
      <c r="G896" s="16"/>
      <c r="H896" t="s" s="17">
        <v>163</v>
      </c>
      <c r="I896" t="s" s="17">
        <v>19</v>
      </c>
      <c r="J896" t="s" s="17">
        <v>359</v>
      </c>
      <c r="K896" t="s" s="17">
        <v>23</v>
      </c>
      <c r="L896" s="15">
        <f>IF(O896,P896/O896,0)</f>
        <v>114</v>
      </c>
      <c r="M896" s="15">
        <v>114</v>
      </c>
      <c r="N896" s="15">
        <f>A896</f>
        <v>894</v>
      </c>
      <c r="O896" s="15">
        <v>1</v>
      </c>
      <c r="P896" s="15">
        <f>4*114-3*114</f>
        <v>114</v>
      </c>
      <c r="Q896" s="16"/>
    </row>
    <row r="897" ht="20.05" customHeight="1">
      <c r="A897" s="13">
        <f>A896+1</f>
        <v>895</v>
      </c>
      <c r="B897" s="14">
        <v>2023</v>
      </c>
      <c r="C897" s="15">
        <v>10</v>
      </c>
      <c r="D897" s="15">
        <v>21</v>
      </c>
      <c r="E897" s="16"/>
      <c r="F897" t="s" s="17">
        <v>130</v>
      </c>
      <c r="G897" s="16"/>
      <c r="H897" t="s" s="17">
        <v>163</v>
      </c>
      <c r="I897" t="s" s="17">
        <v>26</v>
      </c>
      <c r="J897" t="s" s="17">
        <v>134</v>
      </c>
      <c r="K897" t="s" s="17">
        <v>23</v>
      </c>
      <c r="L897" s="15">
        <f>IF(O897,P897/O897,0)</f>
        <v>39.95</v>
      </c>
      <c r="M897" s="15">
        <v>39.95</v>
      </c>
      <c r="N897" s="15">
        <f>A897</f>
        <v>895</v>
      </c>
      <c r="O897" s="15">
        <v>3</v>
      </c>
      <c r="P897" s="15">
        <v>119.85</v>
      </c>
      <c r="Q897" s="16"/>
    </row>
    <row r="898" ht="20.05" customHeight="1">
      <c r="A898" s="13">
        <f>A897+1</f>
        <v>896</v>
      </c>
      <c r="B898" s="14">
        <v>2023</v>
      </c>
      <c r="C898" s="15">
        <v>10</v>
      </c>
      <c r="D898" s="15">
        <v>21</v>
      </c>
      <c r="E898" s="16"/>
      <c r="F898" t="s" s="17">
        <v>130</v>
      </c>
      <c r="G898" s="16"/>
      <c r="H898" t="s" s="17">
        <v>163</v>
      </c>
      <c r="I898" t="s" s="17">
        <v>26</v>
      </c>
      <c r="J898" t="s" s="17">
        <v>113</v>
      </c>
      <c r="K898" t="s" s="17">
        <v>41</v>
      </c>
      <c r="L898" s="15">
        <f>IF(O898,P898/O898,0)</f>
        <v>0.0356666666666667</v>
      </c>
      <c r="M898" s="15">
        <v>0.0356666666666667</v>
      </c>
      <c r="N898" s="15">
        <f>A898</f>
        <v>896</v>
      </c>
      <c r="O898" s="15">
        <v>1500</v>
      </c>
      <c r="P898" s="15">
        <v>53.5</v>
      </c>
      <c r="Q898" s="16"/>
    </row>
    <row r="899" ht="20.05" customHeight="1">
      <c r="A899" s="13">
        <f>A898+1</f>
        <v>897</v>
      </c>
      <c r="B899" s="14">
        <v>2023</v>
      </c>
      <c r="C899" s="15">
        <v>10</v>
      </c>
      <c r="D899" s="15">
        <v>21</v>
      </c>
      <c r="E899" s="16"/>
      <c r="F899" t="s" s="17">
        <v>130</v>
      </c>
      <c r="G899" s="16"/>
      <c r="H899" t="s" s="17">
        <v>163</v>
      </c>
      <c r="I899" t="s" s="17">
        <v>127</v>
      </c>
      <c r="J899" t="s" s="17">
        <v>360</v>
      </c>
      <c r="K899" t="s" s="17">
        <v>23</v>
      </c>
      <c r="L899" s="15">
        <f>IF(O899,P899/O899,0)</f>
        <v>27.9</v>
      </c>
      <c r="M899" s="15">
        <v>27.9</v>
      </c>
      <c r="N899" s="15">
        <f>A899</f>
        <v>897</v>
      </c>
      <c r="O899" s="15">
        <v>1</v>
      </c>
      <c r="P899" s="15">
        <v>27.9</v>
      </c>
      <c r="Q899" s="16"/>
    </row>
    <row r="900" ht="20.05" customHeight="1">
      <c r="A900" s="13">
        <f>A899+1</f>
        <v>898</v>
      </c>
      <c r="B900" s="14">
        <v>2023</v>
      </c>
      <c r="C900" s="15">
        <v>10</v>
      </c>
      <c r="D900" s="15">
        <v>21</v>
      </c>
      <c r="E900" s="16"/>
      <c r="F900" t="s" s="17">
        <v>130</v>
      </c>
      <c r="G900" s="16"/>
      <c r="H900" t="s" s="17">
        <v>163</v>
      </c>
      <c r="I900" t="s" s="17">
        <v>19</v>
      </c>
      <c r="J900" t="s" s="17">
        <v>157</v>
      </c>
      <c r="K900" t="s" s="17">
        <v>16</v>
      </c>
      <c r="L900" s="15">
        <f>IF(O900,P900/O900,0)</f>
        <v>0.0169485981308411</v>
      </c>
      <c r="M900" s="15">
        <v>0.0169485981308411</v>
      </c>
      <c r="N900" s="15">
        <f>A900</f>
        <v>898</v>
      </c>
      <c r="O900" s="15">
        <v>2140</v>
      </c>
      <c r="P900" s="15">
        <v>36.27</v>
      </c>
      <c r="Q900" s="16"/>
    </row>
    <row r="901" ht="20.05" customHeight="1">
      <c r="A901" s="13">
        <f>A900+1</f>
        <v>899</v>
      </c>
      <c r="B901" s="14">
        <v>2023</v>
      </c>
      <c r="C901" s="15">
        <v>10</v>
      </c>
      <c r="D901" s="15">
        <v>22</v>
      </c>
      <c r="E901" s="16"/>
      <c r="F901" t="s" s="17">
        <v>130</v>
      </c>
      <c r="G901" s="16"/>
      <c r="H901" t="s" s="17">
        <v>163</v>
      </c>
      <c r="I901" t="s" s="17">
        <v>19</v>
      </c>
      <c r="J901" t="s" s="17">
        <v>361</v>
      </c>
      <c r="K901" t="s" s="17">
        <v>23</v>
      </c>
      <c r="L901" s="15">
        <f>IF(O901,P901/O901,0)</f>
        <v>14.9833333333333</v>
      </c>
      <c r="M901" s="15">
        <v>14.9833333333333</v>
      </c>
      <c r="N901" s="15">
        <f>A901</f>
        <v>899</v>
      </c>
      <c r="O901" s="15">
        <f>6*3</f>
        <v>18</v>
      </c>
      <c r="P901" s="15">
        <v>269.7</v>
      </c>
      <c r="Q901" s="16"/>
    </row>
    <row r="902" ht="20.05" customHeight="1">
      <c r="A902" s="13">
        <f>A901+1</f>
        <v>900</v>
      </c>
      <c r="B902" s="14">
        <v>2023</v>
      </c>
      <c r="C902" s="15">
        <v>10</v>
      </c>
      <c r="D902" s="15">
        <v>22</v>
      </c>
      <c r="E902" s="16"/>
      <c r="F902" t="s" s="17">
        <v>130</v>
      </c>
      <c r="G902" s="16"/>
      <c r="H902" t="s" s="17">
        <v>163</v>
      </c>
      <c r="I902" t="s" s="17">
        <v>26</v>
      </c>
      <c r="J902" t="s" s="17">
        <v>338</v>
      </c>
      <c r="K902" t="s" s="17">
        <v>23</v>
      </c>
      <c r="L902" s="15">
        <f>IF(O902,P902/O902,0)</f>
        <v>0.0465</v>
      </c>
      <c r="M902" s="15">
        <v>0.0465</v>
      </c>
      <c r="N902" s="15">
        <f>A902</f>
        <v>900</v>
      </c>
      <c r="O902" s="15">
        <v>1000</v>
      </c>
      <c r="P902" s="15">
        <v>46.5</v>
      </c>
      <c r="Q902" s="16"/>
    </row>
    <row r="903" ht="20.05" customHeight="1">
      <c r="A903" s="13">
        <f>A902+1</f>
        <v>901</v>
      </c>
      <c r="B903" s="14">
        <v>2023</v>
      </c>
      <c r="C903" s="15">
        <v>10</v>
      </c>
      <c r="D903" s="15">
        <v>22</v>
      </c>
      <c r="E903" s="16"/>
      <c r="F903" t="s" s="17">
        <v>130</v>
      </c>
      <c r="G903" s="16"/>
      <c r="H903" t="s" s="17">
        <v>163</v>
      </c>
      <c r="I903" t="s" s="17">
        <v>187</v>
      </c>
      <c r="J903" t="s" s="17">
        <v>21</v>
      </c>
      <c r="K903" t="s" s="17">
        <v>16</v>
      </c>
      <c r="L903" s="15">
        <f>IF(O903,P903/O903,0)</f>
        <v>0.0690027894002789</v>
      </c>
      <c r="M903" s="15">
        <v>0.0690027894002789</v>
      </c>
      <c r="N903" s="15">
        <f>A903</f>
        <v>901</v>
      </c>
      <c r="O903" s="15">
        <v>1434</v>
      </c>
      <c r="P903" s="15">
        <v>98.95</v>
      </c>
      <c r="Q903" s="16"/>
    </row>
    <row r="904" ht="20.05" customHeight="1">
      <c r="A904" s="13">
        <f>A903+1</f>
        <v>902</v>
      </c>
      <c r="B904" s="14">
        <v>2023</v>
      </c>
      <c r="C904" s="15">
        <v>10</v>
      </c>
      <c r="D904" s="15">
        <v>22</v>
      </c>
      <c r="E904" s="16"/>
      <c r="F904" t="s" s="17">
        <v>130</v>
      </c>
      <c r="G904" s="16"/>
      <c r="H904" t="s" s="17">
        <v>163</v>
      </c>
      <c r="I904" t="s" s="17">
        <v>187</v>
      </c>
      <c r="J904" t="s" s="17">
        <v>342</v>
      </c>
      <c r="K904" t="s" s="17">
        <v>16</v>
      </c>
      <c r="L904" s="15">
        <f>IF(O904,P904/O904,0)</f>
        <v>0.0799524375743163</v>
      </c>
      <c r="M904" s="15">
        <v>0.0799524375743163</v>
      </c>
      <c r="N904" s="15">
        <f>A904</f>
        <v>902</v>
      </c>
      <c r="O904" s="15">
        <v>1682</v>
      </c>
      <c r="P904" s="15">
        <v>134.48</v>
      </c>
      <c r="Q904" s="16"/>
    </row>
    <row r="905" ht="20.05" customHeight="1">
      <c r="A905" s="13">
        <f>A904+1</f>
        <v>903</v>
      </c>
      <c r="B905" s="14">
        <v>2023</v>
      </c>
      <c r="C905" s="15">
        <v>10</v>
      </c>
      <c r="D905" s="15">
        <v>22</v>
      </c>
      <c r="E905" s="16"/>
      <c r="F905" t="s" s="17">
        <v>130</v>
      </c>
      <c r="G905" s="16"/>
      <c r="H905" t="s" s="17">
        <v>163</v>
      </c>
      <c r="I905" t="s" s="17">
        <v>187</v>
      </c>
      <c r="J905" t="s" s="17">
        <v>157</v>
      </c>
      <c r="K905" t="s" s="17">
        <v>16</v>
      </c>
      <c r="L905" s="15">
        <f>IF(O905,P905/O905,0)</f>
        <v>0.0169512195121951</v>
      </c>
      <c r="M905" s="15">
        <v>0.0169512195121951</v>
      </c>
      <c r="N905" s="15">
        <f>A905</f>
        <v>903</v>
      </c>
      <c r="O905" s="15">
        <v>1066</v>
      </c>
      <c r="P905" s="15">
        <v>18.07</v>
      </c>
      <c r="Q905" s="16"/>
    </row>
    <row r="906" ht="20.05" customHeight="1">
      <c r="A906" s="13">
        <f>A905+1</f>
        <v>904</v>
      </c>
      <c r="B906" s="14">
        <v>2023</v>
      </c>
      <c r="C906" s="15">
        <v>10</v>
      </c>
      <c r="D906" s="15">
        <v>23</v>
      </c>
      <c r="E906" s="16"/>
      <c r="F906" t="s" s="17">
        <v>287</v>
      </c>
      <c r="G906" s="16"/>
      <c r="H906" t="s" s="17">
        <v>163</v>
      </c>
      <c r="I906" t="s" s="17">
        <v>14</v>
      </c>
      <c r="J906" t="s" s="17">
        <v>279</v>
      </c>
      <c r="K906" t="s" s="17">
        <v>23</v>
      </c>
      <c r="L906" s="15">
        <f>IF(O906,P906/O906,0)</f>
        <v>34.3905</v>
      </c>
      <c r="M906" s="15">
        <v>34.3905</v>
      </c>
      <c r="N906" s="15">
        <f>A906</f>
        <v>904</v>
      </c>
      <c r="O906" s="15">
        <f t="shared" si="3176" ref="O906:O1037">2*10</f>
        <v>20</v>
      </c>
      <c r="P906" s="41">
        <f t="shared" si="3177" ref="P906:P1037">681+681*1%</f>
        <v>687.8099999999999</v>
      </c>
      <c r="Q906" s="16"/>
    </row>
    <row r="907" ht="32.35" customHeight="1">
      <c r="A907" s="13">
        <f>A906+1</f>
        <v>905</v>
      </c>
      <c r="B907" s="14">
        <v>2023</v>
      </c>
      <c r="C907" s="15">
        <v>10</v>
      </c>
      <c r="D907" s="15">
        <v>23</v>
      </c>
      <c r="E907" s="16"/>
      <c r="F907" t="s" s="17">
        <v>287</v>
      </c>
      <c r="G907" s="16"/>
      <c r="H907" t="s" s="17">
        <v>163</v>
      </c>
      <c r="I907" t="s" s="17">
        <v>17</v>
      </c>
      <c r="J907" t="s" s="17">
        <v>299</v>
      </c>
      <c r="K907" t="s" s="17">
        <v>23</v>
      </c>
      <c r="L907" s="15">
        <f>IF(O907,P907/O907,0)</f>
        <v>37.269</v>
      </c>
      <c r="M907" s="15">
        <v>37.269</v>
      </c>
      <c r="N907" s="15">
        <f>A907</f>
        <v>905</v>
      </c>
      <c r="O907" s="15">
        <v>24</v>
      </c>
      <c r="P907" s="54">
        <f t="shared" si="3116"/>
        <v>894.456</v>
      </c>
      <c r="Q907" s="16"/>
    </row>
    <row r="908" ht="20.7" customHeight="1">
      <c r="A908" s="13">
        <f>A907+1</f>
        <v>906</v>
      </c>
      <c r="B908" s="14">
        <v>2023</v>
      </c>
      <c r="C908" s="15">
        <v>10</v>
      </c>
      <c r="D908" s="15">
        <v>25</v>
      </c>
      <c r="E908" s="16"/>
      <c r="F908" t="s" s="17">
        <v>111</v>
      </c>
      <c r="G908" s="16"/>
      <c r="H908" t="s" s="17">
        <v>163</v>
      </c>
      <c r="I908" t="s" s="17">
        <v>127</v>
      </c>
      <c r="J908" t="s" s="17">
        <v>132</v>
      </c>
      <c r="K908" t="s" s="17">
        <v>41</v>
      </c>
      <c r="L908" s="15">
        <f>IF(O908,P908/O908,0)</f>
        <v>0.01677</v>
      </c>
      <c r="M908" s="15">
        <v>0.01677</v>
      </c>
      <c r="N908" s="15">
        <f>A908</f>
        <v>906</v>
      </c>
      <c r="O908" s="19">
        <v>4000</v>
      </c>
      <c r="P908" s="55">
        <v>67.08</v>
      </c>
      <c r="Q908" s="21"/>
    </row>
    <row r="909" ht="20.7" customHeight="1">
      <c r="A909" s="13">
        <f>A908+1</f>
        <v>907</v>
      </c>
      <c r="B909" s="14">
        <v>2023</v>
      </c>
      <c r="C909" s="15">
        <v>10</v>
      </c>
      <c r="D909" s="15">
        <v>25</v>
      </c>
      <c r="E909" s="16"/>
      <c r="F909" t="s" s="17">
        <v>111</v>
      </c>
      <c r="G909" s="16"/>
      <c r="H909" t="s" s="17">
        <v>163</v>
      </c>
      <c r="I909" t="s" s="17">
        <v>19</v>
      </c>
      <c r="J909" t="s" s="17">
        <v>112</v>
      </c>
      <c r="K909" t="s" s="17">
        <v>41</v>
      </c>
      <c r="L909" s="15">
        <f>IF(O909,P909/O909,0)</f>
        <v>0.03434</v>
      </c>
      <c r="M909" s="15">
        <v>0.03434</v>
      </c>
      <c r="N909" s="15">
        <f>A909</f>
        <v>907</v>
      </c>
      <c r="O909" s="19">
        <f t="shared" si="2296"/>
        <v>10000</v>
      </c>
      <c r="P909" s="55">
        <v>343.4</v>
      </c>
      <c r="Q909" s="21"/>
    </row>
    <row r="910" ht="20.7" customHeight="1">
      <c r="A910" s="13">
        <f>A909+1</f>
        <v>908</v>
      </c>
      <c r="B910" s="14">
        <v>2023</v>
      </c>
      <c r="C910" s="15">
        <v>10</v>
      </c>
      <c r="D910" s="15">
        <v>25</v>
      </c>
      <c r="E910" s="16"/>
      <c r="F910" t="s" s="17">
        <v>111</v>
      </c>
      <c r="G910" s="16"/>
      <c r="H910" t="s" s="17">
        <v>163</v>
      </c>
      <c r="I910" t="s" s="17">
        <v>26</v>
      </c>
      <c r="J910" t="s" s="17">
        <v>113</v>
      </c>
      <c r="K910" t="s" s="17">
        <v>41</v>
      </c>
      <c r="L910" s="15">
        <f>IF(O910,P910/O910,0)</f>
        <v>0.02585</v>
      </c>
      <c r="M910" s="15">
        <v>0.02585</v>
      </c>
      <c r="N910" s="15">
        <f>A910</f>
        <v>908</v>
      </c>
      <c r="O910" s="19">
        <v>3000</v>
      </c>
      <c r="P910" s="55">
        <v>77.55</v>
      </c>
      <c r="Q910" s="21"/>
    </row>
    <row r="911" ht="20.7" customHeight="1">
      <c r="A911" s="13">
        <f>A910+1</f>
        <v>909</v>
      </c>
      <c r="B911" s="14">
        <v>2023</v>
      </c>
      <c r="C911" s="15">
        <v>10</v>
      </c>
      <c r="D911" s="15">
        <v>25</v>
      </c>
      <c r="E911" s="16"/>
      <c r="F911" t="s" s="17">
        <v>111</v>
      </c>
      <c r="G911" s="16"/>
      <c r="H911" t="s" s="17">
        <v>163</v>
      </c>
      <c r="I911" t="s" s="17">
        <v>19</v>
      </c>
      <c r="J911" t="s" s="17">
        <v>72</v>
      </c>
      <c r="K911" t="s" s="17">
        <v>41</v>
      </c>
      <c r="L911" s="15">
        <f>IF(O911,P911/O911,0)</f>
        <v>0.22992</v>
      </c>
      <c r="M911" s="15">
        <v>0.22992</v>
      </c>
      <c r="N911" s="15">
        <f>A911</f>
        <v>909</v>
      </c>
      <c r="O911" s="19">
        <f t="shared" si="3195" ref="O911:O1149">2*250</f>
        <v>500</v>
      </c>
      <c r="P911" s="55">
        <v>114.96</v>
      </c>
      <c r="Q911" s="21"/>
    </row>
    <row r="912" ht="20.7" customHeight="1">
      <c r="A912" s="13">
        <f>A911+1</f>
        <v>910</v>
      </c>
      <c r="B912" s="14">
        <v>2023</v>
      </c>
      <c r="C912" s="15">
        <v>10</v>
      </c>
      <c r="D912" s="15">
        <v>25</v>
      </c>
      <c r="E912" s="16"/>
      <c r="F912" t="s" s="17">
        <v>111</v>
      </c>
      <c r="G912" t="s" s="17">
        <v>362</v>
      </c>
      <c r="H912" t="s" s="17">
        <v>163</v>
      </c>
      <c r="I912" t="s" s="17">
        <v>19</v>
      </c>
      <c r="J912" t="s" s="17">
        <v>60</v>
      </c>
      <c r="K912" t="s" s="17">
        <v>23</v>
      </c>
      <c r="L912" s="15">
        <f>IF(O912,P912/O912,0)</f>
        <v>3.46975</v>
      </c>
      <c r="M912" s="15">
        <v>3.46975</v>
      </c>
      <c r="N912" s="15">
        <f>A912</f>
        <v>910</v>
      </c>
      <c r="O912" s="19">
        <v>120</v>
      </c>
      <c r="P912" s="55">
        <v>416.37</v>
      </c>
      <c r="Q912" s="21"/>
    </row>
    <row r="913" ht="20.7" customHeight="1">
      <c r="A913" s="13">
        <f>A912+1</f>
        <v>911</v>
      </c>
      <c r="B913" s="14">
        <v>2023</v>
      </c>
      <c r="C913" s="15">
        <v>10</v>
      </c>
      <c r="D913" s="15">
        <v>25</v>
      </c>
      <c r="E913" s="16"/>
      <c r="F913" t="s" s="17">
        <v>111</v>
      </c>
      <c r="G913" s="16"/>
      <c r="H913" t="s" s="17">
        <v>163</v>
      </c>
      <c r="I913" t="s" s="17">
        <v>26</v>
      </c>
      <c r="J913" t="s" s="17">
        <v>82</v>
      </c>
      <c r="K913" t="s" s="17">
        <v>16</v>
      </c>
      <c r="L913" s="15">
        <f>IF(O913,P913/O913,0)</f>
        <v>0.031967</v>
      </c>
      <c r="M913" s="15">
        <v>0.031967</v>
      </c>
      <c r="N913" s="15">
        <f>A913</f>
        <v>911</v>
      </c>
      <c r="O913" s="19">
        <f t="shared" si="2296"/>
        <v>10000</v>
      </c>
      <c r="P913" s="55">
        <v>319.67</v>
      </c>
      <c r="Q913" s="21"/>
    </row>
    <row r="914" ht="20.7" customHeight="1">
      <c r="A914" s="13">
        <f>A913+1</f>
        <v>912</v>
      </c>
      <c r="B914" s="14">
        <v>2023</v>
      </c>
      <c r="C914" s="15">
        <v>10</v>
      </c>
      <c r="D914" s="15">
        <v>25</v>
      </c>
      <c r="E914" s="16"/>
      <c r="F914" t="s" s="17">
        <v>111</v>
      </c>
      <c r="G914" s="16"/>
      <c r="H914" t="s" s="17">
        <v>163</v>
      </c>
      <c r="I914" t="s" s="17">
        <v>19</v>
      </c>
      <c r="J914" t="s" s="17">
        <v>135</v>
      </c>
      <c r="K914" t="s" s="17">
        <v>23</v>
      </c>
      <c r="L914" s="15">
        <f>IF(O914,P914/O914,0)</f>
        <v>0.4428</v>
      </c>
      <c r="M914" s="15">
        <v>0.4428</v>
      </c>
      <c r="N914" s="15">
        <f>A914</f>
        <v>912</v>
      </c>
      <c r="O914" s="19">
        <f t="shared" si="2318"/>
        <v>250</v>
      </c>
      <c r="P914" s="55">
        <v>110.7</v>
      </c>
      <c r="Q914" s="21"/>
    </row>
    <row r="915" ht="20.7" customHeight="1">
      <c r="A915" s="13">
        <f>A914+1</f>
        <v>913</v>
      </c>
      <c r="B915" s="14">
        <v>2023</v>
      </c>
      <c r="C915" s="15">
        <v>10</v>
      </c>
      <c r="D915" s="15">
        <v>25</v>
      </c>
      <c r="E915" s="16"/>
      <c r="F915" t="s" s="17">
        <v>111</v>
      </c>
      <c r="G915" s="16"/>
      <c r="H915" t="s" s="17">
        <v>163</v>
      </c>
      <c r="I915" t="s" s="17">
        <v>127</v>
      </c>
      <c r="J915" t="s" s="17">
        <v>276</v>
      </c>
      <c r="K915" t="s" s="17">
        <v>41</v>
      </c>
      <c r="L915" s="15">
        <f>IF(O915,P915/O915,0)</f>
        <v>0.05843</v>
      </c>
      <c r="M915" s="15">
        <v>0.05843</v>
      </c>
      <c r="N915" s="15">
        <f>A915</f>
        <v>913</v>
      </c>
      <c r="O915" s="19">
        <f t="shared" si="2428"/>
        <v>2000</v>
      </c>
      <c r="P915" s="55">
        <v>116.86</v>
      </c>
      <c r="Q915" s="21"/>
    </row>
    <row r="916" ht="20.7" customHeight="1">
      <c r="A916" s="13">
        <f>A915+1</f>
        <v>914</v>
      </c>
      <c r="B916" s="14">
        <v>2023</v>
      </c>
      <c r="C916" s="15">
        <v>10</v>
      </c>
      <c r="D916" s="15">
        <v>25</v>
      </c>
      <c r="E916" s="16"/>
      <c r="F916" t="s" s="17">
        <v>111</v>
      </c>
      <c r="G916" s="16"/>
      <c r="H916" t="s" s="17">
        <v>163</v>
      </c>
      <c r="I916" t="s" s="17">
        <v>127</v>
      </c>
      <c r="J916" t="s" s="17">
        <v>166</v>
      </c>
      <c r="K916" t="s" s="17">
        <v>41</v>
      </c>
      <c r="L916" s="15">
        <f>IF(O916,P916/O916,0)</f>
        <v>0.04286</v>
      </c>
      <c r="M916" s="15">
        <v>0.04286</v>
      </c>
      <c r="N916" s="15">
        <f>A916</f>
        <v>914</v>
      </c>
      <c r="O916" s="19">
        <f>1*500</f>
        <v>500</v>
      </c>
      <c r="P916" s="55">
        <v>21.43</v>
      </c>
      <c r="Q916" s="21"/>
    </row>
    <row r="917" ht="32.35" customHeight="1">
      <c r="A917" s="13">
        <f>A916+1</f>
        <v>915</v>
      </c>
      <c r="B917" s="14">
        <v>2023</v>
      </c>
      <c r="C917" s="15">
        <v>10</v>
      </c>
      <c r="D917" s="15">
        <v>25</v>
      </c>
      <c r="E917" s="16"/>
      <c r="F917" t="s" s="17">
        <v>287</v>
      </c>
      <c r="G917" s="16"/>
      <c r="H917" t="s" s="17">
        <v>163</v>
      </c>
      <c r="I917" t="s" s="17">
        <v>14</v>
      </c>
      <c r="J917" t="s" s="17">
        <v>283</v>
      </c>
      <c r="K917" t="s" s="17">
        <v>23</v>
      </c>
      <c r="L917" s="15">
        <f>IF(O917,P917/O917,0)</f>
        <v>35.8045</v>
      </c>
      <c r="M917" s="15">
        <v>35.8045</v>
      </c>
      <c r="N917" s="15">
        <f>A917</f>
        <v>915</v>
      </c>
      <c r="O917" s="15">
        <v>10</v>
      </c>
      <c r="P917" s="53">
        <f t="shared" si="2954"/>
        <v>358.045</v>
      </c>
      <c r="Q917" s="16"/>
    </row>
    <row r="918" ht="20.05" customHeight="1">
      <c r="A918" s="13">
        <f>A917+1</f>
        <v>916</v>
      </c>
      <c r="B918" s="14">
        <v>2023</v>
      </c>
      <c r="C918" s="15">
        <v>10</v>
      </c>
      <c r="D918" s="15">
        <v>25</v>
      </c>
      <c r="E918" s="16"/>
      <c r="F918" t="s" s="17">
        <v>287</v>
      </c>
      <c r="G918" s="16"/>
      <c r="H918" t="s" s="17">
        <v>163</v>
      </c>
      <c r="I918" t="s" s="17">
        <v>14</v>
      </c>
      <c r="J918" t="s" s="17">
        <v>279</v>
      </c>
      <c r="K918" t="s" s="17">
        <v>23</v>
      </c>
      <c r="L918" s="15">
        <f>IF(O918,P918/O918,0)</f>
        <v>34.3905</v>
      </c>
      <c r="M918" s="15">
        <v>34.3905</v>
      </c>
      <c r="N918" s="15">
        <f>A918</f>
        <v>916</v>
      </c>
      <c r="O918" s="15">
        <v>10</v>
      </c>
      <c r="P918" s="42">
        <f t="shared" si="2690"/>
        <v>343.905</v>
      </c>
      <c r="Q918" s="16"/>
    </row>
    <row r="919" ht="20.05" customHeight="1">
      <c r="A919" s="13">
        <f>A918+1</f>
        <v>917</v>
      </c>
      <c r="B919" s="14">
        <v>2023</v>
      </c>
      <c r="C919" s="15">
        <v>10</v>
      </c>
      <c r="D919" s="15">
        <v>25</v>
      </c>
      <c r="E919" s="16"/>
      <c r="F919" t="s" s="17">
        <v>287</v>
      </c>
      <c r="G919" s="16"/>
      <c r="H919" t="s" s="17">
        <v>163</v>
      </c>
      <c r="I919" t="s" s="17">
        <v>17</v>
      </c>
      <c r="J919" t="s" s="17">
        <v>363</v>
      </c>
      <c r="K919" t="s" s="17">
        <v>23</v>
      </c>
      <c r="L919" s="15">
        <f>IF(O919,P919/O919,0)</f>
        <v>25.3611</v>
      </c>
      <c r="M919" s="15">
        <v>25.3611</v>
      </c>
      <c r="N919" s="15">
        <f>A919</f>
        <v>917</v>
      </c>
      <c r="O919" s="15">
        <v>24</v>
      </c>
      <c r="P919" s="43">
        <f>602.64+602.64*1%</f>
        <v>608.6664</v>
      </c>
      <c r="Q919" s="16"/>
    </row>
    <row r="920" ht="20.05" customHeight="1">
      <c r="A920" s="13">
        <f>A919+1</f>
        <v>918</v>
      </c>
      <c r="B920" s="14">
        <v>2023</v>
      </c>
      <c r="C920" s="15">
        <v>10</v>
      </c>
      <c r="D920" s="15">
        <v>25</v>
      </c>
      <c r="E920" s="16"/>
      <c r="F920" t="s" s="17">
        <v>275</v>
      </c>
      <c r="G920" s="16"/>
      <c r="H920" t="s" s="17">
        <v>163</v>
      </c>
      <c r="I920" t="s" s="17">
        <v>19</v>
      </c>
      <c r="J920" t="s" s="17">
        <v>70</v>
      </c>
      <c r="K920" t="s" s="17">
        <v>16</v>
      </c>
      <c r="L920" s="15">
        <f>IF(O920,P920/O920,0)</f>
        <v>0.33936</v>
      </c>
      <c r="M920" s="15">
        <v>0.33936</v>
      </c>
      <c r="N920" s="15">
        <f>A920</f>
        <v>918</v>
      </c>
      <c r="O920" s="15">
        <f t="shared" si="3230" ref="O920:O1109">3*1000</f>
        <v>3000</v>
      </c>
      <c r="P920" s="41">
        <f t="shared" si="3076"/>
        <v>1018.08</v>
      </c>
      <c r="Q920" s="16"/>
    </row>
    <row r="921" ht="20.05" customHeight="1">
      <c r="A921" s="13">
        <f>A920+1</f>
        <v>919</v>
      </c>
      <c r="B921" s="14">
        <v>2023</v>
      </c>
      <c r="C921" s="15">
        <v>10</v>
      </c>
      <c r="D921" s="15">
        <v>25</v>
      </c>
      <c r="E921" s="16"/>
      <c r="F921" t="s" s="17">
        <v>275</v>
      </c>
      <c r="G921" s="16"/>
      <c r="H921" t="s" s="17">
        <v>163</v>
      </c>
      <c r="I921" t="s" s="17">
        <v>19</v>
      </c>
      <c r="J921" t="s" s="17">
        <v>155</v>
      </c>
      <c r="K921" t="s" s="17">
        <v>16</v>
      </c>
      <c r="L921" s="15">
        <f>IF(O921,P921/O921,0)</f>
        <v>0.33936</v>
      </c>
      <c r="M921" s="15">
        <v>0.33936</v>
      </c>
      <c r="N921" s="15">
        <f>A921</f>
        <v>919</v>
      </c>
      <c r="O921" s="15">
        <f t="shared" si="3230"/>
        <v>3000</v>
      </c>
      <c r="P921" s="41">
        <f t="shared" si="3076"/>
        <v>1018.08</v>
      </c>
      <c r="Q921" s="16"/>
    </row>
    <row r="922" ht="20.05" customHeight="1">
      <c r="A922" s="13">
        <f>A921+1</f>
        <v>920</v>
      </c>
      <c r="B922" s="14">
        <v>2023</v>
      </c>
      <c r="C922" s="15">
        <v>10</v>
      </c>
      <c r="D922" s="15">
        <v>26</v>
      </c>
      <c r="E922" s="16"/>
      <c r="F922" t="s" s="17">
        <v>130</v>
      </c>
      <c r="G922" s="16"/>
      <c r="H922" t="s" s="17">
        <v>163</v>
      </c>
      <c r="I922" t="s" s="17">
        <v>19</v>
      </c>
      <c r="J922" t="s" s="17">
        <v>157</v>
      </c>
      <c r="K922" t="s" s="17">
        <v>16</v>
      </c>
      <c r="L922" s="15">
        <f>IF(O922,P922/O922,0)</f>
        <v>0.0169481180061038</v>
      </c>
      <c r="M922" s="15">
        <v>0.0169481180061038</v>
      </c>
      <c r="N922" s="15">
        <f>A922</f>
        <v>920</v>
      </c>
      <c r="O922" s="15">
        <v>1966</v>
      </c>
      <c r="P922" s="15">
        <v>33.32</v>
      </c>
      <c r="Q922" s="16"/>
    </row>
    <row r="923" ht="20.05" customHeight="1">
      <c r="A923" s="13">
        <f>A922+1</f>
        <v>921</v>
      </c>
      <c r="B923" s="14">
        <v>2023</v>
      </c>
      <c r="C923" s="15">
        <v>10</v>
      </c>
      <c r="D923" s="15">
        <v>26</v>
      </c>
      <c r="E923" s="16"/>
      <c r="F923" t="s" s="17">
        <v>130</v>
      </c>
      <c r="G923" s="16"/>
      <c r="H923" t="s" s="17">
        <v>163</v>
      </c>
      <c r="I923" t="s" s="17">
        <v>26</v>
      </c>
      <c r="J923" t="s" s="17">
        <v>134</v>
      </c>
      <c r="K923" t="s" s="17">
        <v>23</v>
      </c>
      <c r="L923" s="15">
        <f>IF(O923,P923/O923,0)</f>
        <v>39.95</v>
      </c>
      <c r="M923" s="15">
        <v>39.95</v>
      </c>
      <c r="N923" s="15">
        <f>A923</f>
        <v>921</v>
      </c>
      <c r="O923" s="15">
        <v>6</v>
      </c>
      <c r="P923" s="15">
        <v>239.7</v>
      </c>
      <c r="Q923" s="16"/>
    </row>
    <row r="924" ht="20.05" customHeight="1">
      <c r="A924" s="13">
        <f>A923+1</f>
        <v>922</v>
      </c>
      <c r="B924" s="14">
        <v>2023</v>
      </c>
      <c r="C924" s="15">
        <v>10</v>
      </c>
      <c r="D924" s="15">
        <v>27</v>
      </c>
      <c r="E924" s="16"/>
      <c r="F924" t="s" s="17">
        <v>287</v>
      </c>
      <c r="G924" s="16"/>
      <c r="H924" t="s" s="17">
        <v>163</v>
      </c>
      <c r="I924" t="s" s="17">
        <v>14</v>
      </c>
      <c r="J924" t="s" s="17">
        <v>289</v>
      </c>
      <c r="K924" t="s" s="17">
        <v>23</v>
      </c>
      <c r="L924" s="15">
        <f>IF(O924,P924/O924,0)</f>
        <v>32.724</v>
      </c>
      <c r="M924" s="15">
        <v>32.724</v>
      </c>
      <c r="N924" s="15">
        <f>A924</f>
        <v>922</v>
      </c>
      <c r="O924" s="15">
        <v>10</v>
      </c>
      <c r="P924" s="41">
        <f t="shared" si="2723"/>
        <v>327.24</v>
      </c>
      <c r="Q924" s="16"/>
    </row>
    <row r="925" ht="32.05" customHeight="1">
      <c r="A925" s="13">
        <f>A924+1</f>
        <v>923</v>
      </c>
      <c r="B925" s="14">
        <v>2023</v>
      </c>
      <c r="C925" s="15">
        <v>10</v>
      </c>
      <c r="D925" s="15">
        <v>27</v>
      </c>
      <c r="E925" s="16"/>
      <c r="F925" t="s" s="17">
        <v>287</v>
      </c>
      <c r="G925" s="16"/>
      <c r="H925" t="s" s="17">
        <v>163</v>
      </c>
      <c r="I925" t="s" s="17">
        <v>14</v>
      </c>
      <c r="J925" t="s" s="17">
        <v>283</v>
      </c>
      <c r="K925" t="s" s="17">
        <v>23</v>
      </c>
      <c r="L925" s="15">
        <f>IF(O925,P925/O925,0)</f>
        <v>35.8045</v>
      </c>
      <c r="M925" s="15">
        <v>35.8045</v>
      </c>
      <c r="N925" s="15">
        <f>A925</f>
        <v>923</v>
      </c>
      <c r="O925" s="15">
        <v>10</v>
      </c>
      <c r="P925" s="42">
        <f t="shared" si="2954"/>
        <v>358.045</v>
      </c>
      <c r="Q925" s="16"/>
    </row>
    <row r="926" ht="20.05" customHeight="1">
      <c r="A926" s="13">
        <f>A925+1</f>
        <v>924</v>
      </c>
      <c r="B926" s="14">
        <v>2023</v>
      </c>
      <c r="C926" s="15">
        <v>10</v>
      </c>
      <c r="D926" s="15">
        <v>27</v>
      </c>
      <c r="E926" s="16"/>
      <c r="F926" t="s" s="17">
        <v>287</v>
      </c>
      <c r="G926" s="16"/>
      <c r="H926" t="s" s="17">
        <v>163</v>
      </c>
      <c r="I926" t="s" s="17">
        <v>14</v>
      </c>
      <c r="J926" t="s" s="17">
        <v>288</v>
      </c>
      <c r="K926" t="s" s="17">
        <v>23</v>
      </c>
      <c r="L926" s="15">
        <f>IF(O926,P926/O926,0)</f>
        <v>37.5383333333333</v>
      </c>
      <c r="M926" s="15">
        <v>37.5383333333333</v>
      </c>
      <c r="N926" s="15">
        <f>A926</f>
        <v>924</v>
      </c>
      <c r="O926" s="15">
        <v>9</v>
      </c>
      <c r="P926" s="42">
        <f t="shared" si="2732"/>
        <v>337.845</v>
      </c>
      <c r="Q926" s="16"/>
    </row>
    <row r="927" ht="20.05" customHeight="1">
      <c r="A927" s="13">
        <f>A926+1</f>
        <v>925</v>
      </c>
      <c r="B927" s="14">
        <v>2023</v>
      </c>
      <c r="C927" s="15">
        <v>10</v>
      </c>
      <c r="D927" s="15">
        <v>27</v>
      </c>
      <c r="E927" s="16"/>
      <c r="F927" t="s" s="17">
        <v>287</v>
      </c>
      <c r="G927" s="16"/>
      <c r="H927" t="s" s="17">
        <v>163</v>
      </c>
      <c r="I927" t="s" s="17">
        <v>14</v>
      </c>
      <c r="J927" t="s" s="17">
        <v>282</v>
      </c>
      <c r="K927" t="s" s="17">
        <v>23</v>
      </c>
      <c r="L927" s="15">
        <f>IF(O927,P927/O927,0)</f>
        <v>27.4215</v>
      </c>
      <c r="M927" s="15">
        <v>27.4215</v>
      </c>
      <c r="N927" s="15">
        <f>A927</f>
        <v>925</v>
      </c>
      <c r="O927" s="15">
        <v>10</v>
      </c>
      <c r="P927" s="42">
        <f t="shared" si="3009"/>
        <v>274.215</v>
      </c>
      <c r="Q927" s="16"/>
    </row>
    <row r="928" ht="20.05" customHeight="1">
      <c r="A928" s="13">
        <f>A927+1</f>
        <v>926</v>
      </c>
      <c r="B928" s="14">
        <v>2023</v>
      </c>
      <c r="C928" s="15">
        <v>10</v>
      </c>
      <c r="D928" s="15">
        <v>27</v>
      </c>
      <c r="E928" s="16"/>
      <c r="F928" t="s" s="17">
        <v>287</v>
      </c>
      <c r="G928" s="16"/>
      <c r="H928" t="s" s="17">
        <v>163</v>
      </c>
      <c r="I928" t="s" s="17">
        <v>14</v>
      </c>
      <c r="J928" t="s" s="17">
        <v>279</v>
      </c>
      <c r="K928" t="s" s="17">
        <v>23</v>
      </c>
      <c r="L928" s="15">
        <f>IF(O928,P928/O928,0)</f>
        <v>34.3905</v>
      </c>
      <c r="M928" s="15">
        <v>34.3905</v>
      </c>
      <c r="N928" s="15">
        <f>A928</f>
        <v>926</v>
      </c>
      <c r="O928" s="15">
        <f t="shared" si="3176"/>
        <v>20</v>
      </c>
      <c r="P928" s="41">
        <f t="shared" si="3177"/>
        <v>687.8099999999999</v>
      </c>
      <c r="Q928" s="16"/>
    </row>
    <row r="929" ht="20.05" customHeight="1">
      <c r="A929" s="13">
        <f>A928+1</f>
        <v>927</v>
      </c>
      <c r="B929" s="14">
        <v>2023</v>
      </c>
      <c r="C929" s="15">
        <v>10</v>
      </c>
      <c r="D929" s="15">
        <v>28</v>
      </c>
      <c r="E929" s="16"/>
      <c r="F929" t="s" s="17">
        <v>130</v>
      </c>
      <c r="G929" s="16"/>
      <c r="H929" t="s" s="17">
        <v>163</v>
      </c>
      <c r="I929" t="s" s="17">
        <v>26</v>
      </c>
      <c r="J929" t="s" s="17">
        <v>113</v>
      </c>
      <c r="K929" t="s" s="17">
        <v>41</v>
      </c>
      <c r="L929" s="15">
        <f>IF(O929,P929/O929,0)</f>
        <v>0.0356666666666667</v>
      </c>
      <c r="M929" s="15">
        <v>0.0356666666666667</v>
      </c>
      <c r="N929" s="15">
        <f>A929</f>
        <v>927</v>
      </c>
      <c r="O929" s="15">
        <v>1500</v>
      </c>
      <c r="P929" s="15">
        <v>53.5</v>
      </c>
      <c r="Q929" s="16"/>
    </row>
    <row r="930" ht="20.05" customHeight="1">
      <c r="A930" s="13">
        <f>A929+1</f>
        <v>928</v>
      </c>
      <c r="B930" s="14">
        <v>2023</v>
      </c>
      <c r="C930" s="15">
        <v>10</v>
      </c>
      <c r="D930" s="15">
        <v>28</v>
      </c>
      <c r="E930" s="16"/>
      <c r="F930" t="s" s="17">
        <v>177</v>
      </c>
      <c r="G930" s="16"/>
      <c r="H930" t="s" s="17">
        <v>163</v>
      </c>
      <c r="I930" t="s" s="17">
        <v>19</v>
      </c>
      <c r="J930" t="s" s="17">
        <v>157</v>
      </c>
      <c r="K930" t="s" s="17">
        <v>16</v>
      </c>
      <c r="L930" s="15">
        <f>IF(O930,P930/O930,0)</f>
        <v>0.0179</v>
      </c>
      <c r="M930" s="15">
        <v>0.0179</v>
      </c>
      <c r="N930" s="15">
        <f>A930</f>
        <v>928</v>
      </c>
      <c r="O930" s="15">
        <v>2100</v>
      </c>
      <c r="P930" s="15">
        <v>37.59</v>
      </c>
      <c r="Q930" s="16"/>
    </row>
    <row r="931" ht="20.05" customHeight="1">
      <c r="A931" s="13">
        <f>A930+1</f>
        <v>929</v>
      </c>
      <c r="B931" s="14">
        <v>2023</v>
      </c>
      <c r="C931" s="15">
        <v>10</v>
      </c>
      <c r="D931" s="15">
        <v>28</v>
      </c>
      <c r="E931" s="16"/>
      <c r="F931" t="s" s="17">
        <v>177</v>
      </c>
      <c r="G931" t="s" s="17">
        <v>364</v>
      </c>
      <c r="H931" t="s" s="17">
        <v>163</v>
      </c>
      <c r="I931" t="s" s="17">
        <v>187</v>
      </c>
      <c r="J931" t="s" s="17">
        <v>365</v>
      </c>
      <c r="K931" t="s" s="17">
        <v>23</v>
      </c>
      <c r="L931" s="15">
        <f>IF(O931,P931/O931,0)</f>
        <v>0.0349029850746269</v>
      </c>
      <c r="M931" s="15">
        <v>0.0349029850746269</v>
      </c>
      <c r="N931" s="15">
        <f>A931</f>
        <v>929</v>
      </c>
      <c r="O931" s="15">
        <v>1340</v>
      </c>
      <c r="P931" s="15">
        <v>46.77</v>
      </c>
      <c r="Q931" s="16"/>
    </row>
    <row r="932" ht="20.05" customHeight="1">
      <c r="A932" s="13">
        <f>A931+1</f>
        <v>930</v>
      </c>
      <c r="B932" s="14">
        <v>2023</v>
      </c>
      <c r="C932" s="15">
        <v>10</v>
      </c>
      <c r="D932" s="15">
        <v>28</v>
      </c>
      <c r="E932" s="16"/>
      <c r="F932" t="s" s="17">
        <v>177</v>
      </c>
      <c r="G932" t="s" s="17">
        <v>364</v>
      </c>
      <c r="H932" t="s" s="17">
        <v>163</v>
      </c>
      <c r="I932" t="s" s="17">
        <v>187</v>
      </c>
      <c r="J932" t="s" s="17">
        <v>21</v>
      </c>
      <c r="K932" t="s" s="17">
        <v>16</v>
      </c>
      <c r="L932" s="15">
        <f>IF(O932,P932/O932,0)</f>
        <v>0.0399019607843137</v>
      </c>
      <c r="M932" s="15">
        <v>0.0399019607843137</v>
      </c>
      <c r="N932" s="15">
        <f>A932</f>
        <v>930</v>
      </c>
      <c r="O932" s="15">
        <v>1530</v>
      </c>
      <c r="P932" s="15">
        <v>61.05</v>
      </c>
      <c r="Q932" s="16"/>
    </row>
    <row r="933" ht="20.05" customHeight="1">
      <c r="A933" s="13">
        <f>A932+1</f>
        <v>931</v>
      </c>
      <c r="B933" s="14">
        <v>2023</v>
      </c>
      <c r="C933" s="15">
        <v>10</v>
      </c>
      <c r="D933" s="15">
        <v>28</v>
      </c>
      <c r="E933" s="16"/>
      <c r="F933" t="s" s="17">
        <v>141</v>
      </c>
      <c r="G933" s="16"/>
      <c r="H933" t="s" s="17">
        <v>163</v>
      </c>
      <c r="I933" t="s" s="17">
        <v>19</v>
      </c>
      <c r="J933" t="s" s="17">
        <v>142</v>
      </c>
      <c r="K933" t="s" s="17">
        <v>23</v>
      </c>
      <c r="L933" s="15">
        <f>IF(O933,P933/O933,0)</f>
        <v>13.8515208333333</v>
      </c>
      <c r="M933" s="15">
        <v>13.8515208333333</v>
      </c>
      <c r="N933" s="15">
        <f>A933</f>
        <v>931</v>
      </c>
      <c r="O933" s="15">
        <f t="shared" si="2479"/>
        <v>48</v>
      </c>
      <c r="P933" s="42">
        <f t="shared" si="2480"/>
        <v>664.873</v>
      </c>
      <c r="Q933" s="16"/>
    </row>
    <row r="934" ht="20.05" customHeight="1">
      <c r="A934" s="13">
        <f>A933+1</f>
        <v>932</v>
      </c>
      <c r="B934" s="14">
        <v>2023</v>
      </c>
      <c r="C934" s="15">
        <v>10</v>
      </c>
      <c r="D934" s="15">
        <v>28</v>
      </c>
      <c r="E934" s="16"/>
      <c r="F934" t="s" s="17">
        <v>141</v>
      </c>
      <c r="G934" s="16"/>
      <c r="H934" t="s" s="17">
        <v>163</v>
      </c>
      <c r="I934" t="s" s="17">
        <v>19</v>
      </c>
      <c r="J934" t="s" s="17">
        <v>158</v>
      </c>
      <c r="K934" t="s" s="17">
        <v>23</v>
      </c>
      <c r="L934" s="15">
        <f>IF(O934,P934/O934,0)</f>
        <v>13.85175</v>
      </c>
      <c r="M934" s="15">
        <v>13.85175</v>
      </c>
      <c r="N934" s="15">
        <f>A934</f>
        <v>932</v>
      </c>
      <c r="O934" s="15">
        <v>24</v>
      </c>
      <c r="P934" s="42">
        <f t="shared" si="2654"/>
        <v>332.442</v>
      </c>
      <c r="Q934" s="16"/>
    </row>
    <row r="935" ht="20.05" customHeight="1">
      <c r="A935" s="13">
        <f>A934+1</f>
        <v>933</v>
      </c>
      <c r="B935" s="14">
        <v>2023</v>
      </c>
      <c r="C935" s="15">
        <v>10</v>
      </c>
      <c r="D935" s="15">
        <v>28</v>
      </c>
      <c r="E935" s="16"/>
      <c r="F935" t="s" s="17">
        <v>141</v>
      </c>
      <c r="G935" s="16"/>
      <c r="H935" t="s" s="17">
        <v>163</v>
      </c>
      <c r="I935" t="s" s="17">
        <v>19</v>
      </c>
      <c r="J935" t="s" s="17">
        <v>144</v>
      </c>
      <c r="K935" t="s" s="17">
        <v>23</v>
      </c>
      <c r="L935" s="15">
        <f>IF(O935,P935/O935,0)</f>
        <v>13.85175</v>
      </c>
      <c r="M935" s="15">
        <v>13.85175</v>
      </c>
      <c r="N935" s="15">
        <f>A935</f>
        <v>933</v>
      </c>
      <c r="O935" s="15">
        <v>24</v>
      </c>
      <c r="P935" s="42">
        <f t="shared" si="2654"/>
        <v>332.442</v>
      </c>
      <c r="Q935" s="16"/>
    </row>
    <row r="936" ht="20.05" customHeight="1">
      <c r="A936" s="13">
        <f>A935+1</f>
        <v>934</v>
      </c>
      <c r="B936" s="14">
        <v>2023</v>
      </c>
      <c r="C936" s="15">
        <v>10</v>
      </c>
      <c r="D936" s="15">
        <v>28</v>
      </c>
      <c r="E936" s="16"/>
      <c r="F936" t="s" s="17">
        <v>141</v>
      </c>
      <c r="G936" s="16"/>
      <c r="H936" t="s" s="17">
        <v>163</v>
      </c>
      <c r="I936" t="s" s="17">
        <v>19</v>
      </c>
      <c r="J936" t="s" s="17">
        <v>159</v>
      </c>
      <c r="K936" t="s" s="17">
        <v>23</v>
      </c>
      <c r="L936" s="15">
        <f>IF(O936,P936/O936,0)</f>
        <v>1.99984208333333</v>
      </c>
      <c r="M936" s="15">
        <v>1.99984208333333</v>
      </c>
      <c r="N936" s="15">
        <f>A936</f>
        <v>934</v>
      </c>
      <c r="O936" s="15">
        <f t="shared" si="3292" ref="O936:O1089">10*24</f>
        <v>240</v>
      </c>
      <c r="P936" s="43">
        <f t="shared" si="2659"/>
        <v>479.9621</v>
      </c>
      <c r="Q936" s="16"/>
    </row>
    <row r="937" ht="20.05" customHeight="1">
      <c r="A937" s="13">
        <f>A936+1</f>
        <v>935</v>
      </c>
      <c r="B937" s="14">
        <v>2023</v>
      </c>
      <c r="C937" s="15">
        <v>10</v>
      </c>
      <c r="D937" s="15">
        <v>29</v>
      </c>
      <c r="E937" s="16"/>
      <c r="F937" t="s" s="17">
        <v>130</v>
      </c>
      <c r="G937" s="16"/>
      <c r="H937" t="s" s="17">
        <v>163</v>
      </c>
      <c r="I937" t="s" s="17">
        <v>19</v>
      </c>
      <c r="J937" t="s" s="17">
        <v>157</v>
      </c>
      <c r="K937" t="s" s="17">
        <v>16</v>
      </c>
      <c r="L937" s="15">
        <f>IF(O937,P937/O937,0)</f>
        <v>0.0169491525423729</v>
      </c>
      <c r="M937" s="15">
        <v>0.0169491525423729</v>
      </c>
      <c r="N937" s="15">
        <f>A937</f>
        <v>935</v>
      </c>
      <c r="O937" s="15">
        <v>2832</v>
      </c>
      <c r="P937" s="15">
        <v>48</v>
      </c>
      <c r="Q937" s="16"/>
    </row>
    <row r="938" ht="20.05" customHeight="1">
      <c r="A938" s="13">
        <f>A937+1</f>
        <v>936</v>
      </c>
      <c r="B938" s="14">
        <v>2023</v>
      </c>
      <c r="C938" s="15">
        <v>10</v>
      </c>
      <c r="D938" s="15">
        <v>30</v>
      </c>
      <c r="E938" s="16"/>
      <c r="F938" t="s" s="17">
        <v>130</v>
      </c>
      <c r="G938" s="16"/>
      <c r="H938" t="s" s="17">
        <v>163</v>
      </c>
      <c r="I938" t="s" s="17">
        <v>19</v>
      </c>
      <c r="J938" t="s" s="17">
        <v>157</v>
      </c>
      <c r="K938" t="s" s="17">
        <v>16</v>
      </c>
      <c r="L938" s="15">
        <f>IF(O938,P938/O938,0)</f>
        <v>0.0169547325102881</v>
      </c>
      <c r="M938" s="15">
        <v>0.0169547325102881</v>
      </c>
      <c r="N938" s="15">
        <f>A938</f>
        <v>936</v>
      </c>
      <c r="O938" s="15">
        <v>972</v>
      </c>
      <c r="P938" s="15">
        <v>16.48</v>
      </c>
      <c r="Q938" s="16"/>
    </row>
    <row r="939" ht="20.05" customHeight="1">
      <c r="A939" s="13">
        <f>A938+1</f>
        <v>937</v>
      </c>
      <c r="B939" s="14">
        <v>2023</v>
      </c>
      <c r="C939" s="15">
        <v>10</v>
      </c>
      <c r="D939" s="15">
        <v>30</v>
      </c>
      <c r="E939" s="16"/>
      <c r="F939" t="s" s="17">
        <v>130</v>
      </c>
      <c r="G939" s="16"/>
      <c r="H939" t="s" s="17">
        <v>163</v>
      </c>
      <c r="I939" t="s" s="17">
        <v>19</v>
      </c>
      <c r="J939" t="s" s="17">
        <v>113</v>
      </c>
      <c r="K939" t="s" s="17">
        <v>41</v>
      </c>
      <c r="L939" s="15">
        <f>IF(O939,P939/O939,0)</f>
        <v>0.0356666666666667</v>
      </c>
      <c r="M939" s="15">
        <v>0.0356666666666667</v>
      </c>
      <c r="N939" s="15">
        <f>A939</f>
        <v>937</v>
      </c>
      <c r="O939" s="15">
        <v>1500</v>
      </c>
      <c r="P939" s="15">
        <v>53.5</v>
      </c>
      <c r="Q939" s="16"/>
    </row>
    <row r="940" ht="20.05" customHeight="1">
      <c r="A940" s="13">
        <f>A939+1</f>
        <v>938</v>
      </c>
      <c r="B940" s="14">
        <v>2023</v>
      </c>
      <c r="C940" s="15">
        <v>10</v>
      </c>
      <c r="D940" s="15">
        <v>25</v>
      </c>
      <c r="E940" s="16"/>
      <c r="F940" t="s" s="17">
        <v>122</v>
      </c>
      <c r="G940" s="16"/>
      <c r="H940" t="s" s="17">
        <v>163</v>
      </c>
      <c r="I940" t="s" s="17">
        <v>127</v>
      </c>
      <c r="J940" t="s" s="17">
        <v>169</v>
      </c>
      <c r="K940" t="s" s="17">
        <v>23</v>
      </c>
      <c r="L940" s="15">
        <f>IF(O940,P940/O940,0)</f>
        <v>0.4032</v>
      </c>
      <c r="M940" s="15">
        <v>0.4032</v>
      </c>
      <c r="N940" s="15">
        <f>A940</f>
        <v>938</v>
      </c>
      <c r="O940" s="15">
        <v>1000</v>
      </c>
      <c r="P940" s="42">
        <f>336+336*20%</f>
        <v>403.2</v>
      </c>
      <c r="Q940" s="16"/>
    </row>
    <row r="941" ht="20.05" customHeight="1">
      <c r="A941" s="13">
        <f>A940+1</f>
        <v>939</v>
      </c>
      <c r="B941" s="14">
        <v>2023</v>
      </c>
      <c r="C941" s="15">
        <v>10</v>
      </c>
      <c r="D941" s="15">
        <v>25</v>
      </c>
      <c r="E941" s="16"/>
      <c r="F941" t="s" s="17">
        <v>122</v>
      </c>
      <c r="G941" s="16"/>
      <c r="H941" t="s" s="17">
        <v>163</v>
      </c>
      <c r="I941" t="s" s="17">
        <v>127</v>
      </c>
      <c r="J941" t="s" s="17">
        <v>220</v>
      </c>
      <c r="K941" t="s" s="17">
        <v>23</v>
      </c>
      <c r="L941" s="15">
        <f>IF(O941,P941/O941,0)</f>
        <v>7.5</v>
      </c>
      <c r="M941" s="15">
        <v>7.5</v>
      </c>
      <c r="N941" s="15">
        <f>A941</f>
        <v>939</v>
      </c>
      <c r="O941" s="15">
        <v>4</v>
      </c>
      <c r="P941" s="41">
        <f>25+25*20%</f>
        <v>30</v>
      </c>
      <c r="Q941" s="16"/>
    </row>
    <row r="942" ht="20.05" customHeight="1">
      <c r="A942" s="13">
        <f>A941+1</f>
        <v>940</v>
      </c>
      <c r="B942" s="14">
        <v>2023</v>
      </c>
      <c r="C942" s="15">
        <v>10</v>
      </c>
      <c r="D942" s="15">
        <v>25</v>
      </c>
      <c r="E942" s="16"/>
      <c r="F942" t="s" s="17">
        <v>122</v>
      </c>
      <c r="G942" s="16"/>
      <c r="H942" t="s" s="17">
        <v>163</v>
      </c>
      <c r="I942" t="s" s="17">
        <v>26</v>
      </c>
      <c r="J942" t="s" s="17">
        <v>117</v>
      </c>
      <c r="K942" t="s" s="17">
        <v>23</v>
      </c>
      <c r="L942" s="15">
        <f>IF(O942,P942/O942,0)</f>
        <v>36.6125</v>
      </c>
      <c r="M942" s="15">
        <v>36.6125</v>
      </c>
      <c r="N942" s="15">
        <f>A942</f>
        <v>940</v>
      </c>
      <c r="O942" s="15">
        <v>14</v>
      </c>
      <c r="P942" s="42">
        <f t="shared" si="3314" ref="P942:P1194">507.5+507.5*1%</f>
        <v>512.575</v>
      </c>
      <c r="Q942" s="16"/>
    </row>
    <row r="943" ht="20.05" customHeight="1">
      <c r="A943" s="13">
        <f>A942+1</f>
        <v>941</v>
      </c>
      <c r="B943" s="14">
        <v>2023</v>
      </c>
      <c r="C943" s="15">
        <v>10</v>
      </c>
      <c r="D943" s="15">
        <v>25</v>
      </c>
      <c r="E943" s="16"/>
      <c r="F943" t="s" s="17">
        <v>122</v>
      </c>
      <c r="G943" s="16"/>
      <c r="H943" t="s" s="17">
        <v>163</v>
      </c>
      <c r="I943" t="s" s="17">
        <v>26</v>
      </c>
      <c r="J943" t="s" s="17">
        <v>118</v>
      </c>
      <c r="K943" t="s" s="17">
        <v>23</v>
      </c>
      <c r="L943" s="15">
        <f>IF(O943,P943/O943,0)</f>
        <v>36.6125</v>
      </c>
      <c r="M943" s="15">
        <v>36.6125</v>
      </c>
      <c r="N943" s="15">
        <f>A943</f>
        <v>941</v>
      </c>
      <c r="O943" s="15">
        <v>14</v>
      </c>
      <c r="P943" s="42">
        <f t="shared" si="3314"/>
        <v>512.575</v>
      </c>
      <c r="Q943" s="16"/>
    </row>
    <row r="944" ht="20.05" customHeight="1">
      <c r="A944" s="13">
        <f>A943+1</f>
        <v>942</v>
      </c>
      <c r="B944" s="14">
        <v>2023</v>
      </c>
      <c r="C944" s="15">
        <v>10</v>
      </c>
      <c r="D944" s="15">
        <v>25</v>
      </c>
      <c r="E944" s="16"/>
      <c r="F944" t="s" s="17">
        <v>122</v>
      </c>
      <c r="G944" s="16"/>
      <c r="H944" t="s" s="17">
        <v>163</v>
      </c>
      <c r="I944" t="s" s="17">
        <v>19</v>
      </c>
      <c r="J944" t="s" s="17">
        <v>138</v>
      </c>
      <c r="K944" t="s" s="17">
        <v>41</v>
      </c>
      <c r="L944" s="15">
        <f>IF(O944,P944/O944,0)</f>
        <v>0.0380433333333333</v>
      </c>
      <c r="M944" s="15">
        <v>0.0380433333333333</v>
      </c>
      <c r="N944" s="15">
        <f>A944</f>
        <v>942</v>
      </c>
      <c r="O944" s="15">
        <f t="shared" si="3322" ref="O944:O1026">3*12*1000</f>
        <v>36000</v>
      </c>
      <c r="P944" s="41">
        <f t="shared" si="3323" ref="P944:P1026">1356+1356*1%</f>
        <v>1369.56</v>
      </c>
      <c r="Q944" s="16"/>
    </row>
    <row r="945" ht="20.05" customHeight="1">
      <c r="A945" s="13">
        <f>A944+1</f>
        <v>943</v>
      </c>
      <c r="B945" s="14">
        <v>2023</v>
      </c>
      <c r="C945" s="15">
        <v>10</v>
      </c>
      <c r="D945" s="15">
        <v>25</v>
      </c>
      <c r="E945" s="16"/>
      <c r="F945" t="s" s="17">
        <v>122</v>
      </c>
      <c r="G945" s="16"/>
      <c r="H945" t="s" s="17">
        <v>163</v>
      </c>
      <c r="I945" t="s" s="17">
        <v>19</v>
      </c>
      <c r="J945" t="s" s="17">
        <v>74</v>
      </c>
      <c r="K945" t="s" s="17">
        <v>23</v>
      </c>
      <c r="L945" s="15">
        <f>IF(O945,P945/O945,0)</f>
        <v>5.89166666666667</v>
      </c>
      <c r="M945" s="15">
        <v>5.89166666666667</v>
      </c>
      <c r="N945" s="15">
        <f>A945</f>
        <v>943</v>
      </c>
      <c r="O945" s="15">
        <v>24</v>
      </c>
      <c r="P945" s="42">
        <f t="shared" si="3327" ref="P945:P965">140+140*1%</f>
        <v>141.4</v>
      </c>
      <c r="Q945" s="16"/>
    </row>
    <row r="946" ht="20.05" customHeight="1">
      <c r="A946" s="13">
        <f>A945+1</f>
        <v>944</v>
      </c>
      <c r="B946" s="14">
        <v>2023</v>
      </c>
      <c r="C946" s="15">
        <v>10</v>
      </c>
      <c r="D946" s="15">
        <v>25</v>
      </c>
      <c r="E946" s="16"/>
      <c r="F946" t="s" s="17">
        <v>122</v>
      </c>
      <c r="G946" s="16"/>
      <c r="H946" t="s" s="17">
        <v>163</v>
      </c>
      <c r="I946" t="s" s="17">
        <v>19</v>
      </c>
      <c r="J946" t="s" s="17">
        <v>139</v>
      </c>
      <c r="K946" t="s" s="17">
        <v>23</v>
      </c>
      <c r="L946" s="15">
        <f>IF(O946,P946/O946,0)</f>
        <v>3.89270833333333</v>
      </c>
      <c r="M946" s="15">
        <v>3.89270833333333</v>
      </c>
      <c r="N946" s="15">
        <f>A946</f>
        <v>944</v>
      </c>
      <c r="O946" s="15">
        <f t="shared" si="2479"/>
        <v>48</v>
      </c>
      <c r="P946" s="41">
        <f t="shared" si="2992"/>
        <v>186.85</v>
      </c>
      <c r="Q946" s="16"/>
    </row>
    <row r="947" ht="20.05" customHeight="1">
      <c r="A947" s="13">
        <f>A946+1</f>
        <v>945</v>
      </c>
      <c r="B947" s="14">
        <v>2023</v>
      </c>
      <c r="C947" s="15">
        <v>10</v>
      </c>
      <c r="D947" s="15">
        <v>25</v>
      </c>
      <c r="E947" s="16"/>
      <c r="F947" t="s" s="17">
        <v>122</v>
      </c>
      <c r="G947" s="16"/>
      <c r="H947" t="s" s="17">
        <v>163</v>
      </c>
      <c r="I947" t="s" s="17">
        <v>19</v>
      </c>
      <c r="J947" t="s" s="17">
        <v>67</v>
      </c>
      <c r="K947" t="s" s="17">
        <v>23</v>
      </c>
      <c r="L947" s="15">
        <f>IF(O947,P947/O947,0)</f>
        <v>1.23617266666667</v>
      </c>
      <c r="M947" s="15">
        <v>1.23617266666667</v>
      </c>
      <c r="N947" s="15">
        <f>A947</f>
        <v>945</v>
      </c>
      <c r="O947" s="15">
        <f t="shared" si="2784"/>
        <v>300</v>
      </c>
      <c r="P947" s="43">
        <f>367.18+367.18*1%</f>
        <v>370.8518</v>
      </c>
      <c r="Q947" s="16"/>
    </row>
    <row r="948" ht="32.05" customHeight="1">
      <c r="A948" s="13">
        <f>A947+1</f>
        <v>946</v>
      </c>
      <c r="B948" s="14">
        <v>2023</v>
      </c>
      <c r="C948" s="15">
        <v>10</v>
      </c>
      <c r="D948" s="15">
        <v>25</v>
      </c>
      <c r="E948" s="16"/>
      <c r="F948" t="s" s="17">
        <v>122</v>
      </c>
      <c r="G948" s="16"/>
      <c r="H948" t="s" s="17">
        <v>163</v>
      </c>
      <c r="I948" t="s" s="17">
        <v>127</v>
      </c>
      <c r="J948" t="s" s="17">
        <v>165</v>
      </c>
      <c r="K948" t="s" s="17">
        <v>23</v>
      </c>
      <c r="L948" s="15">
        <f>IF(O948,P948/O948,0)</f>
        <v>6.3066</v>
      </c>
      <c r="M948" s="15">
        <v>6.3066</v>
      </c>
      <c r="N948" s="15">
        <f>A948</f>
        <v>946</v>
      </c>
      <c r="O948" s="15">
        <f t="shared" si="1414"/>
        <v>200</v>
      </c>
      <c r="P948" s="41">
        <f>1051.1+1051.1*20%</f>
        <v>1261.32</v>
      </c>
      <c r="Q948" s="16"/>
    </row>
    <row r="949" ht="20.05" customHeight="1">
      <c r="A949" s="13">
        <f>A948+1</f>
        <v>947</v>
      </c>
      <c r="B949" s="14">
        <v>2023</v>
      </c>
      <c r="C949" s="15">
        <v>10</v>
      </c>
      <c r="D949" s="15">
        <v>25</v>
      </c>
      <c r="E949" s="16"/>
      <c r="F949" t="s" s="17">
        <v>122</v>
      </c>
      <c r="G949" s="16"/>
      <c r="H949" t="s" s="17">
        <v>163</v>
      </c>
      <c r="I949" t="s" s="17">
        <v>127</v>
      </c>
      <c r="J949" t="s" s="17">
        <v>167</v>
      </c>
      <c r="K949" t="s" s="17">
        <v>23</v>
      </c>
      <c r="L949" s="15">
        <f>IF(O949,P949/O949,0)</f>
        <v>3.85</v>
      </c>
      <c r="M949" s="15">
        <v>3.85</v>
      </c>
      <c r="N949" s="15">
        <f>A949</f>
        <v>947</v>
      </c>
      <c r="O949" s="15">
        <f t="shared" si="3346" ref="O949:O1068">2*20</f>
        <v>40</v>
      </c>
      <c r="P949" s="41">
        <f t="shared" si="2796"/>
        <v>154</v>
      </c>
      <c r="Q949" s="16"/>
    </row>
    <row r="950" ht="32.05" customHeight="1">
      <c r="A950" s="13">
        <f>A949+1</f>
        <v>948</v>
      </c>
      <c r="B950" s="14">
        <v>2023</v>
      </c>
      <c r="C950" s="15">
        <v>10</v>
      </c>
      <c r="D950" s="15">
        <v>26</v>
      </c>
      <c r="E950" s="16"/>
      <c r="F950" t="s" s="17">
        <v>122</v>
      </c>
      <c r="G950" s="16"/>
      <c r="H950" t="s" s="17">
        <v>163</v>
      </c>
      <c r="I950" t="s" s="17">
        <v>127</v>
      </c>
      <c r="J950" t="s" s="17">
        <v>136</v>
      </c>
      <c r="K950" t="s" s="17">
        <v>23</v>
      </c>
      <c r="L950" s="15">
        <f>IF(O950,P950/O950,0)</f>
        <v>0.1755</v>
      </c>
      <c r="M950" s="15">
        <v>0.1755</v>
      </c>
      <c r="N950" s="15">
        <f>A950</f>
        <v>948</v>
      </c>
      <c r="O950" s="15">
        <f t="shared" si="3351" ref="O950:O1196">2*12*200</f>
        <v>4800</v>
      </c>
      <c r="P950" s="42">
        <f t="shared" si="3352" ref="P950:P1196">702+702*20%</f>
        <v>842.4</v>
      </c>
      <c r="Q950" s="16"/>
    </row>
    <row r="951" ht="20.05" customHeight="1">
      <c r="A951" s="13">
        <f>A950+1</f>
        <v>949</v>
      </c>
      <c r="B951" s="14">
        <v>2023</v>
      </c>
      <c r="C951" s="15">
        <v>10</v>
      </c>
      <c r="D951" s="15">
        <v>26</v>
      </c>
      <c r="E951" s="16"/>
      <c r="F951" t="s" s="17">
        <v>122</v>
      </c>
      <c r="G951" s="16"/>
      <c r="H951" t="s" s="17">
        <v>163</v>
      </c>
      <c r="I951" t="s" s="17">
        <v>127</v>
      </c>
      <c r="J951" t="s" s="17">
        <v>128</v>
      </c>
      <c r="K951" t="s" s="17">
        <v>23</v>
      </c>
      <c r="L951" s="15">
        <f>IF(O951,P951/O951,0)</f>
        <v>25.55</v>
      </c>
      <c r="M951" s="15">
        <v>25.55</v>
      </c>
      <c r="N951" s="15">
        <f>A951</f>
        <v>949</v>
      </c>
      <c r="O951" s="15">
        <v>24</v>
      </c>
      <c r="P951" s="42">
        <f t="shared" si="2607"/>
        <v>613.2</v>
      </c>
      <c r="Q951" s="16"/>
    </row>
    <row r="952" ht="20.05" customHeight="1">
      <c r="A952" s="13">
        <f>A951+1</f>
        <v>950</v>
      </c>
      <c r="B952" s="14">
        <v>2023</v>
      </c>
      <c r="C952" s="15">
        <v>10</v>
      </c>
      <c r="D952" s="15">
        <v>26</v>
      </c>
      <c r="E952" s="16"/>
      <c r="F952" t="s" s="17">
        <v>122</v>
      </c>
      <c r="G952" s="16"/>
      <c r="H952" t="s" s="17">
        <v>163</v>
      </c>
      <c r="I952" t="s" s="17">
        <v>127</v>
      </c>
      <c r="J952" t="s" s="17">
        <v>161</v>
      </c>
      <c r="K952" t="s" s="17">
        <v>23</v>
      </c>
      <c r="L952" s="15">
        <f>IF(O952,P952/O952,0)</f>
        <v>7.4</v>
      </c>
      <c r="M952" s="15">
        <v>7.4</v>
      </c>
      <c r="N952" s="15">
        <f>A952</f>
        <v>950</v>
      </c>
      <c r="O952" s="15">
        <f t="shared" si="1715"/>
        <v>24</v>
      </c>
      <c r="P952" s="42">
        <f>148+148*20%</f>
        <v>177.6</v>
      </c>
      <c r="Q952" s="16"/>
    </row>
    <row r="953" ht="32.05" customHeight="1">
      <c r="A953" s="13">
        <f>A952+1</f>
        <v>951</v>
      </c>
      <c r="B953" s="14">
        <v>2023</v>
      </c>
      <c r="C953" s="15">
        <v>10</v>
      </c>
      <c r="D953" s="15">
        <v>26</v>
      </c>
      <c r="E953" s="16"/>
      <c r="F953" t="s" s="17">
        <v>122</v>
      </c>
      <c r="G953" s="16"/>
      <c r="H953" t="s" s="17">
        <v>163</v>
      </c>
      <c r="I953" t="s" s="17">
        <v>127</v>
      </c>
      <c r="J953" t="s" s="17">
        <v>129</v>
      </c>
      <c r="K953" t="s" s="17">
        <v>23</v>
      </c>
      <c r="L953" s="15">
        <f>IF(O953,P953/O953,0)</f>
        <v>0.3375</v>
      </c>
      <c r="M953" s="15">
        <v>0.3375</v>
      </c>
      <c r="N953" s="15">
        <f>A953</f>
        <v>951</v>
      </c>
      <c r="O953" s="15">
        <f t="shared" si="3365" ref="O953:O1414">40*40</f>
        <v>1600</v>
      </c>
      <c r="P953" s="41">
        <f t="shared" si="3366" ref="P953:P1414">450+450*20%</f>
        <v>540</v>
      </c>
      <c r="Q953" s="16"/>
    </row>
    <row r="954" ht="32.05" customHeight="1">
      <c r="A954" s="13">
        <f>A953+1</f>
        <v>952</v>
      </c>
      <c r="B954" s="14">
        <v>2023</v>
      </c>
      <c r="C954" s="15">
        <v>10</v>
      </c>
      <c r="D954" s="15">
        <v>26</v>
      </c>
      <c r="E954" s="16"/>
      <c r="F954" t="s" s="17">
        <v>122</v>
      </c>
      <c r="G954" s="16"/>
      <c r="H954" t="s" s="17">
        <v>163</v>
      </c>
      <c r="I954" t="s" s="17">
        <v>127</v>
      </c>
      <c r="J954" t="s" s="17">
        <v>137</v>
      </c>
      <c r="K954" t="s" s="17">
        <v>41</v>
      </c>
      <c r="L954" s="15">
        <f>IF(O954,P954/O954,0)</f>
        <v>0.023808</v>
      </c>
      <c r="M954" s="15">
        <v>0.023808</v>
      </c>
      <c r="N954" s="15">
        <f>A954</f>
        <v>952</v>
      </c>
      <c r="O954" s="15">
        <v>5000</v>
      </c>
      <c r="P954" s="41">
        <f t="shared" si="3370" ref="P954:P1144">99.2+99.2*20%</f>
        <v>119.04</v>
      </c>
      <c r="Q954" s="16"/>
    </row>
    <row r="955" ht="20.05" customHeight="1">
      <c r="A955" s="13">
        <f>A954+1</f>
        <v>953</v>
      </c>
      <c r="B955" s="14">
        <v>2023</v>
      </c>
      <c r="C955" s="15">
        <v>10</v>
      </c>
      <c r="D955" s="15">
        <v>25</v>
      </c>
      <c r="E955" s="16"/>
      <c r="F955" t="s" s="17">
        <v>366</v>
      </c>
      <c r="G955" s="16"/>
      <c r="H955" t="s" s="17">
        <v>163</v>
      </c>
      <c r="I955" t="s" s="17">
        <v>19</v>
      </c>
      <c r="J955" t="s" s="17">
        <v>367</v>
      </c>
      <c r="K955" t="s" s="17">
        <v>23</v>
      </c>
      <c r="L955" s="15">
        <f>IF(O955,P955/O955,0)</f>
        <v>179.988</v>
      </c>
      <c r="M955" s="15">
        <v>179.988</v>
      </c>
      <c r="N955" s="15">
        <f>A955</f>
        <v>953</v>
      </c>
      <c r="O955" s="15">
        <v>1</v>
      </c>
      <c r="P955" s="42">
        <f>149.99+149.99*20%</f>
        <v>179.988</v>
      </c>
      <c r="Q955" s="16"/>
    </row>
    <row r="956" ht="20.05" customHeight="1">
      <c r="A956" s="13">
        <f>A955+1</f>
        <v>954</v>
      </c>
      <c r="B956" s="14">
        <v>2023</v>
      </c>
      <c r="C956" s="15">
        <v>10</v>
      </c>
      <c r="D956" s="15">
        <v>31</v>
      </c>
      <c r="E956" s="16"/>
      <c r="F956" t="s" s="17">
        <v>250</v>
      </c>
      <c r="G956" s="16"/>
      <c r="H956" s="16"/>
      <c r="I956" t="s" s="17">
        <v>187</v>
      </c>
      <c r="J956" t="s" s="17">
        <v>251</v>
      </c>
      <c r="K956" t="s" s="17">
        <v>23</v>
      </c>
      <c r="L956" s="15">
        <f>IF(O956,P956/O956,0)</f>
        <v>93.5</v>
      </c>
      <c r="M956" s="15">
        <v>93.5</v>
      </c>
      <c r="N956" s="15">
        <f>A956</f>
        <v>954</v>
      </c>
      <c r="O956" s="15">
        <v>372</v>
      </c>
      <c r="P956" s="41">
        <f>31620+31620*10%</f>
        <v>34782</v>
      </c>
      <c r="Q956" s="16"/>
    </row>
    <row r="957" ht="20.05" customHeight="1">
      <c r="A957" s="13">
        <f>A956+1</f>
        <v>955</v>
      </c>
      <c r="B957" s="14">
        <v>2023</v>
      </c>
      <c r="C957" s="15">
        <v>10</v>
      </c>
      <c r="D957" s="15">
        <v>24</v>
      </c>
      <c r="E957" s="16"/>
      <c r="F957" t="s" s="17">
        <v>258</v>
      </c>
      <c r="G957" s="16"/>
      <c r="H957" t="s" s="17">
        <v>253</v>
      </c>
      <c r="I957" t="s" s="17">
        <v>19</v>
      </c>
      <c r="J957" t="s" s="17">
        <v>157</v>
      </c>
      <c r="K957" t="s" s="17">
        <v>16</v>
      </c>
      <c r="L957" s="15">
        <f>IF(O957,P957/O957,0)</f>
        <v>0.0148976982097187</v>
      </c>
      <c r="M957" s="15">
        <v>0.0148976982097187</v>
      </c>
      <c r="N957" s="15">
        <f>A957</f>
        <v>955</v>
      </c>
      <c r="O957" s="15">
        <v>1564</v>
      </c>
      <c r="P957" s="15">
        <f>26.43-3.13</f>
        <v>23.3</v>
      </c>
      <c r="Q957" s="16"/>
    </row>
    <row r="958" ht="20.05" customHeight="1">
      <c r="A958" s="13">
        <f>A957+1</f>
        <v>956</v>
      </c>
      <c r="B958" s="14">
        <v>2023</v>
      </c>
      <c r="C958" s="15">
        <v>10</v>
      </c>
      <c r="D958" s="15">
        <v>24</v>
      </c>
      <c r="E958" s="16"/>
      <c r="F958" t="s" s="17">
        <v>258</v>
      </c>
      <c r="G958" s="16"/>
      <c r="H958" t="s" s="17">
        <v>253</v>
      </c>
      <c r="I958" t="s" s="17">
        <v>187</v>
      </c>
      <c r="J958" t="s" s="17">
        <v>368</v>
      </c>
      <c r="K958" t="s" s="17">
        <v>23</v>
      </c>
      <c r="L958" s="15">
        <f>IF(O958,P958/O958,0)</f>
        <v>31.5</v>
      </c>
      <c r="M958" s="15">
        <v>31.5</v>
      </c>
      <c r="N958" s="15">
        <f>A958</f>
        <v>956</v>
      </c>
      <c r="O958" s="15">
        <v>1</v>
      </c>
      <c r="P958" s="15">
        <v>31.5</v>
      </c>
      <c r="Q958" s="16"/>
    </row>
    <row r="959" ht="20.05" customHeight="1">
      <c r="A959" s="13">
        <f>A958+1</f>
        <v>957</v>
      </c>
      <c r="B959" s="14">
        <v>2023</v>
      </c>
      <c r="C959" s="15">
        <v>10</v>
      </c>
      <c r="D959" s="15">
        <v>25</v>
      </c>
      <c r="E959" s="16"/>
      <c r="F959" t="s" s="17">
        <v>258</v>
      </c>
      <c r="G959" s="16"/>
      <c r="H959" t="s" s="17">
        <v>253</v>
      </c>
      <c r="I959" t="s" s="17">
        <v>26</v>
      </c>
      <c r="J959" t="s" s="17">
        <v>113</v>
      </c>
      <c r="K959" t="s" s="17">
        <v>41</v>
      </c>
      <c r="L959" s="15">
        <f>IF(O959,P959/O959,0)</f>
        <v>0.034975</v>
      </c>
      <c r="M959" s="15">
        <v>0.034975</v>
      </c>
      <c r="N959" s="15">
        <f>A959</f>
        <v>957</v>
      </c>
      <c r="O959" s="15">
        <v>2000</v>
      </c>
      <c r="P959" s="15">
        <f>79.95-10</f>
        <v>69.95</v>
      </c>
      <c r="Q959" s="16"/>
    </row>
    <row r="960" ht="20.05" customHeight="1">
      <c r="A960" s="13">
        <f>A959+1</f>
        <v>958</v>
      </c>
      <c r="B960" s="14">
        <v>2023</v>
      </c>
      <c r="C960" s="15">
        <v>10</v>
      </c>
      <c r="D960" s="15">
        <v>25</v>
      </c>
      <c r="E960" s="16"/>
      <c r="F960" t="s" s="17">
        <v>150</v>
      </c>
      <c r="G960" s="16"/>
      <c r="H960" t="s" s="17">
        <v>253</v>
      </c>
      <c r="I960" t="s" s="17">
        <v>19</v>
      </c>
      <c r="J960" t="s" s="17">
        <v>154</v>
      </c>
      <c r="K960" t="s" s="17">
        <v>41</v>
      </c>
      <c r="L960" s="15">
        <f>IF(O960,P960/O960,0)</f>
        <v>0.28886</v>
      </c>
      <c r="M960" s="15">
        <v>0.28886</v>
      </c>
      <c r="N960" s="15">
        <f>A960</f>
        <v>958</v>
      </c>
      <c r="O960" s="15">
        <v>2000</v>
      </c>
      <c r="P960" s="41">
        <f t="shared" si="3393" ref="P960:P1201">572+572*1%</f>
        <v>577.72</v>
      </c>
      <c r="Q960" s="16"/>
    </row>
    <row r="961" ht="20.05" customHeight="1">
      <c r="A961" s="13">
        <f>A960+1</f>
        <v>959</v>
      </c>
      <c r="B961" s="14">
        <v>2023</v>
      </c>
      <c r="C961" s="15">
        <v>10</v>
      </c>
      <c r="D961" s="15">
        <v>25</v>
      </c>
      <c r="E961" s="16"/>
      <c r="F961" t="s" s="17">
        <v>111</v>
      </c>
      <c r="G961" s="16"/>
      <c r="H961" t="s" s="17">
        <v>253</v>
      </c>
      <c r="I961" t="s" s="17">
        <v>127</v>
      </c>
      <c r="J961" t="s" s="17">
        <v>132</v>
      </c>
      <c r="K961" t="s" s="17">
        <v>41</v>
      </c>
      <c r="L961" s="15">
        <f>IF(O961,P961/O961,0)</f>
        <v>0.01677</v>
      </c>
      <c r="M961" s="15">
        <v>0.01677</v>
      </c>
      <c r="N961" s="15">
        <f>A961</f>
        <v>959</v>
      </c>
      <c r="O961" s="15">
        <v>4000</v>
      </c>
      <c r="P961" s="15">
        <v>67.08</v>
      </c>
      <c r="Q961" s="16"/>
    </row>
    <row r="962" ht="20.05" customHeight="1">
      <c r="A962" s="13">
        <f>A961+1</f>
        <v>960</v>
      </c>
      <c r="B962" s="14">
        <v>2023</v>
      </c>
      <c r="C962" s="15">
        <v>10</v>
      </c>
      <c r="D962" s="15">
        <v>25</v>
      </c>
      <c r="E962" s="16"/>
      <c r="F962" t="s" s="17">
        <v>111</v>
      </c>
      <c r="G962" s="16"/>
      <c r="H962" t="s" s="17">
        <v>253</v>
      </c>
      <c r="I962" t="s" s="17">
        <v>19</v>
      </c>
      <c r="J962" t="s" s="17">
        <v>112</v>
      </c>
      <c r="K962" t="s" s="17">
        <v>41</v>
      </c>
      <c r="L962" s="15">
        <f>IF(O962,P962/O962,0)</f>
        <v>0.03131</v>
      </c>
      <c r="M962" s="15">
        <v>0.03131</v>
      </c>
      <c r="N962" s="15">
        <f>A962</f>
        <v>960</v>
      </c>
      <c r="O962" s="15">
        <f t="shared" si="3230"/>
        <v>3000</v>
      </c>
      <c r="P962" s="15">
        <v>93.93000000000001</v>
      </c>
      <c r="Q962" s="16"/>
    </row>
    <row r="963" ht="20.05" customHeight="1">
      <c r="A963" s="13">
        <f>A962+1</f>
        <v>961</v>
      </c>
      <c r="B963" s="14">
        <v>2023</v>
      </c>
      <c r="C963" s="15">
        <v>10</v>
      </c>
      <c r="D963" s="15">
        <v>25</v>
      </c>
      <c r="E963" s="16"/>
      <c r="F963" t="s" s="17">
        <v>111</v>
      </c>
      <c r="G963" s="16"/>
      <c r="H963" t="s" s="17">
        <v>253</v>
      </c>
      <c r="I963" t="s" s="17">
        <v>19</v>
      </c>
      <c r="J963" t="s" s="17">
        <v>63</v>
      </c>
      <c r="K963" t="s" s="17">
        <v>16</v>
      </c>
      <c r="L963" s="15">
        <f>IF(O963,P963/O963,0)</f>
        <v>0.38478</v>
      </c>
      <c r="M963" s="15">
        <v>0.38478</v>
      </c>
      <c r="N963" s="15">
        <f>A963</f>
        <v>961</v>
      </c>
      <c r="O963" s="15">
        <v>500</v>
      </c>
      <c r="P963" s="15">
        <v>192.39</v>
      </c>
      <c r="Q963" s="16"/>
    </row>
    <row r="964" ht="20.05" customHeight="1">
      <c r="A964" s="13">
        <f>A963+1</f>
        <v>962</v>
      </c>
      <c r="B964" s="14">
        <v>2023</v>
      </c>
      <c r="C964" s="15">
        <v>10</v>
      </c>
      <c r="D964" s="15">
        <v>25</v>
      </c>
      <c r="E964" s="16"/>
      <c r="F964" t="s" s="17">
        <v>122</v>
      </c>
      <c r="G964" s="16"/>
      <c r="H964" t="s" s="17">
        <v>253</v>
      </c>
      <c r="I964" t="s" s="17">
        <v>19</v>
      </c>
      <c r="J964" t="s" s="17">
        <v>67</v>
      </c>
      <c r="K964" t="s" s="17">
        <v>23</v>
      </c>
      <c r="L964" s="15">
        <f>IF(O964,P964/O964,0)</f>
        <v>1.2361491</v>
      </c>
      <c r="M964" s="15">
        <v>1.2361491</v>
      </c>
      <c r="N964" s="15">
        <f>A964</f>
        <v>962</v>
      </c>
      <c r="O964" s="15">
        <f t="shared" si="2795"/>
        <v>200</v>
      </c>
      <c r="P964" s="40">
        <f>244.782+244.782*1%</f>
        <v>247.22982</v>
      </c>
      <c r="Q964" s="16"/>
    </row>
    <row r="965" ht="20.05" customHeight="1">
      <c r="A965" s="13">
        <f>A964+1</f>
        <v>963</v>
      </c>
      <c r="B965" s="14">
        <v>2023</v>
      </c>
      <c r="C965" s="15">
        <v>10</v>
      </c>
      <c r="D965" s="15">
        <v>25</v>
      </c>
      <c r="E965" s="16"/>
      <c r="F965" t="s" s="17">
        <v>122</v>
      </c>
      <c r="G965" s="16"/>
      <c r="H965" t="s" s="17">
        <v>253</v>
      </c>
      <c r="I965" t="s" s="17">
        <v>19</v>
      </c>
      <c r="J965" t="s" s="17">
        <v>74</v>
      </c>
      <c r="K965" t="s" s="17">
        <v>23</v>
      </c>
      <c r="L965" s="15">
        <f>IF(O965,P965/O965,0)</f>
        <v>5.89166666666667</v>
      </c>
      <c r="M965" s="15">
        <v>5.89166666666667</v>
      </c>
      <c r="N965" s="15">
        <f>A965</f>
        <v>963</v>
      </c>
      <c r="O965" s="15">
        <v>24</v>
      </c>
      <c r="P965" s="42">
        <f t="shared" si="3327"/>
        <v>141.4</v>
      </c>
      <c r="Q965" s="16"/>
    </row>
    <row r="966" ht="20.05" customHeight="1">
      <c r="A966" s="13">
        <f>A965+1</f>
        <v>964</v>
      </c>
      <c r="B966" s="14">
        <v>2023</v>
      </c>
      <c r="C966" s="15">
        <v>10</v>
      </c>
      <c r="D966" s="15">
        <v>25</v>
      </c>
      <c r="E966" s="16"/>
      <c r="F966" t="s" s="17">
        <v>122</v>
      </c>
      <c r="G966" s="16"/>
      <c r="H966" t="s" s="17">
        <v>253</v>
      </c>
      <c r="I966" t="s" s="17">
        <v>127</v>
      </c>
      <c r="J966" t="s" s="17">
        <v>196</v>
      </c>
      <c r="K966" t="s" s="17">
        <v>41</v>
      </c>
      <c r="L966" s="15">
        <f>IF(O966,P966/O966,0)</f>
        <v>0.0200892</v>
      </c>
      <c r="M966" s="15">
        <v>0.0200892</v>
      </c>
      <c r="N966" s="15">
        <f>A966</f>
        <v>964</v>
      </c>
      <c r="O966" s="15">
        <f>2*10000</f>
        <v>20000</v>
      </c>
      <c r="P966" s="42">
        <f>334.82+334.82*20%</f>
        <v>401.784</v>
      </c>
      <c r="Q966" s="16"/>
    </row>
    <row r="967" ht="20.05" customHeight="1">
      <c r="A967" s="13">
        <f>A966+1</f>
        <v>965</v>
      </c>
      <c r="B967" s="14">
        <v>2023</v>
      </c>
      <c r="C967" s="15">
        <v>10</v>
      </c>
      <c r="D967" s="15">
        <v>25</v>
      </c>
      <c r="E967" s="16"/>
      <c r="F967" t="s" s="17">
        <v>122</v>
      </c>
      <c r="G967" s="16"/>
      <c r="H967" t="s" s="17">
        <v>253</v>
      </c>
      <c r="I967" t="s" s="17">
        <v>26</v>
      </c>
      <c r="J967" t="s" s="17">
        <v>117</v>
      </c>
      <c r="K967" t="s" s="17">
        <v>23</v>
      </c>
      <c r="L967" s="15">
        <f>IF(O967,P967/O967,0)</f>
        <v>36.6125</v>
      </c>
      <c r="M967" s="15">
        <v>36.6125</v>
      </c>
      <c r="N967" s="15">
        <f>A967</f>
        <v>965</v>
      </c>
      <c r="O967" s="15">
        <v>14</v>
      </c>
      <c r="P967" s="42">
        <f t="shared" si="3314"/>
        <v>512.575</v>
      </c>
      <c r="Q967" s="16"/>
    </row>
    <row r="968" ht="20.05" customHeight="1">
      <c r="A968" s="13">
        <f>A967+1</f>
        <v>966</v>
      </c>
      <c r="B968" s="14">
        <v>2023</v>
      </c>
      <c r="C968" s="15">
        <v>10</v>
      </c>
      <c r="D968" s="15">
        <v>25</v>
      </c>
      <c r="E968" s="16"/>
      <c r="F968" t="s" s="17">
        <v>122</v>
      </c>
      <c r="G968" s="16"/>
      <c r="H968" t="s" s="17">
        <v>253</v>
      </c>
      <c r="I968" t="s" s="17">
        <v>26</v>
      </c>
      <c r="J968" t="s" s="17">
        <v>118</v>
      </c>
      <c r="K968" t="s" s="17">
        <v>23</v>
      </c>
      <c r="L968" s="15">
        <f>IF(O968,P968/O968,0)</f>
        <v>36.6125</v>
      </c>
      <c r="M968" s="15">
        <v>36.6125</v>
      </c>
      <c r="N968" s="15">
        <f>A968</f>
        <v>966</v>
      </c>
      <c r="O968" s="15">
        <v>14</v>
      </c>
      <c r="P968" s="42">
        <f t="shared" si="3314"/>
        <v>512.575</v>
      </c>
      <c r="Q968" s="16"/>
    </row>
    <row r="969" ht="20.05" customHeight="1">
      <c r="A969" s="13">
        <f>A968+1</f>
        <v>967</v>
      </c>
      <c r="B969" s="14">
        <v>2023</v>
      </c>
      <c r="C969" s="15">
        <v>10</v>
      </c>
      <c r="D969" s="15">
        <v>28</v>
      </c>
      <c r="E969" s="16"/>
      <c r="F969" t="s" s="17">
        <v>258</v>
      </c>
      <c r="G969" t="s" s="17">
        <v>364</v>
      </c>
      <c r="H969" t="s" s="17">
        <v>253</v>
      </c>
      <c r="I969" t="s" s="17">
        <v>187</v>
      </c>
      <c r="J969" t="s" s="17">
        <v>365</v>
      </c>
      <c r="K969" t="s" s="17">
        <v>23</v>
      </c>
      <c r="L969" s="15">
        <f>IF(O969,P969/O969,0)</f>
        <v>0.0129034690799397</v>
      </c>
      <c r="M969" s="15">
        <v>0.0129034690799397</v>
      </c>
      <c r="N969" s="15">
        <f>A969</f>
        <v>967</v>
      </c>
      <c r="O969" s="15">
        <v>1326</v>
      </c>
      <c r="P969" s="15">
        <f>23.74-6.63</f>
        <v>17.11</v>
      </c>
      <c r="Q969" s="16"/>
    </row>
    <row r="970" ht="20.05" customHeight="1">
      <c r="A970" s="13">
        <f>A969+1</f>
        <v>968</v>
      </c>
      <c r="B970" s="14">
        <v>2023</v>
      </c>
      <c r="C970" s="15">
        <v>10</v>
      </c>
      <c r="D970" s="15">
        <v>28</v>
      </c>
      <c r="E970" s="16"/>
      <c r="F970" t="s" s="17">
        <v>258</v>
      </c>
      <c r="G970" t="s" s="17">
        <v>364</v>
      </c>
      <c r="H970" t="s" s="17">
        <v>253</v>
      </c>
      <c r="I970" t="s" s="17">
        <v>187</v>
      </c>
      <c r="J970" t="s" s="17">
        <v>342</v>
      </c>
      <c r="K970" t="s" s="17">
        <v>16</v>
      </c>
      <c r="L970" s="15">
        <f>IF(O970,P970/O970,0)</f>
        <v>0.0298972602739726</v>
      </c>
      <c r="M970" s="15">
        <v>0.0298972602739726</v>
      </c>
      <c r="N970" s="15">
        <f>A970</f>
        <v>968</v>
      </c>
      <c r="O970" s="15">
        <v>1168</v>
      </c>
      <c r="P970" s="15">
        <f>45.44-10.52</f>
        <v>34.92</v>
      </c>
      <c r="Q970" s="16"/>
    </row>
    <row r="971" ht="20.05" customHeight="1">
      <c r="A971" s="13">
        <f>A970+1</f>
        <v>969</v>
      </c>
      <c r="B971" s="14">
        <v>2023</v>
      </c>
      <c r="C971" s="15">
        <v>10</v>
      </c>
      <c r="D971" s="15">
        <v>28</v>
      </c>
      <c r="E971" s="16"/>
      <c r="F971" t="s" s="17">
        <v>141</v>
      </c>
      <c r="G971" s="16"/>
      <c r="H971" t="s" s="17">
        <v>253</v>
      </c>
      <c r="I971" t="s" s="17">
        <v>19</v>
      </c>
      <c r="J971" t="s" s="17">
        <v>158</v>
      </c>
      <c r="K971" t="s" s="17">
        <v>23</v>
      </c>
      <c r="L971" s="15">
        <f>IF(O971,P971/O971,0)</f>
        <v>13.85175</v>
      </c>
      <c r="M971" s="15">
        <v>13.85175</v>
      </c>
      <c r="N971" s="15">
        <f>A971</f>
        <v>969</v>
      </c>
      <c r="O971" s="15">
        <v>24</v>
      </c>
      <c r="P971" s="42">
        <f t="shared" si="2654"/>
        <v>332.442</v>
      </c>
      <c r="Q971" s="16"/>
    </row>
    <row r="972" ht="20.05" customHeight="1">
      <c r="A972" s="13">
        <f>A971+1</f>
        <v>970</v>
      </c>
      <c r="B972" s="14">
        <v>2023</v>
      </c>
      <c r="C972" s="15">
        <v>10</v>
      </c>
      <c r="D972" s="15">
        <v>28</v>
      </c>
      <c r="E972" s="16"/>
      <c r="F972" t="s" s="17">
        <v>141</v>
      </c>
      <c r="G972" s="16"/>
      <c r="H972" t="s" s="17">
        <v>253</v>
      </c>
      <c r="I972" t="s" s="17">
        <v>19</v>
      </c>
      <c r="J972" t="s" s="17">
        <v>142</v>
      </c>
      <c r="K972" t="s" s="17">
        <v>23</v>
      </c>
      <c r="L972" s="15">
        <f>IF(O972,P972/O972,0)</f>
        <v>13.85175</v>
      </c>
      <c r="M972" s="15">
        <v>13.85175</v>
      </c>
      <c r="N972" s="15">
        <f>A972</f>
        <v>970</v>
      </c>
      <c r="O972" s="15">
        <v>24</v>
      </c>
      <c r="P972" s="42">
        <f t="shared" si="2654"/>
        <v>332.442</v>
      </c>
      <c r="Q972" s="16"/>
    </row>
    <row r="973" ht="20.05" customHeight="1">
      <c r="A973" s="13">
        <f>A972+1</f>
        <v>971</v>
      </c>
      <c r="B973" s="14">
        <v>2023</v>
      </c>
      <c r="C973" s="15">
        <v>10</v>
      </c>
      <c r="D973" s="15">
        <v>28</v>
      </c>
      <c r="E973" s="16"/>
      <c r="F973" t="s" s="17">
        <v>141</v>
      </c>
      <c r="G973" s="16"/>
      <c r="H973" t="s" s="17">
        <v>253</v>
      </c>
      <c r="I973" t="s" s="17">
        <v>19</v>
      </c>
      <c r="J973" t="s" s="17">
        <v>144</v>
      </c>
      <c r="K973" t="s" s="17">
        <v>23</v>
      </c>
      <c r="L973" s="15">
        <f>IF(O973,P973/O973,0)</f>
        <v>13.85175</v>
      </c>
      <c r="M973" s="15">
        <v>13.85175</v>
      </c>
      <c r="N973" s="15">
        <f>A973</f>
        <v>971</v>
      </c>
      <c r="O973" s="15">
        <v>24</v>
      </c>
      <c r="P973" s="42">
        <f t="shared" si="2654"/>
        <v>332.442</v>
      </c>
      <c r="Q973" s="16"/>
    </row>
    <row r="974" ht="20.05" customHeight="1">
      <c r="A974" s="13">
        <f>A973+1</f>
        <v>972</v>
      </c>
      <c r="B974" s="14">
        <v>2023</v>
      </c>
      <c r="C974" s="15">
        <v>10</v>
      </c>
      <c r="D974" s="15">
        <v>28</v>
      </c>
      <c r="E974" s="16"/>
      <c r="F974" t="s" s="17">
        <v>141</v>
      </c>
      <c r="G974" s="16"/>
      <c r="H974" t="s" s="17">
        <v>253</v>
      </c>
      <c r="I974" t="s" s="17">
        <v>19</v>
      </c>
      <c r="J974" t="s" s="17">
        <v>359</v>
      </c>
      <c r="K974" t="s" s="17">
        <v>23</v>
      </c>
      <c r="L974" s="15">
        <f>IF(O974,P974/O974,0)</f>
        <v>114</v>
      </c>
      <c r="M974" s="15">
        <v>114</v>
      </c>
      <c r="N974" s="15">
        <f>A974</f>
        <v>972</v>
      </c>
      <c r="O974" s="15">
        <v>1</v>
      </c>
      <c r="P974" s="15">
        <v>114</v>
      </c>
      <c r="Q974" s="16"/>
    </row>
    <row r="975" ht="20.05" customHeight="1">
      <c r="A975" s="13">
        <f>A974+1</f>
        <v>973</v>
      </c>
      <c r="B975" s="14">
        <v>2023</v>
      </c>
      <c r="C975" s="15">
        <v>10</v>
      </c>
      <c r="D975" s="15">
        <v>31</v>
      </c>
      <c r="E975" s="16"/>
      <c r="F975" t="s" s="17">
        <v>322</v>
      </c>
      <c r="G975" s="16"/>
      <c r="H975" t="s" s="17">
        <v>253</v>
      </c>
      <c r="I975" t="s" s="17">
        <v>14</v>
      </c>
      <c r="J975" t="s" s="17">
        <v>323</v>
      </c>
      <c r="K975" t="s" s="17">
        <v>23</v>
      </c>
      <c r="L975" s="15">
        <f>IF(O975,P975/O975,0)</f>
        <v>30.8</v>
      </c>
      <c r="M975" s="15">
        <v>30.8</v>
      </c>
      <c r="N975" s="15">
        <f>A975</f>
        <v>973</v>
      </c>
      <c r="O975" s="15">
        <v>20</v>
      </c>
      <c r="P975" s="41">
        <f t="shared" si="3452" ref="P975:P1334">560+560*10%</f>
        <v>616</v>
      </c>
      <c r="Q975" s="16"/>
    </row>
    <row r="976" ht="20.05" customHeight="1">
      <c r="A976" s="13">
        <f>A975+1</f>
        <v>974</v>
      </c>
      <c r="B976" s="14">
        <v>2023</v>
      </c>
      <c r="C976" s="15">
        <v>11</v>
      </c>
      <c r="D976" s="15">
        <v>1</v>
      </c>
      <c r="E976" s="16"/>
      <c r="F976" t="s" s="17">
        <v>287</v>
      </c>
      <c r="G976" s="16"/>
      <c r="H976" t="s" s="17">
        <v>253</v>
      </c>
      <c r="I976" t="s" s="17">
        <v>14</v>
      </c>
      <c r="J976" t="s" s="17">
        <v>289</v>
      </c>
      <c r="K976" t="s" s="17">
        <v>23</v>
      </c>
      <c r="L976" s="15">
        <f>IF(O976,P976/O976,0)</f>
        <v>29.795</v>
      </c>
      <c r="M976" s="15">
        <v>29.795</v>
      </c>
      <c r="N976" s="15">
        <f>A976</f>
        <v>974</v>
      </c>
      <c r="O976" s="15">
        <v>10</v>
      </c>
      <c r="P976" s="15">
        <f>295+2.95</f>
        <v>297.95</v>
      </c>
      <c r="Q976" t="s" s="17">
        <v>369</v>
      </c>
    </row>
    <row r="977" ht="32.05" customHeight="1">
      <c r="A977" s="13">
        <f>A976+1</f>
        <v>975</v>
      </c>
      <c r="B977" s="14">
        <v>2023</v>
      </c>
      <c r="C977" s="15">
        <v>11</v>
      </c>
      <c r="D977" s="15">
        <v>1</v>
      </c>
      <c r="E977" s="16"/>
      <c r="F977" t="s" s="17">
        <v>287</v>
      </c>
      <c r="G977" s="16"/>
      <c r="H977" t="s" s="17">
        <v>253</v>
      </c>
      <c r="I977" t="s" s="17">
        <v>14</v>
      </c>
      <c r="J977" t="s" s="17">
        <v>283</v>
      </c>
      <c r="K977" t="s" s="17">
        <v>23</v>
      </c>
      <c r="L977" s="15">
        <f>IF(O977,P977/O977,0)</f>
        <v>32.623</v>
      </c>
      <c r="M977" s="15">
        <v>32.623</v>
      </c>
      <c r="N977" s="15">
        <f>A977</f>
        <v>975</v>
      </c>
      <c r="O977" s="15">
        <v>10</v>
      </c>
      <c r="P977" s="15">
        <f>323+3.23</f>
        <v>326.23</v>
      </c>
      <c r="Q977" t="s" s="17">
        <v>369</v>
      </c>
    </row>
    <row r="978" ht="20.05" customHeight="1">
      <c r="A978" s="13">
        <f>A977+1</f>
        <v>976</v>
      </c>
      <c r="B978" s="14">
        <v>2023</v>
      </c>
      <c r="C978" s="15">
        <v>11</v>
      </c>
      <c r="D978" s="15">
        <v>1</v>
      </c>
      <c r="E978" s="16"/>
      <c r="F978" t="s" s="17">
        <v>287</v>
      </c>
      <c r="G978" s="16"/>
      <c r="H978" t="s" s="17">
        <v>253</v>
      </c>
      <c r="I978" t="s" s="17">
        <v>14</v>
      </c>
      <c r="J978" t="s" s="17">
        <v>288</v>
      </c>
      <c r="K978" t="s" s="17">
        <v>23</v>
      </c>
      <c r="L978" s="15">
        <f>IF(O978,P978/O978,0)</f>
        <v>34.2277777777778</v>
      </c>
      <c r="M978" s="15">
        <v>34.2277777777778</v>
      </c>
      <c r="N978" s="15">
        <f>A978</f>
        <v>976</v>
      </c>
      <c r="O978" s="15">
        <v>9</v>
      </c>
      <c r="P978" s="15">
        <f>305+3.05</f>
        <v>308.05</v>
      </c>
      <c r="Q978" t="s" s="17">
        <v>369</v>
      </c>
    </row>
    <row r="979" ht="20.05" customHeight="1">
      <c r="A979" s="13">
        <f>A978+1</f>
        <v>977</v>
      </c>
      <c r="B979" s="14">
        <v>2023</v>
      </c>
      <c r="C979" s="15">
        <v>11</v>
      </c>
      <c r="D979" s="15">
        <v>1</v>
      </c>
      <c r="E979" s="16"/>
      <c r="F979" t="s" s="17">
        <v>287</v>
      </c>
      <c r="G979" s="16"/>
      <c r="H979" t="s" s="17">
        <v>253</v>
      </c>
      <c r="I979" t="s" s="17">
        <v>14</v>
      </c>
      <c r="J979" t="s" s="17">
        <v>282</v>
      </c>
      <c r="K979" t="s" s="17">
        <v>23</v>
      </c>
      <c r="L979" s="15">
        <f>IF(O979,P979/O979,0)</f>
        <v>24.947</v>
      </c>
      <c r="M979" s="15">
        <v>24.947</v>
      </c>
      <c r="N979" s="15">
        <f>A979</f>
        <v>977</v>
      </c>
      <c r="O979" s="15">
        <v>10</v>
      </c>
      <c r="P979" s="15">
        <f>247+2.47</f>
        <v>249.47</v>
      </c>
      <c r="Q979" t="s" s="17">
        <v>369</v>
      </c>
    </row>
    <row r="980" ht="20.05" customHeight="1">
      <c r="A980" s="13">
        <f>A979+1</f>
        <v>978</v>
      </c>
      <c r="B980" s="14">
        <v>2023</v>
      </c>
      <c r="C980" s="15">
        <v>11</v>
      </c>
      <c r="D980" s="15">
        <v>1</v>
      </c>
      <c r="E980" s="16"/>
      <c r="F980" t="s" s="17">
        <v>287</v>
      </c>
      <c r="G980" s="16"/>
      <c r="H980" t="s" s="17">
        <v>253</v>
      </c>
      <c r="I980" t="s" s="17">
        <v>14</v>
      </c>
      <c r="J980" t="s" s="17">
        <v>279</v>
      </c>
      <c r="K980" t="s" s="17">
        <v>23</v>
      </c>
      <c r="L980" s="15">
        <f>IF(O980,P980/O980,0)</f>
        <v>31.31</v>
      </c>
      <c r="M980" s="15">
        <v>31.31</v>
      </c>
      <c r="N980" s="15">
        <f>A980</f>
        <v>978</v>
      </c>
      <c r="O980" s="15">
        <v>10</v>
      </c>
      <c r="P980" s="15">
        <f>310+3.1</f>
        <v>313.1</v>
      </c>
      <c r="Q980" t="s" s="17">
        <v>369</v>
      </c>
    </row>
    <row r="981" ht="32.05" customHeight="1">
      <c r="A981" s="13">
        <f>A980+1</f>
        <v>979</v>
      </c>
      <c r="B981" s="14">
        <v>2023</v>
      </c>
      <c r="C981" s="15">
        <v>11</v>
      </c>
      <c r="D981" s="15">
        <v>1</v>
      </c>
      <c r="E981" s="16"/>
      <c r="F981" t="s" s="17">
        <v>287</v>
      </c>
      <c r="G981" s="16"/>
      <c r="H981" t="s" s="17">
        <v>253</v>
      </c>
      <c r="I981" t="s" s="17">
        <v>17</v>
      </c>
      <c r="J981" t="s" s="17">
        <v>299</v>
      </c>
      <c r="K981" t="s" s="17">
        <v>23</v>
      </c>
      <c r="L981" s="15">
        <f>IF(O981,P981/O981,0)</f>
        <v>37.3279166666667</v>
      </c>
      <c r="M981" s="15">
        <v>37.3279166666667</v>
      </c>
      <c r="N981" s="15">
        <f>A981</f>
        <v>979</v>
      </c>
      <c r="O981" s="15">
        <v>24</v>
      </c>
      <c r="P981" s="15">
        <f>887+8.87</f>
        <v>895.87</v>
      </c>
      <c r="Q981" t="s" s="17">
        <v>369</v>
      </c>
    </row>
    <row r="982" ht="32.05" customHeight="1">
      <c r="A982" s="13">
        <f>A981+1</f>
        <v>980</v>
      </c>
      <c r="B982" s="14">
        <v>2023</v>
      </c>
      <c r="C982" s="15">
        <v>11</v>
      </c>
      <c r="D982" s="15">
        <v>1</v>
      </c>
      <c r="E982" s="16"/>
      <c r="F982" t="s" s="17">
        <v>287</v>
      </c>
      <c r="G982" s="16"/>
      <c r="H982" t="s" s="17">
        <v>253</v>
      </c>
      <c r="I982" t="s" s="17">
        <v>17</v>
      </c>
      <c r="J982" t="s" s="17">
        <v>300</v>
      </c>
      <c r="K982" t="s" s="17">
        <v>23</v>
      </c>
      <c r="L982" s="15">
        <f>IF(O982,P982/O982,0)</f>
        <v>32.1516666666667</v>
      </c>
      <c r="M982" s="15">
        <v>32.1516666666667</v>
      </c>
      <c r="N982" s="15">
        <f>A982</f>
        <v>980</v>
      </c>
      <c r="O982" s="15">
        <v>24</v>
      </c>
      <c r="P982" s="15">
        <f>764+7.64</f>
        <v>771.64</v>
      </c>
      <c r="Q982" t="s" s="17">
        <v>369</v>
      </c>
    </row>
    <row r="983" ht="20.05" customHeight="1">
      <c r="A983" s="13">
        <f>A982+1</f>
        <v>981</v>
      </c>
      <c r="B983" s="14">
        <v>2023</v>
      </c>
      <c r="C983" s="15">
        <v>11</v>
      </c>
      <c r="D983" s="15">
        <v>2</v>
      </c>
      <c r="E983" s="16"/>
      <c r="F983" t="s" s="17">
        <v>302</v>
      </c>
      <c r="G983" s="16"/>
      <c r="H983" t="s" s="17">
        <v>253</v>
      </c>
      <c r="I983" t="s" s="17">
        <v>187</v>
      </c>
      <c r="J983" t="s" s="17">
        <v>303</v>
      </c>
      <c r="K983" t="s" s="17">
        <v>23</v>
      </c>
      <c r="L983" s="15">
        <f>IF(O983,P983/O983,0)</f>
        <v>734.7</v>
      </c>
      <c r="M983" s="15">
        <v>734.7</v>
      </c>
      <c r="N983" s="15">
        <f>A983</f>
        <v>981</v>
      </c>
      <c r="O983" s="15">
        <v>1</v>
      </c>
      <c r="P983" s="15">
        <v>734.7</v>
      </c>
      <c r="Q983" s="16"/>
    </row>
    <row r="984" ht="20.05" customHeight="1">
      <c r="A984" s="13">
        <f>A983+1</f>
        <v>982</v>
      </c>
      <c r="B984" s="14">
        <v>2023</v>
      </c>
      <c r="C984" s="15">
        <v>11</v>
      </c>
      <c r="D984" s="15">
        <v>1</v>
      </c>
      <c r="E984" s="16"/>
      <c r="F984" t="s" s="17">
        <v>111</v>
      </c>
      <c r="G984" s="16"/>
      <c r="H984" t="s" s="17">
        <v>253</v>
      </c>
      <c r="I984" t="s" s="17">
        <v>19</v>
      </c>
      <c r="J984" t="s" s="17">
        <v>138</v>
      </c>
      <c r="K984" t="s" s="17">
        <v>41</v>
      </c>
      <c r="L984" s="15">
        <f>IF(O984,P984/O984,0)</f>
        <v>0.0287825</v>
      </c>
      <c r="M984" s="15">
        <v>0.0287825</v>
      </c>
      <c r="N984" s="15">
        <f>A984</f>
        <v>982</v>
      </c>
      <c r="O984" s="15">
        <f t="shared" si="3487" ref="O984:O1107">12*1000</f>
        <v>12000</v>
      </c>
      <c r="P984" s="15">
        <v>345.39</v>
      </c>
      <c r="Q984" s="16"/>
    </row>
    <row r="985" ht="20.05" customHeight="1">
      <c r="A985" s="13">
        <f>A984+1</f>
        <v>983</v>
      </c>
      <c r="B985" s="14">
        <v>2023</v>
      </c>
      <c r="C985" s="15">
        <v>11</v>
      </c>
      <c r="D985" s="15">
        <v>1</v>
      </c>
      <c r="E985" s="16"/>
      <c r="F985" t="s" s="17">
        <v>111</v>
      </c>
      <c r="G985" s="16"/>
      <c r="H985" t="s" s="17">
        <v>253</v>
      </c>
      <c r="I985" t="s" s="17">
        <v>19</v>
      </c>
      <c r="J985" t="s" s="17">
        <v>72</v>
      </c>
      <c r="K985" t="s" s="17">
        <v>41</v>
      </c>
      <c r="L985" s="15">
        <f>IF(O985,P985/O985,0)</f>
        <v>0.22992</v>
      </c>
      <c r="M985" s="15">
        <v>0.22992</v>
      </c>
      <c r="N985" s="15">
        <f>A985</f>
        <v>983</v>
      </c>
      <c r="O985" s="15">
        <v>250</v>
      </c>
      <c r="P985" s="15">
        <v>57.48</v>
      </c>
      <c r="Q985" s="16"/>
    </row>
    <row r="986" ht="20.05" customHeight="1">
      <c r="A986" s="13">
        <f>A985+1</f>
        <v>984</v>
      </c>
      <c r="B986" s="14">
        <v>2023</v>
      </c>
      <c r="C986" s="15">
        <v>11</v>
      </c>
      <c r="D986" s="15">
        <v>1</v>
      </c>
      <c r="E986" s="16"/>
      <c r="F986" t="s" s="17">
        <v>111</v>
      </c>
      <c r="G986" s="16"/>
      <c r="H986" t="s" s="17">
        <v>253</v>
      </c>
      <c r="I986" t="s" s="17">
        <v>26</v>
      </c>
      <c r="J986" t="s" s="17">
        <v>134</v>
      </c>
      <c r="K986" t="s" s="17">
        <v>23</v>
      </c>
      <c r="L986" s="15">
        <f>IF(O986,P986/O986,0)</f>
        <v>36.946</v>
      </c>
      <c r="M986" s="15">
        <v>36.946</v>
      </c>
      <c r="N986" s="15">
        <f>A986</f>
        <v>984</v>
      </c>
      <c r="O986" s="15">
        <v>10</v>
      </c>
      <c r="P986" s="15">
        <v>369.46</v>
      </c>
      <c r="Q986" s="16"/>
    </row>
    <row r="987" ht="20.05" customHeight="1">
      <c r="A987" s="13">
        <f>A986+1</f>
        <v>985</v>
      </c>
      <c r="B987" s="14">
        <v>2023</v>
      </c>
      <c r="C987" s="15">
        <v>11</v>
      </c>
      <c r="D987" s="15">
        <v>1</v>
      </c>
      <c r="E987" s="16"/>
      <c r="F987" t="s" s="17">
        <v>111</v>
      </c>
      <c r="G987" s="16"/>
      <c r="H987" t="s" s="17">
        <v>253</v>
      </c>
      <c r="I987" t="s" s="17">
        <v>19</v>
      </c>
      <c r="J987" t="s" s="17">
        <v>63</v>
      </c>
      <c r="K987" t="s" s="17">
        <v>16</v>
      </c>
      <c r="L987" s="15">
        <f>IF(O987,P987/O987,0)</f>
        <v>0.76956</v>
      </c>
      <c r="M987" s="15">
        <v>0.76956</v>
      </c>
      <c r="N987" s="15">
        <f>A987</f>
        <v>985</v>
      </c>
      <c r="O987" s="15">
        <v>250</v>
      </c>
      <c r="P987" s="15">
        <v>192.39</v>
      </c>
      <c r="Q987" s="16"/>
    </row>
    <row r="988" ht="20.05" customHeight="1">
      <c r="A988" s="13">
        <f>A987+1</f>
        <v>986</v>
      </c>
      <c r="B988" s="14">
        <v>2023</v>
      </c>
      <c r="C988" s="15">
        <v>11</v>
      </c>
      <c r="D988" s="15">
        <v>1</v>
      </c>
      <c r="E988" s="16"/>
      <c r="F988" t="s" s="17">
        <v>150</v>
      </c>
      <c r="G988" s="16"/>
      <c r="H988" t="s" s="17">
        <v>253</v>
      </c>
      <c r="I988" t="s" s="17">
        <v>19</v>
      </c>
      <c r="J988" t="s" s="17">
        <v>89</v>
      </c>
      <c r="K988" t="s" s="17">
        <v>41</v>
      </c>
      <c r="L988" s="15">
        <f>IF(O988,P988/O988,0)</f>
        <v>0.490571428571429</v>
      </c>
      <c r="M988" s="15">
        <v>0.490571428571429</v>
      </c>
      <c r="N988" s="15">
        <f>A988</f>
        <v>986</v>
      </c>
      <c r="O988" s="15">
        <v>700</v>
      </c>
      <c r="P988" s="42">
        <f t="shared" si="2972"/>
        <v>343.4</v>
      </c>
      <c r="Q988" s="16"/>
    </row>
    <row r="989" ht="20.05" customHeight="1">
      <c r="A989" s="13">
        <f>A988+1</f>
        <v>987</v>
      </c>
      <c r="B989" s="14">
        <v>2023</v>
      </c>
      <c r="C989" s="15">
        <v>11</v>
      </c>
      <c r="D989" s="15">
        <v>1</v>
      </c>
      <c r="E989" s="16"/>
      <c r="F989" t="s" s="17">
        <v>150</v>
      </c>
      <c r="G989" s="16"/>
      <c r="H989" t="s" s="17">
        <v>253</v>
      </c>
      <c r="I989" t="s" s="17">
        <v>19</v>
      </c>
      <c r="J989" t="s" s="17">
        <v>99</v>
      </c>
      <c r="K989" t="s" s="17">
        <v>41</v>
      </c>
      <c r="L989" s="15">
        <f>IF(O989,P989/O989,0)</f>
        <v>0.18584</v>
      </c>
      <c r="M989" s="15">
        <v>0.18584</v>
      </c>
      <c r="N989" s="15">
        <f>A989</f>
        <v>987</v>
      </c>
      <c r="O989" s="15">
        <v>1000</v>
      </c>
      <c r="P989" s="41">
        <f t="shared" si="3504" ref="P989:P1203">184+184*1%</f>
        <v>185.84</v>
      </c>
      <c r="Q989" s="16"/>
    </row>
    <row r="990" ht="20.05" customHeight="1">
      <c r="A990" s="13">
        <f>A989+1</f>
        <v>988</v>
      </c>
      <c r="B990" s="14">
        <v>2023</v>
      </c>
      <c r="C990" s="15">
        <v>11</v>
      </c>
      <c r="D990" s="15">
        <v>1</v>
      </c>
      <c r="E990" s="16"/>
      <c r="F990" t="s" s="17">
        <v>150</v>
      </c>
      <c r="G990" s="16"/>
      <c r="H990" t="s" s="17">
        <v>253</v>
      </c>
      <c r="I990" t="s" s="17">
        <v>19</v>
      </c>
      <c r="J990" t="s" s="17">
        <v>155</v>
      </c>
      <c r="K990" t="s" s="17">
        <v>16</v>
      </c>
      <c r="L990" s="15">
        <f>IF(O990,P990/O990,0)</f>
        <v>0.33936</v>
      </c>
      <c r="M990" s="15">
        <v>0.33936</v>
      </c>
      <c r="N990" s="15">
        <f>A990</f>
        <v>988</v>
      </c>
      <c r="O990" s="15">
        <f t="shared" si="3508" ref="O990:O1205">2*1000</f>
        <v>2000</v>
      </c>
      <c r="P990" s="41">
        <f t="shared" si="3509" ref="P990:P1205">672+672*1%</f>
        <v>678.72</v>
      </c>
      <c r="Q990" s="16"/>
    </row>
    <row r="991" ht="20.05" customHeight="1">
      <c r="A991" s="13">
        <f>A990+1</f>
        <v>989</v>
      </c>
      <c r="B991" s="14">
        <v>2023</v>
      </c>
      <c r="C991" s="15">
        <v>11</v>
      </c>
      <c r="D991" s="15">
        <v>1</v>
      </c>
      <c r="E991" s="16"/>
      <c r="F991" t="s" s="17">
        <v>150</v>
      </c>
      <c r="G991" s="16"/>
      <c r="H991" t="s" s="17">
        <v>253</v>
      </c>
      <c r="I991" t="s" s="17">
        <v>19</v>
      </c>
      <c r="J991" t="s" s="17">
        <v>70</v>
      </c>
      <c r="K991" t="s" s="17">
        <v>16</v>
      </c>
      <c r="L991" s="15">
        <f>IF(O991,P991/O991,0)</f>
        <v>0.33936</v>
      </c>
      <c r="M991" s="15">
        <v>0.33936</v>
      </c>
      <c r="N991" s="15">
        <f>A991</f>
        <v>989</v>
      </c>
      <c r="O991" s="15">
        <f t="shared" si="3508"/>
        <v>2000</v>
      </c>
      <c r="P991" s="41">
        <f t="shared" si="3509"/>
        <v>678.72</v>
      </c>
      <c r="Q991" s="16"/>
    </row>
    <row r="992" ht="20.05" customHeight="1">
      <c r="A992" s="13">
        <f>A991+1</f>
        <v>990</v>
      </c>
      <c r="B992" s="14">
        <v>2023</v>
      </c>
      <c r="C992" s="15">
        <v>11</v>
      </c>
      <c r="D992" s="15">
        <v>3</v>
      </c>
      <c r="E992" s="16"/>
      <c r="F992" t="s" s="17">
        <v>258</v>
      </c>
      <c r="G992" s="16"/>
      <c r="H992" t="s" s="17">
        <v>253</v>
      </c>
      <c r="I992" t="s" s="17">
        <v>19</v>
      </c>
      <c r="J992" t="s" s="17">
        <v>157</v>
      </c>
      <c r="K992" t="s" s="17">
        <v>16</v>
      </c>
      <c r="L992" s="15">
        <f>IF(O992,P992/O992,0)</f>
        <v>0.0149022004889976</v>
      </c>
      <c r="M992" s="15">
        <v>0.0149022004889976</v>
      </c>
      <c r="N992" s="15">
        <f>A992</f>
        <v>990</v>
      </c>
      <c r="O992" s="15">
        <v>1636</v>
      </c>
      <c r="P992" s="15">
        <f>27.65-3.27</f>
        <v>24.38</v>
      </c>
      <c r="Q992" s="16"/>
    </row>
    <row r="993" ht="20.05" customHeight="1">
      <c r="A993" s="13">
        <f>A992+1</f>
        <v>991</v>
      </c>
      <c r="B993" s="14">
        <v>2023</v>
      </c>
      <c r="C993" s="15">
        <v>11</v>
      </c>
      <c r="D993" s="15">
        <v>4</v>
      </c>
      <c r="E993" s="16"/>
      <c r="F993" t="s" s="17">
        <v>258</v>
      </c>
      <c r="G993" t="s" s="17">
        <v>370</v>
      </c>
      <c r="H993" t="s" s="17">
        <v>253</v>
      </c>
      <c r="I993" t="s" s="17">
        <v>187</v>
      </c>
      <c r="J993" t="s" s="17">
        <v>365</v>
      </c>
      <c r="K993" t="s" s="17">
        <v>23</v>
      </c>
      <c r="L993" s="15">
        <f>IF(O993,P993/O993,0)</f>
        <v>0.0199023090586146</v>
      </c>
      <c r="M993" s="15">
        <v>0.0199023090586146</v>
      </c>
      <c r="N993" s="15">
        <f>A993</f>
        <v>991</v>
      </c>
      <c r="O993" s="15">
        <v>1126</v>
      </c>
      <c r="P993" s="15">
        <v>22.41</v>
      </c>
      <c r="Q993" s="16"/>
    </row>
    <row r="994" ht="20.05" customHeight="1">
      <c r="A994" s="13">
        <f>A993+1</f>
        <v>992</v>
      </c>
      <c r="B994" s="14">
        <v>2023</v>
      </c>
      <c r="C994" s="15">
        <v>11</v>
      </c>
      <c r="D994" s="15">
        <v>4</v>
      </c>
      <c r="E994" s="16"/>
      <c r="F994" t="s" s="17">
        <v>258</v>
      </c>
      <c r="G994" t="s" s="17">
        <v>370</v>
      </c>
      <c r="H994" t="s" s="17">
        <v>253</v>
      </c>
      <c r="I994" t="s" s="17">
        <v>187</v>
      </c>
      <c r="J994" t="s" s="17">
        <v>342</v>
      </c>
      <c r="K994" t="s" s="17">
        <v>16</v>
      </c>
      <c r="L994" s="15">
        <f>IF(O994,P994/O994,0)</f>
        <v>0.0298941798941799</v>
      </c>
      <c r="M994" s="15">
        <v>0.0298941798941799</v>
      </c>
      <c r="N994" s="15">
        <f>A994</f>
        <v>992</v>
      </c>
      <c r="O994" s="15">
        <v>756</v>
      </c>
      <c r="P994" s="15">
        <f>29.41-6.81</f>
        <v>22.6</v>
      </c>
      <c r="Q994" s="16"/>
    </row>
    <row r="995" ht="20.05" customHeight="1">
      <c r="A995" s="13">
        <f>A994+1</f>
        <v>993</v>
      </c>
      <c r="B995" s="14">
        <v>2023</v>
      </c>
      <c r="C995" s="15">
        <v>11</v>
      </c>
      <c r="D995" s="15">
        <v>4</v>
      </c>
      <c r="E995" s="16"/>
      <c r="F995" t="s" s="17">
        <v>258</v>
      </c>
      <c r="G995" s="16"/>
      <c r="H995" t="s" s="17">
        <v>253</v>
      </c>
      <c r="I995" t="s" s="17">
        <v>187</v>
      </c>
      <c r="J995" t="s" s="17">
        <v>328</v>
      </c>
      <c r="K995" t="s" s="17">
        <v>23</v>
      </c>
      <c r="L995" s="15">
        <f>IF(O995,P995/O995,0)</f>
        <v>25.25</v>
      </c>
      <c r="M995" s="15">
        <v>25.25</v>
      </c>
      <c r="N995" s="15">
        <f>A995</f>
        <v>993</v>
      </c>
      <c r="O995" s="15">
        <v>1</v>
      </c>
      <c r="P995" s="15">
        <f>96.95-71.7</f>
        <v>25.25</v>
      </c>
      <c r="Q995" s="16"/>
    </row>
    <row r="996" ht="20.05" customHeight="1">
      <c r="A996" s="13">
        <f>A995+1</f>
        <v>994</v>
      </c>
      <c r="B996" s="14">
        <v>2023</v>
      </c>
      <c r="C996" s="15">
        <v>11</v>
      </c>
      <c r="D996" s="15">
        <v>4</v>
      </c>
      <c r="E996" s="16"/>
      <c r="F996" t="s" s="17">
        <v>141</v>
      </c>
      <c r="G996" s="16"/>
      <c r="H996" t="s" s="17">
        <v>253</v>
      </c>
      <c r="I996" t="s" s="17">
        <v>19</v>
      </c>
      <c r="J996" t="s" s="17">
        <v>142</v>
      </c>
      <c r="K996" t="s" s="17">
        <v>23</v>
      </c>
      <c r="L996" s="15">
        <f>IF(O996,P996/O996,0)</f>
        <v>13.85175</v>
      </c>
      <c r="M996" s="15">
        <v>13.85175</v>
      </c>
      <c r="N996" s="15">
        <f>A996</f>
        <v>994</v>
      </c>
      <c r="O996" s="15">
        <v>24</v>
      </c>
      <c r="P996" s="42">
        <f t="shared" si="2654"/>
        <v>332.442</v>
      </c>
      <c r="Q996" s="16"/>
    </row>
    <row r="997" ht="20.05" customHeight="1">
      <c r="A997" s="13">
        <f>A996+1</f>
        <v>995</v>
      </c>
      <c r="B997" s="14">
        <v>2023</v>
      </c>
      <c r="C997" s="15">
        <v>11</v>
      </c>
      <c r="D997" s="15">
        <v>4</v>
      </c>
      <c r="E997" s="16"/>
      <c r="F997" t="s" s="17">
        <v>141</v>
      </c>
      <c r="G997" s="16"/>
      <c r="H997" t="s" s="17">
        <v>253</v>
      </c>
      <c r="I997" t="s" s="17">
        <v>19</v>
      </c>
      <c r="J997" t="s" s="17">
        <v>159</v>
      </c>
      <c r="K997" t="s" s="17">
        <v>23</v>
      </c>
      <c r="L997" s="15">
        <f>IF(O997,P997/O997,0)</f>
        <v>2.19977083333333</v>
      </c>
      <c r="M997" s="15">
        <v>2.19977083333333</v>
      </c>
      <c r="N997" s="15">
        <f>A997</f>
        <v>995</v>
      </c>
      <c r="O997" s="15">
        <f t="shared" si="3537" ref="O997:O1612">4*24</f>
        <v>96</v>
      </c>
      <c r="P997" s="42">
        <f>191.98+191.98*10%</f>
        <v>211.178</v>
      </c>
      <c r="Q997" s="16"/>
    </row>
    <row r="998" ht="32.05" customHeight="1">
      <c r="A998" s="13">
        <f>A997+1</f>
        <v>996</v>
      </c>
      <c r="B998" s="14">
        <v>2023</v>
      </c>
      <c r="C998" s="15">
        <v>11</v>
      </c>
      <c r="D998" s="15">
        <v>4</v>
      </c>
      <c r="E998" s="16"/>
      <c r="F998" t="s" s="17">
        <v>287</v>
      </c>
      <c r="G998" s="16"/>
      <c r="H998" t="s" s="17">
        <v>253</v>
      </c>
      <c r="I998" t="s" s="17">
        <v>14</v>
      </c>
      <c r="J998" t="s" s="17">
        <v>283</v>
      </c>
      <c r="K998" t="s" s="17">
        <v>23</v>
      </c>
      <c r="L998" s="15">
        <f>IF(O998,P998/O998,0)</f>
        <v>35.8045</v>
      </c>
      <c r="M998" s="15">
        <v>35.8045</v>
      </c>
      <c r="N998" s="15">
        <f>A998</f>
        <v>996</v>
      </c>
      <c r="O998" s="15">
        <v>10</v>
      </c>
      <c r="P998" s="42">
        <f t="shared" si="2954"/>
        <v>358.045</v>
      </c>
      <c r="Q998" s="16"/>
    </row>
    <row r="999" ht="20.05" customHeight="1">
      <c r="A999" s="13">
        <f>A998+1</f>
        <v>997</v>
      </c>
      <c r="B999" s="14">
        <v>2023</v>
      </c>
      <c r="C999" s="15">
        <v>11</v>
      </c>
      <c r="D999" s="15">
        <v>4</v>
      </c>
      <c r="E999" s="16"/>
      <c r="F999" t="s" s="17">
        <v>287</v>
      </c>
      <c r="G999" s="16"/>
      <c r="H999" t="s" s="17">
        <v>253</v>
      </c>
      <c r="I999" t="s" s="17">
        <v>14</v>
      </c>
      <c r="J999" t="s" s="17">
        <v>279</v>
      </c>
      <c r="K999" t="s" s="17">
        <v>23</v>
      </c>
      <c r="L999" s="15">
        <f>IF(O999,P999/O999,0)</f>
        <v>34.3905</v>
      </c>
      <c r="M999" s="15">
        <v>34.3905</v>
      </c>
      <c r="N999" s="15">
        <f>A999</f>
        <v>997</v>
      </c>
      <c r="O999" s="15">
        <f t="shared" si="3176"/>
        <v>20</v>
      </c>
      <c r="P999" s="41">
        <f t="shared" si="3177"/>
        <v>687.8099999999999</v>
      </c>
      <c r="Q999" s="16"/>
    </row>
    <row r="1000" ht="20.05" customHeight="1">
      <c r="A1000" s="13">
        <f>A999+1</f>
        <v>998</v>
      </c>
      <c r="B1000" s="14">
        <v>2023</v>
      </c>
      <c r="C1000" s="15">
        <v>11</v>
      </c>
      <c r="D1000" s="15">
        <v>5</v>
      </c>
      <c r="E1000" s="16"/>
      <c r="F1000" t="s" s="17">
        <v>258</v>
      </c>
      <c r="G1000" s="16"/>
      <c r="H1000" t="s" s="17">
        <v>253</v>
      </c>
      <c r="I1000" t="s" s="17">
        <v>19</v>
      </c>
      <c r="J1000" t="s" s="17">
        <v>157</v>
      </c>
      <c r="K1000" t="s" s="17">
        <v>16</v>
      </c>
      <c r="L1000" s="15">
        <f>IF(O1000,P1000/O1000,0)</f>
        <v>0.009900990099009899</v>
      </c>
      <c r="M1000" s="15">
        <v>0.009900990099009899</v>
      </c>
      <c r="N1000" s="15">
        <f>A1000</f>
        <v>998</v>
      </c>
      <c r="O1000" s="15">
        <v>1818</v>
      </c>
      <c r="P1000" s="15">
        <f>21.63-3.63</f>
        <v>18</v>
      </c>
      <c r="Q1000" s="16"/>
    </row>
    <row r="1001" ht="20.05" customHeight="1">
      <c r="A1001" s="13">
        <f>A1000+1</f>
        <v>999</v>
      </c>
      <c r="B1001" s="14">
        <v>2023</v>
      </c>
      <c r="C1001" s="15">
        <v>11</v>
      </c>
      <c r="D1001" s="15">
        <v>5</v>
      </c>
      <c r="E1001" s="16"/>
      <c r="F1001" t="s" s="17">
        <v>258</v>
      </c>
      <c r="G1001" s="16"/>
      <c r="H1001" t="s" s="17">
        <v>253</v>
      </c>
      <c r="I1001" t="s" s="17">
        <v>19</v>
      </c>
      <c r="J1001" t="s" s="17">
        <v>112</v>
      </c>
      <c r="K1001" t="s" s="17">
        <v>41</v>
      </c>
      <c r="L1001" s="15">
        <f>IF(O1001,P1001/O1001,0)</f>
        <v>0.041</v>
      </c>
      <c r="M1001" s="15">
        <v>0.041</v>
      </c>
      <c r="N1001" s="15">
        <f>A1001</f>
        <v>999</v>
      </c>
      <c r="O1001" s="15">
        <v>1000</v>
      </c>
      <c r="P1001" s="15">
        <v>41</v>
      </c>
      <c r="Q1001" s="16"/>
    </row>
    <row r="1002" ht="20.05" customHeight="1">
      <c r="A1002" s="13">
        <f>A1001+1</f>
        <v>1000</v>
      </c>
      <c r="B1002" s="14">
        <v>2023</v>
      </c>
      <c r="C1002" s="15">
        <v>11</v>
      </c>
      <c r="D1002" s="15">
        <v>7</v>
      </c>
      <c r="E1002" s="16"/>
      <c r="F1002" t="s" s="17">
        <v>371</v>
      </c>
      <c r="G1002" t="s" s="17">
        <v>372</v>
      </c>
      <c r="H1002" t="s" s="17">
        <v>253</v>
      </c>
      <c r="I1002" t="s" s="17">
        <v>199</v>
      </c>
      <c r="J1002" t="s" s="17">
        <v>185</v>
      </c>
      <c r="K1002" t="s" s="17">
        <v>23</v>
      </c>
      <c r="L1002" s="15">
        <f>IF(O1002,P1002/O1002,0)</f>
        <v>1140</v>
      </c>
      <c r="M1002" s="15">
        <v>1140</v>
      </c>
      <c r="N1002" s="15">
        <f>A1002</f>
        <v>1000</v>
      </c>
      <c r="O1002" s="15">
        <v>1</v>
      </c>
      <c r="P1002" s="15">
        <v>1140</v>
      </c>
      <c r="Q1002" s="16"/>
    </row>
    <row r="1003" ht="20.05" customHeight="1">
      <c r="A1003" s="13">
        <f>A1002+1</f>
        <v>1001</v>
      </c>
      <c r="B1003" s="14">
        <v>2023</v>
      </c>
      <c r="C1003" s="15">
        <v>11</v>
      </c>
      <c r="D1003" s="15">
        <v>8</v>
      </c>
      <c r="E1003" s="16"/>
      <c r="F1003" t="s" s="17">
        <v>111</v>
      </c>
      <c r="G1003" s="16"/>
      <c r="H1003" t="s" s="17">
        <v>253</v>
      </c>
      <c r="I1003" t="s" s="17">
        <v>19</v>
      </c>
      <c r="J1003" t="s" s="17">
        <v>112</v>
      </c>
      <c r="K1003" t="s" s="17">
        <v>41</v>
      </c>
      <c r="L1003" s="15">
        <f>IF(O1003,P1003/O1003,0)</f>
        <v>0.030694</v>
      </c>
      <c r="M1003" s="15">
        <v>0.030694</v>
      </c>
      <c r="N1003" s="15">
        <f>A1003</f>
        <v>1001</v>
      </c>
      <c r="O1003" s="15">
        <f t="shared" si="2743"/>
        <v>5000</v>
      </c>
      <c r="P1003" s="15">
        <v>153.47</v>
      </c>
      <c r="Q1003" s="16"/>
    </row>
    <row r="1004" ht="20.05" customHeight="1">
      <c r="A1004" s="13">
        <f>A1003+1</f>
        <v>1002</v>
      </c>
      <c r="B1004" s="14">
        <v>2023</v>
      </c>
      <c r="C1004" s="15">
        <v>11</v>
      </c>
      <c r="D1004" s="15">
        <v>8</v>
      </c>
      <c r="E1004" s="16"/>
      <c r="F1004" t="s" s="17">
        <v>111</v>
      </c>
      <c r="G1004" s="16"/>
      <c r="H1004" t="s" s="17">
        <v>253</v>
      </c>
      <c r="I1004" t="s" s="17">
        <v>26</v>
      </c>
      <c r="J1004" t="s" s="17">
        <v>134</v>
      </c>
      <c r="K1004" t="s" s="17">
        <v>23</v>
      </c>
      <c r="L1004" s="15">
        <f>IF(O1004,P1004/O1004,0)</f>
        <v>34.512</v>
      </c>
      <c r="M1004" s="15">
        <v>34.512</v>
      </c>
      <c r="N1004" s="15">
        <f>A1004</f>
        <v>1002</v>
      </c>
      <c r="O1004" s="15">
        <v>5</v>
      </c>
      <c r="P1004" s="15">
        <v>172.56</v>
      </c>
      <c r="Q1004" s="16"/>
    </row>
    <row r="1005" ht="20.05" customHeight="1">
      <c r="A1005" s="13">
        <f>A1004+1</f>
        <v>1003</v>
      </c>
      <c r="B1005" s="14">
        <v>2023</v>
      </c>
      <c r="C1005" s="15">
        <v>11</v>
      </c>
      <c r="D1005" s="15">
        <v>11</v>
      </c>
      <c r="E1005" s="16"/>
      <c r="F1005" t="s" s="17">
        <v>141</v>
      </c>
      <c r="G1005" s="16"/>
      <c r="H1005" t="s" s="17">
        <v>253</v>
      </c>
      <c r="I1005" t="s" s="17">
        <v>19</v>
      </c>
      <c r="J1005" t="s" s="17">
        <v>159</v>
      </c>
      <c r="K1005" t="s" s="17">
        <v>23</v>
      </c>
      <c r="L1005" s="15">
        <f>IF(O1005,P1005/O1005,0)</f>
        <v>2.21989583333333</v>
      </c>
      <c r="M1005" s="15">
        <v>2.21989583333333</v>
      </c>
      <c r="N1005" s="15">
        <f>A1005</f>
        <v>1003</v>
      </c>
      <c r="O1005" s="15">
        <f>12*24</f>
        <v>288</v>
      </c>
      <c r="P1005" s="41">
        <f>633+633*1%</f>
        <v>639.33</v>
      </c>
      <c r="Q1005" s="16"/>
    </row>
    <row r="1006" ht="20.05" customHeight="1">
      <c r="A1006" s="13">
        <f>A1005+1</f>
        <v>1004</v>
      </c>
      <c r="B1006" s="14">
        <v>2023</v>
      </c>
      <c r="C1006" s="15">
        <v>11</v>
      </c>
      <c r="D1006" s="15">
        <v>11</v>
      </c>
      <c r="E1006" s="16"/>
      <c r="F1006" t="s" s="17">
        <v>141</v>
      </c>
      <c r="G1006" s="16"/>
      <c r="H1006" t="s" s="17">
        <v>253</v>
      </c>
      <c r="I1006" t="s" s="17">
        <v>19</v>
      </c>
      <c r="J1006" t="s" s="17">
        <v>142</v>
      </c>
      <c r="K1006" t="s" s="17">
        <v>23</v>
      </c>
      <c r="L1006" s="15">
        <f>IF(O1006,P1006/O1006,0)</f>
        <v>13.85175</v>
      </c>
      <c r="M1006" s="15">
        <v>13.85175</v>
      </c>
      <c r="N1006" s="15">
        <f>A1006</f>
        <v>1004</v>
      </c>
      <c r="O1006" s="15">
        <v>24</v>
      </c>
      <c r="P1006" s="42">
        <f t="shared" si="2654"/>
        <v>332.442</v>
      </c>
      <c r="Q1006" s="16"/>
    </row>
    <row r="1007" ht="20.05" customHeight="1">
      <c r="A1007" s="13">
        <f>A1006+1</f>
        <v>1005</v>
      </c>
      <c r="B1007" s="14">
        <v>2023</v>
      </c>
      <c r="C1007" s="15">
        <v>11</v>
      </c>
      <c r="D1007" s="15">
        <v>11</v>
      </c>
      <c r="E1007" s="16"/>
      <c r="F1007" t="s" s="17">
        <v>287</v>
      </c>
      <c r="G1007" s="16"/>
      <c r="H1007" t="s" s="17">
        <v>253</v>
      </c>
      <c r="I1007" t="s" s="17">
        <v>14</v>
      </c>
      <c r="J1007" t="s" s="17">
        <v>289</v>
      </c>
      <c r="K1007" t="s" s="17">
        <v>23</v>
      </c>
      <c r="L1007" s="15">
        <f>IF(O1007,P1007/O1007,0)</f>
        <v>32.724</v>
      </c>
      <c r="M1007" s="15">
        <v>32.724</v>
      </c>
      <c r="N1007" s="15">
        <f>A1007</f>
        <v>1005</v>
      </c>
      <c r="O1007" s="15">
        <v>10</v>
      </c>
      <c r="P1007" s="41">
        <f t="shared" si="2723"/>
        <v>327.24</v>
      </c>
      <c r="Q1007" s="16"/>
    </row>
    <row r="1008" ht="20.05" customHeight="1">
      <c r="A1008" s="13">
        <f>A1007+1</f>
        <v>1006</v>
      </c>
      <c r="B1008" s="14">
        <v>2023</v>
      </c>
      <c r="C1008" s="15">
        <v>11</v>
      </c>
      <c r="D1008" s="15">
        <v>11</v>
      </c>
      <c r="E1008" s="16"/>
      <c r="F1008" t="s" s="17">
        <v>287</v>
      </c>
      <c r="G1008" s="16"/>
      <c r="H1008" t="s" s="17">
        <v>253</v>
      </c>
      <c r="I1008" t="s" s="17">
        <v>14</v>
      </c>
      <c r="J1008" t="s" s="17">
        <v>288</v>
      </c>
      <c r="K1008" t="s" s="17">
        <v>23</v>
      </c>
      <c r="L1008" s="15">
        <f>IF(O1008,P1008/O1008,0)</f>
        <v>37.5383333333333</v>
      </c>
      <c r="M1008" s="15">
        <v>37.5383333333333</v>
      </c>
      <c r="N1008" s="15">
        <f>A1008</f>
        <v>1006</v>
      </c>
      <c r="O1008" s="15">
        <v>9</v>
      </c>
      <c r="P1008" s="42">
        <f t="shared" si="2732"/>
        <v>337.845</v>
      </c>
      <c r="Q1008" s="16"/>
    </row>
    <row r="1009" ht="20.05" customHeight="1">
      <c r="A1009" s="13">
        <f>A1008+1</f>
        <v>1007</v>
      </c>
      <c r="B1009" s="14">
        <v>2023</v>
      </c>
      <c r="C1009" s="15">
        <v>11</v>
      </c>
      <c r="D1009" s="15">
        <v>11</v>
      </c>
      <c r="E1009" s="16"/>
      <c r="F1009" t="s" s="17">
        <v>287</v>
      </c>
      <c r="G1009" s="16"/>
      <c r="H1009" t="s" s="17">
        <v>253</v>
      </c>
      <c r="I1009" t="s" s="17">
        <v>14</v>
      </c>
      <c r="J1009" t="s" s="17">
        <v>279</v>
      </c>
      <c r="K1009" t="s" s="17">
        <v>23</v>
      </c>
      <c r="L1009" s="15">
        <f>IF(O1009,P1009/O1009,0)</f>
        <v>34.3905</v>
      </c>
      <c r="M1009" s="15">
        <v>34.3905</v>
      </c>
      <c r="N1009" s="15">
        <f>A1009</f>
        <v>1007</v>
      </c>
      <c r="O1009" s="15">
        <v>10</v>
      </c>
      <c r="P1009" s="42">
        <f t="shared" si="2690"/>
        <v>343.905</v>
      </c>
      <c r="Q1009" s="16"/>
    </row>
    <row r="1010" ht="20.05" customHeight="1">
      <c r="A1010" s="13">
        <f>A1009+1</f>
        <v>1008</v>
      </c>
      <c r="B1010" s="14">
        <v>2023</v>
      </c>
      <c r="C1010" s="15">
        <v>11</v>
      </c>
      <c r="D1010" s="15">
        <v>12</v>
      </c>
      <c r="E1010" s="16"/>
      <c r="F1010" t="s" s="17">
        <v>293</v>
      </c>
      <c r="G1010" s="16"/>
      <c r="H1010" t="s" s="17">
        <v>253</v>
      </c>
      <c r="I1010" t="s" s="17">
        <v>19</v>
      </c>
      <c r="J1010" t="s" s="17">
        <v>157</v>
      </c>
      <c r="K1010" t="s" s="17">
        <v>16</v>
      </c>
      <c r="L1010" s="15">
        <f>IF(O1010,P1010/O1010,0)</f>
        <v>0.0147521865889213</v>
      </c>
      <c r="M1010" s="15">
        <v>0.0147521865889213</v>
      </c>
      <c r="N1010" s="15">
        <f>A1010</f>
        <v>1008</v>
      </c>
      <c r="O1010" s="15">
        <v>1715</v>
      </c>
      <c r="P1010" s="15">
        <v>25.3</v>
      </c>
      <c r="Q1010" s="16"/>
    </row>
    <row r="1011" ht="20.05" customHeight="1">
      <c r="A1011" s="13">
        <f>A1010+1</f>
        <v>1009</v>
      </c>
      <c r="B1011" s="14">
        <v>2023</v>
      </c>
      <c r="C1011" s="15">
        <v>11</v>
      </c>
      <c r="D1011" s="15">
        <v>15</v>
      </c>
      <c r="E1011" s="16"/>
      <c r="F1011" t="s" s="17">
        <v>150</v>
      </c>
      <c r="G1011" s="16"/>
      <c r="H1011" t="s" s="17">
        <v>253</v>
      </c>
      <c r="I1011" t="s" s="17">
        <v>19</v>
      </c>
      <c r="J1011" t="s" s="17">
        <v>155</v>
      </c>
      <c r="K1011" t="s" s="17">
        <v>16</v>
      </c>
      <c r="L1011" s="15">
        <f>IF(O1011,P1011/O1011,0)</f>
        <v>0.33936</v>
      </c>
      <c r="M1011" s="15">
        <v>0.33936</v>
      </c>
      <c r="N1011" s="15">
        <f>A1011</f>
        <v>1009</v>
      </c>
      <c r="O1011" s="15">
        <f t="shared" si="3508"/>
        <v>2000</v>
      </c>
      <c r="P1011" s="41">
        <f t="shared" si="3509"/>
        <v>678.72</v>
      </c>
      <c r="Q1011" s="16"/>
    </row>
    <row r="1012" ht="20.05" customHeight="1">
      <c r="A1012" s="13">
        <f>A1011+1</f>
        <v>1010</v>
      </c>
      <c r="B1012" s="14">
        <v>2023</v>
      </c>
      <c r="C1012" s="15">
        <v>11</v>
      </c>
      <c r="D1012" s="15">
        <v>15</v>
      </c>
      <c r="E1012" s="16"/>
      <c r="F1012" t="s" s="17">
        <v>150</v>
      </c>
      <c r="G1012" s="16"/>
      <c r="H1012" t="s" s="17">
        <v>253</v>
      </c>
      <c r="I1012" t="s" s="17">
        <v>19</v>
      </c>
      <c r="J1012" t="s" s="17">
        <v>70</v>
      </c>
      <c r="K1012" t="s" s="17">
        <v>16</v>
      </c>
      <c r="L1012" s="15">
        <f>IF(O1012,P1012/O1012,0)</f>
        <v>0.33936</v>
      </c>
      <c r="M1012" s="15">
        <v>0.33936</v>
      </c>
      <c r="N1012" s="15">
        <f>A1012</f>
        <v>1010</v>
      </c>
      <c r="O1012" s="15">
        <f t="shared" si="3508"/>
        <v>2000</v>
      </c>
      <c r="P1012" s="41">
        <f t="shared" si="3509"/>
        <v>678.72</v>
      </c>
      <c r="Q1012" s="16"/>
    </row>
    <row r="1013" ht="32.05" customHeight="1">
      <c r="A1013" s="13">
        <f>A1012+1</f>
        <v>1011</v>
      </c>
      <c r="B1013" s="14">
        <v>2023</v>
      </c>
      <c r="C1013" s="15">
        <v>11</v>
      </c>
      <c r="D1013" s="15">
        <v>1</v>
      </c>
      <c r="E1013" s="16"/>
      <c r="F1013" t="s" s="17">
        <v>287</v>
      </c>
      <c r="G1013" s="16"/>
      <c r="H1013" t="s" s="17">
        <v>163</v>
      </c>
      <c r="I1013" t="s" s="17">
        <v>14</v>
      </c>
      <c r="J1013" t="s" s="17">
        <v>282</v>
      </c>
      <c r="K1013" t="s" s="17">
        <v>23</v>
      </c>
      <c r="L1013" s="15">
        <f>IF(O1013,P1013/O1013,0)</f>
        <v>12.019</v>
      </c>
      <c r="M1013" s="15">
        <v>12.019</v>
      </c>
      <c r="N1013" s="15">
        <f>A1013</f>
        <v>1011</v>
      </c>
      <c r="O1013" s="15">
        <v>10</v>
      </c>
      <c r="P1013" s="15">
        <f>119+1.19</f>
        <v>120.19</v>
      </c>
      <c r="Q1013" t="s" s="17">
        <v>373</v>
      </c>
    </row>
    <row r="1014" ht="32.05" customHeight="1">
      <c r="A1014" s="13">
        <f>A1013+1</f>
        <v>1012</v>
      </c>
      <c r="B1014" s="14">
        <v>2023</v>
      </c>
      <c r="C1014" s="15">
        <v>11</v>
      </c>
      <c r="D1014" s="15">
        <v>1</v>
      </c>
      <c r="E1014" s="16"/>
      <c r="F1014" t="s" s="17">
        <v>287</v>
      </c>
      <c r="G1014" s="16"/>
      <c r="H1014" t="s" s="17">
        <v>163</v>
      </c>
      <c r="I1014" t="s" s="17">
        <v>17</v>
      </c>
      <c r="J1014" t="s" s="17">
        <v>299</v>
      </c>
      <c r="K1014" t="s" s="17">
        <v>23</v>
      </c>
      <c r="L1014" s="15">
        <f>IF(O1014,P1014/O1014,0)</f>
        <v>17.8854166666667</v>
      </c>
      <c r="M1014" s="15">
        <v>17.8854166666667</v>
      </c>
      <c r="N1014" s="15">
        <f>A1014</f>
        <v>1012</v>
      </c>
      <c r="O1014" s="15">
        <v>24</v>
      </c>
      <c r="P1014" s="15">
        <f>425+4.25</f>
        <v>429.25</v>
      </c>
      <c r="Q1014" t="s" s="17">
        <v>373</v>
      </c>
    </row>
    <row r="1015" ht="32.05" customHeight="1">
      <c r="A1015" s="13">
        <f>A1014+1</f>
        <v>1013</v>
      </c>
      <c r="B1015" s="14">
        <v>2023</v>
      </c>
      <c r="C1015" s="15">
        <v>11</v>
      </c>
      <c r="D1015" s="15">
        <v>1</v>
      </c>
      <c r="E1015" s="16"/>
      <c r="F1015" t="s" s="17">
        <v>287</v>
      </c>
      <c r="G1015" s="16"/>
      <c r="H1015" t="s" s="17">
        <v>163</v>
      </c>
      <c r="I1015" t="s" s="17">
        <v>17</v>
      </c>
      <c r="J1015" t="s" s="17">
        <v>300</v>
      </c>
      <c r="K1015" t="s" s="17">
        <v>23</v>
      </c>
      <c r="L1015" s="15">
        <f>IF(O1015,P1015/O1015,0)</f>
        <v>15.4025</v>
      </c>
      <c r="M1015" s="15">
        <v>15.4025</v>
      </c>
      <c r="N1015" s="15">
        <f>A1015</f>
        <v>1013</v>
      </c>
      <c r="O1015" s="15">
        <v>24</v>
      </c>
      <c r="P1015" s="15">
        <f>366+3.66</f>
        <v>369.66</v>
      </c>
      <c r="Q1015" t="s" s="17">
        <v>373</v>
      </c>
    </row>
    <row r="1016" ht="20.05" customHeight="1">
      <c r="A1016" s="13">
        <f>A1015+1</f>
        <v>1014</v>
      </c>
      <c r="B1016" s="14">
        <v>2023</v>
      </c>
      <c r="C1016" s="15">
        <v>11</v>
      </c>
      <c r="D1016" s="15">
        <v>1</v>
      </c>
      <c r="E1016" s="16"/>
      <c r="F1016" t="s" s="17">
        <v>150</v>
      </c>
      <c r="G1016" s="16"/>
      <c r="H1016" t="s" s="17">
        <v>163</v>
      </c>
      <c r="I1016" t="s" s="17">
        <v>19</v>
      </c>
      <c r="J1016" t="s" s="17">
        <v>105</v>
      </c>
      <c r="K1016" t="s" s="17">
        <v>41</v>
      </c>
      <c r="L1016" s="15">
        <f>IF(O1016,P1016/O1016,0)</f>
        <v>0.360906666666667</v>
      </c>
      <c r="M1016" s="15">
        <v>0.360906666666667</v>
      </c>
      <c r="N1016" s="15">
        <f>A1016</f>
        <v>1014</v>
      </c>
      <c r="O1016" s="15">
        <v>750</v>
      </c>
      <c r="P1016" s="41">
        <f t="shared" si="3614" ref="P1016:P1146">268+268*1%</f>
        <v>270.68</v>
      </c>
      <c r="Q1016" s="16"/>
    </row>
    <row r="1017" ht="20.05" customHeight="1">
      <c r="A1017" s="13">
        <f>A1016+1</f>
        <v>1015</v>
      </c>
      <c r="B1017" s="14">
        <v>2023</v>
      </c>
      <c r="C1017" s="15">
        <v>11</v>
      </c>
      <c r="D1017" s="15">
        <v>1</v>
      </c>
      <c r="E1017" s="16"/>
      <c r="F1017" t="s" s="17">
        <v>150</v>
      </c>
      <c r="G1017" s="16"/>
      <c r="H1017" t="s" s="17">
        <v>163</v>
      </c>
      <c r="I1017" t="s" s="17">
        <v>19</v>
      </c>
      <c r="J1017" t="s" s="17">
        <v>97</v>
      </c>
      <c r="K1017" t="s" s="17">
        <v>41</v>
      </c>
      <c r="L1017" s="15">
        <f>IF(O1017,P1017/O1017,0)</f>
        <v>0.18584</v>
      </c>
      <c r="M1017" s="15">
        <v>0.18584</v>
      </c>
      <c r="N1017" s="15">
        <f>A1017</f>
        <v>1015</v>
      </c>
      <c r="O1017" s="15">
        <v>1000</v>
      </c>
      <c r="P1017" s="41">
        <f t="shared" si="3504"/>
        <v>185.84</v>
      </c>
      <c r="Q1017" s="16"/>
    </row>
    <row r="1018" ht="20.05" customHeight="1">
      <c r="A1018" s="13">
        <f>A1017+1</f>
        <v>1016</v>
      </c>
      <c r="B1018" s="14">
        <v>2023</v>
      </c>
      <c r="C1018" s="15">
        <v>11</v>
      </c>
      <c r="D1018" s="15">
        <v>1</v>
      </c>
      <c r="E1018" s="16"/>
      <c r="F1018" t="s" s="17">
        <v>111</v>
      </c>
      <c r="G1018" s="16"/>
      <c r="H1018" t="s" s="17">
        <v>163</v>
      </c>
      <c r="I1018" t="s" s="17">
        <v>19</v>
      </c>
      <c r="J1018" t="s" s="17">
        <v>112</v>
      </c>
      <c r="K1018" t="s" s="17">
        <v>41</v>
      </c>
      <c r="L1018" s="15">
        <f>IF(O1018,P1018/O1018,0)</f>
        <v>0.03434</v>
      </c>
      <c r="M1018" s="15">
        <v>0.03434</v>
      </c>
      <c r="N1018" s="15">
        <f>A1018</f>
        <v>1016</v>
      </c>
      <c r="O1018" s="15">
        <f t="shared" si="3622" ref="O1018:O1950">6*1000</f>
        <v>6000</v>
      </c>
      <c r="P1018" s="15">
        <v>206.04</v>
      </c>
      <c r="Q1018" s="16"/>
    </row>
    <row r="1019" ht="20.05" customHeight="1">
      <c r="A1019" s="13">
        <f>A1018+1</f>
        <v>1017</v>
      </c>
      <c r="B1019" s="14">
        <v>2023</v>
      </c>
      <c r="C1019" s="15">
        <v>11</v>
      </c>
      <c r="D1019" s="15">
        <v>1</v>
      </c>
      <c r="E1019" s="16"/>
      <c r="F1019" t="s" s="17">
        <v>111</v>
      </c>
      <c r="G1019" s="16"/>
      <c r="H1019" t="s" s="17">
        <v>163</v>
      </c>
      <c r="I1019" t="s" s="17">
        <v>26</v>
      </c>
      <c r="J1019" t="s" s="17">
        <v>113</v>
      </c>
      <c r="K1019" t="s" s="17">
        <v>41</v>
      </c>
      <c r="L1019" s="15">
        <f>IF(O1019,P1019/O1019,0)</f>
        <v>0.02585</v>
      </c>
      <c r="M1019" s="15">
        <v>0.02585</v>
      </c>
      <c r="N1019" s="15">
        <f>A1019</f>
        <v>1017</v>
      </c>
      <c r="O1019" s="15">
        <v>3000</v>
      </c>
      <c r="P1019" s="15">
        <v>77.55</v>
      </c>
      <c r="Q1019" s="16"/>
    </row>
    <row r="1020" ht="20.05" customHeight="1">
      <c r="A1020" s="13">
        <f>A1019+1</f>
        <v>1018</v>
      </c>
      <c r="B1020" s="14">
        <v>2023</v>
      </c>
      <c r="C1020" s="15">
        <v>11</v>
      </c>
      <c r="D1020" s="15">
        <v>1</v>
      </c>
      <c r="E1020" s="16"/>
      <c r="F1020" t="s" s="17">
        <v>111</v>
      </c>
      <c r="G1020" s="16"/>
      <c r="H1020" t="s" s="17">
        <v>163</v>
      </c>
      <c r="I1020" t="s" s="17">
        <v>26</v>
      </c>
      <c r="J1020" t="s" s="17">
        <v>117</v>
      </c>
      <c r="K1020" t="s" s="17">
        <v>23</v>
      </c>
      <c r="L1020" s="15">
        <f>IF(O1020,P1020/O1020,0)</f>
        <v>44.328</v>
      </c>
      <c r="M1020" s="15">
        <v>44.328</v>
      </c>
      <c r="N1020" s="15">
        <f>A1020</f>
        <v>1018</v>
      </c>
      <c r="O1020" s="15">
        <v>5</v>
      </c>
      <c r="P1020" s="15">
        <v>221.64</v>
      </c>
      <c r="Q1020" s="16"/>
    </row>
    <row r="1021" ht="20.05" customHeight="1">
      <c r="A1021" s="13">
        <f>A1020+1</f>
        <v>1019</v>
      </c>
      <c r="B1021" s="14">
        <v>2023</v>
      </c>
      <c r="C1021" s="15">
        <v>11</v>
      </c>
      <c r="D1021" s="15">
        <v>1</v>
      </c>
      <c r="E1021" s="16"/>
      <c r="F1021" t="s" s="17">
        <v>111</v>
      </c>
      <c r="G1021" s="16"/>
      <c r="H1021" t="s" s="17">
        <v>163</v>
      </c>
      <c r="I1021" t="s" s="17">
        <v>26</v>
      </c>
      <c r="J1021" t="s" s="17">
        <v>134</v>
      </c>
      <c r="K1021" t="s" s="17">
        <v>23</v>
      </c>
      <c r="L1021" s="15">
        <f>IF(O1021,P1021/O1021,0)</f>
        <v>45.47</v>
      </c>
      <c r="M1021" s="15">
        <v>45.47</v>
      </c>
      <c r="N1021" s="15">
        <f>A1021</f>
        <v>1019</v>
      </c>
      <c r="O1021" s="15">
        <v>10</v>
      </c>
      <c r="P1021" s="15">
        <v>454.7</v>
      </c>
      <c r="Q1021" s="16"/>
    </row>
    <row r="1022" ht="20.05" customHeight="1">
      <c r="A1022" s="13">
        <f>A1021+1</f>
        <v>1020</v>
      </c>
      <c r="B1022" s="14">
        <v>2023</v>
      </c>
      <c r="C1022" s="15">
        <v>11</v>
      </c>
      <c r="D1022" s="15">
        <v>1</v>
      </c>
      <c r="E1022" s="16"/>
      <c r="F1022" t="s" s="17">
        <v>111</v>
      </c>
      <c r="G1022" s="16"/>
      <c r="H1022" t="s" s="17">
        <v>163</v>
      </c>
      <c r="I1022" t="s" s="17">
        <v>26</v>
      </c>
      <c r="J1022" t="s" s="17">
        <v>118</v>
      </c>
      <c r="K1022" t="s" s="17">
        <v>23</v>
      </c>
      <c r="L1022" s="15">
        <f>IF(O1022,P1022/O1022,0)</f>
        <v>45.47</v>
      </c>
      <c r="M1022" s="15">
        <v>45.47</v>
      </c>
      <c r="N1022" s="15">
        <f>A1022</f>
        <v>1020</v>
      </c>
      <c r="O1022" s="15">
        <v>5</v>
      </c>
      <c r="P1022" s="15">
        <v>227.35</v>
      </c>
      <c r="Q1022" s="16"/>
    </row>
    <row r="1023" ht="20.05" customHeight="1">
      <c r="A1023" s="13">
        <f>A1022+1</f>
        <v>1021</v>
      </c>
      <c r="B1023" s="14">
        <v>2023</v>
      </c>
      <c r="C1023" s="15">
        <v>11</v>
      </c>
      <c r="D1023" s="15">
        <v>1</v>
      </c>
      <c r="E1023" s="16"/>
      <c r="F1023" t="s" s="17">
        <v>111</v>
      </c>
      <c r="G1023" s="16"/>
      <c r="H1023" t="s" s="17">
        <v>163</v>
      </c>
      <c r="I1023" t="s" s="17">
        <v>127</v>
      </c>
      <c r="J1023" t="s" s="17">
        <v>276</v>
      </c>
      <c r="K1023" t="s" s="17">
        <v>41</v>
      </c>
      <c r="L1023" s="15">
        <f>IF(O1023,P1023/O1023,0)</f>
        <v>0.05843</v>
      </c>
      <c r="M1023" s="15">
        <v>0.05843</v>
      </c>
      <c r="N1023" s="15">
        <f>A1023</f>
        <v>1021</v>
      </c>
      <c r="O1023" s="15">
        <v>1000</v>
      </c>
      <c r="P1023" s="15">
        <v>58.43</v>
      </c>
      <c r="Q1023" s="16"/>
    </row>
    <row r="1024" ht="20.05" customHeight="1">
      <c r="A1024" s="13">
        <f>A1023+1</f>
        <v>1022</v>
      </c>
      <c r="B1024" s="14">
        <v>2023</v>
      </c>
      <c r="C1024" s="15">
        <v>11</v>
      </c>
      <c r="D1024" s="15">
        <v>1</v>
      </c>
      <c r="E1024" s="16"/>
      <c r="F1024" t="s" s="17">
        <v>111</v>
      </c>
      <c r="G1024" s="16"/>
      <c r="H1024" t="s" s="17">
        <v>163</v>
      </c>
      <c r="I1024" t="s" s="17">
        <v>127</v>
      </c>
      <c r="J1024" t="s" s="17">
        <v>166</v>
      </c>
      <c r="K1024" t="s" s="17">
        <v>41</v>
      </c>
      <c r="L1024" s="15">
        <f>IF(O1024,P1024/O1024,0)</f>
        <v>0.04286</v>
      </c>
      <c r="M1024" s="15">
        <v>0.04286</v>
      </c>
      <c r="N1024" s="15">
        <f>A1024</f>
        <v>1022</v>
      </c>
      <c r="O1024" s="15">
        <v>500</v>
      </c>
      <c r="P1024" s="15">
        <v>21.43</v>
      </c>
      <c r="Q1024" s="16"/>
    </row>
    <row r="1025" ht="20.05" customHeight="1">
      <c r="A1025" s="13">
        <f>A1024+1</f>
        <v>1023</v>
      </c>
      <c r="B1025" s="14">
        <v>2023</v>
      </c>
      <c r="C1025" s="15">
        <v>11</v>
      </c>
      <c r="D1025" s="15">
        <v>1</v>
      </c>
      <c r="E1025" s="16"/>
      <c r="F1025" t="s" s="17">
        <v>122</v>
      </c>
      <c r="G1025" s="16"/>
      <c r="H1025" t="s" s="17">
        <v>163</v>
      </c>
      <c r="I1025" t="s" s="17">
        <v>19</v>
      </c>
      <c r="J1025" t="s" s="17">
        <v>67</v>
      </c>
      <c r="K1025" t="s" s="17">
        <v>23</v>
      </c>
      <c r="L1025" s="15">
        <f>IF(O1025,P1025/O1025,0)</f>
        <v>1.2361491</v>
      </c>
      <c r="M1025" s="15">
        <v>1.2361491</v>
      </c>
      <c r="N1025" s="15">
        <f>A1025</f>
        <v>1023</v>
      </c>
      <c r="O1025" s="15">
        <f t="shared" si="2784"/>
        <v>300</v>
      </c>
      <c r="P1025" s="40">
        <f t="shared" si="3645" ref="P1025:P2046">367.173+367.173*1%</f>
        <v>370.84473</v>
      </c>
      <c r="Q1025" s="16"/>
    </row>
    <row r="1026" ht="20.05" customHeight="1">
      <c r="A1026" s="13">
        <f>A1025+1</f>
        <v>1024</v>
      </c>
      <c r="B1026" s="14">
        <v>2023</v>
      </c>
      <c r="C1026" s="15">
        <v>11</v>
      </c>
      <c r="D1026" s="15">
        <v>1</v>
      </c>
      <c r="E1026" s="16"/>
      <c r="F1026" t="s" s="17">
        <v>122</v>
      </c>
      <c r="G1026" s="16"/>
      <c r="H1026" t="s" s="17">
        <v>163</v>
      </c>
      <c r="I1026" t="s" s="17">
        <v>19</v>
      </c>
      <c r="J1026" t="s" s="17">
        <v>138</v>
      </c>
      <c r="K1026" t="s" s="17">
        <v>41</v>
      </c>
      <c r="L1026" s="15">
        <f>IF(O1026,P1026/O1026,0)</f>
        <v>0.0380433333333333</v>
      </c>
      <c r="M1026" s="15">
        <v>0.0380433333333333</v>
      </c>
      <c r="N1026" s="15">
        <f>A1026</f>
        <v>1024</v>
      </c>
      <c r="O1026" s="15">
        <f t="shared" si="3322"/>
        <v>36000</v>
      </c>
      <c r="P1026" s="41">
        <f t="shared" si="3323"/>
        <v>1369.56</v>
      </c>
      <c r="Q1026" s="16"/>
    </row>
    <row r="1027" ht="20.05" customHeight="1">
      <c r="A1027" s="13">
        <f>A1026+1</f>
        <v>1025</v>
      </c>
      <c r="B1027" s="14">
        <v>2023</v>
      </c>
      <c r="C1027" s="15">
        <v>11</v>
      </c>
      <c r="D1027" s="15">
        <v>1</v>
      </c>
      <c r="E1027" s="16"/>
      <c r="F1027" t="s" s="17">
        <v>122</v>
      </c>
      <c r="G1027" s="16"/>
      <c r="H1027" t="s" s="17">
        <v>163</v>
      </c>
      <c r="I1027" t="s" s="17">
        <v>19</v>
      </c>
      <c r="J1027" t="s" s="17">
        <v>139</v>
      </c>
      <c r="K1027" t="s" s="17">
        <v>23</v>
      </c>
      <c r="L1027" s="15">
        <f>IF(O1027,P1027/O1027,0)</f>
        <v>3.89270833333333</v>
      </c>
      <c r="M1027" s="15">
        <v>3.89270833333333</v>
      </c>
      <c r="N1027" s="15">
        <f>A1027</f>
        <v>1025</v>
      </c>
      <c r="O1027" s="15">
        <f t="shared" si="3021"/>
        <v>72</v>
      </c>
      <c r="P1027" s="42">
        <f>277.5+277.5*1%</f>
        <v>280.275</v>
      </c>
      <c r="Q1027" s="16"/>
    </row>
    <row r="1028" ht="20.05" customHeight="1">
      <c r="A1028" s="13">
        <f>A1027+1</f>
        <v>1026</v>
      </c>
      <c r="B1028" s="14">
        <v>2023</v>
      </c>
      <c r="C1028" s="15">
        <v>11</v>
      </c>
      <c r="D1028" s="15">
        <v>2</v>
      </c>
      <c r="E1028" s="16"/>
      <c r="F1028" t="s" s="17">
        <v>130</v>
      </c>
      <c r="G1028" s="16"/>
      <c r="H1028" t="s" s="17">
        <v>163</v>
      </c>
      <c r="I1028" t="s" s="17">
        <v>19</v>
      </c>
      <c r="J1028" t="s" s="17">
        <v>157</v>
      </c>
      <c r="K1028" t="s" s="17">
        <v>16</v>
      </c>
      <c r="L1028" s="15">
        <f>IF(O1028,P1028/O1028,0)</f>
        <v>0.0169500924214418</v>
      </c>
      <c r="M1028" s="15">
        <v>0.0169500924214418</v>
      </c>
      <c r="N1028" s="15">
        <f>A1028</f>
        <v>1026</v>
      </c>
      <c r="O1028" s="15">
        <v>1082</v>
      </c>
      <c r="P1028" s="15">
        <v>18.34</v>
      </c>
      <c r="Q1028" s="16"/>
    </row>
    <row r="1029" ht="20.05" customHeight="1">
      <c r="A1029" s="13">
        <f>A1028+1</f>
        <v>1027</v>
      </c>
      <c r="B1029" s="14">
        <v>2023</v>
      </c>
      <c r="C1029" s="15">
        <v>11</v>
      </c>
      <c r="D1029" s="15">
        <v>3</v>
      </c>
      <c r="E1029" s="16"/>
      <c r="F1029" t="s" s="17">
        <v>130</v>
      </c>
      <c r="G1029" s="16"/>
      <c r="H1029" t="s" s="17">
        <v>163</v>
      </c>
      <c r="I1029" t="s" s="17">
        <v>26</v>
      </c>
      <c r="J1029" t="s" s="17">
        <v>27</v>
      </c>
      <c r="K1029" t="s" s="17">
        <v>16</v>
      </c>
      <c r="L1029" s="15">
        <f>IF(O1029,P1029/O1029,0)</f>
        <v>0.249</v>
      </c>
      <c r="M1029" s="15">
        <v>0.249</v>
      </c>
      <c r="N1029" s="15">
        <f>A1029</f>
        <v>1027</v>
      </c>
      <c r="O1029" s="15">
        <v>100</v>
      </c>
      <c r="P1029" s="15">
        <v>24.9</v>
      </c>
      <c r="Q1029" s="16"/>
    </row>
    <row r="1030" ht="20.05" customHeight="1">
      <c r="A1030" s="13">
        <f>A1029+1</f>
        <v>1028</v>
      </c>
      <c r="B1030" s="14">
        <v>2023</v>
      </c>
      <c r="C1030" s="15">
        <v>11</v>
      </c>
      <c r="D1030" s="15">
        <v>3</v>
      </c>
      <c r="E1030" s="16"/>
      <c r="F1030" t="s" s="17">
        <v>130</v>
      </c>
      <c r="G1030" s="16"/>
      <c r="H1030" t="s" s="17">
        <v>163</v>
      </c>
      <c r="I1030" t="s" s="17">
        <v>26</v>
      </c>
      <c r="J1030" t="s" s="17">
        <v>338</v>
      </c>
      <c r="K1030" t="s" s="17">
        <v>23</v>
      </c>
      <c r="L1030" s="15">
        <f>IF(O1030,P1030/O1030,0)</f>
        <v>0.04275</v>
      </c>
      <c r="M1030" s="15">
        <v>0.04275</v>
      </c>
      <c r="N1030" s="15">
        <f>A1030</f>
        <v>1028</v>
      </c>
      <c r="O1030" s="15">
        <v>2000</v>
      </c>
      <c r="P1030" s="15">
        <v>85.5</v>
      </c>
      <c r="Q1030" s="16"/>
    </row>
    <row r="1031" ht="20.05" customHeight="1">
      <c r="A1031" s="13">
        <f>A1030+1</f>
        <v>1029</v>
      </c>
      <c r="B1031" s="14">
        <v>2023</v>
      </c>
      <c r="C1031" s="15">
        <v>11</v>
      </c>
      <c r="D1031" s="15">
        <v>3</v>
      </c>
      <c r="E1031" s="16"/>
      <c r="F1031" t="s" s="17">
        <v>141</v>
      </c>
      <c r="G1031" s="16"/>
      <c r="H1031" t="s" s="17">
        <v>163</v>
      </c>
      <c r="I1031" t="s" s="17">
        <v>19</v>
      </c>
      <c r="J1031" t="s" s="17">
        <v>143</v>
      </c>
      <c r="K1031" t="s" s="17">
        <v>23</v>
      </c>
      <c r="L1031" s="15">
        <f>IF(O1031,P1031/O1031,0)</f>
        <v>13.85175</v>
      </c>
      <c r="M1031" s="15">
        <v>13.85175</v>
      </c>
      <c r="N1031" s="15">
        <f>A1031</f>
        <v>1029</v>
      </c>
      <c r="O1031" s="15">
        <v>24</v>
      </c>
      <c r="P1031" s="42">
        <f t="shared" si="3668" ref="P1031:P1215">302.22+302.22*10%</f>
        <v>332.442</v>
      </c>
      <c r="Q1031" s="16"/>
    </row>
    <row r="1032" ht="20.05" customHeight="1">
      <c r="A1032" s="13">
        <f>A1031+1</f>
        <v>1030</v>
      </c>
      <c r="B1032" s="14">
        <v>2023</v>
      </c>
      <c r="C1032" s="15">
        <v>11</v>
      </c>
      <c r="D1032" s="15">
        <v>3</v>
      </c>
      <c r="E1032" s="16"/>
      <c r="F1032" t="s" s="17">
        <v>141</v>
      </c>
      <c r="G1032" s="16"/>
      <c r="H1032" t="s" s="17">
        <v>163</v>
      </c>
      <c r="I1032" t="s" s="17">
        <v>19</v>
      </c>
      <c r="J1032" t="s" s="17">
        <v>158</v>
      </c>
      <c r="K1032" t="s" s="17">
        <v>23</v>
      </c>
      <c r="L1032" s="15">
        <f>IF(O1032,P1032/O1032,0)</f>
        <v>13.85175</v>
      </c>
      <c r="M1032" s="15">
        <v>13.85175</v>
      </c>
      <c r="N1032" s="15">
        <f>A1032</f>
        <v>1030</v>
      </c>
      <c r="O1032" s="15">
        <v>24</v>
      </c>
      <c r="P1032" s="42">
        <f t="shared" si="3668"/>
        <v>332.442</v>
      </c>
      <c r="Q1032" s="16"/>
    </row>
    <row r="1033" ht="20.05" customHeight="1">
      <c r="A1033" s="13">
        <f>A1032+1</f>
        <v>1031</v>
      </c>
      <c r="B1033" s="14">
        <v>2023</v>
      </c>
      <c r="C1033" s="15">
        <v>11</v>
      </c>
      <c r="D1033" s="15">
        <v>3</v>
      </c>
      <c r="E1033" s="16"/>
      <c r="F1033" t="s" s="17">
        <v>141</v>
      </c>
      <c r="G1033" s="16"/>
      <c r="H1033" t="s" s="17">
        <v>163</v>
      </c>
      <c r="I1033" t="s" s="17">
        <v>19</v>
      </c>
      <c r="J1033" t="s" s="17">
        <v>159</v>
      </c>
      <c r="K1033" t="s" s="17">
        <v>23</v>
      </c>
      <c r="L1033" s="15">
        <f>IF(O1033,P1033/O1033,0)</f>
        <v>2.60018888888889</v>
      </c>
      <c r="M1033" s="15">
        <v>2.60018888888889</v>
      </c>
      <c r="N1033" s="15">
        <f>A1033</f>
        <v>1031</v>
      </c>
      <c r="O1033" s="15">
        <f t="shared" si="2484"/>
        <v>144</v>
      </c>
      <c r="P1033" s="43">
        <f t="shared" si="2485"/>
        <v>374.4272</v>
      </c>
      <c r="Q1033" s="16"/>
    </row>
    <row r="1034" ht="20.05" customHeight="1">
      <c r="A1034" s="13">
        <f>A1033+1</f>
        <v>1032</v>
      </c>
      <c r="B1034" s="14">
        <v>2023</v>
      </c>
      <c r="C1034" s="15">
        <v>11</v>
      </c>
      <c r="D1034" s="15">
        <v>3</v>
      </c>
      <c r="E1034" s="16"/>
      <c r="F1034" t="s" s="17">
        <v>141</v>
      </c>
      <c r="G1034" s="16"/>
      <c r="H1034" t="s" s="17">
        <v>163</v>
      </c>
      <c r="I1034" t="s" s="17">
        <v>19</v>
      </c>
      <c r="J1034" t="s" s="17">
        <v>337</v>
      </c>
      <c r="K1034" t="s" s="17">
        <v>23</v>
      </c>
      <c r="L1034" s="15">
        <f>IF(O1034,P1034/O1034,0)</f>
        <v>-174</v>
      </c>
      <c r="M1034" s="15">
        <v>-174</v>
      </c>
      <c r="N1034" s="15">
        <f>A1034</f>
        <v>1032</v>
      </c>
      <c r="O1034" s="15">
        <v>1</v>
      </c>
      <c r="P1034" s="15">
        <v>-174</v>
      </c>
      <c r="Q1034" s="16"/>
    </row>
    <row r="1035" ht="20.05" customHeight="1">
      <c r="A1035" s="13">
        <f>A1034+1</f>
        <v>1033</v>
      </c>
      <c r="B1035" s="14">
        <v>2023</v>
      </c>
      <c r="C1035" s="15">
        <v>11</v>
      </c>
      <c r="D1035" s="15">
        <v>3</v>
      </c>
      <c r="E1035" s="16"/>
      <c r="F1035" t="s" s="17">
        <v>374</v>
      </c>
      <c r="G1035" s="16"/>
      <c r="H1035" t="s" s="17">
        <v>163</v>
      </c>
      <c r="I1035" t="s" s="17">
        <v>187</v>
      </c>
      <c r="J1035" t="s" s="17">
        <v>375</v>
      </c>
      <c r="K1035" t="s" s="17">
        <v>23</v>
      </c>
      <c r="L1035" s="15">
        <f>IF(O1035,P1035/O1035,0)</f>
        <v>7799.004</v>
      </c>
      <c r="M1035" s="15">
        <v>7799.004</v>
      </c>
      <c r="N1035" s="15">
        <f>A1035</f>
        <v>1033</v>
      </c>
      <c r="O1035" s="15">
        <v>1</v>
      </c>
      <c r="P1035" s="42">
        <f>6499.17+6499.17*20%</f>
        <v>7799.004</v>
      </c>
      <c r="Q1035" s="16"/>
    </row>
    <row r="1036" ht="20.05" customHeight="1">
      <c r="A1036" s="13">
        <f>A1035+1</f>
        <v>1034</v>
      </c>
      <c r="B1036" s="14">
        <v>2023</v>
      </c>
      <c r="C1036" s="15">
        <v>11</v>
      </c>
      <c r="D1036" s="15">
        <v>4</v>
      </c>
      <c r="E1036" s="16"/>
      <c r="F1036" t="s" s="17">
        <v>130</v>
      </c>
      <c r="G1036" s="16"/>
      <c r="H1036" t="s" s="17">
        <v>163</v>
      </c>
      <c r="I1036" t="s" s="17">
        <v>19</v>
      </c>
      <c r="J1036" t="s" s="17">
        <v>157</v>
      </c>
      <c r="K1036" t="s" s="17">
        <v>16</v>
      </c>
      <c r="L1036" s="15">
        <f>IF(O1036,P1036/O1036,0)</f>
        <v>0.0169477911646586</v>
      </c>
      <c r="M1036" s="15">
        <v>0.0169477911646586</v>
      </c>
      <c r="N1036" s="15">
        <f>A1036</f>
        <v>1034</v>
      </c>
      <c r="O1036" s="15">
        <v>996</v>
      </c>
      <c r="P1036" s="15">
        <v>16.88</v>
      </c>
      <c r="Q1036" s="16"/>
    </row>
    <row r="1037" ht="20.05" customHeight="1">
      <c r="A1037" s="13">
        <f>A1036+1</f>
        <v>1035</v>
      </c>
      <c r="B1037" s="14">
        <v>2023</v>
      </c>
      <c r="C1037" s="15">
        <v>11</v>
      </c>
      <c r="D1037" s="15">
        <v>4</v>
      </c>
      <c r="E1037" s="16"/>
      <c r="F1037" t="s" s="17">
        <v>287</v>
      </c>
      <c r="G1037" s="16"/>
      <c r="H1037" t="s" s="17">
        <v>163</v>
      </c>
      <c r="I1037" t="s" s="17">
        <v>14</v>
      </c>
      <c r="J1037" t="s" s="17">
        <v>279</v>
      </c>
      <c r="K1037" t="s" s="17">
        <v>23</v>
      </c>
      <c r="L1037" s="15">
        <f>IF(O1037,P1037/O1037,0)</f>
        <v>34.3905</v>
      </c>
      <c r="M1037" s="15">
        <v>34.3905</v>
      </c>
      <c r="N1037" s="15">
        <f>A1037</f>
        <v>1035</v>
      </c>
      <c r="O1037" s="15">
        <f t="shared" si="3176"/>
        <v>20</v>
      </c>
      <c r="P1037" s="41">
        <f t="shared" si="3177"/>
        <v>687.8099999999999</v>
      </c>
      <c r="Q1037" s="16"/>
    </row>
    <row r="1038" ht="32.05" customHeight="1">
      <c r="A1038" s="13">
        <f>A1037+1</f>
        <v>1036</v>
      </c>
      <c r="B1038" s="14">
        <v>2023</v>
      </c>
      <c r="C1038" s="15">
        <v>11</v>
      </c>
      <c r="D1038" s="15">
        <v>4</v>
      </c>
      <c r="E1038" s="16"/>
      <c r="F1038" t="s" s="17">
        <v>287</v>
      </c>
      <c r="G1038" s="16"/>
      <c r="H1038" t="s" s="17">
        <v>163</v>
      </c>
      <c r="I1038" t="s" s="17">
        <v>17</v>
      </c>
      <c r="J1038" t="s" s="17">
        <v>299</v>
      </c>
      <c r="K1038" t="s" s="17">
        <v>23</v>
      </c>
      <c r="L1038" s="15">
        <f>IF(O1038,P1038/O1038,0)</f>
        <v>40.9959</v>
      </c>
      <c r="M1038" s="15">
        <v>40.9959</v>
      </c>
      <c r="N1038" s="15">
        <f>A1038</f>
        <v>1036</v>
      </c>
      <c r="O1038" s="15">
        <v>24</v>
      </c>
      <c r="P1038" s="43">
        <f t="shared" si="3696" ref="P1038:P1224">974.16+974.16*1%</f>
        <v>983.9016</v>
      </c>
      <c r="Q1038" s="16"/>
    </row>
    <row r="1039" ht="20.05" customHeight="1">
      <c r="A1039" s="13">
        <f>A1038+1</f>
        <v>1037</v>
      </c>
      <c r="B1039" s="14">
        <v>2023</v>
      </c>
      <c r="C1039" s="15">
        <v>11</v>
      </c>
      <c r="D1039" s="15">
        <v>4</v>
      </c>
      <c r="E1039" s="16"/>
      <c r="F1039" t="s" s="17">
        <v>287</v>
      </c>
      <c r="G1039" s="16"/>
      <c r="H1039" t="s" s="17">
        <v>163</v>
      </c>
      <c r="I1039" t="s" s="17">
        <v>17</v>
      </c>
      <c r="J1039" t="s" s="17">
        <v>363</v>
      </c>
      <c r="K1039" t="s" s="17">
        <v>23</v>
      </c>
      <c r="L1039" s="15">
        <f>IF(O1039,P1039/O1039,0)</f>
        <v>27.8962</v>
      </c>
      <c r="M1039" s="15">
        <v>27.8962</v>
      </c>
      <c r="N1039" s="15">
        <f>A1039</f>
        <v>1037</v>
      </c>
      <c r="O1039" s="15">
        <v>24</v>
      </c>
      <c r="P1039" s="43">
        <f t="shared" si="3700" ref="P1039:P1164">662.88+662.88*1%</f>
        <v>669.5088</v>
      </c>
      <c r="Q1039" s="16"/>
    </row>
    <row r="1040" ht="32.05" customHeight="1">
      <c r="A1040" s="13">
        <f>A1039+1</f>
        <v>1038</v>
      </c>
      <c r="B1040" s="14">
        <v>2023</v>
      </c>
      <c r="C1040" s="15">
        <v>11</v>
      </c>
      <c r="D1040" s="15">
        <v>4</v>
      </c>
      <c r="E1040" s="16"/>
      <c r="F1040" t="s" s="17">
        <v>287</v>
      </c>
      <c r="G1040" s="16"/>
      <c r="H1040" t="s" s="17">
        <v>163</v>
      </c>
      <c r="I1040" t="s" s="17">
        <v>14</v>
      </c>
      <c r="J1040" t="s" s="17">
        <v>376</v>
      </c>
      <c r="K1040" t="s" s="17">
        <v>23</v>
      </c>
      <c r="L1040" s="15">
        <f>IF(O1040,P1040/O1040,0)</f>
        <v>-1000</v>
      </c>
      <c r="M1040" s="15">
        <v>-1000</v>
      </c>
      <c r="N1040" s="15">
        <f>A1040</f>
        <v>1038</v>
      </c>
      <c r="O1040" s="15">
        <v>1</v>
      </c>
      <c r="P1040" s="15">
        <v>-1000</v>
      </c>
      <c r="Q1040" s="16"/>
    </row>
    <row r="1041" ht="20.05" customHeight="1">
      <c r="A1041" s="13">
        <f>A1040+1</f>
        <v>1039</v>
      </c>
      <c r="B1041" s="14">
        <v>2023</v>
      </c>
      <c r="C1041" s="15">
        <v>11</v>
      </c>
      <c r="D1041" s="15">
        <v>4</v>
      </c>
      <c r="E1041" s="16"/>
      <c r="F1041" t="s" s="17">
        <v>130</v>
      </c>
      <c r="G1041" t="s" s="17">
        <v>364</v>
      </c>
      <c r="H1041" t="s" s="17">
        <v>163</v>
      </c>
      <c r="I1041" t="s" s="17">
        <v>187</v>
      </c>
      <c r="J1041" t="s" s="17">
        <v>365</v>
      </c>
      <c r="K1041" t="s" s="17">
        <v>23</v>
      </c>
      <c r="L1041" s="15">
        <f>IF(O1041,P1041/O1041,0)</f>
        <v>0.0129508196721311</v>
      </c>
      <c r="M1041" s="15">
        <v>0.0129508196721311</v>
      </c>
      <c r="N1041" s="15">
        <f>A1041</f>
        <v>1039</v>
      </c>
      <c r="O1041" s="15">
        <v>1708</v>
      </c>
      <c r="P1041" s="15">
        <v>22.12</v>
      </c>
      <c r="Q1041" s="16"/>
    </row>
    <row r="1042" ht="20.05" customHeight="1">
      <c r="A1042" s="13">
        <f>A1041+1</f>
        <v>1040</v>
      </c>
      <c r="B1042" s="14">
        <v>2023</v>
      </c>
      <c r="C1042" s="15">
        <v>11</v>
      </c>
      <c r="D1042" s="15">
        <v>4</v>
      </c>
      <c r="E1042" s="16"/>
      <c r="F1042" t="s" s="17">
        <v>130</v>
      </c>
      <c r="G1042" t="s" s="17">
        <v>364</v>
      </c>
      <c r="H1042" t="s" s="17">
        <v>163</v>
      </c>
      <c r="I1042" t="s" s="17">
        <v>187</v>
      </c>
      <c r="J1042" t="s" s="17">
        <v>21</v>
      </c>
      <c r="K1042" t="s" s="17">
        <v>16</v>
      </c>
      <c r="L1042" s="15">
        <f>IF(O1042,P1042/O1042,0)</f>
        <v>0.0399484052532833</v>
      </c>
      <c r="M1042" s="15">
        <v>0.0399484052532833</v>
      </c>
      <c r="N1042" s="15">
        <f>A1042</f>
        <v>1040</v>
      </c>
      <c r="O1042" s="15">
        <v>2132</v>
      </c>
      <c r="P1042" s="15">
        <v>85.17</v>
      </c>
      <c r="Q1042" s="16"/>
    </row>
    <row r="1043" ht="20.05" customHeight="1">
      <c r="A1043" s="13">
        <f>A1042+1</f>
        <v>1041</v>
      </c>
      <c r="B1043" s="14">
        <v>2023</v>
      </c>
      <c r="C1043" s="15">
        <v>11</v>
      </c>
      <c r="D1043" s="15">
        <v>5</v>
      </c>
      <c r="E1043" s="16"/>
      <c r="F1043" t="s" s="17">
        <v>231</v>
      </c>
      <c r="G1043" s="16"/>
      <c r="H1043" t="s" s="17">
        <v>163</v>
      </c>
      <c r="I1043" t="s" s="17">
        <v>187</v>
      </c>
      <c r="J1043" t="s" s="17">
        <v>205</v>
      </c>
      <c r="K1043" t="s" s="17">
        <v>23</v>
      </c>
      <c r="L1043" s="15">
        <f>IF(O1043,P1043/O1043,0)</f>
        <v>49.9</v>
      </c>
      <c r="M1043" s="15">
        <v>49.9</v>
      </c>
      <c r="N1043" s="15">
        <f>A1043</f>
        <v>1041</v>
      </c>
      <c r="O1043" s="15">
        <v>7</v>
      </c>
      <c r="P1043" s="15">
        <f>7*49.9</f>
        <v>349.3</v>
      </c>
      <c r="Q1043" s="16"/>
    </row>
    <row r="1044" ht="20.05" customHeight="1">
      <c r="A1044" s="13">
        <f>A1043+1</f>
        <v>1042</v>
      </c>
      <c r="B1044" s="14">
        <v>2023</v>
      </c>
      <c r="C1044" s="15">
        <v>11</v>
      </c>
      <c r="D1044" s="15">
        <v>5</v>
      </c>
      <c r="E1044" s="16"/>
      <c r="F1044" t="s" s="17">
        <v>231</v>
      </c>
      <c r="G1044" s="16"/>
      <c r="H1044" t="s" s="17">
        <v>163</v>
      </c>
      <c r="I1044" t="s" s="17">
        <v>26</v>
      </c>
      <c r="J1044" t="s" s="17">
        <v>113</v>
      </c>
      <c r="K1044" t="s" s="17">
        <v>41</v>
      </c>
      <c r="L1044" s="15">
        <f>IF(O1044,P1044/O1044,0)</f>
        <v>0.0283</v>
      </c>
      <c r="M1044" s="15">
        <v>0.0283</v>
      </c>
      <c r="N1044" s="15">
        <f>A1044</f>
        <v>1042</v>
      </c>
      <c r="O1044" s="15">
        <v>3000</v>
      </c>
      <c r="P1044" s="15">
        <v>84.90000000000001</v>
      </c>
      <c r="Q1044" s="16"/>
    </row>
    <row r="1045" ht="32.05" customHeight="1">
      <c r="A1045" s="13">
        <f>A1044+1</f>
        <v>1043</v>
      </c>
      <c r="B1045" s="14">
        <v>2023</v>
      </c>
      <c r="C1045" s="15">
        <v>11</v>
      </c>
      <c r="D1045" s="15">
        <v>6</v>
      </c>
      <c r="E1045" s="16"/>
      <c r="F1045" t="s" s="17">
        <v>287</v>
      </c>
      <c r="G1045" s="16"/>
      <c r="H1045" t="s" s="17">
        <v>163</v>
      </c>
      <c r="I1045" t="s" s="17">
        <v>17</v>
      </c>
      <c r="J1045" t="s" s="17">
        <v>300</v>
      </c>
      <c r="K1045" t="s" s="17">
        <v>23</v>
      </c>
      <c r="L1045" s="15">
        <f>IF(O1045,P1045/O1045,0)</f>
        <v>35.2995</v>
      </c>
      <c r="M1045" s="15">
        <v>35.2995</v>
      </c>
      <c r="N1045" s="15">
        <f>A1045</f>
        <v>1043</v>
      </c>
      <c r="O1045" s="15">
        <v>24</v>
      </c>
      <c r="P1045" s="42">
        <f t="shared" si="3720" ref="P1045:P1137">838.8+838.8*1%</f>
        <v>847.188</v>
      </c>
      <c r="Q1045" s="16"/>
    </row>
    <row r="1046" ht="20.05" customHeight="1">
      <c r="A1046" s="13">
        <f>A1045+1</f>
        <v>1044</v>
      </c>
      <c r="B1046" s="14">
        <v>2023</v>
      </c>
      <c r="C1046" s="15">
        <v>11</v>
      </c>
      <c r="D1046" s="15">
        <v>6</v>
      </c>
      <c r="E1046" s="16"/>
      <c r="F1046" t="s" s="17">
        <v>287</v>
      </c>
      <c r="G1046" s="16"/>
      <c r="H1046" t="s" s="17">
        <v>163</v>
      </c>
      <c r="I1046" t="s" s="17">
        <v>14</v>
      </c>
      <c r="J1046" t="s" s="17">
        <v>288</v>
      </c>
      <c r="K1046" t="s" s="17">
        <v>23</v>
      </c>
      <c r="L1046" s="15">
        <f>IF(O1046,P1046/O1046,0)</f>
        <v>37.5383333333333</v>
      </c>
      <c r="M1046" s="15">
        <v>37.5383333333333</v>
      </c>
      <c r="N1046" s="15">
        <f>A1046</f>
        <v>1044</v>
      </c>
      <c r="O1046" s="15">
        <v>9</v>
      </c>
      <c r="P1046" s="42">
        <f t="shared" si="2732"/>
        <v>337.845</v>
      </c>
      <c r="Q1046" s="16"/>
    </row>
    <row r="1047" ht="20.05" customHeight="1">
      <c r="A1047" s="13">
        <f>A1046+1</f>
        <v>1045</v>
      </c>
      <c r="B1047" s="14">
        <v>2023</v>
      </c>
      <c r="C1047" s="15">
        <v>11</v>
      </c>
      <c r="D1047" s="15">
        <v>6</v>
      </c>
      <c r="E1047" s="16"/>
      <c r="F1047" t="s" s="17">
        <v>287</v>
      </c>
      <c r="G1047" s="16"/>
      <c r="H1047" t="s" s="17">
        <v>163</v>
      </c>
      <c r="I1047" t="s" s="17">
        <v>14</v>
      </c>
      <c r="J1047" t="s" s="17">
        <v>289</v>
      </c>
      <c r="K1047" t="s" s="17">
        <v>23</v>
      </c>
      <c r="L1047" s="15">
        <f>IF(O1047,P1047/O1047,0)</f>
        <v>32.724</v>
      </c>
      <c r="M1047" s="15">
        <v>32.724</v>
      </c>
      <c r="N1047" s="15">
        <f>A1047</f>
        <v>1045</v>
      </c>
      <c r="O1047" s="15">
        <v>10</v>
      </c>
      <c r="P1047" s="41">
        <f t="shared" si="3728" ref="P1047:P1297">324+(324*1%)</f>
        <v>327.24</v>
      </c>
      <c r="Q1047" s="16"/>
    </row>
    <row r="1048" ht="20.05" customHeight="1">
      <c r="A1048" s="13">
        <f>A1047+1</f>
        <v>1046</v>
      </c>
      <c r="B1048" s="14">
        <v>2023</v>
      </c>
      <c r="C1048" s="15">
        <v>11</v>
      </c>
      <c r="D1048" s="15">
        <v>6</v>
      </c>
      <c r="E1048" s="16"/>
      <c r="F1048" t="s" s="17">
        <v>287</v>
      </c>
      <c r="G1048" s="16"/>
      <c r="H1048" t="s" s="17">
        <v>163</v>
      </c>
      <c r="I1048" t="s" s="17">
        <v>14</v>
      </c>
      <c r="J1048" t="s" s="17">
        <v>279</v>
      </c>
      <c r="K1048" t="s" s="17">
        <v>23</v>
      </c>
      <c r="L1048" s="15">
        <f>IF(O1048,P1048/O1048,0)</f>
        <v>34.3905</v>
      </c>
      <c r="M1048" s="15">
        <v>34.3905</v>
      </c>
      <c r="N1048" s="15">
        <f>A1048</f>
        <v>1046</v>
      </c>
      <c r="O1048" s="15">
        <v>10</v>
      </c>
      <c r="P1048" s="42">
        <f t="shared" si="3732" ref="P1048:P1161">340.5+340.5*1%</f>
        <v>343.905</v>
      </c>
      <c r="Q1048" s="16"/>
    </row>
    <row r="1049" ht="32.05" customHeight="1">
      <c r="A1049" s="13">
        <f>A1048+1</f>
        <v>1047</v>
      </c>
      <c r="B1049" s="14">
        <v>2023</v>
      </c>
      <c r="C1049" s="15">
        <v>11</v>
      </c>
      <c r="D1049" s="15">
        <v>7</v>
      </c>
      <c r="E1049" s="16"/>
      <c r="F1049" t="s" s="17">
        <v>377</v>
      </c>
      <c r="G1049" s="16"/>
      <c r="H1049" t="s" s="17">
        <v>163</v>
      </c>
      <c r="I1049" s="16"/>
      <c r="J1049" t="s" s="17">
        <v>378</v>
      </c>
      <c r="K1049" t="s" s="17">
        <v>23</v>
      </c>
      <c r="L1049" s="15">
        <f>IF(O1049,P1049/O1049,0)</f>
        <v>689.24</v>
      </c>
      <c r="M1049" s="15">
        <v>689.24</v>
      </c>
      <c r="N1049" s="15">
        <f>A1049</f>
        <v>1047</v>
      </c>
      <c r="O1049" s="15">
        <v>1</v>
      </c>
      <c r="P1049" s="15">
        <v>689.24</v>
      </c>
      <c r="Q1049" s="16"/>
    </row>
    <row r="1050" ht="20.05" customHeight="1">
      <c r="A1050" s="13">
        <f>A1049+1</f>
        <v>1048</v>
      </c>
      <c r="B1050" s="14">
        <v>2023</v>
      </c>
      <c r="C1050" s="15">
        <v>11</v>
      </c>
      <c r="D1050" s="15">
        <v>8</v>
      </c>
      <c r="E1050" s="16"/>
      <c r="F1050" t="s" s="17">
        <v>379</v>
      </c>
      <c r="G1050" s="16"/>
      <c r="H1050" t="s" s="17">
        <v>163</v>
      </c>
      <c r="I1050" t="s" s="17">
        <v>187</v>
      </c>
      <c r="J1050" t="s" s="17">
        <v>380</v>
      </c>
      <c r="K1050" t="s" s="17">
        <v>23</v>
      </c>
      <c r="L1050" s="15">
        <f>IF(O1050,P1050/O1050,0)</f>
        <v>0.96</v>
      </c>
      <c r="M1050" s="15">
        <v>0.96</v>
      </c>
      <c r="N1050" s="15">
        <f>A1050</f>
        <v>1048</v>
      </c>
      <c r="O1050" s="15">
        <v>1000</v>
      </c>
      <c r="P1050" s="41">
        <f>800+800*20%</f>
        <v>960</v>
      </c>
      <c r="Q1050" s="16"/>
    </row>
    <row r="1051" ht="20.05" customHeight="1">
      <c r="A1051" s="13">
        <f>A1050+1</f>
        <v>1049</v>
      </c>
      <c r="B1051" s="14">
        <v>2023</v>
      </c>
      <c r="C1051" s="15">
        <v>11</v>
      </c>
      <c r="D1051" s="15">
        <v>8</v>
      </c>
      <c r="E1051" s="16"/>
      <c r="F1051" t="s" s="17">
        <v>379</v>
      </c>
      <c r="G1051" s="16"/>
      <c r="H1051" t="s" s="17">
        <v>163</v>
      </c>
      <c r="I1051" t="s" s="17">
        <v>187</v>
      </c>
      <c r="J1051" t="s" s="17">
        <v>381</v>
      </c>
      <c r="K1051" t="s" s="17">
        <v>23</v>
      </c>
      <c r="L1051" s="15">
        <f>IF(O1051,P1051/O1051,0)</f>
        <v>24</v>
      </c>
      <c r="M1051" s="15">
        <v>24</v>
      </c>
      <c r="N1051" s="15">
        <f>A1051</f>
        <v>1049</v>
      </c>
      <c r="O1051" s="15">
        <v>100</v>
      </c>
      <c r="P1051" s="41">
        <f>2000+2000*20%</f>
        <v>2400</v>
      </c>
      <c r="Q1051" s="16"/>
    </row>
    <row r="1052" ht="20.05" customHeight="1">
      <c r="A1052" s="13">
        <f>A1051+1</f>
        <v>1050</v>
      </c>
      <c r="B1052" s="14">
        <v>2023</v>
      </c>
      <c r="C1052" s="15">
        <v>11</v>
      </c>
      <c r="D1052" s="15">
        <v>8</v>
      </c>
      <c r="E1052" s="16"/>
      <c r="F1052" t="s" s="17">
        <v>379</v>
      </c>
      <c r="G1052" s="16"/>
      <c r="H1052" t="s" s="17">
        <v>163</v>
      </c>
      <c r="I1052" t="s" s="17">
        <v>187</v>
      </c>
      <c r="J1052" t="s" s="17">
        <v>382</v>
      </c>
      <c r="K1052" t="s" s="17">
        <v>23</v>
      </c>
      <c r="L1052" s="15">
        <f>IF(O1052,P1052/O1052,0)</f>
        <v>60</v>
      </c>
      <c r="M1052" s="15">
        <v>60</v>
      </c>
      <c r="N1052" s="15">
        <f>A1052</f>
        <v>1050</v>
      </c>
      <c r="O1052" s="15">
        <v>6</v>
      </c>
      <c r="P1052" s="41">
        <f>300+300*20%</f>
        <v>360</v>
      </c>
      <c r="Q1052" s="16"/>
    </row>
    <row r="1053" ht="20.05" customHeight="1">
      <c r="A1053" s="13">
        <f>A1052+1</f>
        <v>1051</v>
      </c>
      <c r="B1053" s="14">
        <v>2023</v>
      </c>
      <c r="C1053" s="15">
        <v>11</v>
      </c>
      <c r="D1053" s="15">
        <v>8</v>
      </c>
      <c r="E1053" s="16"/>
      <c r="F1053" t="s" s="17">
        <v>150</v>
      </c>
      <c r="G1053" s="16"/>
      <c r="H1053" t="s" s="17">
        <v>253</v>
      </c>
      <c r="I1053" t="s" s="17">
        <v>19</v>
      </c>
      <c r="J1053" t="s" s="17">
        <v>152</v>
      </c>
      <c r="K1053" t="s" s="17">
        <v>41</v>
      </c>
      <c r="L1053" s="15">
        <f>IF(O1053,P1053/O1053,0)</f>
        <v>0.360906666666667</v>
      </c>
      <c r="M1053" s="15">
        <v>0.360906666666667</v>
      </c>
      <c r="N1053" s="15">
        <f>A1053</f>
        <v>1051</v>
      </c>
      <c r="O1053" s="15">
        <v>750</v>
      </c>
      <c r="P1053" s="41">
        <f t="shared" si="3614"/>
        <v>270.68</v>
      </c>
      <c r="Q1053" s="16"/>
    </row>
    <row r="1054" ht="20.05" customHeight="1">
      <c r="A1054" s="13">
        <f>A1053+1</f>
        <v>1052</v>
      </c>
      <c r="B1054" s="14">
        <v>2023</v>
      </c>
      <c r="C1054" s="15">
        <v>11</v>
      </c>
      <c r="D1054" s="15">
        <v>8</v>
      </c>
      <c r="E1054" s="16"/>
      <c r="F1054" t="s" s="17">
        <v>150</v>
      </c>
      <c r="G1054" s="16"/>
      <c r="H1054" t="s" s="17">
        <v>253</v>
      </c>
      <c r="I1054" t="s" s="17">
        <v>19</v>
      </c>
      <c r="J1054" t="s" s="17">
        <v>155</v>
      </c>
      <c r="K1054" t="s" s="17">
        <v>16</v>
      </c>
      <c r="L1054" s="15">
        <f>IF(O1054,P1054/O1054,0)</f>
        <v>0.33936</v>
      </c>
      <c r="M1054" s="15">
        <v>0.33936</v>
      </c>
      <c r="N1054" s="15">
        <f>A1054</f>
        <v>1052</v>
      </c>
      <c r="O1054" s="15">
        <f t="shared" si="3508"/>
        <v>2000</v>
      </c>
      <c r="P1054" s="41">
        <f t="shared" si="3509"/>
        <v>678.72</v>
      </c>
      <c r="Q1054" s="16"/>
    </row>
    <row r="1055" ht="20.05" customHeight="1">
      <c r="A1055" s="13">
        <f>A1054+1</f>
        <v>1053</v>
      </c>
      <c r="B1055" s="14">
        <v>2023</v>
      </c>
      <c r="C1055" s="15">
        <v>11</v>
      </c>
      <c r="D1055" s="15">
        <v>8</v>
      </c>
      <c r="E1055" s="16"/>
      <c r="F1055" t="s" s="17">
        <v>383</v>
      </c>
      <c r="G1055" s="16"/>
      <c r="H1055" t="s" s="17">
        <v>253</v>
      </c>
      <c r="I1055" t="s" s="17">
        <v>187</v>
      </c>
      <c r="J1055" t="s" s="17">
        <v>384</v>
      </c>
      <c r="K1055" t="s" s="17">
        <v>23</v>
      </c>
      <c r="L1055" s="15">
        <f>IF(O1055,P1055/O1055,0)</f>
        <v>600</v>
      </c>
      <c r="M1055" s="15">
        <v>600</v>
      </c>
      <c r="N1055" s="15">
        <f>A1055</f>
        <v>1053</v>
      </c>
      <c r="O1055" s="15">
        <v>1</v>
      </c>
      <c r="P1055" s="41">
        <f>500+500*20%</f>
        <v>600</v>
      </c>
      <c r="Q1055" s="16"/>
    </row>
    <row r="1056" ht="32.05" customHeight="1">
      <c r="A1056" s="13">
        <f>A1055+1</f>
        <v>1054</v>
      </c>
      <c r="B1056" s="14">
        <v>2023</v>
      </c>
      <c r="C1056" s="15">
        <v>11</v>
      </c>
      <c r="D1056" s="15">
        <v>3</v>
      </c>
      <c r="E1056" s="16"/>
      <c r="F1056" t="s" s="17">
        <v>348</v>
      </c>
      <c r="G1056" s="16"/>
      <c r="H1056" t="s" s="17">
        <v>163</v>
      </c>
      <c r="I1056" t="s" s="17">
        <v>187</v>
      </c>
      <c r="J1056" t="s" s="17">
        <v>350</v>
      </c>
      <c r="K1056" t="s" s="17">
        <v>23</v>
      </c>
      <c r="L1056" s="15">
        <f>IF(O1056,P1056/O1056,0)</f>
        <v>2.409375</v>
      </c>
      <c r="M1056" s="15">
        <v>2.409375</v>
      </c>
      <c r="N1056" s="15">
        <f>A1056</f>
        <v>1054</v>
      </c>
      <c r="O1056" s="15">
        <f t="shared" si="2169"/>
        <v>160</v>
      </c>
      <c r="P1056" s="15">
        <v>385.5</v>
      </c>
      <c r="Q1056" s="16"/>
    </row>
    <row r="1057" ht="32.05" customHeight="1">
      <c r="A1057" s="13">
        <f>A1056+1</f>
        <v>1055</v>
      </c>
      <c r="B1057" s="14">
        <v>2023</v>
      </c>
      <c r="C1057" s="15">
        <v>11</v>
      </c>
      <c r="D1057" s="15">
        <v>6</v>
      </c>
      <c r="E1057" s="16"/>
      <c r="F1057" t="s" s="17">
        <v>385</v>
      </c>
      <c r="G1057" s="16"/>
      <c r="H1057" t="s" s="17">
        <v>163</v>
      </c>
      <c r="I1057" t="s" s="17">
        <v>17</v>
      </c>
      <c r="J1057" t="s" s="17">
        <v>386</v>
      </c>
      <c r="K1057" t="s" s="17">
        <v>23</v>
      </c>
      <c r="L1057" s="15">
        <f>IF(O1057,P1057/O1057,0)</f>
        <v>139.9</v>
      </c>
      <c r="M1057" s="15">
        <v>139.9</v>
      </c>
      <c r="N1057" s="15">
        <f>A1057</f>
        <v>1055</v>
      </c>
      <c r="O1057" s="15">
        <v>3</v>
      </c>
      <c r="P1057" s="42">
        <f>349.75+349.75*20%</f>
        <v>419.7</v>
      </c>
      <c r="Q1057" s="16"/>
    </row>
    <row r="1058" ht="20.05" customHeight="1">
      <c r="A1058" s="13">
        <f>A1057+1</f>
        <v>1056</v>
      </c>
      <c r="B1058" s="14">
        <v>2023</v>
      </c>
      <c r="C1058" s="15">
        <v>11</v>
      </c>
      <c r="D1058" s="15">
        <v>9</v>
      </c>
      <c r="E1058" s="16"/>
      <c r="F1058" t="s" s="17">
        <v>130</v>
      </c>
      <c r="G1058" s="16"/>
      <c r="H1058" t="s" s="17">
        <v>163</v>
      </c>
      <c r="I1058" t="s" s="17">
        <v>17</v>
      </c>
      <c r="J1058" t="s" s="17">
        <v>18</v>
      </c>
      <c r="K1058" t="s" s="17">
        <v>16</v>
      </c>
      <c r="L1058" s="15">
        <f>IF(O1058,P1058/O1058,0)</f>
        <v>0.22</v>
      </c>
      <c r="M1058" s="15">
        <v>0.22</v>
      </c>
      <c r="N1058" s="15">
        <f>A1058</f>
        <v>1056</v>
      </c>
      <c r="O1058" s="15">
        <f t="shared" si="3195"/>
        <v>500</v>
      </c>
      <c r="P1058" s="15">
        <v>110</v>
      </c>
      <c r="Q1058" s="16"/>
    </row>
    <row r="1059" ht="20.05" customHeight="1">
      <c r="A1059" s="13">
        <f>A1058+1</f>
        <v>1057</v>
      </c>
      <c r="B1059" s="14">
        <v>2023</v>
      </c>
      <c r="C1059" s="15">
        <v>11</v>
      </c>
      <c r="D1059" s="15">
        <v>6</v>
      </c>
      <c r="E1059" s="16"/>
      <c r="F1059" t="s" s="17">
        <v>387</v>
      </c>
      <c r="G1059" s="16"/>
      <c r="H1059" t="s" s="17">
        <v>163</v>
      </c>
      <c r="I1059" t="s" s="17">
        <v>199</v>
      </c>
      <c r="J1059" t="s" s="17">
        <v>388</v>
      </c>
      <c r="K1059" t="s" s="17">
        <v>23</v>
      </c>
      <c r="L1059" s="15">
        <f>IF(O1059,P1059/O1059,0)</f>
        <v>4.29</v>
      </c>
      <c r="M1059" s="15">
        <v>4.29</v>
      </c>
      <c r="N1059" s="15">
        <f>A1059</f>
        <v>1057</v>
      </c>
      <c r="O1059" s="15">
        <v>100</v>
      </c>
      <c r="P1059" s="41">
        <f>357.5+357.5*20%</f>
        <v>429</v>
      </c>
      <c r="Q1059" s="16"/>
    </row>
    <row r="1060" ht="32.05" customHeight="1">
      <c r="A1060" s="13">
        <f>A1059+1</f>
        <v>1058</v>
      </c>
      <c r="B1060" s="14">
        <v>2023</v>
      </c>
      <c r="C1060" s="15">
        <v>11</v>
      </c>
      <c r="D1060" s="15">
        <v>8</v>
      </c>
      <c r="E1060" s="15">
        <v>7173392323</v>
      </c>
      <c r="F1060" t="s" s="17">
        <v>389</v>
      </c>
      <c r="G1060" s="16"/>
      <c r="H1060" s="16"/>
      <c r="I1060" s="16"/>
      <c r="J1060" t="s" s="17">
        <v>378</v>
      </c>
      <c r="K1060" t="s" s="17">
        <v>23</v>
      </c>
      <c r="L1060" s="15">
        <f>IF(O1060,P1060/O1060,0)</f>
        <v>739.1799999999999</v>
      </c>
      <c r="M1060" s="15">
        <v>739.1799999999999</v>
      </c>
      <c r="N1060" s="15">
        <f>A1060</f>
        <v>1058</v>
      </c>
      <c r="O1060" s="15">
        <v>1</v>
      </c>
      <c r="P1060" s="15">
        <v>739.1799999999999</v>
      </c>
      <c r="Q1060" s="16"/>
    </row>
    <row r="1061" ht="32.05" customHeight="1">
      <c r="A1061" s="13">
        <f>A1060+1</f>
        <v>1059</v>
      </c>
      <c r="B1061" s="14">
        <v>2023</v>
      </c>
      <c r="C1061" s="15">
        <v>11</v>
      </c>
      <c r="D1061" s="15">
        <v>8</v>
      </c>
      <c r="E1061" s="15">
        <v>7173425050</v>
      </c>
      <c r="F1061" t="s" s="17">
        <v>389</v>
      </c>
      <c r="G1061" s="16"/>
      <c r="H1061" s="16"/>
      <c r="I1061" s="16"/>
      <c r="J1061" t="s" s="17">
        <v>378</v>
      </c>
      <c r="K1061" t="s" s="17">
        <v>23</v>
      </c>
      <c r="L1061" s="15">
        <f>IF(O1061,P1061/O1061,0)</f>
        <v>879.58</v>
      </c>
      <c r="M1061" s="15">
        <v>879.58</v>
      </c>
      <c r="N1061" s="15">
        <f>A1061</f>
        <v>1059</v>
      </c>
      <c r="O1061" s="15">
        <v>1</v>
      </c>
      <c r="P1061" s="15">
        <v>879.58</v>
      </c>
      <c r="Q1061" s="16"/>
    </row>
    <row r="1062" ht="32.35" customHeight="1">
      <c r="A1062" s="13">
        <f>A1061+1</f>
        <v>1060</v>
      </c>
      <c r="B1062" s="14">
        <v>2023</v>
      </c>
      <c r="C1062" s="15">
        <v>11</v>
      </c>
      <c r="D1062" s="15">
        <v>8</v>
      </c>
      <c r="E1062" s="16"/>
      <c r="F1062" t="s" s="17">
        <v>111</v>
      </c>
      <c r="G1062" s="16"/>
      <c r="H1062" t="s" s="17">
        <v>163</v>
      </c>
      <c r="I1062" t="s" s="17">
        <v>187</v>
      </c>
      <c r="J1062" t="s" s="17">
        <v>137</v>
      </c>
      <c r="K1062" t="s" s="17">
        <v>41</v>
      </c>
      <c r="L1062" s="15">
        <f>IF(O1062,P1062/O1062,0)</f>
        <v>0.0879168</v>
      </c>
      <c r="M1062" s="15">
        <v>0.0879168</v>
      </c>
      <c r="N1062" s="15">
        <f>A1062</f>
        <v>1060</v>
      </c>
      <c r="O1062" s="15">
        <v>2500</v>
      </c>
      <c r="P1062" s="54">
        <f>183.16+183.16*20%</f>
        <v>219.792</v>
      </c>
      <c r="Q1062" s="16"/>
    </row>
    <row r="1063" ht="20.7" customHeight="1">
      <c r="A1063" s="13">
        <f>A1062+1</f>
        <v>1061</v>
      </c>
      <c r="B1063" s="14">
        <v>2023</v>
      </c>
      <c r="C1063" s="15">
        <v>11</v>
      </c>
      <c r="D1063" s="15">
        <v>8</v>
      </c>
      <c r="E1063" s="16"/>
      <c r="F1063" t="s" s="17">
        <v>122</v>
      </c>
      <c r="G1063" s="16"/>
      <c r="H1063" t="s" s="17">
        <v>163</v>
      </c>
      <c r="I1063" t="s" s="17">
        <v>19</v>
      </c>
      <c r="J1063" t="s" s="17">
        <v>67</v>
      </c>
      <c r="K1063" t="s" s="17">
        <v>23</v>
      </c>
      <c r="L1063" s="15">
        <f>IF(O1063,P1063/O1063,0)</f>
        <v>1.236138</v>
      </c>
      <c r="M1063" s="15">
        <v>1.236138</v>
      </c>
      <c r="N1063" s="15">
        <f>A1063</f>
        <v>1061</v>
      </c>
      <c r="O1063" s="19">
        <f t="shared" si="3790" ref="O1063:O1303">3*100</f>
        <v>300</v>
      </c>
      <c r="P1063" s="47">
        <f t="shared" si="2801"/>
        <v>370.8414</v>
      </c>
      <c r="Q1063" s="21"/>
    </row>
    <row r="1064" ht="20.7" customHeight="1">
      <c r="A1064" s="13">
        <f>A1063+1</f>
        <v>1062</v>
      </c>
      <c r="B1064" s="14">
        <v>2023</v>
      </c>
      <c r="C1064" s="15">
        <v>11</v>
      </c>
      <c r="D1064" s="15">
        <v>8</v>
      </c>
      <c r="E1064" s="16"/>
      <c r="F1064" t="s" s="17">
        <v>122</v>
      </c>
      <c r="G1064" s="16"/>
      <c r="H1064" t="s" s="17">
        <v>163</v>
      </c>
      <c r="I1064" t="s" s="17">
        <v>19</v>
      </c>
      <c r="J1064" t="s" s="17">
        <v>139</v>
      </c>
      <c r="K1064" t="s" s="17">
        <v>23</v>
      </c>
      <c r="L1064" s="15">
        <f>IF(O1064,P1064/O1064,0)</f>
        <v>3.89270833333333</v>
      </c>
      <c r="M1064" s="15">
        <v>3.89270833333333</v>
      </c>
      <c r="N1064" s="15">
        <f>A1064</f>
        <v>1062</v>
      </c>
      <c r="O1064" s="19">
        <v>24</v>
      </c>
      <c r="P1064" s="46">
        <f t="shared" si="2096"/>
        <v>93.425</v>
      </c>
      <c r="Q1064" s="21"/>
    </row>
    <row r="1065" ht="20.7" customHeight="1">
      <c r="A1065" s="13">
        <f>A1064+1</f>
        <v>1063</v>
      </c>
      <c r="B1065" s="14">
        <v>2023</v>
      </c>
      <c r="C1065" s="15">
        <v>11</v>
      </c>
      <c r="D1065" s="15">
        <v>8</v>
      </c>
      <c r="E1065" s="16"/>
      <c r="F1065" t="s" s="17">
        <v>122</v>
      </c>
      <c r="G1065" s="16"/>
      <c r="H1065" t="s" s="17">
        <v>163</v>
      </c>
      <c r="I1065" t="s" s="17">
        <v>19</v>
      </c>
      <c r="J1065" t="s" s="17">
        <v>67</v>
      </c>
      <c r="K1065" t="s" s="17">
        <v>23</v>
      </c>
      <c r="L1065" s="15">
        <f>IF(O1065,P1065/O1065,0)</f>
        <v>1.236139</v>
      </c>
      <c r="M1065" s="15">
        <v>1.236139</v>
      </c>
      <c r="N1065" s="15">
        <f>A1065</f>
        <v>1063</v>
      </c>
      <c r="O1065" s="19">
        <f t="shared" si="3799" ref="O1065:O1191">4*100</f>
        <v>400</v>
      </c>
      <c r="P1065" s="47">
        <f t="shared" si="3800" ref="P1065:P1191">489.56+489.56*1%</f>
        <v>494.4556</v>
      </c>
      <c r="Q1065" s="21"/>
    </row>
    <row r="1066" ht="20.7" customHeight="1">
      <c r="A1066" s="13">
        <f>A1065+1</f>
        <v>1064</v>
      </c>
      <c r="B1066" s="14">
        <v>2023</v>
      </c>
      <c r="C1066" s="15">
        <v>11</v>
      </c>
      <c r="D1066" s="15">
        <v>8</v>
      </c>
      <c r="E1066" s="16"/>
      <c r="F1066" t="s" s="17">
        <v>122</v>
      </c>
      <c r="G1066" s="16"/>
      <c r="H1066" t="s" s="17">
        <v>163</v>
      </c>
      <c r="I1066" t="s" s="17">
        <v>19</v>
      </c>
      <c r="J1066" t="s" s="17">
        <v>138</v>
      </c>
      <c r="K1066" t="s" s="17">
        <v>41</v>
      </c>
      <c r="L1066" s="15">
        <f>IF(O1066,P1066/O1066,0)</f>
        <v>0.0380433333333333</v>
      </c>
      <c r="M1066" s="15">
        <v>0.0380433333333333</v>
      </c>
      <c r="N1066" s="15">
        <f>A1066</f>
        <v>1064</v>
      </c>
      <c r="O1066" s="19">
        <f t="shared" si="2805"/>
        <v>24000</v>
      </c>
      <c r="P1066" s="48">
        <f t="shared" si="3805" ref="P1066:P1140">904+904*1%</f>
        <v>913.04</v>
      </c>
      <c r="Q1066" s="21"/>
    </row>
    <row r="1067" ht="20.7" customHeight="1">
      <c r="A1067" s="13">
        <f>A1066+1</f>
        <v>1065</v>
      </c>
      <c r="B1067" s="14">
        <v>2023</v>
      </c>
      <c r="C1067" s="15">
        <v>11</v>
      </c>
      <c r="D1067" s="15">
        <v>8</v>
      </c>
      <c r="E1067" s="16"/>
      <c r="F1067" t="s" s="17">
        <v>122</v>
      </c>
      <c r="G1067" s="16"/>
      <c r="H1067" t="s" s="17">
        <v>163</v>
      </c>
      <c r="I1067" t="s" s="17">
        <v>127</v>
      </c>
      <c r="J1067" t="s" s="17">
        <v>161</v>
      </c>
      <c r="K1067" t="s" s="17">
        <v>23</v>
      </c>
      <c r="L1067" s="15">
        <f>IF(O1067,P1067/O1067,0)</f>
        <v>11.45</v>
      </c>
      <c r="M1067" s="15">
        <v>11.45</v>
      </c>
      <c r="N1067" s="15">
        <f>A1067</f>
        <v>1065</v>
      </c>
      <c r="O1067" s="19">
        <f t="shared" si="3809" ref="O1067:O1197">8*3</f>
        <v>24</v>
      </c>
      <c r="P1067" s="46">
        <f t="shared" si="3810" ref="P1067:P1242">229+229*20%</f>
        <v>274.8</v>
      </c>
      <c r="Q1067" s="21"/>
    </row>
    <row r="1068" ht="20.7" customHeight="1">
      <c r="A1068" s="13">
        <f>A1067+1</f>
        <v>1066</v>
      </c>
      <c r="B1068" s="14">
        <v>2023</v>
      </c>
      <c r="C1068" s="15">
        <v>11</v>
      </c>
      <c r="D1068" s="15">
        <v>8</v>
      </c>
      <c r="E1068" s="16"/>
      <c r="F1068" t="s" s="17">
        <v>122</v>
      </c>
      <c r="G1068" s="16"/>
      <c r="H1068" t="s" s="17">
        <v>163</v>
      </c>
      <c r="I1068" t="s" s="17">
        <v>127</v>
      </c>
      <c r="J1068" t="s" s="17">
        <v>167</v>
      </c>
      <c r="K1068" t="s" s="17">
        <v>23</v>
      </c>
      <c r="L1068" s="15">
        <f>IF(O1068,P1068/O1068,0)</f>
        <v>3.85</v>
      </c>
      <c r="M1068" s="15">
        <v>3.85</v>
      </c>
      <c r="N1068" s="15">
        <f>A1068</f>
        <v>1066</v>
      </c>
      <c r="O1068" s="19">
        <f t="shared" si="3346"/>
        <v>40</v>
      </c>
      <c r="P1068" s="48">
        <f t="shared" si="3815" ref="P1068:P1332">140+140*10%</f>
        <v>154</v>
      </c>
      <c r="Q1068" s="21"/>
    </row>
    <row r="1069" ht="20.35" customHeight="1">
      <c r="A1069" s="13">
        <f>A1068+1</f>
        <v>1067</v>
      </c>
      <c r="B1069" s="14">
        <v>2023</v>
      </c>
      <c r="C1069" s="15">
        <v>11</v>
      </c>
      <c r="D1069" s="15">
        <v>8</v>
      </c>
      <c r="E1069" s="16"/>
      <c r="F1069" t="s" s="17">
        <v>111</v>
      </c>
      <c r="G1069" s="16"/>
      <c r="H1069" t="s" s="17">
        <v>163</v>
      </c>
      <c r="I1069" t="s" s="17">
        <v>26</v>
      </c>
      <c r="J1069" t="s" s="17">
        <v>113</v>
      </c>
      <c r="K1069" t="s" s="17">
        <v>41</v>
      </c>
      <c r="L1069" s="15">
        <f>IF(O1069,P1069/O1069,0)</f>
        <v>0.0279166666666667</v>
      </c>
      <c r="M1069" s="15">
        <v>0.0279166666666667</v>
      </c>
      <c r="N1069" s="15">
        <f>A1069</f>
        <v>1067</v>
      </c>
      <c r="O1069" s="15">
        <v>3000</v>
      </c>
      <c r="P1069" s="22">
        <v>83.75</v>
      </c>
      <c r="Q1069" s="16"/>
    </row>
    <row r="1070" ht="20.05" customHeight="1">
      <c r="A1070" s="13">
        <f>A1069+1</f>
        <v>1068</v>
      </c>
      <c r="B1070" s="14">
        <v>2023</v>
      </c>
      <c r="C1070" s="15">
        <v>11</v>
      </c>
      <c r="D1070" s="15">
        <v>8</v>
      </c>
      <c r="E1070" s="16"/>
      <c r="F1070" t="s" s="17">
        <v>111</v>
      </c>
      <c r="G1070" s="16"/>
      <c r="H1070" t="s" s="17">
        <v>163</v>
      </c>
      <c r="I1070" t="s" s="17">
        <v>19</v>
      </c>
      <c r="J1070" t="s" s="17">
        <v>72</v>
      </c>
      <c r="K1070" t="s" s="17">
        <v>41</v>
      </c>
      <c r="L1070" s="15">
        <f>IF(O1070,P1070/O1070,0)</f>
        <v>0.2975</v>
      </c>
      <c r="M1070" s="15">
        <v>0.2975</v>
      </c>
      <c r="N1070" s="15">
        <f>A1070</f>
        <v>1068</v>
      </c>
      <c r="O1070" s="15">
        <f t="shared" si="3195"/>
        <v>500</v>
      </c>
      <c r="P1070" s="15">
        <v>148.75</v>
      </c>
      <c r="Q1070" s="16"/>
    </row>
    <row r="1071" ht="20.05" customHeight="1">
      <c r="A1071" s="13">
        <f>A1070+1</f>
        <v>1069</v>
      </c>
      <c r="B1071" s="14">
        <v>2023</v>
      </c>
      <c r="C1071" s="15">
        <v>11</v>
      </c>
      <c r="D1071" s="15">
        <v>8</v>
      </c>
      <c r="E1071" s="16"/>
      <c r="F1071" t="s" s="17">
        <v>111</v>
      </c>
      <c r="G1071" s="16"/>
      <c r="H1071" t="s" s="17">
        <v>163</v>
      </c>
      <c r="I1071" t="s" s="17">
        <v>26</v>
      </c>
      <c r="J1071" t="s" s="17">
        <v>117</v>
      </c>
      <c r="K1071" t="s" s="17">
        <v>23</v>
      </c>
      <c r="L1071" s="15">
        <f>IF(O1071,P1071/O1071,0)</f>
        <v>35.138</v>
      </c>
      <c r="M1071" s="15">
        <v>35.138</v>
      </c>
      <c r="N1071" s="15">
        <f>A1071</f>
        <v>1069</v>
      </c>
      <c r="O1071" s="15">
        <v>5</v>
      </c>
      <c r="P1071" s="15">
        <v>175.69</v>
      </c>
      <c r="Q1071" s="16"/>
    </row>
    <row r="1072" ht="20.05" customHeight="1">
      <c r="A1072" s="13">
        <f>A1071+1</f>
        <v>1070</v>
      </c>
      <c r="B1072" s="14">
        <v>2023</v>
      </c>
      <c r="C1072" s="15">
        <v>11</v>
      </c>
      <c r="D1072" s="15">
        <v>8</v>
      </c>
      <c r="E1072" s="16"/>
      <c r="F1072" t="s" s="17">
        <v>111</v>
      </c>
      <c r="G1072" s="16"/>
      <c r="H1072" t="s" s="17">
        <v>163</v>
      </c>
      <c r="I1072" t="s" s="17">
        <v>26</v>
      </c>
      <c r="J1072" t="s" s="17">
        <v>134</v>
      </c>
      <c r="K1072" t="s" s="17">
        <v>23</v>
      </c>
      <c r="L1072" s="15">
        <f>IF(O1072,P1072/O1072,0)</f>
        <v>36.239</v>
      </c>
      <c r="M1072" s="15">
        <v>36.239</v>
      </c>
      <c r="N1072" s="15">
        <f>A1072</f>
        <v>1070</v>
      </c>
      <c r="O1072" s="15">
        <v>10</v>
      </c>
      <c r="P1072" s="15">
        <v>362.39</v>
      </c>
      <c r="Q1072" s="16"/>
    </row>
    <row r="1073" ht="20.05" customHeight="1">
      <c r="A1073" s="13">
        <f>A1072+1</f>
        <v>1071</v>
      </c>
      <c r="B1073" s="14">
        <v>2023</v>
      </c>
      <c r="C1073" s="15">
        <v>11</v>
      </c>
      <c r="D1073" s="15">
        <v>8</v>
      </c>
      <c r="E1073" s="16"/>
      <c r="F1073" t="s" s="17">
        <v>111</v>
      </c>
      <c r="G1073" s="16"/>
      <c r="H1073" t="s" s="17">
        <v>163</v>
      </c>
      <c r="I1073" t="s" s="17">
        <v>26</v>
      </c>
      <c r="J1073" t="s" s="17">
        <v>118</v>
      </c>
      <c r="K1073" t="s" s="17">
        <v>23</v>
      </c>
      <c r="L1073" s="15">
        <f>IF(O1073,P1073/O1073,0)</f>
        <v>36.238</v>
      </c>
      <c r="M1073" s="15">
        <v>36.238</v>
      </c>
      <c r="N1073" s="15">
        <f>A1073</f>
        <v>1071</v>
      </c>
      <c r="O1073" s="15">
        <v>5</v>
      </c>
      <c r="P1073" s="15">
        <v>181.19</v>
      </c>
      <c r="Q1073" s="16"/>
    </row>
    <row r="1074" ht="20.05" customHeight="1">
      <c r="A1074" s="13">
        <f>A1073+1</f>
        <v>1072</v>
      </c>
      <c r="B1074" s="14">
        <v>2023</v>
      </c>
      <c r="C1074" s="15">
        <v>11</v>
      </c>
      <c r="D1074" s="15">
        <v>8</v>
      </c>
      <c r="E1074" s="16"/>
      <c r="F1074" t="s" s="17">
        <v>111</v>
      </c>
      <c r="G1074" s="16"/>
      <c r="H1074" t="s" s="17">
        <v>163</v>
      </c>
      <c r="I1074" t="s" s="17">
        <v>19</v>
      </c>
      <c r="J1074" t="s" s="17">
        <v>135</v>
      </c>
      <c r="K1074" t="s" s="17">
        <v>23</v>
      </c>
      <c r="L1074" s="15">
        <f>IF(O1074,P1074/O1074,0)</f>
        <v>0.45816</v>
      </c>
      <c r="M1074" s="15">
        <v>0.45816</v>
      </c>
      <c r="N1074" s="15">
        <f>A1074</f>
        <v>1072</v>
      </c>
      <c r="O1074" s="15">
        <f t="shared" si="3835" ref="O1074:O1406">5*50</f>
        <v>250</v>
      </c>
      <c r="P1074" s="15">
        <v>114.54</v>
      </c>
      <c r="Q1074" s="16"/>
    </row>
    <row r="1075" ht="20.05" customHeight="1">
      <c r="A1075" s="13">
        <f>A1074+1</f>
        <v>1073</v>
      </c>
      <c r="B1075" s="14">
        <v>2023</v>
      </c>
      <c r="C1075" s="15">
        <v>11</v>
      </c>
      <c r="D1075" s="15">
        <v>8</v>
      </c>
      <c r="E1075" s="16"/>
      <c r="F1075" t="s" s="17">
        <v>111</v>
      </c>
      <c r="G1075" s="16"/>
      <c r="H1075" t="s" s="17">
        <v>163</v>
      </c>
      <c r="I1075" t="s" s="17">
        <v>127</v>
      </c>
      <c r="J1075" t="s" s="17">
        <v>166</v>
      </c>
      <c r="K1075" t="s" s="17">
        <v>41</v>
      </c>
      <c r="L1075" s="15">
        <f>IF(O1075,P1075/O1075,0)</f>
        <v>0.0526</v>
      </c>
      <c r="M1075" s="15">
        <v>0.0526</v>
      </c>
      <c r="N1075" s="15">
        <f>A1075</f>
        <v>1073</v>
      </c>
      <c r="O1075" s="15">
        <v>500</v>
      </c>
      <c r="P1075" s="15">
        <v>26.3</v>
      </c>
      <c r="Q1075" s="16"/>
    </row>
    <row r="1076" ht="20.05" customHeight="1">
      <c r="A1076" s="13">
        <f>A1075+1</f>
        <v>1074</v>
      </c>
      <c r="B1076" s="14">
        <v>2023</v>
      </c>
      <c r="C1076" s="15">
        <v>11</v>
      </c>
      <c r="D1076" s="15">
        <v>8</v>
      </c>
      <c r="E1076" s="16"/>
      <c r="F1076" t="s" s="17">
        <v>150</v>
      </c>
      <c r="G1076" s="16"/>
      <c r="H1076" t="s" s="17">
        <v>163</v>
      </c>
      <c r="I1076" t="s" s="17">
        <v>19</v>
      </c>
      <c r="J1076" t="s" s="17">
        <v>56</v>
      </c>
      <c r="K1076" t="s" s="17">
        <v>41</v>
      </c>
      <c r="L1076" s="15">
        <f>IF(O1076,P1076/O1076,0)</f>
        <v>0.360906666666667</v>
      </c>
      <c r="M1076" s="15">
        <v>0.360906666666667</v>
      </c>
      <c r="N1076" s="15">
        <f>A1076</f>
        <v>1074</v>
      </c>
      <c r="O1076" s="15">
        <v>750</v>
      </c>
      <c r="P1076" s="41">
        <f t="shared" si="3614"/>
        <v>270.68</v>
      </c>
      <c r="Q1076" s="16"/>
    </row>
    <row r="1077" ht="20.05" customHeight="1">
      <c r="A1077" s="13">
        <f>A1076+1</f>
        <v>1075</v>
      </c>
      <c r="B1077" s="14">
        <v>2023</v>
      </c>
      <c r="C1077" s="15">
        <v>11</v>
      </c>
      <c r="D1077" s="15">
        <v>8</v>
      </c>
      <c r="E1077" s="16"/>
      <c r="F1077" t="s" s="17">
        <v>150</v>
      </c>
      <c r="G1077" s="16"/>
      <c r="H1077" t="s" s="17">
        <v>163</v>
      </c>
      <c r="I1077" t="s" s="17">
        <v>19</v>
      </c>
      <c r="J1077" t="s" s="17">
        <v>85</v>
      </c>
      <c r="K1077" t="s" s="17">
        <v>41</v>
      </c>
      <c r="L1077" s="15">
        <f>IF(O1077,P1077/O1077,0)</f>
        <v>0.360906666666667</v>
      </c>
      <c r="M1077" s="15">
        <v>0.360906666666667</v>
      </c>
      <c r="N1077" s="15">
        <f>A1077</f>
        <v>1075</v>
      </c>
      <c r="O1077" s="15">
        <v>750</v>
      </c>
      <c r="P1077" s="41">
        <f t="shared" si="3614"/>
        <v>270.68</v>
      </c>
      <c r="Q1077" s="16"/>
    </row>
    <row r="1078" ht="20.05" customHeight="1">
      <c r="A1078" s="13">
        <f>A1077+1</f>
        <v>1076</v>
      </c>
      <c r="B1078" s="14">
        <v>2023</v>
      </c>
      <c r="C1078" s="15">
        <v>11</v>
      </c>
      <c r="D1078" s="15">
        <v>8</v>
      </c>
      <c r="E1078" s="16"/>
      <c r="F1078" t="s" s="17">
        <v>150</v>
      </c>
      <c r="G1078" s="16"/>
      <c r="H1078" t="s" s="17">
        <v>163</v>
      </c>
      <c r="I1078" t="s" s="17">
        <v>19</v>
      </c>
      <c r="J1078" t="s" s="17">
        <v>91</v>
      </c>
      <c r="K1078" t="s" s="17">
        <v>41</v>
      </c>
      <c r="L1078" s="15">
        <f>IF(O1078,P1078/O1078,0)</f>
        <v>0.360906666666667</v>
      </c>
      <c r="M1078" s="15">
        <v>0.360906666666667</v>
      </c>
      <c r="N1078" s="15">
        <f>A1078</f>
        <v>1076</v>
      </c>
      <c r="O1078" s="15">
        <f t="shared" si="1660"/>
        <v>1500</v>
      </c>
      <c r="P1078" s="41">
        <f>536+536*1%</f>
        <v>541.36</v>
      </c>
      <c r="Q1078" s="16"/>
    </row>
    <row r="1079" ht="20.05" customHeight="1">
      <c r="A1079" s="13">
        <f>A1078+1</f>
        <v>1077</v>
      </c>
      <c r="B1079" s="14">
        <v>2023</v>
      </c>
      <c r="C1079" s="15">
        <v>11</v>
      </c>
      <c r="D1079" s="15">
        <v>8</v>
      </c>
      <c r="E1079" s="16"/>
      <c r="F1079" t="s" s="17">
        <v>150</v>
      </c>
      <c r="G1079" s="16"/>
      <c r="H1079" t="s" s="17">
        <v>163</v>
      </c>
      <c r="I1079" t="s" s="17">
        <v>19</v>
      </c>
      <c r="J1079" t="s" s="17">
        <v>93</v>
      </c>
      <c r="K1079" t="s" s="17">
        <v>41</v>
      </c>
      <c r="L1079" s="15">
        <f>IF(O1079,P1079/O1079,0)</f>
        <v>0.73225</v>
      </c>
      <c r="M1079" s="15">
        <v>0.73225</v>
      </c>
      <c r="N1079" s="15">
        <f>A1079</f>
        <v>1077</v>
      </c>
      <c r="O1079" s="15">
        <v>1000</v>
      </c>
      <c r="P1079" s="41">
        <f t="shared" si="3855" ref="P1079:P1202">725+725*1%</f>
        <v>732.25</v>
      </c>
      <c r="Q1079" s="16"/>
    </row>
    <row r="1080" ht="20.05" customHeight="1">
      <c r="A1080" s="13">
        <f>A1079+1</f>
        <v>1078</v>
      </c>
      <c r="B1080" s="14">
        <v>2023</v>
      </c>
      <c r="C1080" s="15">
        <v>11</v>
      </c>
      <c r="D1080" s="15">
        <v>8</v>
      </c>
      <c r="E1080" s="16"/>
      <c r="F1080" t="s" s="17">
        <v>150</v>
      </c>
      <c r="G1080" s="16"/>
      <c r="H1080" t="s" s="17">
        <v>163</v>
      </c>
      <c r="I1080" t="s" s="17">
        <v>19</v>
      </c>
      <c r="J1080" t="s" s="17">
        <v>70</v>
      </c>
      <c r="K1080" t="s" s="17">
        <v>16</v>
      </c>
      <c r="L1080" s="15">
        <f>IF(O1080,P1080/O1080,0)</f>
        <v>0.33936</v>
      </c>
      <c r="M1080" s="15">
        <v>0.33936</v>
      </c>
      <c r="N1080" s="15">
        <f>A1080</f>
        <v>1078</v>
      </c>
      <c r="O1080" s="15">
        <f t="shared" si="3230"/>
        <v>3000</v>
      </c>
      <c r="P1080" s="41">
        <f t="shared" si="3076"/>
        <v>1018.08</v>
      </c>
      <c r="Q1080" s="16"/>
    </row>
    <row r="1081" ht="20.05" customHeight="1">
      <c r="A1081" s="13">
        <f>A1080+1</f>
        <v>1079</v>
      </c>
      <c r="B1081" s="14">
        <v>2023</v>
      </c>
      <c r="C1081" s="15">
        <v>11</v>
      </c>
      <c r="D1081" s="15">
        <v>8</v>
      </c>
      <c r="E1081" s="16"/>
      <c r="F1081" t="s" s="17">
        <v>150</v>
      </c>
      <c r="G1081" s="16"/>
      <c r="H1081" t="s" s="17">
        <v>163</v>
      </c>
      <c r="I1081" t="s" s="17">
        <v>19</v>
      </c>
      <c r="J1081" t="s" s="17">
        <v>155</v>
      </c>
      <c r="K1081" t="s" s="17">
        <v>16</v>
      </c>
      <c r="L1081" s="15">
        <f>IF(O1081,P1081/O1081,0)</f>
        <v>0.33936</v>
      </c>
      <c r="M1081" s="15">
        <v>0.33936</v>
      </c>
      <c r="N1081" s="15">
        <f>A1081</f>
        <v>1079</v>
      </c>
      <c r="O1081" s="15">
        <f t="shared" si="3864" ref="O1081:O1148">5*1000</f>
        <v>5000</v>
      </c>
      <c r="P1081" s="42">
        <f t="shared" si="2434"/>
        <v>1696.8</v>
      </c>
      <c r="Q1081" s="16"/>
    </row>
    <row r="1082" ht="20.05" customHeight="1">
      <c r="A1082" s="13">
        <f>A1081+1</f>
        <v>1080</v>
      </c>
      <c r="B1082" s="14">
        <v>2023</v>
      </c>
      <c r="C1082" s="15">
        <v>11</v>
      </c>
      <c r="D1082" s="15">
        <v>8</v>
      </c>
      <c r="E1082" s="16"/>
      <c r="F1082" t="s" s="17">
        <v>130</v>
      </c>
      <c r="G1082" s="16"/>
      <c r="H1082" t="s" s="17">
        <v>163</v>
      </c>
      <c r="I1082" t="s" s="17">
        <v>19</v>
      </c>
      <c r="J1082" t="s" s="17">
        <v>157</v>
      </c>
      <c r="K1082" t="s" s="17">
        <v>16</v>
      </c>
      <c r="L1082" s="15">
        <f>IF(O1082,P1082/O1082,0)</f>
        <v>0.0169529652351738</v>
      </c>
      <c r="M1082" s="15">
        <v>0.0169529652351738</v>
      </c>
      <c r="N1082" s="15">
        <f>A1082</f>
        <v>1080</v>
      </c>
      <c r="O1082" s="15">
        <v>978</v>
      </c>
      <c r="P1082" s="15">
        <v>16.58</v>
      </c>
      <c r="Q1082" s="16"/>
    </row>
    <row r="1083" ht="20.05" customHeight="1">
      <c r="A1083" s="13">
        <f>A1082+1</f>
        <v>1081</v>
      </c>
      <c r="B1083" s="14">
        <v>2023</v>
      </c>
      <c r="C1083" s="15">
        <v>11</v>
      </c>
      <c r="D1083" s="15">
        <v>9</v>
      </c>
      <c r="E1083" s="16"/>
      <c r="F1083" t="s" s="17">
        <v>130</v>
      </c>
      <c r="G1083" s="16"/>
      <c r="H1083" t="s" s="17">
        <v>163</v>
      </c>
      <c r="I1083" t="s" s="17">
        <v>17</v>
      </c>
      <c r="J1083" t="s" s="17">
        <v>124</v>
      </c>
      <c r="K1083" t="s" s="17">
        <v>16</v>
      </c>
      <c r="L1083" s="15">
        <f>IF(O1083,P1083/O1083,0)</f>
        <v>0.14375</v>
      </c>
      <c r="M1083" s="15">
        <v>0.14375</v>
      </c>
      <c r="N1083" s="15">
        <f>A1083</f>
        <v>1081</v>
      </c>
      <c r="O1083" s="15">
        <f t="shared" si="3872" ref="O1083:O1711">2*400</f>
        <v>800</v>
      </c>
      <c r="P1083" s="15">
        <v>115</v>
      </c>
      <c r="Q1083" s="16"/>
    </row>
    <row r="1084" ht="32.05" customHeight="1">
      <c r="A1084" s="13">
        <f>A1083+1</f>
        <v>1082</v>
      </c>
      <c r="B1084" s="14">
        <v>2023</v>
      </c>
      <c r="C1084" s="15">
        <v>11</v>
      </c>
      <c r="D1084" s="15">
        <v>9</v>
      </c>
      <c r="E1084" s="16"/>
      <c r="F1084" t="s" s="17">
        <v>390</v>
      </c>
      <c r="G1084" s="16"/>
      <c r="H1084" t="s" s="17">
        <v>163</v>
      </c>
      <c r="I1084" s="16"/>
      <c r="J1084" t="s" s="17">
        <v>378</v>
      </c>
      <c r="K1084" t="s" s="17">
        <v>23</v>
      </c>
      <c r="L1084" s="15">
        <f>IF(O1084,P1084/O1084,0)</f>
        <v>1980</v>
      </c>
      <c r="M1084" s="15">
        <v>1980</v>
      </c>
      <c r="N1084" s="15">
        <f>A1084</f>
        <v>1082</v>
      </c>
      <c r="O1084" s="15">
        <v>1</v>
      </c>
      <c r="P1084" s="15">
        <v>1980</v>
      </c>
      <c r="Q1084" s="16"/>
    </row>
    <row r="1085" ht="20.05" customHeight="1">
      <c r="A1085" s="13">
        <f>A1084+1</f>
        <v>1083</v>
      </c>
      <c r="B1085" s="14">
        <v>2023</v>
      </c>
      <c r="C1085" s="15">
        <v>11</v>
      </c>
      <c r="D1085" s="15">
        <v>9</v>
      </c>
      <c r="E1085" s="16"/>
      <c r="F1085" t="s" s="17">
        <v>150</v>
      </c>
      <c r="G1085" s="16"/>
      <c r="H1085" t="s" s="17">
        <v>163</v>
      </c>
      <c r="I1085" t="s" s="17">
        <v>19</v>
      </c>
      <c r="J1085" t="s" s="17">
        <v>97</v>
      </c>
      <c r="K1085" t="s" s="17">
        <v>41</v>
      </c>
      <c r="L1085" s="15">
        <f>IF(O1085,P1085/O1085,0)</f>
        <v>0.18584</v>
      </c>
      <c r="M1085" s="15">
        <v>0.18584</v>
      </c>
      <c r="N1085" s="15">
        <f>A1085</f>
        <v>1083</v>
      </c>
      <c r="O1085" s="15">
        <v>1000</v>
      </c>
      <c r="P1085" s="41">
        <f t="shared" si="3504"/>
        <v>185.84</v>
      </c>
      <c r="Q1085" s="16"/>
    </row>
    <row r="1086" ht="20.05" customHeight="1">
      <c r="A1086" s="13">
        <f>A1085+1</f>
        <v>1084</v>
      </c>
      <c r="B1086" s="14">
        <v>2023</v>
      </c>
      <c r="C1086" s="15">
        <v>11</v>
      </c>
      <c r="D1086" s="15">
        <v>10</v>
      </c>
      <c r="E1086" s="16"/>
      <c r="F1086" t="s" s="17">
        <v>130</v>
      </c>
      <c r="G1086" s="16"/>
      <c r="H1086" t="s" s="17">
        <v>163</v>
      </c>
      <c r="I1086" t="s" s="17">
        <v>17</v>
      </c>
      <c r="J1086" t="s" s="17">
        <v>55</v>
      </c>
      <c r="K1086" t="s" s="17">
        <v>16</v>
      </c>
      <c r="L1086" s="15">
        <f>IF(O1086,P1086/O1086,0)</f>
        <v>0.278571428571429</v>
      </c>
      <c r="M1086" s="15">
        <v>0.278571428571429</v>
      </c>
      <c r="N1086" s="15">
        <f>A1086</f>
        <v>1084</v>
      </c>
      <c r="O1086" s="15">
        <v>350</v>
      </c>
      <c r="P1086" s="15">
        <v>97.5</v>
      </c>
      <c r="Q1086" s="16"/>
    </row>
    <row r="1087" ht="20.05" customHeight="1">
      <c r="A1087" s="13">
        <f>A1086+1</f>
        <v>1085</v>
      </c>
      <c r="B1087" s="14">
        <v>2023</v>
      </c>
      <c r="C1087" s="15">
        <v>11</v>
      </c>
      <c r="D1087" s="15">
        <v>10</v>
      </c>
      <c r="E1087" s="16"/>
      <c r="F1087" t="s" s="17">
        <v>141</v>
      </c>
      <c r="G1087" s="16"/>
      <c r="H1087" t="s" s="17">
        <v>163</v>
      </c>
      <c r="I1087" t="s" s="17">
        <v>19</v>
      </c>
      <c r="J1087" t="s" s="17">
        <v>142</v>
      </c>
      <c r="K1087" t="s" s="17">
        <v>23</v>
      </c>
      <c r="L1087" s="15">
        <f>IF(O1087,P1087/O1087,0)</f>
        <v>12.718425</v>
      </c>
      <c r="M1087" s="15">
        <v>12.718425</v>
      </c>
      <c r="N1087" s="15">
        <f>A1087</f>
        <v>1085</v>
      </c>
      <c r="O1087" s="15">
        <f t="shared" si="3886" ref="O1087:O1311">2*24</f>
        <v>48</v>
      </c>
      <c r="P1087" s="43">
        <f>604.44+604.44*1%</f>
        <v>610.4844000000001</v>
      </c>
      <c r="Q1087" s="16"/>
    </row>
    <row r="1088" ht="20.05" customHeight="1">
      <c r="A1088" s="13">
        <f>A1087+1</f>
        <v>1086</v>
      </c>
      <c r="B1088" s="14">
        <v>2023</v>
      </c>
      <c r="C1088" s="15">
        <v>11</v>
      </c>
      <c r="D1088" s="15">
        <v>10</v>
      </c>
      <c r="E1088" s="16"/>
      <c r="F1088" t="s" s="17">
        <v>141</v>
      </c>
      <c r="G1088" s="16"/>
      <c r="H1088" t="s" s="17">
        <v>163</v>
      </c>
      <c r="I1088" t="s" s="17">
        <v>19</v>
      </c>
      <c r="J1088" t="s" s="17">
        <v>144</v>
      </c>
      <c r="K1088" t="s" s="17">
        <v>23</v>
      </c>
      <c r="L1088" s="15">
        <f>IF(O1088,P1088/O1088,0)</f>
        <v>13.85175</v>
      </c>
      <c r="M1088" s="15">
        <v>13.85175</v>
      </c>
      <c r="N1088" s="15">
        <f>A1088</f>
        <v>1086</v>
      </c>
      <c r="O1088" s="15">
        <v>24</v>
      </c>
      <c r="P1088" s="42">
        <f t="shared" si="3668"/>
        <v>332.442</v>
      </c>
      <c r="Q1088" s="16"/>
    </row>
    <row r="1089" ht="20.05" customHeight="1">
      <c r="A1089" s="13">
        <f>A1088+1</f>
        <v>1087</v>
      </c>
      <c r="B1089" s="14">
        <v>2023</v>
      </c>
      <c r="C1089" s="15">
        <v>11</v>
      </c>
      <c r="D1089" s="15">
        <v>10</v>
      </c>
      <c r="E1089" s="16"/>
      <c r="F1089" t="s" s="17">
        <v>141</v>
      </c>
      <c r="G1089" s="16"/>
      <c r="H1089" t="s" s="17">
        <v>163</v>
      </c>
      <c r="I1089" t="s" s="17">
        <v>19</v>
      </c>
      <c r="J1089" t="s" s="17">
        <v>159</v>
      </c>
      <c r="K1089" t="s" s="17">
        <v>23</v>
      </c>
      <c r="L1089" s="15">
        <f>IF(O1089,P1089/O1089,0)</f>
        <v>2.60016083333333</v>
      </c>
      <c r="M1089" s="15">
        <v>2.60016083333333</v>
      </c>
      <c r="N1089" s="15">
        <f>A1089</f>
        <v>1087</v>
      </c>
      <c r="O1089" s="15">
        <f t="shared" si="3292"/>
        <v>240</v>
      </c>
      <c r="P1089" s="43">
        <f>617.86+617.86*1%</f>
        <v>624.0386</v>
      </c>
      <c r="Q1089" s="16"/>
    </row>
    <row r="1090" ht="32.05" customHeight="1">
      <c r="A1090" s="13">
        <f>A1089+1</f>
        <v>1088</v>
      </c>
      <c r="B1090" s="14">
        <v>2023</v>
      </c>
      <c r="C1090" s="15">
        <v>11</v>
      </c>
      <c r="D1090" s="15">
        <v>11</v>
      </c>
      <c r="E1090" s="16"/>
      <c r="F1090" t="s" s="17">
        <v>391</v>
      </c>
      <c r="G1090" s="16"/>
      <c r="H1090" t="s" s="17">
        <v>163</v>
      </c>
      <c r="I1090" t="s" s="17">
        <v>187</v>
      </c>
      <c r="J1090" t="s" s="17">
        <v>392</v>
      </c>
      <c r="K1090" t="s" s="17">
        <v>23</v>
      </c>
      <c r="L1090" s="15">
        <f>IF(O1090,P1090/O1090,0)</f>
        <v>795.996</v>
      </c>
      <c r="M1090" s="15">
        <v>795.996</v>
      </c>
      <c r="N1090" s="15">
        <f>A1090</f>
        <v>1088</v>
      </c>
      <c r="O1090" s="15">
        <v>2</v>
      </c>
      <c r="P1090" s="42">
        <f>1326.66+1326.66*20%</f>
        <v>1591.992</v>
      </c>
      <c r="Q1090" s="16"/>
    </row>
    <row r="1091" ht="20.05" customHeight="1">
      <c r="A1091" s="13">
        <f>A1090+1</f>
        <v>1089</v>
      </c>
      <c r="B1091" s="14">
        <v>2023</v>
      </c>
      <c r="C1091" s="15">
        <v>11</v>
      </c>
      <c r="D1091" s="15">
        <v>11</v>
      </c>
      <c r="E1091" s="16"/>
      <c r="F1091" t="s" s="17">
        <v>287</v>
      </c>
      <c r="G1091" s="16"/>
      <c r="H1091" t="s" s="17">
        <v>163</v>
      </c>
      <c r="I1091" t="s" s="17">
        <v>14</v>
      </c>
      <c r="J1091" t="s" s="17">
        <v>289</v>
      </c>
      <c r="K1091" t="s" s="17">
        <v>23</v>
      </c>
      <c r="L1091" s="15">
        <f>IF(O1091,P1091/O1091,0)</f>
        <v>32.724</v>
      </c>
      <c r="M1091" s="15">
        <v>32.724</v>
      </c>
      <c r="N1091" s="15">
        <f>A1091</f>
        <v>1089</v>
      </c>
      <c r="O1091" s="15">
        <v>10</v>
      </c>
      <c r="P1091" s="41">
        <f t="shared" si="3728"/>
        <v>327.24</v>
      </c>
      <c r="Q1091" s="16"/>
    </row>
    <row r="1092" ht="32.05" customHeight="1">
      <c r="A1092" s="13">
        <f>A1091+1</f>
        <v>1090</v>
      </c>
      <c r="B1092" s="14">
        <v>2023</v>
      </c>
      <c r="C1092" s="15">
        <v>11</v>
      </c>
      <c r="D1092" s="15">
        <v>11</v>
      </c>
      <c r="E1092" s="16"/>
      <c r="F1092" t="s" s="17">
        <v>287</v>
      </c>
      <c r="G1092" s="16"/>
      <c r="H1092" t="s" s="17">
        <v>163</v>
      </c>
      <c r="I1092" t="s" s="17">
        <v>14</v>
      </c>
      <c r="J1092" t="s" s="17">
        <v>283</v>
      </c>
      <c r="K1092" t="s" s="17">
        <v>23</v>
      </c>
      <c r="L1092" s="15">
        <f>IF(O1092,P1092/O1092,0)</f>
        <v>35.8045</v>
      </c>
      <c r="M1092" s="15">
        <v>35.8045</v>
      </c>
      <c r="N1092" s="15">
        <f>A1092</f>
        <v>1090</v>
      </c>
      <c r="O1092" s="15">
        <v>10</v>
      </c>
      <c r="P1092" s="42">
        <f t="shared" si="2954"/>
        <v>358.045</v>
      </c>
      <c r="Q1092" s="16"/>
    </row>
    <row r="1093" ht="20.05" customHeight="1">
      <c r="A1093" s="13">
        <f>A1092+1</f>
        <v>1091</v>
      </c>
      <c r="B1093" s="14">
        <v>2023</v>
      </c>
      <c r="C1093" s="15">
        <v>11</v>
      </c>
      <c r="D1093" s="15">
        <v>11</v>
      </c>
      <c r="E1093" s="16"/>
      <c r="F1093" t="s" s="17">
        <v>287</v>
      </c>
      <c r="G1093" s="16"/>
      <c r="H1093" t="s" s="17">
        <v>163</v>
      </c>
      <c r="I1093" t="s" s="17">
        <v>14</v>
      </c>
      <c r="J1093" t="s" s="17">
        <v>279</v>
      </c>
      <c r="K1093" t="s" s="17">
        <v>23</v>
      </c>
      <c r="L1093" s="15">
        <f>IF(O1093,P1093/O1093,0)</f>
        <v>34.3905</v>
      </c>
      <c r="M1093" s="15">
        <v>34.3905</v>
      </c>
      <c r="N1093" s="15">
        <f>A1093</f>
        <v>1091</v>
      </c>
      <c r="O1093" s="15">
        <v>10</v>
      </c>
      <c r="P1093" s="42">
        <f t="shared" si="3732"/>
        <v>343.905</v>
      </c>
      <c r="Q1093" s="16"/>
    </row>
    <row r="1094" ht="20.05" customHeight="1">
      <c r="A1094" s="13">
        <f>A1093+1</f>
        <v>1092</v>
      </c>
      <c r="B1094" s="14">
        <v>2023</v>
      </c>
      <c r="C1094" s="15">
        <v>11</v>
      </c>
      <c r="D1094" s="15">
        <v>11</v>
      </c>
      <c r="E1094" s="16"/>
      <c r="F1094" t="s" s="17">
        <v>130</v>
      </c>
      <c r="G1094" s="16"/>
      <c r="H1094" t="s" s="17">
        <v>163</v>
      </c>
      <c r="I1094" t="s" s="17">
        <v>19</v>
      </c>
      <c r="J1094" t="s" s="17">
        <v>157</v>
      </c>
      <c r="K1094" t="s" s="17">
        <v>16</v>
      </c>
      <c r="L1094" s="15">
        <f>IF(O1094,P1094/O1094,0)</f>
        <v>0.0169494949494949</v>
      </c>
      <c r="M1094" s="15">
        <v>0.0169494949494949</v>
      </c>
      <c r="N1094" s="15">
        <f>A1094</f>
        <v>1092</v>
      </c>
      <c r="O1094" s="15">
        <v>990</v>
      </c>
      <c r="P1094" s="15">
        <v>16.78</v>
      </c>
      <c r="Q1094" s="16"/>
    </row>
    <row r="1095" ht="20.05" customHeight="1">
      <c r="A1095" s="13">
        <f>A1094+1</f>
        <v>1093</v>
      </c>
      <c r="B1095" s="14">
        <v>2023</v>
      </c>
      <c r="C1095" s="15">
        <v>11</v>
      </c>
      <c r="D1095" s="15">
        <v>11</v>
      </c>
      <c r="E1095" s="16"/>
      <c r="F1095" t="s" s="17">
        <v>130</v>
      </c>
      <c r="G1095" s="16"/>
      <c r="H1095" t="s" s="17">
        <v>163</v>
      </c>
      <c r="I1095" t="s" s="17">
        <v>26</v>
      </c>
      <c r="J1095" t="s" s="17">
        <v>27</v>
      </c>
      <c r="K1095" t="s" s="17">
        <v>16</v>
      </c>
      <c r="L1095" s="15">
        <f>IF(O1095,P1095/O1095,0)</f>
        <v>0.249</v>
      </c>
      <c r="M1095" s="15">
        <v>0.249</v>
      </c>
      <c r="N1095" s="15">
        <f>A1095</f>
        <v>1093</v>
      </c>
      <c r="O1095" s="15">
        <v>100</v>
      </c>
      <c r="P1095" s="15">
        <v>24.9</v>
      </c>
      <c r="Q1095" s="16"/>
    </row>
    <row r="1096" ht="20.05" customHeight="1">
      <c r="A1096" s="13">
        <f>A1095+1</f>
        <v>1094</v>
      </c>
      <c r="B1096" s="14">
        <v>2023</v>
      </c>
      <c r="C1096" s="15">
        <v>11</v>
      </c>
      <c r="D1096" s="15">
        <v>12</v>
      </c>
      <c r="E1096" s="16"/>
      <c r="F1096" t="s" s="17">
        <v>130</v>
      </c>
      <c r="G1096" s="16"/>
      <c r="H1096" t="s" s="17">
        <v>163</v>
      </c>
      <c r="I1096" t="s" s="17">
        <v>17</v>
      </c>
      <c r="J1096" t="s" s="17">
        <v>55</v>
      </c>
      <c r="K1096" t="s" s="17">
        <v>16</v>
      </c>
      <c r="L1096" s="15">
        <f>IF(O1096,P1096/O1096,0)</f>
        <v>0.199714285714286</v>
      </c>
      <c r="M1096" s="15">
        <v>0.199714285714286</v>
      </c>
      <c r="N1096" s="15">
        <f>A1096</f>
        <v>1094</v>
      </c>
      <c r="O1096" s="15">
        <v>350</v>
      </c>
      <c r="P1096" s="15">
        <v>69.90000000000001</v>
      </c>
      <c r="Q1096" s="16"/>
    </row>
    <row r="1097" ht="20.05" customHeight="1">
      <c r="A1097" s="13">
        <f>A1096+1</f>
        <v>1095</v>
      </c>
      <c r="B1097" s="14">
        <v>2023</v>
      </c>
      <c r="C1097" s="15">
        <v>11</v>
      </c>
      <c r="D1097" s="15">
        <v>12</v>
      </c>
      <c r="E1097" s="16"/>
      <c r="F1097" t="s" s="17">
        <v>130</v>
      </c>
      <c r="G1097" s="16"/>
      <c r="H1097" t="s" s="17">
        <v>163</v>
      </c>
      <c r="I1097" t="s" s="17">
        <v>19</v>
      </c>
      <c r="J1097" t="s" s="17">
        <v>157</v>
      </c>
      <c r="K1097" t="s" s="17">
        <v>16</v>
      </c>
      <c r="L1097" s="15">
        <f>IF(O1097,P1097/O1097,0)</f>
        <v>0.0169479166666667</v>
      </c>
      <c r="M1097" s="15">
        <v>0.0169479166666667</v>
      </c>
      <c r="N1097" s="15">
        <f>A1097</f>
        <v>1095</v>
      </c>
      <c r="O1097" s="15">
        <v>960</v>
      </c>
      <c r="P1097" s="15">
        <v>16.27</v>
      </c>
      <c r="Q1097" s="16"/>
    </row>
    <row r="1098" ht="32.05" customHeight="1">
      <c r="A1098" s="13">
        <f>A1097+1</f>
        <v>1096</v>
      </c>
      <c r="B1098" s="14">
        <v>2023</v>
      </c>
      <c r="C1098" s="15">
        <v>11</v>
      </c>
      <c r="D1098" s="15">
        <v>12</v>
      </c>
      <c r="E1098" s="16"/>
      <c r="F1098" t="s" s="17">
        <v>287</v>
      </c>
      <c r="G1098" s="16"/>
      <c r="H1098" t="s" s="17">
        <v>163</v>
      </c>
      <c r="I1098" t="s" s="17">
        <v>17</v>
      </c>
      <c r="J1098" t="s" s="17">
        <v>299</v>
      </c>
      <c r="K1098" t="s" s="17">
        <v>23</v>
      </c>
      <c r="L1098" s="15">
        <f>IF(O1098,P1098/O1098,0)</f>
        <v>40.9959</v>
      </c>
      <c r="M1098" s="15">
        <v>40.9959</v>
      </c>
      <c r="N1098" s="15">
        <f>A1098</f>
        <v>1096</v>
      </c>
      <c r="O1098" s="15">
        <v>24</v>
      </c>
      <c r="P1098" s="43">
        <f t="shared" si="3696"/>
        <v>983.9016</v>
      </c>
      <c r="Q1098" s="16"/>
    </row>
    <row r="1099" ht="20.05" customHeight="1">
      <c r="A1099" s="13">
        <f>A1098+1</f>
        <v>1097</v>
      </c>
      <c r="B1099" s="14">
        <v>2023</v>
      </c>
      <c r="C1099" s="15">
        <v>11</v>
      </c>
      <c r="D1099" s="15">
        <v>13</v>
      </c>
      <c r="E1099" s="16"/>
      <c r="F1099" t="s" s="17">
        <v>130</v>
      </c>
      <c r="G1099" s="16"/>
      <c r="H1099" t="s" s="17">
        <v>163</v>
      </c>
      <c r="I1099" t="s" s="17">
        <v>26</v>
      </c>
      <c r="J1099" t="s" s="17">
        <v>338</v>
      </c>
      <c r="K1099" t="s" s="17">
        <v>23</v>
      </c>
      <c r="L1099" s="15">
        <f>IF(O1099,P1099/O1099,0)</f>
        <v>0.0465</v>
      </c>
      <c r="M1099" s="15">
        <v>0.0465</v>
      </c>
      <c r="N1099" s="15">
        <f>A1099</f>
        <v>1097</v>
      </c>
      <c r="O1099" s="15">
        <v>1000</v>
      </c>
      <c r="P1099" s="15">
        <v>46.5</v>
      </c>
      <c r="Q1099" s="16"/>
    </row>
    <row r="1100" ht="20.05" customHeight="1">
      <c r="A1100" s="13">
        <f>A1099+1</f>
        <v>1098</v>
      </c>
      <c r="B1100" s="14">
        <v>2023</v>
      </c>
      <c r="C1100" s="15">
        <v>11</v>
      </c>
      <c r="D1100" s="15">
        <v>13</v>
      </c>
      <c r="E1100" s="16"/>
      <c r="F1100" t="s" s="17">
        <v>130</v>
      </c>
      <c r="G1100" s="16"/>
      <c r="H1100" t="s" s="17">
        <v>163</v>
      </c>
      <c r="I1100" t="s" s="17">
        <v>19</v>
      </c>
      <c r="J1100" t="s" s="17">
        <v>112</v>
      </c>
      <c r="K1100" t="s" s="17">
        <v>41</v>
      </c>
      <c r="L1100" s="15">
        <f>IF(O1100,P1100/O1100,0)</f>
        <v>0.03495</v>
      </c>
      <c r="M1100" s="15">
        <v>0.03495</v>
      </c>
      <c r="N1100" s="15">
        <f>A1100</f>
        <v>1098</v>
      </c>
      <c r="O1100" s="15">
        <v>2000</v>
      </c>
      <c r="P1100" s="15">
        <v>69.90000000000001</v>
      </c>
      <c r="Q1100" s="16"/>
    </row>
    <row r="1101" ht="20.05" customHeight="1">
      <c r="A1101" s="13">
        <f>A1100+1</f>
        <v>1099</v>
      </c>
      <c r="B1101" s="14">
        <v>2023</v>
      </c>
      <c r="C1101" s="15">
        <v>11</v>
      </c>
      <c r="D1101" s="15">
        <v>15</v>
      </c>
      <c r="E1101" s="16"/>
      <c r="F1101" t="s" s="17">
        <v>130</v>
      </c>
      <c r="G1101" s="16"/>
      <c r="H1101" t="s" s="17">
        <v>163</v>
      </c>
      <c r="I1101" t="s" s="17">
        <v>127</v>
      </c>
      <c r="J1101" t="s" s="17">
        <v>339</v>
      </c>
      <c r="K1101" t="s" s="17">
        <v>23</v>
      </c>
      <c r="L1101" s="15">
        <f>IF(O1101,P1101/O1101,0)</f>
        <v>29.95</v>
      </c>
      <c r="M1101" s="15">
        <v>29.95</v>
      </c>
      <c r="N1101" s="15">
        <f>A1101</f>
        <v>1099</v>
      </c>
      <c r="O1101" s="15">
        <v>2</v>
      </c>
      <c r="P1101" s="15">
        <v>59.9</v>
      </c>
      <c r="Q1101" s="16"/>
    </row>
    <row r="1102" ht="20.05" customHeight="1">
      <c r="A1102" s="13">
        <f>A1101+1</f>
        <v>1100</v>
      </c>
      <c r="B1102" s="14">
        <v>2023</v>
      </c>
      <c r="C1102" s="15">
        <v>11</v>
      </c>
      <c r="D1102" s="15">
        <v>15</v>
      </c>
      <c r="E1102" s="16"/>
      <c r="F1102" t="s" s="17">
        <v>130</v>
      </c>
      <c r="G1102" s="16"/>
      <c r="H1102" t="s" s="17">
        <v>163</v>
      </c>
      <c r="I1102" t="s" s="17">
        <v>19</v>
      </c>
      <c r="J1102" t="s" s="17">
        <v>157</v>
      </c>
      <c r="K1102" t="s" s="17">
        <v>16</v>
      </c>
      <c r="L1102" s="15">
        <f>IF(O1102,P1102/O1102,0)</f>
        <v>0.0169495635305529</v>
      </c>
      <c r="M1102" s="15">
        <v>0.0169495635305529</v>
      </c>
      <c r="N1102" s="15">
        <f>A1102</f>
        <v>1100</v>
      </c>
      <c r="O1102" s="15">
        <v>2062</v>
      </c>
      <c r="P1102" s="15">
        <v>34.95</v>
      </c>
      <c r="Q1102" s="16"/>
    </row>
    <row r="1103" ht="20.35" customHeight="1">
      <c r="A1103" s="13">
        <f>A1102+1</f>
        <v>1101</v>
      </c>
      <c r="B1103" s="14">
        <v>2023</v>
      </c>
      <c r="C1103" s="15">
        <v>11</v>
      </c>
      <c r="D1103" s="15">
        <v>15</v>
      </c>
      <c r="E1103" s="16"/>
      <c r="F1103" t="s" s="17">
        <v>130</v>
      </c>
      <c r="G1103" s="16"/>
      <c r="H1103" t="s" s="17">
        <v>163</v>
      </c>
      <c r="I1103" t="s" s="17">
        <v>127</v>
      </c>
      <c r="J1103" t="s" s="17">
        <v>272</v>
      </c>
      <c r="K1103" t="s" s="17">
        <v>23</v>
      </c>
      <c r="L1103" s="15">
        <f>IF(O1103,P1103/O1103,0)</f>
        <v>10.725</v>
      </c>
      <c r="M1103" s="15">
        <v>10.725</v>
      </c>
      <c r="N1103" s="15">
        <f>A1103</f>
        <v>1101</v>
      </c>
      <c r="O1103" s="15">
        <v>4</v>
      </c>
      <c r="P1103" s="18">
        <v>42.9</v>
      </c>
      <c r="Q1103" s="16"/>
    </row>
    <row r="1104" ht="20.7" customHeight="1">
      <c r="A1104" s="13">
        <f>A1103+1</f>
        <v>1102</v>
      </c>
      <c r="B1104" s="14">
        <v>2023</v>
      </c>
      <c r="C1104" s="15">
        <v>11</v>
      </c>
      <c r="D1104" s="15">
        <v>15</v>
      </c>
      <c r="E1104" s="16"/>
      <c r="F1104" t="s" s="17">
        <v>122</v>
      </c>
      <c r="G1104" s="16"/>
      <c r="H1104" t="s" s="17">
        <v>163</v>
      </c>
      <c r="I1104" t="s" s="17">
        <v>19</v>
      </c>
      <c r="J1104" t="s" s="17">
        <v>139</v>
      </c>
      <c r="K1104" t="s" s="17">
        <v>23</v>
      </c>
      <c r="L1104" s="15">
        <f>IF(O1104,P1104/O1104,0)</f>
        <v>3.89270833333333</v>
      </c>
      <c r="M1104" s="15">
        <v>3.89270833333333</v>
      </c>
      <c r="N1104" s="15">
        <f>A1104</f>
        <v>1102</v>
      </c>
      <c r="O1104" s="19">
        <f t="shared" si="2253"/>
        <v>120</v>
      </c>
      <c r="P1104" s="46">
        <f>462.5+462.5*1%</f>
        <v>467.125</v>
      </c>
      <c r="Q1104" s="21"/>
    </row>
    <row r="1105" ht="20.7" customHeight="1">
      <c r="A1105" s="13">
        <f>A1104+1</f>
        <v>1103</v>
      </c>
      <c r="B1105" s="14">
        <v>2023</v>
      </c>
      <c r="C1105" s="15">
        <v>11</v>
      </c>
      <c r="D1105" s="15">
        <v>15</v>
      </c>
      <c r="E1105" s="16"/>
      <c r="F1105" t="s" s="17">
        <v>122</v>
      </c>
      <c r="G1105" s="16"/>
      <c r="H1105" t="s" s="17">
        <v>163</v>
      </c>
      <c r="I1105" t="s" s="17">
        <v>19</v>
      </c>
      <c r="J1105" t="s" s="17">
        <v>67</v>
      </c>
      <c r="K1105" t="s" s="17">
        <v>23</v>
      </c>
      <c r="L1105" s="15">
        <f>IF(O1105,P1105/O1105,0)</f>
        <v>1.236139</v>
      </c>
      <c r="M1105" s="15">
        <v>1.236139</v>
      </c>
      <c r="N1105" s="15">
        <f>A1105</f>
        <v>1103</v>
      </c>
      <c r="O1105" s="19">
        <f t="shared" si="3799"/>
        <v>400</v>
      </c>
      <c r="P1105" s="47">
        <f t="shared" si="3800"/>
        <v>494.4556</v>
      </c>
      <c r="Q1105" s="21"/>
    </row>
    <row r="1106" ht="32.7" customHeight="1">
      <c r="A1106" s="13">
        <f>A1105+1</f>
        <v>1104</v>
      </c>
      <c r="B1106" s="14">
        <v>2023</v>
      </c>
      <c r="C1106" s="15">
        <v>11</v>
      </c>
      <c r="D1106" s="15">
        <v>15</v>
      </c>
      <c r="E1106" s="16"/>
      <c r="F1106" t="s" s="17">
        <v>122</v>
      </c>
      <c r="G1106" s="16"/>
      <c r="H1106" t="s" s="17">
        <v>163</v>
      </c>
      <c r="I1106" t="s" s="17">
        <v>127</v>
      </c>
      <c r="J1106" t="s" s="17">
        <v>137</v>
      </c>
      <c r="K1106" t="s" s="17">
        <v>41</v>
      </c>
      <c r="L1106" s="15">
        <f>IF(O1106,P1106/O1106,0)</f>
        <v>0.023808</v>
      </c>
      <c r="M1106" s="15">
        <v>0.023808</v>
      </c>
      <c r="N1106" s="15">
        <f>A1106</f>
        <v>1104</v>
      </c>
      <c r="O1106" s="19">
        <v>5000</v>
      </c>
      <c r="P1106" s="48">
        <f t="shared" si="3370"/>
        <v>119.04</v>
      </c>
      <c r="Q1106" s="21"/>
    </row>
    <row r="1107" ht="20.7" customHeight="1">
      <c r="A1107" s="13">
        <f>A1106+1</f>
        <v>1105</v>
      </c>
      <c r="B1107" s="14">
        <v>2023</v>
      </c>
      <c r="C1107" s="15">
        <v>11</v>
      </c>
      <c r="D1107" s="15">
        <v>15</v>
      </c>
      <c r="E1107" s="16"/>
      <c r="F1107" t="s" s="17">
        <v>122</v>
      </c>
      <c r="G1107" s="16"/>
      <c r="H1107" t="s" s="17">
        <v>163</v>
      </c>
      <c r="I1107" t="s" s="17">
        <v>19</v>
      </c>
      <c r="J1107" t="s" s="17">
        <v>138</v>
      </c>
      <c r="K1107" t="s" s="17">
        <v>41</v>
      </c>
      <c r="L1107" s="15">
        <f>IF(O1107,P1107/O1107,0)</f>
        <v>0.0380433333333333</v>
      </c>
      <c r="M1107" s="15">
        <v>0.0380433333333333</v>
      </c>
      <c r="N1107" s="15">
        <f>A1107</f>
        <v>1105</v>
      </c>
      <c r="O1107" s="19">
        <f t="shared" si="3487"/>
        <v>12000</v>
      </c>
      <c r="P1107" s="48">
        <f>452+452*1%</f>
        <v>456.52</v>
      </c>
      <c r="Q1107" s="21"/>
    </row>
    <row r="1108" ht="32.35" customHeight="1">
      <c r="A1108" s="13">
        <f>A1107+1</f>
        <v>1106</v>
      </c>
      <c r="B1108" s="14">
        <v>2023</v>
      </c>
      <c r="C1108" s="15">
        <v>11</v>
      </c>
      <c r="D1108" s="15">
        <v>15</v>
      </c>
      <c r="E1108" s="16"/>
      <c r="F1108" t="s" s="17">
        <v>130</v>
      </c>
      <c r="G1108" s="16"/>
      <c r="H1108" t="s" s="17">
        <v>163</v>
      </c>
      <c r="I1108" t="s" s="17">
        <v>127</v>
      </c>
      <c r="J1108" t="s" s="17">
        <v>314</v>
      </c>
      <c r="K1108" t="s" s="17">
        <v>41</v>
      </c>
      <c r="L1108" s="15">
        <f>IF(O1108,P1108/O1108,0)</f>
        <v>4.36875</v>
      </c>
      <c r="M1108" s="15">
        <v>4.36875</v>
      </c>
      <c r="N1108" s="15">
        <f>A1108</f>
        <v>1106</v>
      </c>
      <c r="O1108" s="15">
        <v>16</v>
      </c>
      <c r="P1108" s="22">
        <v>69.90000000000001</v>
      </c>
      <c r="Q1108" s="16"/>
    </row>
    <row r="1109" ht="20.05" customHeight="1">
      <c r="A1109" s="13">
        <f>A1108+1</f>
        <v>1107</v>
      </c>
      <c r="B1109" s="14">
        <v>2023</v>
      </c>
      <c r="C1109" s="15">
        <v>11</v>
      </c>
      <c r="D1109" s="15">
        <v>15</v>
      </c>
      <c r="E1109" s="16"/>
      <c r="F1109" t="s" s="17">
        <v>111</v>
      </c>
      <c r="G1109" s="16"/>
      <c r="H1109" t="s" s="17">
        <v>163</v>
      </c>
      <c r="I1109" t="s" s="17">
        <v>26</v>
      </c>
      <c r="J1109" t="s" s="17">
        <v>82</v>
      </c>
      <c r="K1109" t="s" s="17">
        <v>16</v>
      </c>
      <c r="L1109" s="15">
        <f>IF(O1109,P1109/O1109,0)</f>
        <v>0.0278566666666667</v>
      </c>
      <c r="M1109" s="15">
        <v>0.0278566666666667</v>
      </c>
      <c r="N1109" s="15">
        <f>A1109</f>
        <v>1107</v>
      </c>
      <c r="O1109" s="15">
        <f t="shared" si="3230"/>
        <v>3000</v>
      </c>
      <c r="P1109" s="15">
        <v>83.56999999999999</v>
      </c>
      <c r="Q1109" s="16"/>
    </row>
    <row r="1110" ht="20.05" customHeight="1">
      <c r="A1110" s="13">
        <f>A1109+1</f>
        <v>1108</v>
      </c>
      <c r="B1110" s="14">
        <v>2023</v>
      </c>
      <c r="C1110" s="15">
        <v>11</v>
      </c>
      <c r="D1110" s="15">
        <v>15</v>
      </c>
      <c r="E1110" s="16"/>
      <c r="F1110" t="s" s="17">
        <v>111</v>
      </c>
      <c r="G1110" s="16"/>
      <c r="H1110" t="s" s="17">
        <v>163</v>
      </c>
      <c r="I1110" t="s" s="17">
        <v>19</v>
      </c>
      <c r="J1110" t="s" s="17">
        <v>81</v>
      </c>
      <c r="K1110" t="s" s="17">
        <v>23</v>
      </c>
      <c r="L1110" s="15">
        <f>IF(O1110,P1110/O1110,0)</f>
        <v>0.9989583333333329</v>
      </c>
      <c r="M1110" s="15">
        <v>0.9989583333333329</v>
      </c>
      <c r="N1110" s="15">
        <f>A1110</f>
        <v>1108</v>
      </c>
      <c r="O1110" s="15">
        <f>4*108</f>
        <v>432</v>
      </c>
      <c r="P1110" s="15">
        <v>431.55</v>
      </c>
      <c r="Q1110" s="16"/>
    </row>
    <row r="1111" ht="20.05" customHeight="1">
      <c r="A1111" s="13">
        <f>A1110+1</f>
        <v>1109</v>
      </c>
      <c r="B1111" s="14">
        <v>2023</v>
      </c>
      <c r="C1111" s="15">
        <v>11</v>
      </c>
      <c r="D1111" s="15">
        <v>15</v>
      </c>
      <c r="E1111" s="16"/>
      <c r="F1111" t="s" s="17">
        <v>111</v>
      </c>
      <c r="G1111" s="16"/>
      <c r="H1111" t="s" s="17">
        <v>163</v>
      </c>
      <c r="I1111" t="s" s="17">
        <v>19</v>
      </c>
      <c r="J1111" t="s" s="17">
        <v>101</v>
      </c>
      <c r="K1111" t="s" s="17">
        <v>23</v>
      </c>
      <c r="L1111" s="15">
        <f>IF(O1111,P1111/O1111,0)</f>
        <v>7.165</v>
      </c>
      <c r="M1111" s="15">
        <v>7.165</v>
      </c>
      <c r="N1111" s="15">
        <f>A1111</f>
        <v>1109</v>
      </c>
      <c r="O1111" s="15">
        <v>24</v>
      </c>
      <c r="P1111" s="15">
        <v>171.96</v>
      </c>
      <c r="Q1111" s="16"/>
    </row>
    <row r="1112" ht="20.05" customHeight="1">
      <c r="A1112" s="13">
        <f>A1111+1</f>
        <v>1110</v>
      </c>
      <c r="B1112" s="14">
        <v>2023</v>
      </c>
      <c r="C1112" s="15">
        <v>11</v>
      </c>
      <c r="D1112" s="15">
        <v>15</v>
      </c>
      <c r="E1112" s="16"/>
      <c r="F1112" t="s" s="17">
        <v>150</v>
      </c>
      <c r="G1112" s="16"/>
      <c r="H1112" t="s" s="17">
        <v>163</v>
      </c>
      <c r="I1112" t="s" s="17">
        <v>19</v>
      </c>
      <c r="J1112" t="s" s="17">
        <v>155</v>
      </c>
      <c r="K1112" t="s" s="17">
        <v>16</v>
      </c>
      <c r="L1112" s="15">
        <f>IF(O1112,P1112/O1112,0)</f>
        <v>0.33936</v>
      </c>
      <c r="M1112" s="15">
        <v>0.33936</v>
      </c>
      <c r="N1112" s="15">
        <f>A1112</f>
        <v>1110</v>
      </c>
      <c r="O1112" s="15">
        <f t="shared" si="3508"/>
        <v>2000</v>
      </c>
      <c r="P1112" s="41">
        <f t="shared" si="3509"/>
        <v>678.72</v>
      </c>
      <c r="Q1112" s="16"/>
    </row>
    <row r="1113" ht="20.05" customHeight="1">
      <c r="A1113" s="13">
        <f>A1112+1</f>
        <v>1111</v>
      </c>
      <c r="B1113" s="14">
        <v>2023</v>
      </c>
      <c r="C1113" s="15">
        <v>11</v>
      </c>
      <c r="D1113" s="15">
        <v>15</v>
      </c>
      <c r="E1113" s="16"/>
      <c r="F1113" t="s" s="17">
        <v>317</v>
      </c>
      <c r="G1113" s="16"/>
      <c r="H1113" t="s" s="17">
        <v>163</v>
      </c>
      <c r="I1113" t="s" s="17">
        <v>14</v>
      </c>
      <c r="J1113" t="s" s="17">
        <v>318</v>
      </c>
      <c r="K1113" t="s" s="17">
        <v>23</v>
      </c>
      <c r="L1113" s="15">
        <f>IF(O1113,P1113/O1113,0)</f>
        <v>5.5</v>
      </c>
      <c r="M1113" s="15">
        <v>5.5</v>
      </c>
      <c r="N1113" s="15">
        <f>A1113</f>
        <v>1111</v>
      </c>
      <c r="O1113" s="15">
        <v>28</v>
      </c>
      <c r="P1113" s="15">
        <v>154</v>
      </c>
      <c r="Q1113" s="16"/>
    </row>
    <row r="1114" ht="32.05" customHeight="1">
      <c r="A1114" s="13">
        <f>A1113+1</f>
        <v>1112</v>
      </c>
      <c r="B1114" s="14">
        <v>2023</v>
      </c>
      <c r="C1114" s="15">
        <v>11</v>
      </c>
      <c r="D1114" s="15">
        <v>15</v>
      </c>
      <c r="E1114" s="16"/>
      <c r="F1114" t="s" s="17">
        <v>393</v>
      </c>
      <c r="G1114" s="16"/>
      <c r="H1114" t="s" s="17">
        <v>163</v>
      </c>
      <c r="I1114" t="s" s="17">
        <v>187</v>
      </c>
      <c r="J1114" t="s" s="17">
        <v>394</v>
      </c>
      <c r="K1114" t="s" s="17">
        <v>23</v>
      </c>
      <c r="L1114" s="15">
        <f>IF(O1114,P1114/O1114,0)</f>
        <v>540</v>
      </c>
      <c r="M1114" s="15">
        <v>540</v>
      </c>
      <c r="N1114" s="15">
        <f>A1114</f>
        <v>1112</v>
      </c>
      <c r="O1114" s="15">
        <v>2</v>
      </c>
      <c r="P1114" s="41">
        <f>900+900*20%</f>
        <v>1080</v>
      </c>
      <c r="Q1114" s="16"/>
    </row>
    <row r="1115" ht="32.05" customHeight="1">
      <c r="A1115" s="13">
        <f>A1114+1</f>
        <v>1113</v>
      </c>
      <c r="B1115" s="14">
        <v>2023</v>
      </c>
      <c r="C1115" s="15">
        <v>10</v>
      </c>
      <c r="D1115" s="15">
        <v>26</v>
      </c>
      <c r="E1115" s="16"/>
      <c r="F1115" t="s" s="17">
        <v>395</v>
      </c>
      <c r="G1115" s="16"/>
      <c r="H1115" t="s" s="17">
        <v>163</v>
      </c>
      <c r="I1115" t="s" s="17">
        <v>357</v>
      </c>
      <c r="J1115" t="s" s="17">
        <v>396</v>
      </c>
      <c r="K1115" t="s" s="17">
        <v>23</v>
      </c>
      <c r="L1115" s="15">
        <f>IF(O1115,P1115/O1115,0)</f>
        <v>6.499</v>
      </c>
      <c r="M1115" s="15">
        <v>6.499</v>
      </c>
      <c r="N1115" s="15">
        <f>A1115</f>
        <v>1113</v>
      </c>
      <c r="O1115" s="15">
        <v>100</v>
      </c>
      <c r="P1115" s="15">
        <v>649.9</v>
      </c>
      <c r="Q1115" t="s" s="17">
        <v>397</v>
      </c>
    </row>
    <row r="1116" ht="32.05" customHeight="1">
      <c r="A1116" s="13">
        <f>A1115+1</f>
        <v>1114</v>
      </c>
      <c r="B1116" s="14">
        <v>2023</v>
      </c>
      <c r="C1116" s="15">
        <v>11</v>
      </c>
      <c r="D1116" s="15">
        <v>15</v>
      </c>
      <c r="E1116" s="16"/>
      <c r="F1116" t="s" s="17">
        <v>398</v>
      </c>
      <c r="G1116" s="16"/>
      <c r="H1116" t="s" s="17">
        <v>163</v>
      </c>
      <c r="I1116" t="s" s="17">
        <v>187</v>
      </c>
      <c r="J1116" t="s" s="17">
        <v>399</v>
      </c>
      <c r="K1116" t="s" s="17">
        <v>23</v>
      </c>
      <c r="L1116" s="15">
        <f>IF(O1116,P1116/O1116,0)</f>
        <v>2806.36</v>
      </c>
      <c r="M1116" s="15">
        <v>2806.36</v>
      </c>
      <c r="N1116" s="15">
        <f>A1116</f>
        <v>1114</v>
      </c>
      <c r="O1116" s="15">
        <v>2</v>
      </c>
      <c r="P1116" s="15">
        <v>5612.72</v>
      </c>
      <c r="Q1116" s="16"/>
    </row>
    <row r="1117" ht="20.05" customHeight="1">
      <c r="A1117" s="13">
        <f>A1116+1</f>
        <v>1115</v>
      </c>
      <c r="B1117" s="14">
        <v>2023</v>
      </c>
      <c r="C1117" s="15">
        <v>11</v>
      </c>
      <c r="D1117" s="15">
        <v>14</v>
      </c>
      <c r="E1117" s="16"/>
      <c r="F1117" t="s" s="17">
        <v>258</v>
      </c>
      <c r="G1117" s="16"/>
      <c r="H1117" t="s" s="17">
        <v>253</v>
      </c>
      <c r="I1117" t="s" s="17">
        <v>26</v>
      </c>
      <c r="J1117" t="s" s="17">
        <v>113</v>
      </c>
      <c r="K1117" t="s" s="17">
        <v>41</v>
      </c>
      <c r="L1117" s="15">
        <f>IF(O1117,P1117/O1117,0)</f>
        <v>0.0526666666666667</v>
      </c>
      <c r="M1117" s="15">
        <v>0.0526666666666667</v>
      </c>
      <c r="N1117" s="15">
        <f>A1117</f>
        <v>1115</v>
      </c>
      <c r="O1117" s="15">
        <v>750</v>
      </c>
      <c r="P1117" s="15">
        <v>39.5</v>
      </c>
      <c r="Q1117" s="16"/>
    </row>
    <row r="1118" ht="20.05" customHeight="1">
      <c r="A1118" s="13">
        <f>A1117+1</f>
        <v>1116</v>
      </c>
      <c r="B1118" s="14">
        <v>2023</v>
      </c>
      <c r="C1118" s="15">
        <v>11</v>
      </c>
      <c r="D1118" s="15">
        <v>15</v>
      </c>
      <c r="E1118" s="16"/>
      <c r="F1118" t="s" s="17">
        <v>287</v>
      </c>
      <c r="G1118" s="16"/>
      <c r="H1118" t="s" s="17">
        <v>253</v>
      </c>
      <c r="I1118" t="s" s="17">
        <v>14</v>
      </c>
      <c r="J1118" t="s" s="17">
        <v>289</v>
      </c>
      <c r="K1118" t="s" s="17">
        <v>23</v>
      </c>
      <c r="L1118" s="15">
        <f>IF(O1118,P1118/O1118,0)</f>
        <v>32.724</v>
      </c>
      <c r="M1118" s="15">
        <v>32.724</v>
      </c>
      <c r="N1118" s="15">
        <f>A1118</f>
        <v>1116</v>
      </c>
      <c r="O1118" s="15">
        <v>10</v>
      </c>
      <c r="P1118" s="41">
        <f t="shared" si="3728"/>
        <v>327.24</v>
      </c>
      <c r="Q1118" s="16"/>
    </row>
    <row r="1119" ht="32.05" customHeight="1">
      <c r="A1119" s="13">
        <f>A1118+1</f>
        <v>1117</v>
      </c>
      <c r="B1119" s="14">
        <v>2023</v>
      </c>
      <c r="C1119" s="15">
        <v>11</v>
      </c>
      <c r="D1119" s="15">
        <v>15</v>
      </c>
      <c r="E1119" s="16"/>
      <c r="F1119" t="s" s="17">
        <v>287</v>
      </c>
      <c r="G1119" s="16"/>
      <c r="H1119" t="s" s="17">
        <v>253</v>
      </c>
      <c r="I1119" t="s" s="17">
        <v>14</v>
      </c>
      <c r="J1119" t="s" s="17">
        <v>283</v>
      </c>
      <c r="K1119" t="s" s="17">
        <v>23</v>
      </c>
      <c r="L1119" s="15">
        <f>IF(O1119,P1119/O1119,0)</f>
        <v>35.8045</v>
      </c>
      <c r="M1119" s="15">
        <v>35.8045</v>
      </c>
      <c r="N1119" s="15">
        <f>A1119</f>
        <v>1117</v>
      </c>
      <c r="O1119" s="15">
        <v>10</v>
      </c>
      <c r="P1119" s="42">
        <f t="shared" si="4005" ref="P1119:P1359">354.5+354.5*1%</f>
        <v>358.045</v>
      </c>
      <c r="Q1119" s="16"/>
    </row>
    <row r="1120" ht="20.05" customHeight="1">
      <c r="A1120" s="13">
        <f>A1119+1</f>
        <v>1118</v>
      </c>
      <c r="B1120" s="14">
        <v>2023</v>
      </c>
      <c r="C1120" s="15">
        <v>11</v>
      </c>
      <c r="D1120" s="15">
        <v>15</v>
      </c>
      <c r="E1120" s="16"/>
      <c r="F1120" t="s" s="17">
        <v>287</v>
      </c>
      <c r="G1120" s="16"/>
      <c r="H1120" t="s" s="17">
        <v>253</v>
      </c>
      <c r="I1120" t="s" s="17">
        <v>14</v>
      </c>
      <c r="J1120" t="s" s="17">
        <v>288</v>
      </c>
      <c r="K1120" t="s" s="17">
        <v>23</v>
      </c>
      <c r="L1120" s="15">
        <f>IF(O1120,P1120/O1120,0)</f>
        <v>37.5383333333333</v>
      </c>
      <c r="M1120" s="15">
        <v>37.5383333333333</v>
      </c>
      <c r="N1120" s="15">
        <f>A1120</f>
        <v>1118</v>
      </c>
      <c r="O1120" s="15">
        <v>9</v>
      </c>
      <c r="P1120" s="42">
        <f t="shared" si="4009" ref="P1120:P1360">334.5+334.5*1%</f>
        <v>337.845</v>
      </c>
      <c r="Q1120" s="16"/>
    </row>
    <row r="1121" ht="20.05" customHeight="1">
      <c r="A1121" s="13">
        <f>A1120+1</f>
        <v>1119</v>
      </c>
      <c r="B1121" s="14">
        <v>2023</v>
      </c>
      <c r="C1121" s="15">
        <v>11</v>
      </c>
      <c r="D1121" s="15">
        <v>15</v>
      </c>
      <c r="E1121" s="16"/>
      <c r="F1121" t="s" s="17">
        <v>287</v>
      </c>
      <c r="G1121" s="16"/>
      <c r="H1121" t="s" s="17">
        <v>253</v>
      </c>
      <c r="I1121" t="s" s="17">
        <v>14</v>
      </c>
      <c r="J1121" t="s" s="17">
        <v>282</v>
      </c>
      <c r="K1121" t="s" s="17">
        <v>23</v>
      </c>
      <c r="L1121" s="15">
        <f>IF(O1121,P1121/O1121,0)</f>
        <v>27.4215</v>
      </c>
      <c r="M1121" s="15">
        <v>27.4215</v>
      </c>
      <c r="N1121" s="15">
        <f>A1121</f>
        <v>1119</v>
      </c>
      <c r="O1121" s="15">
        <v>10</v>
      </c>
      <c r="P1121" s="42">
        <f t="shared" si="4013" ref="P1121:P1361">271.5+271.5*1%</f>
        <v>274.215</v>
      </c>
      <c r="Q1121" s="16"/>
    </row>
    <row r="1122" ht="20.05" customHeight="1">
      <c r="A1122" s="13">
        <f>A1121+1</f>
        <v>1120</v>
      </c>
      <c r="B1122" s="14">
        <v>2023</v>
      </c>
      <c r="C1122" s="15">
        <v>11</v>
      </c>
      <c r="D1122" s="15">
        <v>15</v>
      </c>
      <c r="E1122" s="16"/>
      <c r="F1122" t="s" s="17">
        <v>287</v>
      </c>
      <c r="G1122" s="16"/>
      <c r="H1122" t="s" s="17">
        <v>253</v>
      </c>
      <c r="I1122" t="s" s="17">
        <v>14</v>
      </c>
      <c r="J1122" t="s" s="17">
        <v>279</v>
      </c>
      <c r="K1122" t="s" s="17">
        <v>23</v>
      </c>
      <c r="L1122" s="15">
        <f>IF(O1122,P1122/O1122,0)</f>
        <v>34.3905</v>
      </c>
      <c r="M1122" s="15">
        <v>34.3905</v>
      </c>
      <c r="N1122" s="15">
        <f>A1122</f>
        <v>1120</v>
      </c>
      <c r="O1122" s="15">
        <v>10</v>
      </c>
      <c r="P1122" s="42">
        <f t="shared" si="3732"/>
        <v>343.905</v>
      </c>
      <c r="Q1122" s="16"/>
    </row>
    <row r="1123" ht="20.05" customHeight="1">
      <c r="A1123" s="13">
        <f>A1122+1</f>
        <v>1121</v>
      </c>
      <c r="B1123" s="14">
        <v>2023</v>
      </c>
      <c r="C1123" s="15">
        <v>11</v>
      </c>
      <c r="D1123" s="15">
        <v>18</v>
      </c>
      <c r="E1123" s="16"/>
      <c r="F1123" t="s" s="17">
        <v>287</v>
      </c>
      <c r="G1123" s="16"/>
      <c r="H1123" t="s" s="17">
        <v>253</v>
      </c>
      <c r="I1123" t="s" s="17">
        <v>14</v>
      </c>
      <c r="J1123" t="s" s="17">
        <v>289</v>
      </c>
      <c r="K1123" t="s" s="17">
        <v>23</v>
      </c>
      <c r="L1123" s="15">
        <f>IF(O1123,P1123/O1123,0)</f>
        <v>32.724</v>
      </c>
      <c r="M1123" s="15">
        <v>32.724</v>
      </c>
      <c r="N1123" s="15">
        <f>A1123</f>
        <v>1121</v>
      </c>
      <c r="O1123" s="15">
        <v>10</v>
      </c>
      <c r="P1123" s="41">
        <f t="shared" si="3728"/>
        <v>327.24</v>
      </c>
      <c r="Q1123" s="16"/>
    </row>
    <row r="1124" ht="32.05" customHeight="1">
      <c r="A1124" s="13">
        <f>A1123+1</f>
        <v>1122</v>
      </c>
      <c r="B1124" s="14">
        <v>2023</v>
      </c>
      <c r="C1124" s="15">
        <v>11</v>
      </c>
      <c r="D1124" s="15">
        <v>18</v>
      </c>
      <c r="E1124" s="16"/>
      <c r="F1124" t="s" s="17">
        <v>287</v>
      </c>
      <c r="G1124" s="16"/>
      <c r="H1124" t="s" s="17">
        <v>253</v>
      </c>
      <c r="I1124" t="s" s="17">
        <v>14</v>
      </c>
      <c r="J1124" t="s" s="17">
        <v>283</v>
      </c>
      <c r="K1124" t="s" s="17">
        <v>23</v>
      </c>
      <c r="L1124" s="15">
        <f>IF(O1124,P1124/O1124,0)</f>
        <v>35.8045</v>
      </c>
      <c r="M1124" s="15">
        <v>35.8045</v>
      </c>
      <c r="N1124" s="15">
        <f>A1124</f>
        <v>1122</v>
      </c>
      <c r="O1124" s="15">
        <v>10</v>
      </c>
      <c r="P1124" s="42">
        <f t="shared" si="4005"/>
        <v>358.045</v>
      </c>
      <c r="Q1124" s="16"/>
    </row>
    <row r="1125" ht="32.05" customHeight="1">
      <c r="A1125" s="13">
        <f>A1124+1</f>
        <v>1123</v>
      </c>
      <c r="B1125" s="14">
        <v>2023</v>
      </c>
      <c r="C1125" s="15">
        <v>11</v>
      </c>
      <c r="D1125" s="15">
        <v>18</v>
      </c>
      <c r="E1125" s="16"/>
      <c r="F1125" t="s" s="17">
        <v>287</v>
      </c>
      <c r="G1125" s="16"/>
      <c r="H1125" t="s" s="17">
        <v>253</v>
      </c>
      <c r="I1125" t="s" s="17">
        <v>17</v>
      </c>
      <c r="J1125" t="s" s="17">
        <v>299</v>
      </c>
      <c r="K1125" t="s" s="17">
        <v>23</v>
      </c>
      <c r="L1125" s="15">
        <f>IF(O1125,P1125/O1125,0)</f>
        <v>40.9959</v>
      </c>
      <c r="M1125" s="15">
        <v>40.9959</v>
      </c>
      <c r="N1125" s="15">
        <f>A1125</f>
        <v>1123</v>
      </c>
      <c r="O1125" s="15">
        <v>24</v>
      </c>
      <c r="P1125" s="43">
        <f t="shared" si="3696"/>
        <v>983.9016</v>
      </c>
      <c r="Q1125" s="16"/>
    </row>
    <row r="1126" ht="20.05" customHeight="1">
      <c r="A1126" s="13">
        <f>A1125+1</f>
        <v>1124</v>
      </c>
      <c r="B1126" s="14">
        <v>2023</v>
      </c>
      <c r="C1126" s="15">
        <v>11</v>
      </c>
      <c r="D1126" s="15">
        <v>17</v>
      </c>
      <c r="E1126" s="16"/>
      <c r="F1126" t="s" s="17">
        <v>141</v>
      </c>
      <c r="G1126" s="16"/>
      <c r="H1126" t="s" s="17">
        <v>253</v>
      </c>
      <c r="I1126" t="s" s="17">
        <v>19</v>
      </c>
      <c r="J1126" t="s" s="17">
        <v>142</v>
      </c>
      <c r="K1126" t="s" s="17">
        <v>23</v>
      </c>
      <c r="L1126" s="15">
        <f>IF(O1126,P1126/O1126,0)</f>
        <v>13.85175</v>
      </c>
      <c r="M1126" s="15">
        <v>13.85175</v>
      </c>
      <c r="N1126" s="15">
        <f>A1126</f>
        <v>1124</v>
      </c>
      <c r="O1126" s="15">
        <v>24</v>
      </c>
      <c r="P1126" s="42">
        <f t="shared" si="3668"/>
        <v>332.442</v>
      </c>
      <c r="Q1126" s="16"/>
    </row>
    <row r="1127" ht="20.05" customHeight="1">
      <c r="A1127" s="13">
        <f>A1126+1</f>
        <v>1125</v>
      </c>
      <c r="B1127" s="14">
        <v>2023</v>
      </c>
      <c r="C1127" s="15">
        <v>11</v>
      </c>
      <c r="D1127" s="15">
        <v>17</v>
      </c>
      <c r="E1127" s="16"/>
      <c r="F1127" t="s" s="17">
        <v>141</v>
      </c>
      <c r="G1127" s="16"/>
      <c r="H1127" t="s" s="17">
        <v>253</v>
      </c>
      <c r="I1127" t="s" s="17">
        <v>19</v>
      </c>
      <c r="J1127" t="s" s="17">
        <v>158</v>
      </c>
      <c r="K1127" t="s" s="17">
        <v>23</v>
      </c>
      <c r="L1127" s="15">
        <f>IF(O1127,P1127/O1127,0)</f>
        <v>13.85175</v>
      </c>
      <c r="M1127" s="15">
        <v>13.85175</v>
      </c>
      <c r="N1127" s="15">
        <f>A1127</f>
        <v>1125</v>
      </c>
      <c r="O1127" s="15">
        <v>24</v>
      </c>
      <c r="P1127" s="42">
        <f t="shared" si="3668"/>
        <v>332.442</v>
      </c>
      <c r="Q1127" s="16"/>
    </row>
    <row r="1128" ht="20.05" customHeight="1">
      <c r="A1128" s="13">
        <f>A1127+1</f>
        <v>1126</v>
      </c>
      <c r="B1128" s="14">
        <v>2023</v>
      </c>
      <c r="C1128" s="15">
        <v>11</v>
      </c>
      <c r="D1128" s="15">
        <v>17</v>
      </c>
      <c r="E1128" s="16"/>
      <c r="F1128" t="s" s="17">
        <v>141</v>
      </c>
      <c r="G1128" s="16"/>
      <c r="H1128" t="s" s="17">
        <v>253</v>
      </c>
      <c r="I1128" t="s" s="17">
        <v>19</v>
      </c>
      <c r="J1128" t="s" s="17">
        <v>144</v>
      </c>
      <c r="K1128" t="s" s="17">
        <v>23</v>
      </c>
      <c r="L1128" s="15">
        <f>IF(O1128,P1128/O1128,0)</f>
        <v>13.85175</v>
      </c>
      <c r="M1128" s="15">
        <v>13.85175</v>
      </c>
      <c r="N1128" s="15">
        <f>A1128</f>
        <v>1126</v>
      </c>
      <c r="O1128" s="15">
        <v>24</v>
      </c>
      <c r="P1128" s="42">
        <f t="shared" si="3668"/>
        <v>332.442</v>
      </c>
      <c r="Q1128" s="16"/>
    </row>
    <row r="1129" ht="20.05" customHeight="1">
      <c r="A1129" s="13">
        <f>A1128+1</f>
        <v>1127</v>
      </c>
      <c r="B1129" s="14">
        <v>2023</v>
      </c>
      <c r="C1129" s="15">
        <v>11</v>
      </c>
      <c r="D1129" s="15">
        <v>17</v>
      </c>
      <c r="E1129" s="16"/>
      <c r="F1129" t="s" s="17">
        <v>141</v>
      </c>
      <c r="G1129" s="16"/>
      <c r="H1129" t="s" s="17">
        <v>253</v>
      </c>
      <c r="I1129" t="s" s="17">
        <v>19</v>
      </c>
      <c r="J1129" t="s" s="17">
        <v>359</v>
      </c>
      <c r="K1129" t="s" s="17">
        <v>23</v>
      </c>
      <c r="L1129" s="15">
        <f>IF(O1129,P1129/O1129,0)</f>
        <v>114</v>
      </c>
      <c r="M1129" s="15">
        <v>114</v>
      </c>
      <c r="N1129" s="15">
        <f>A1129</f>
        <v>1127</v>
      </c>
      <c r="O1129" s="15">
        <v>2</v>
      </c>
      <c r="P1129" s="15">
        <v>228</v>
      </c>
      <c r="Q1129" s="16"/>
    </row>
    <row r="1130" ht="20.05" customHeight="1">
      <c r="A1130" s="13">
        <f>A1129+1</f>
        <v>1128</v>
      </c>
      <c r="B1130" s="14">
        <v>2023</v>
      </c>
      <c r="C1130" s="15">
        <v>11</v>
      </c>
      <c r="D1130" s="15">
        <v>21</v>
      </c>
      <c r="E1130" s="16"/>
      <c r="F1130" t="s" s="17">
        <v>400</v>
      </c>
      <c r="G1130" s="16"/>
      <c r="H1130" t="s" s="17">
        <v>253</v>
      </c>
      <c r="I1130" t="s" s="17">
        <v>187</v>
      </c>
      <c r="J1130" t="s" s="17">
        <v>401</v>
      </c>
      <c r="K1130" t="s" s="17">
        <v>23</v>
      </c>
      <c r="L1130" s="15">
        <f>IF(O1130,P1130/O1130,0)</f>
        <v>74.98999999999999</v>
      </c>
      <c r="M1130" s="15">
        <v>74.98999999999999</v>
      </c>
      <c r="N1130" s="15">
        <f>A1130</f>
        <v>1128</v>
      </c>
      <c r="O1130" s="15">
        <v>3</v>
      </c>
      <c r="P1130" s="15">
        <v>224.97</v>
      </c>
      <c r="Q1130" s="16"/>
    </row>
    <row r="1131" ht="20.05" customHeight="1">
      <c r="A1131" s="13">
        <f>A1130+1</f>
        <v>1129</v>
      </c>
      <c r="B1131" s="14">
        <v>2023</v>
      </c>
      <c r="C1131" s="15">
        <v>11</v>
      </c>
      <c r="D1131" s="15">
        <v>21</v>
      </c>
      <c r="E1131" s="16"/>
      <c r="F1131" t="s" s="17">
        <v>287</v>
      </c>
      <c r="G1131" s="16"/>
      <c r="H1131" t="s" s="17">
        <v>253</v>
      </c>
      <c r="I1131" t="s" s="17">
        <v>14</v>
      </c>
      <c r="J1131" t="s" s="17">
        <v>289</v>
      </c>
      <c r="K1131" t="s" s="17">
        <v>23</v>
      </c>
      <c r="L1131" s="15">
        <f>IF(O1131,P1131/O1131,0)</f>
        <v>32.724</v>
      </c>
      <c r="M1131" s="15">
        <v>32.724</v>
      </c>
      <c r="N1131" s="15">
        <f>A1131</f>
        <v>1129</v>
      </c>
      <c r="O1131" s="15">
        <v>10</v>
      </c>
      <c r="P1131" s="41">
        <f t="shared" si="3728"/>
        <v>327.24</v>
      </c>
      <c r="Q1131" s="16"/>
    </row>
    <row r="1132" ht="32.05" customHeight="1">
      <c r="A1132" s="13">
        <f>A1131+1</f>
        <v>1130</v>
      </c>
      <c r="B1132" s="14">
        <v>2023</v>
      </c>
      <c r="C1132" s="15">
        <v>11</v>
      </c>
      <c r="D1132" s="15">
        <v>21</v>
      </c>
      <c r="E1132" s="16"/>
      <c r="F1132" t="s" s="17">
        <v>287</v>
      </c>
      <c r="G1132" s="16"/>
      <c r="H1132" t="s" s="17">
        <v>253</v>
      </c>
      <c r="I1132" t="s" s="17">
        <v>14</v>
      </c>
      <c r="J1132" t="s" s="17">
        <v>283</v>
      </c>
      <c r="K1132" t="s" s="17">
        <v>23</v>
      </c>
      <c r="L1132" s="15">
        <f>IF(O1132,P1132/O1132,0)</f>
        <v>35.8045</v>
      </c>
      <c r="M1132" s="15">
        <v>35.8045</v>
      </c>
      <c r="N1132" s="15">
        <f>A1132</f>
        <v>1130</v>
      </c>
      <c r="O1132" s="15">
        <v>10</v>
      </c>
      <c r="P1132" s="42">
        <f t="shared" si="4005"/>
        <v>358.045</v>
      </c>
      <c r="Q1132" s="16"/>
    </row>
    <row r="1133" ht="20.05" customHeight="1">
      <c r="A1133" s="13">
        <f>A1132+1</f>
        <v>1131</v>
      </c>
      <c r="B1133" s="14">
        <v>2023</v>
      </c>
      <c r="C1133" s="15">
        <v>11</v>
      </c>
      <c r="D1133" s="15">
        <v>21</v>
      </c>
      <c r="E1133" s="16"/>
      <c r="F1133" t="s" s="17">
        <v>287</v>
      </c>
      <c r="G1133" s="16"/>
      <c r="H1133" t="s" s="17">
        <v>253</v>
      </c>
      <c r="I1133" t="s" s="17">
        <v>14</v>
      </c>
      <c r="J1133" t="s" s="17">
        <v>288</v>
      </c>
      <c r="K1133" t="s" s="17">
        <v>23</v>
      </c>
      <c r="L1133" s="15">
        <f>IF(O1133,P1133/O1133,0)</f>
        <v>37.5383333333333</v>
      </c>
      <c r="M1133" s="15">
        <v>37.5383333333333</v>
      </c>
      <c r="N1133" s="15">
        <f>A1133</f>
        <v>1131</v>
      </c>
      <c r="O1133" s="15">
        <v>9</v>
      </c>
      <c r="P1133" s="42">
        <f t="shared" si="4009"/>
        <v>337.845</v>
      </c>
      <c r="Q1133" s="16"/>
    </row>
    <row r="1134" ht="20.05" customHeight="1">
      <c r="A1134" s="13">
        <f>A1133+1</f>
        <v>1132</v>
      </c>
      <c r="B1134" s="14">
        <v>2023</v>
      </c>
      <c r="C1134" s="15">
        <v>11</v>
      </c>
      <c r="D1134" s="15">
        <v>21</v>
      </c>
      <c r="E1134" s="16"/>
      <c r="F1134" t="s" s="17">
        <v>287</v>
      </c>
      <c r="G1134" s="16"/>
      <c r="H1134" t="s" s="17">
        <v>253</v>
      </c>
      <c r="I1134" t="s" s="17">
        <v>14</v>
      </c>
      <c r="J1134" t="s" s="17">
        <v>282</v>
      </c>
      <c r="K1134" t="s" s="17">
        <v>23</v>
      </c>
      <c r="L1134" s="15">
        <f>IF(O1134,P1134/O1134,0)</f>
        <v>27.4215</v>
      </c>
      <c r="M1134" s="15">
        <v>27.4215</v>
      </c>
      <c r="N1134" s="15">
        <f>A1134</f>
        <v>1132</v>
      </c>
      <c r="O1134" s="15">
        <v>10</v>
      </c>
      <c r="P1134" s="42">
        <f t="shared" si="4013"/>
        <v>274.215</v>
      </c>
      <c r="Q1134" s="16"/>
    </row>
    <row r="1135" ht="20.05" customHeight="1">
      <c r="A1135" s="13">
        <f>A1134+1</f>
        <v>1133</v>
      </c>
      <c r="B1135" s="14">
        <v>2023</v>
      </c>
      <c r="C1135" s="15">
        <v>11</v>
      </c>
      <c r="D1135" s="15">
        <v>21</v>
      </c>
      <c r="E1135" s="16"/>
      <c r="F1135" t="s" s="17">
        <v>287</v>
      </c>
      <c r="G1135" s="16"/>
      <c r="H1135" t="s" s="17">
        <v>253</v>
      </c>
      <c r="I1135" t="s" s="17">
        <v>14</v>
      </c>
      <c r="J1135" t="s" s="17">
        <v>279</v>
      </c>
      <c r="K1135" t="s" s="17">
        <v>23</v>
      </c>
      <c r="L1135" s="15">
        <f>IF(O1135,P1135/O1135,0)</f>
        <v>34.3905</v>
      </c>
      <c r="M1135" s="15">
        <v>34.3905</v>
      </c>
      <c r="N1135" s="15">
        <f>A1135</f>
        <v>1133</v>
      </c>
      <c r="O1135" s="15">
        <v>10</v>
      </c>
      <c r="P1135" s="42">
        <f t="shared" si="3732"/>
        <v>343.905</v>
      </c>
      <c r="Q1135" s="16"/>
    </row>
    <row r="1136" ht="32.05" customHeight="1">
      <c r="A1136" s="13">
        <f>A1135+1</f>
        <v>1134</v>
      </c>
      <c r="B1136" s="14">
        <v>2023</v>
      </c>
      <c r="C1136" s="15">
        <v>11</v>
      </c>
      <c r="D1136" s="15">
        <v>21</v>
      </c>
      <c r="E1136" s="16"/>
      <c r="F1136" t="s" s="17">
        <v>287</v>
      </c>
      <c r="G1136" s="16"/>
      <c r="H1136" t="s" s="17">
        <v>253</v>
      </c>
      <c r="I1136" t="s" s="17">
        <v>17</v>
      </c>
      <c r="J1136" t="s" s="17">
        <v>299</v>
      </c>
      <c r="K1136" t="s" s="17">
        <v>23</v>
      </c>
      <c r="L1136" s="15">
        <f>IF(O1136,P1136/O1136,0)</f>
        <v>40.9959</v>
      </c>
      <c r="M1136" s="15">
        <v>40.9959</v>
      </c>
      <c r="N1136" s="15">
        <f>A1136</f>
        <v>1134</v>
      </c>
      <c r="O1136" s="15">
        <v>24</v>
      </c>
      <c r="P1136" s="43">
        <f t="shared" si="3696"/>
        <v>983.9016</v>
      </c>
      <c r="Q1136" s="16"/>
    </row>
    <row r="1137" ht="32.05" customHeight="1">
      <c r="A1137" s="13">
        <f>A1136+1</f>
        <v>1135</v>
      </c>
      <c r="B1137" s="14">
        <v>2023</v>
      </c>
      <c r="C1137" s="15">
        <v>11</v>
      </c>
      <c r="D1137" s="15">
        <v>21</v>
      </c>
      <c r="E1137" s="16"/>
      <c r="F1137" t="s" s="17">
        <v>287</v>
      </c>
      <c r="G1137" s="16"/>
      <c r="H1137" t="s" s="17">
        <v>253</v>
      </c>
      <c r="I1137" t="s" s="17">
        <v>17</v>
      </c>
      <c r="J1137" t="s" s="17">
        <v>300</v>
      </c>
      <c r="K1137" t="s" s="17">
        <v>23</v>
      </c>
      <c r="L1137" s="15">
        <f>IF(O1137,P1137/O1137,0)</f>
        <v>35.2995</v>
      </c>
      <c r="M1137" s="15">
        <v>35.2995</v>
      </c>
      <c r="N1137" s="15">
        <f>A1137</f>
        <v>1135</v>
      </c>
      <c r="O1137" s="15">
        <v>24</v>
      </c>
      <c r="P1137" s="42">
        <f t="shared" si="3720"/>
        <v>847.188</v>
      </c>
      <c r="Q1137" s="16"/>
    </row>
    <row r="1138" ht="20.05" customHeight="1">
      <c r="A1138" s="13">
        <f>A1137+1</f>
        <v>1136</v>
      </c>
      <c r="B1138" s="14">
        <v>2023</v>
      </c>
      <c r="C1138" s="15">
        <v>11</v>
      </c>
      <c r="D1138" s="15">
        <v>22</v>
      </c>
      <c r="E1138" s="16"/>
      <c r="F1138" t="s" s="17">
        <v>122</v>
      </c>
      <c r="G1138" s="16"/>
      <c r="H1138" t="s" s="17">
        <v>253</v>
      </c>
      <c r="I1138" t="s" s="17">
        <v>19</v>
      </c>
      <c r="J1138" t="s" s="17">
        <v>60</v>
      </c>
      <c r="K1138" t="s" s="17">
        <v>23</v>
      </c>
      <c r="L1138" s="15">
        <f>IF(O1138,P1138/O1138,0)</f>
        <v>2.39168</v>
      </c>
      <c r="M1138" s="15">
        <v>2.39168</v>
      </c>
      <c r="N1138" s="15">
        <f>A1138</f>
        <v>1136</v>
      </c>
      <c r="O1138" s="15">
        <v>120</v>
      </c>
      <c r="P1138" s="43">
        <f t="shared" si="4079" ref="P1138:P1190">284.16+284.16*1%</f>
        <v>287.0016</v>
      </c>
      <c r="Q1138" s="16"/>
    </row>
    <row r="1139" ht="20.05" customHeight="1">
      <c r="A1139" s="13">
        <f>A1138+1</f>
        <v>1137</v>
      </c>
      <c r="B1139" s="14">
        <v>2023</v>
      </c>
      <c r="C1139" s="15">
        <v>11</v>
      </c>
      <c r="D1139" s="15">
        <v>22</v>
      </c>
      <c r="E1139" s="16"/>
      <c r="F1139" t="s" s="17">
        <v>122</v>
      </c>
      <c r="G1139" s="16"/>
      <c r="H1139" t="s" s="17">
        <v>253</v>
      </c>
      <c r="I1139" t="s" s="17">
        <v>19</v>
      </c>
      <c r="J1139" t="s" s="17">
        <v>67</v>
      </c>
      <c r="K1139" t="s" s="17">
        <v>23</v>
      </c>
      <c r="L1139" s="15">
        <f>IF(O1139,P1139/O1139,0)</f>
        <v>1.236139</v>
      </c>
      <c r="M1139" s="15">
        <v>1.236139</v>
      </c>
      <c r="N1139" s="15">
        <f>A1139</f>
        <v>1137</v>
      </c>
      <c r="O1139" s="15">
        <f t="shared" si="3790"/>
        <v>300</v>
      </c>
      <c r="P1139" s="43">
        <f>367.17+367.17*1%</f>
        <v>370.8417</v>
      </c>
      <c r="Q1139" s="16"/>
    </row>
    <row r="1140" ht="20.05" customHeight="1">
      <c r="A1140" s="13">
        <f>A1139+1</f>
        <v>1138</v>
      </c>
      <c r="B1140" s="14">
        <v>2023</v>
      </c>
      <c r="C1140" s="15">
        <v>11</v>
      </c>
      <c r="D1140" s="15">
        <v>22</v>
      </c>
      <c r="E1140" s="16"/>
      <c r="F1140" t="s" s="17">
        <v>122</v>
      </c>
      <c r="G1140" s="16"/>
      <c r="H1140" t="s" s="17">
        <v>253</v>
      </c>
      <c r="I1140" t="s" s="17">
        <v>19</v>
      </c>
      <c r="J1140" t="s" s="17">
        <v>138</v>
      </c>
      <c r="K1140" t="s" s="17">
        <v>41</v>
      </c>
      <c r="L1140" s="15">
        <f>IF(O1140,P1140/O1140,0)</f>
        <v>38.0433333333333</v>
      </c>
      <c r="M1140" s="15">
        <v>38.0433333333333</v>
      </c>
      <c r="N1140" s="15">
        <f>A1140</f>
        <v>1138</v>
      </c>
      <c r="O1140" s="15">
        <f t="shared" si="1332"/>
        <v>24</v>
      </c>
      <c r="P1140" s="41">
        <f t="shared" si="3805"/>
        <v>913.04</v>
      </c>
      <c r="Q1140" s="16"/>
    </row>
    <row r="1141" ht="20.05" customHeight="1">
      <c r="A1141" s="13">
        <f>A1140+1</f>
        <v>1139</v>
      </c>
      <c r="B1141" s="14">
        <v>2023</v>
      </c>
      <c r="C1141" s="15">
        <v>11</v>
      </c>
      <c r="D1141" s="15">
        <v>22</v>
      </c>
      <c r="E1141" s="16"/>
      <c r="F1141" t="s" s="17">
        <v>122</v>
      </c>
      <c r="G1141" s="16"/>
      <c r="H1141" t="s" s="17">
        <v>253</v>
      </c>
      <c r="I1141" t="s" s="17">
        <v>19</v>
      </c>
      <c r="J1141" t="s" s="17">
        <v>139</v>
      </c>
      <c r="K1141" t="s" s="17">
        <v>23</v>
      </c>
      <c r="L1141" s="15">
        <f>IF(O1141,P1141/O1141,0)</f>
        <v>3.89270833333333</v>
      </c>
      <c r="M1141" s="15">
        <v>3.89270833333333</v>
      </c>
      <c r="N1141" s="15">
        <f>A1141</f>
        <v>1139</v>
      </c>
      <c r="O1141" s="15">
        <f t="shared" si="3886"/>
        <v>48</v>
      </c>
      <c r="P1141" s="41">
        <f t="shared" si="4094" ref="P1141:P1195">185+185*1%</f>
        <v>186.85</v>
      </c>
      <c r="Q1141" s="16"/>
    </row>
    <row r="1142" ht="32.05" customHeight="1">
      <c r="A1142" s="13">
        <f>A1141+1</f>
        <v>1140</v>
      </c>
      <c r="B1142" s="14">
        <v>2023</v>
      </c>
      <c r="C1142" s="15">
        <v>11</v>
      </c>
      <c r="D1142" s="15">
        <v>22</v>
      </c>
      <c r="E1142" s="16"/>
      <c r="F1142" t="s" s="17">
        <v>122</v>
      </c>
      <c r="G1142" s="16"/>
      <c r="H1142" t="s" s="17">
        <v>253</v>
      </c>
      <c r="I1142" t="s" s="17">
        <v>187</v>
      </c>
      <c r="J1142" t="s" s="17">
        <v>136</v>
      </c>
      <c r="K1142" t="s" s="17">
        <v>23</v>
      </c>
      <c r="L1142" s="15">
        <f>IF(O1142,P1142/O1142,0)</f>
        <v>0.14742</v>
      </c>
      <c r="M1142" s="15">
        <v>0.14742</v>
      </c>
      <c r="N1142" s="15">
        <f>A1142</f>
        <v>1140</v>
      </c>
      <c r="O1142" s="15">
        <f t="shared" si="3351"/>
        <v>4800</v>
      </c>
      <c r="P1142" s="42">
        <f>589.68+589.68*20%</f>
        <v>707.616</v>
      </c>
      <c r="Q1142" s="16"/>
    </row>
    <row r="1143" ht="20.05" customHeight="1">
      <c r="A1143" s="13">
        <f>A1142+1</f>
        <v>1141</v>
      </c>
      <c r="B1143" s="14">
        <v>2023</v>
      </c>
      <c r="C1143" s="15">
        <v>11</v>
      </c>
      <c r="D1143" s="15">
        <v>22</v>
      </c>
      <c r="E1143" s="16"/>
      <c r="F1143" t="s" s="17">
        <v>122</v>
      </c>
      <c r="G1143" s="16"/>
      <c r="H1143" t="s" s="17">
        <v>253</v>
      </c>
      <c r="I1143" t="s" s="17">
        <v>187</v>
      </c>
      <c r="J1143" t="s" s="17">
        <v>128</v>
      </c>
      <c r="K1143" t="s" s="17">
        <v>23</v>
      </c>
      <c r="L1143" s="15">
        <f>IF(O1143,P1143/O1143,0)</f>
        <v>17.30025</v>
      </c>
      <c r="M1143" s="15">
        <v>17.30025</v>
      </c>
      <c r="N1143" s="15">
        <f>A1143</f>
        <v>1141</v>
      </c>
      <c r="O1143" s="15">
        <f t="shared" si="3886"/>
        <v>48</v>
      </c>
      <c r="P1143" s="42">
        <f>692.01+692.01*20%</f>
        <v>830.412</v>
      </c>
      <c r="Q1143" s="16"/>
    </row>
    <row r="1144" ht="32.05" customHeight="1">
      <c r="A1144" s="13">
        <f>A1143+1</f>
        <v>1142</v>
      </c>
      <c r="B1144" s="14">
        <v>2023</v>
      </c>
      <c r="C1144" s="15">
        <v>11</v>
      </c>
      <c r="D1144" s="15">
        <v>22</v>
      </c>
      <c r="E1144" s="16"/>
      <c r="F1144" t="s" s="17">
        <v>122</v>
      </c>
      <c r="G1144" s="16"/>
      <c r="H1144" t="s" s="17">
        <v>253</v>
      </c>
      <c r="I1144" t="s" s="17">
        <v>187</v>
      </c>
      <c r="J1144" t="s" s="17">
        <v>137</v>
      </c>
      <c r="K1144" t="s" s="17">
        <v>41</v>
      </c>
      <c r="L1144" s="15">
        <f>IF(O1144,P1144/O1144,0)</f>
        <v>0.023808</v>
      </c>
      <c r="M1144" s="15">
        <v>0.023808</v>
      </c>
      <c r="N1144" s="15">
        <f>A1144</f>
        <v>1142</v>
      </c>
      <c r="O1144" s="15">
        <v>5000</v>
      </c>
      <c r="P1144" s="41">
        <f t="shared" si="3370"/>
        <v>119.04</v>
      </c>
      <c r="Q1144" s="16"/>
    </row>
    <row r="1145" ht="20.05" customHeight="1">
      <c r="A1145" s="13">
        <f>A1144+1</f>
        <v>1143</v>
      </c>
      <c r="B1145" s="14">
        <v>2023</v>
      </c>
      <c r="C1145" s="15">
        <v>11</v>
      </c>
      <c r="D1145" s="15">
        <v>22</v>
      </c>
      <c r="E1145" s="16"/>
      <c r="F1145" t="s" s="17">
        <v>150</v>
      </c>
      <c r="G1145" s="16"/>
      <c r="H1145" t="s" s="17">
        <v>253</v>
      </c>
      <c r="I1145" t="s" s="17">
        <v>19</v>
      </c>
      <c r="J1145" t="s" s="17">
        <v>85</v>
      </c>
      <c r="K1145" t="s" s="17">
        <v>41</v>
      </c>
      <c r="L1145" s="15">
        <f>IF(O1145,P1145/O1145,0)</f>
        <v>0.360906666666667</v>
      </c>
      <c r="M1145" s="15">
        <v>0.360906666666667</v>
      </c>
      <c r="N1145" s="15">
        <f>A1145</f>
        <v>1143</v>
      </c>
      <c r="O1145" s="15">
        <v>750</v>
      </c>
      <c r="P1145" s="41">
        <f t="shared" si="3614"/>
        <v>270.68</v>
      </c>
      <c r="Q1145" s="16"/>
    </row>
    <row r="1146" ht="20.05" customHeight="1">
      <c r="A1146" s="13">
        <f>A1145+1</f>
        <v>1144</v>
      </c>
      <c r="B1146" s="14">
        <v>2023</v>
      </c>
      <c r="C1146" s="15">
        <v>11</v>
      </c>
      <c r="D1146" s="15">
        <v>22</v>
      </c>
      <c r="E1146" s="16"/>
      <c r="F1146" t="s" s="17">
        <v>150</v>
      </c>
      <c r="G1146" s="16"/>
      <c r="H1146" t="s" s="17">
        <v>253</v>
      </c>
      <c r="I1146" t="s" s="17">
        <v>19</v>
      </c>
      <c r="J1146" t="s" s="17">
        <v>92</v>
      </c>
      <c r="K1146" t="s" s="17">
        <v>41</v>
      </c>
      <c r="L1146" s="15">
        <f>IF(O1146,P1146/O1146,0)</f>
        <v>0.360906666666667</v>
      </c>
      <c r="M1146" s="15">
        <v>0.360906666666667</v>
      </c>
      <c r="N1146" s="15">
        <f>A1146</f>
        <v>1144</v>
      </c>
      <c r="O1146" s="15">
        <v>750</v>
      </c>
      <c r="P1146" s="41">
        <f t="shared" si="3614"/>
        <v>270.68</v>
      </c>
      <c r="Q1146" s="16"/>
    </row>
    <row r="1147" ht="20.05" customHeight="1">
      <c r="A1147" s="13">
        <f>A1146+1</f>
        <v>1145</v>
      </c>
      <c r="B1147" s="14">
        <v>2023</v>
      </c>
      <c r="C1147" s="15">
        <v>11</v>
      </c>
      <c r="D1147" s="15">
        <v>22</v>
      </c>
      <c r="E1147" s="16"/>
      <c r="F1147" t="s" s="17">
        <v>150</v>
      </c>
      <c r="G1147" s="16"/>
      <c r="H1147" t="s" s="17">
        <v>253</v>
      </c>
      <c r="I1147" t="s" s="17">
        <v>19</v>
      </c>
      <c r="J1147" t="s" s="17">
        <v>70</v>
      </c>
      <c r="K1147" t="s" s="17">
        <v>16</v>
      </c>
      <c r="L1147" s="15">
        <f>IF(O1147,P1147/O1147,0)</f>
        <v>0.33936</v>
      </c>
      <c r="M1147" s="15">
        <v>0.33936</v>
      </c>
      <c r="N1147" s="15">
        <f>A1147</f>
        <v>1145</v>
      </c>
      <c r="O1147" s="15">
        <v>2000</v>
      </c>
      <c r="P1147" s="41">
        <f t="shared" si="3509"/>
        <v>678.72</v>
      </c>
      <c r="Q1147" s="16"/>
    </row>
    <row r="1148" ht="20.05" customHeight="1">
      <c r="A1148" s="13">
        <f>A1147+1</f>
        <v>1146</v>
      </c>
      <c r="B1148" s="14">
        <v>2023</v>
      </c>
      <c r="C1148" s="15">
        <v>11</v>
      </c>
      <c r="D1148" s="15">
        <v>22</v>
      </c>
      <c r="E1148" s="16"/>
      <c r="F1148" t="s" s="17">
        <v>111</v>
      </c>
      <c r="G1148" s="16"/>
      <c r="H1148" t="s" s="17">
        <v>253</v>
      </c>
      <c r="I1148" t="s" s="17">
        <v>19</v>
      </c>
      <c r="J1148" t="s" s="17">
        <v>112</v>
      </c>
      <c r="K1148" t="s" s="17">
        <v>41</v>
      </c>
      <c r="L1148" s="15">
        <f>IF(O1148,P1148/O1148,0)</f>
        <v>0.030694</v>
      </c>
      <c r="M1148" s="15">
        <v>0.030694</v>
      </c>
      <c r="N1148" s="15">
        <f>A1148</f>
        <v>1146</v>
      </c>
      <c r="O1148" s="15">
        <f t="shared" si="3864"/>
        <v>5000</v>
      </c>
      <c r="P1148" s="15">
        <v>153.47</v>
      </c>
      <c r="Q1148" s="16"/>
    </row>
    <row r="1149" ht="20.05" customHeight="1">
      <c r="A1149" s="13">
        <f>A1148+1</f>
        <v>1147</v>
      </c>
      <c r="B1149" s="14">
        <v>2023</v>
      </c>
      <c r="C1149" s="15">
        <v>11</v>
      </c>
      <c r="D1149" s="15">
        <v>22</v>
      </c>
      <c r="E1149" s="16"/>
      <c r="F1149" t="s" s="17">
        <v>111</v>
      </c>
      <c r="G1149" s="16"/>
      <c r="H1149" t="s" s="17">
        <v>253</v>
      </c>
      <c r="I1149" t="s" s="17">
        <v>19</v>
      </c>
      <c r="J1149" t="s" s="17">
        <v>72</v>
      </c>
      <c r="K1149" t="s" s="17">
        <v>41</v>
      </c>
      <c r="L1149" s="15">
        <f>IF(O1149,P1149/O1149,0)</f>
        <v>0.2975</v>
      </c>
      <c r="M1149" s="15">
        <v>0.2975</v>
      </c>
      <c r="N1149" s="15">
        <f>A1149</f>
        <v>1147</v>
      </c>
      <c r="O1149" s="15">
        <f t="shared" si="3195"/>
        <v>500</v>
      </c>
      <c r="P1149" s="15">
        <v>148.75</v>
      </c>
      <c r="Q1149" s="16"/>
    </row>
    <row r="1150" ht="20.05" customHeight="1">
      <c r="A1150" s="13">
        <f>A1149+1</f>
        <v>1148</v>
      </c>
      <c r="B1150" s="14">
        <v>2023</v>
      </c>
      <c r="C1150" s="15">
        <v>11</v>
      </c>
      <c r="D1150" s="15">
        <v>22</v>
      </c>
      <c r="E1150" s="16"/>
      <c r="F1150" t="s" s="17">
        <v>111</v>
      </c>
      <c r="G1150" s="16"/>
      <c r="H1150" t="s" s="17">
        <v>253</v>
      </c>
      <c r="I1150" t="s" s="17">
        <v>26</v>
      </c>
      <c r="J1150" t="s" s="17">
        <v>117</v>
      </c>
      <c r="K1150" t="s" s="17">
        <v>23</v>
      </c>
      <c r="L1150" s="15">
        <f>IF(O1150,P1150/O1150,0)</f>
        <v>33.472</v>
      </c>
      <c r="M1150" s="15">
        <v>33.472</v>
      </c>
      <c r="N1150" s="15">
        <f>A1150</f>
        <v>1148</v>
      </c>
      <c r="O1150" s="15">
        <v>5</v>
      </c>
      <c r="P1150" s="15">
        <v>167.36</v>
      </c>
      <c r="Q1150" s="16"/>
    </row>
    <row r="1151" ht="20.05" customHeight="1">
      <c r="A1151" s="13">
        <f>A1150+1</f>
        <v>1149</v>
      </c>
      <c r="B1151" s="14">
        <v>2023</v>
      </c>
      <c r="C1151" s="15">
        <v>11</v>
      </c>
      <c r="D1151" s="15">
        <v>22</v>
      </c>
      <c r="E1151" s="16"/>
      <c r="F1151" t="s" s="17">
        <v>111</v>
      </c>
      <c r="G1151" s="16"/>
      <c r="H1151" t="s" s="17">
        <v>253</v>
      </c>
      <c r="I1151" t="s" s="17">
        <v>26</v>
      </c>
      <c r="J1151" t="s" s="17">
        <v>134</v>
      </c>
      <c r="K1151" t="s" s="17">
        <v>23</v>
      </c>
      <c r="L1151" s="15">
        <f>IF(O1151,P1151/O1151,0)</f>
        <v>34.218</v>
      </c>
      <c r="M1151" s="15">
        <v>34.218</v>
      </c>
      <c r="N1151" s="15">
        <f>A1151</f>
        <v>1149</v>
      </c>
      <c r="O1151" s="15">
        <v>5</v>
      </c>
      <c r="P1151" s="15">
        <v>171.09</v>
      </c>
      <c r="Q1151" s="16"/>
    </row>
    <row r="1152" ht="20.05" customHeight="1">
      <c r="A1152" s="13">
        <f>A1151+1</f>
        <v>1150</v>
      </c>
      <c r="B1152" s="14">
        <v>2023</v>
      </c>
      <c r="C1152" s="15">
        <v>11</v>
      </c>
      <c r="D1152" s="15">
        <v>22</v>
      </c>
      <c r="E1152" s="16"/>
      <c r="F1152" t="s" s="17">
        <v>111</v>
      </c>
      <c r="G1152" s="16"/>
      <c r="H1152" t="s" s="17">
        <v>253</v>
      </c>
      <c r="I1152" t="s" s="17">
        <v>19</v>
      </c>
      <c r="J1152" t="s" s="17">
        <v>81</v>
      </c>
      <c r="K1152" t="s" s="17">
        <v>23</v>
      </c>
      <c r="L1152" s="15">
        <f>IF(O1152,P1152/O1152,0)</f>
        <v>0.925</v>
      </c>
      <c r="M1152" s="15">
        <v>0.925</v>
      </c>
      <c r="N1152" s="15">
        <f>A1152</f>
        <v>1150</v>
      </c>
      <c r="O1152" s="15">
        <f>3*108</f>
        <v>324</v>
      </c>
      <c r="P1152" s="15">
        <v>299.7</v>
      </c>
      <c r="Q1152" s="16"/>
    </row>
    <row r="1153" ht="20.05" customHeight="1">
      <c r="A1153" s="13">
        <f>A1152+1</f>
        <v>1151</v>
      </c>
      <c r="B1153" s="14">
        <v>2023</v>
      </c>
      <c r="C1153" s="15">
        <v>11</v>
      </c>
      <c r="D1153" s="15">
        <v>22</v>
      </c>
      <c r="E1153" s="16"/>
      <c r="F1153" t="s" s="17">
        <v>258</v>
      </c>
      <c r="G1153" s="16"/>
      <c r="H1153" t="s" s="17">
        <v>253</v>
      </c>
      <c r="I1153" t="s" s="17">
        <v>19</v>
      </c>
      <c r="J1153" t="s" s="17">
        <v>157</v>
      </c>
      <c r="K1153" t="s" s="17">
        <v>16</v>
      </c>
      <c r="L1153" s="15">
        <f>IF(O1153,P1153/O1153,0)</f>
        <v>0.0123538011695906</v>
      </c>
      <c r="M1153" s="15">
        <v>0.0123538011695906</v>
      </c>
      <c r="N1153" s="15">
        <f>A1153</f>
        <v>1151</v>
      </c>
      <c r="O1153" s="15">
        <v>1368</v>
      </c>
      <c r="P1153" s="15">
        <v>16.9</v>
      </c>
      <c r="Q1153" s="16"/>
    </row>
    <row r="1154" ht="32.05" customHeight="1">
      <c r="A1154" s="13">
        <f>A1153+1</f>
        <v>1152</v>
      </c>
      <c r="B1154" s="14">
        <v>2023</v>
      </c>
      <c r="C1154" s="15">
        <v>11</v>
      </c>
      <c r="D1154" s="15">
        <v>22</v>
      </c>
      <c r="E1154" s="16"/>
      <c r="F1154" t="s" s="17">
        <v>111</v>
      </c>
      <c r="G1154" s="16"/>
      <c r="H1154" t="s" s="17">
        <v>253</v>
      </c>
      <c r="I1154" t="s" s="17">
        <v>187</v>
      </c>
      <c r="J1154" t="s" s="17">
        <v>129</v>
      </c>
      <c r="K1154" t="s" s="17">
        <v>23</v>
      </c>
      <c r="L1154" s="15">
        <f>IF(O1154,P1154/O1154,0)</f>
        <v>0.257804166666667</v>
      </c>
      <c r="M1154" s="15">
        <v>0.257804166666667</v>
      </c>
      <c r="N1154" s="15">
        <f>A1154</f>
        <v>1152</v>
      </c>
      <c r="O1154" s="15">
        <f t="shared" si="4145" ref="O1154:O1487">24*100</f>
        <v>2400</v>
      </c>
      <c r="P1154" s="15">
        <v>618.73</v>
      </c>
      <c r="Q1154" s="16"/>
    </row>
    <row r="1155" ht="32.05" customHeight="1">
      <c r="A1155" s="13">
        <f>A1154+1</f>
        <v>1153</v>
      </c>
      <c r="B1155" s="14">
        <v>2023</v>
      </c>
      <c r="C1155" s="15">
        <v>11</v>
      </c>
      <c r="D1155" s="15">
        <v>22</v>
      </c>
      <c r="E1155" s="16"/>
      <c r="F1155" t="s" s="17">
        <v>111</v>
      </c>
      <c r="G1155" s="16"/>
      <c r="H1155" t="s" s="17">
        <v>253</v>
      </c>
      <c r="I1155" t="s" s="17">
        <v>187</v>
      </c>
      <c r="J1155" t="s" s="17">
        <v>137</v>
      </c>
      <c r="K1155" t="s" s="17">
        <v>41</v>
      </c>
      <c r="L1155" s="15">
        <f>IF(O1155,P1155/O1155,0)</f>
        <v>0.043952</v>
      </c>
      <c r="M1155" s="15">
        <v>0.043952</v>
      </c>
      <c r="N1155" s="15">
        <f>A1155</f>
        <v>1153</v>
      </c>
      <c r="O1155" s="15">
        <v>2500</v>
      </c>
      <c r="P1155" s="15">
        <v>109.88</v>
      </c>
      <c r="Q1155" s="16"/>
    </row>
    <row r="1156" ht="20.05" customHeight="1">
      <c r="A1156" s="13">
        <f>A1155+1</f>
        <v>1154</v>
      </c>
      <c r="B1156" s="14">
        <v>2023</v>
      </c>
      <c r="C1156" s="15">
        <v>11</v>
      </c>
      <c r="D1156" s="15">
        <v>22</v>
      </c>
      <c r="E1156" s="16"/>
      <c r="F1156" t="s" s="17">
        <v>293</v>
      </c>
      <c r="G1156" s="16"/>
      <c r="H1156" t="s" s="17">
        <v>253</v>
      </c>
      <c r="I1156" t="s" s="17">
        <v>19</v>
      </c>
      <c r="J1156" t="s" s="17">
        <v>157</v>
      </c>
      <c r="K1156" t="s" s="17">
        <v>16</v>
      </c>
      <c r="L1156" s="15">
        <f>IF(O1156,P1156/O1156,0)</f>
        <v>0.00989801699716714</v>
      </c>
      <c r="M1156" s="15">
        <v>0.00989801699716714</v>
      </c>
      <c r="N1156" s="15">
        <f>A1156</f>
        <v>1154</v>
      </c>
      <c r="O1156" s="15">
        <v>1765</v>
      </c>
      <c r="P1156" s="15">
        <v>17.47</v>
      </c>
      <c r="Q1156" s="16"/>
    </row>
    <row r="1157" ht="20.05" customHeight="1">
      <c r="A1157" s="13">
        <f>A1156+1</f>
        <v>1155</v>
      </c>
      <c r="B1157" s="14">
        <v>2023</v>
      </c>
      <c r="C1157" s="15">
        <v>11</v>
      </c>
      <c r="D1157" s="15">
        <v>25</v>
      </c>
      <c r="E1157" s="16"/>
      <c r="F1157" t="s" s="17">
        <v>287</v>
      </c>
      <c r="G1157" s="16"/>
      <c r="H1157" t="s" s="17">
        <v>253</v>
      </c>
      <c r="I1157" t="s" s="17">
        <v>14</v>
      </c>
      <c r="J1157" t="s" s="17">
        <v>289</v>
      </c>
      <c r="K1157" t="s" s="17">
        <v>23</v>
      </c>
      <c r="L1157" s="15">
        <f>IF(O1157,P1157/O1157,0)</f>
        <v>32.724</v>
      </c>
      <c r="M1157" s="15">
        <v>32.724</v>
      </c>
      <c r="N1157" s="15">
        <f>A1157</f>
        <v>1155</v>
      </c>
      <c r="O1157" s="15">
        <v>10</v>
      </c>
      <c r="P1157" s="41">
        <f t="shared" si="3728"/>
        <v>327.24</v>
      </c>
      <c r="Q1157" s="16"/>
    </row>
    <row r="1158" ht="32.05" customHeight="1">
      <c r="A1158" s="13">
        <f>A1157+1</f>
        <v>1156</v>
      </c>
      <c r="B1158" s="14">
        <v>2023</v>
      </c>
      <c r="C1158" s="15">
        <v>11</v>
      </c>
      <c r="D1158" s="15">
        <v>25</v>
      </c>
      <c r="E1158" s="16"/>
      <c r="F1158" t="s" s="17">
        <v>287</v>
      </c>
      <c r="G1158" s="16"/>
      <c r="H1158" t="s" s="17">
        <v>253</v>
      </c>
      <c r="I1158" t="s" s="17">
        <v>14</v>
      </c>
      <c r="J1158" t="s" s="17">
        <v>283</v>
      </c>
      <c r="K1158" t="s" s="17">
        <v>23</v>
      </c>
      <c r="L1158" s="15">
        <f>IF(O1158,P1158/O1158,0)</f>
        <v>35.8045</v>
      </c>
      <c r="M1158" s="15">
        <v>35.8045</v>
      </c>
      <c r="N1158" s="15">
        <f>A1158</f>
        <v>1156</v>
      </c>
      <c r="O1158" s="15">
        <v>10</v>
      </c>
      <c r="P1158" s="42">
        <f t="shared" si="4005"/>
        <v>358.045</v>
      </c>
      <c r="Q1158" s="16"/>
    </row>
    <row r="1159" ht="20.05" customHeight="1">
      <c r="A1159" s="13">
        <f>A1158+1</f>
        <v>1157</v>
      </c>
      <c r="B1159" s="14">
        <v>2023</v>
      </c>
      <c r="C1159" s="15">
        <v>11</v>
      </c>
      <c r="D1159" s="15">
        <v>25</v>
      </c>
      <c r="E1159" s="16"/>
      <c r="F1159" t="s" s="17">
        <v>287</v>
      </c>
      <c r="G1159" s="16"/>
      <c r="H1159" t="s" s="17">
        <v>253</v>
      </c>
      <c r="I1159" t="s" s="17">
        <v>14</v>
      </c>
      <c r="J1159" t="s" s="17">
        <v>288</v>
      </c>
      <c r="K1159" t="s" s="17">
        <v>23</v>
      </c>
      <c r="L1159" s="15">
        <f>IF(O1159,P1159/O1159,0)</f>
        <v>29.896</v>
      </c>
      <c r="M1159" s="15">
        <v>29.896</v>
      </c>
      <c r="N1159" s="15">
        <f>A1159</f>
        <v>1157</v>
      </c>
      <c r="O1159" s="15">
        <v>10</v>
      </c>
      <c r="P1159" s="41">
        <f t="shared" si="4163" ref="P1159:P1163">296+296*1%</f>
        <v>298.96</v>
      </c>
      <c r="Q1159" s="16"/>
    </row>
    <row r="1160" ht="20.05" customHeight="1">
      <c r="A1160" s="13">
        <f>A1159+1</f>
        <v>1158</v>
      </c>
      <c r="B1160" s="14">
        <v>2023</v>
      </c>
      <c r="C1160" s="15">
        <v>11</v>
      </c>
      <c r="D1160" s="15">
        <v>25</v>
      </c>
      <c r="E1160" s="16"/>
      <c r="F1160" t="s" s="17">
        <v>287</v>
      </c>
      <c r="G1160" s="16"/>
      <c r="H1160" t="s" s="17">
        <v>253</v>
      </c>
      <c r="I1160" t="s" s="17">
        <v>14</v>
      </c>
      <c r="J1160" t="s" s="17">
        <v>282</v>
      </c>
      <c r="K1160" t="s" s="17">
        <v>23</v>
      </c>
      <c r="L1160" s="15">
        <f>IF(O1160,P1160/O1160,0)</f>
        <v>27.4215</v>
      </c>
      <c r="M1160" s="15">
        <v>27.4215</v>
      </c>
      <c r="N1160" s="15">
        <f>A1160</f>
        <v>1158</v>
      </c>
      <c r="O1160" s="15">
        <v>10</v>
      </c>
      <c r="P1160" s="42">
        <f t="shared" si="4013"/>
        <v>274.215</v>
      </c>
      <c r="Q1160" s="16"/>
    </row>
    <row r="1161" ht="20.05" customHeight="1">
      <c r="A1161" s="13">
        <f>A1160+1</f>
        <v>1159</v>
      </c>
      <c r="B1161" s="14">
        <v>2023</v>
      </c>
      <c r="C1161" s="15">
        <v>11</v>
      </c>
      <c r="D1161" s="15">
        <v>25</v>
      </c>
      <c r="E1161" s="16"/>
      <c r="F1161" t="s" s="17">
        <v>287</v>
      </c>
      <c r="G1161" s="16"/>
      <c r="H1161" t="s" s="17">
        <v>253</v>
      </c>
      <c r="I1161" t="s" s="17">
        <v>14</v>
      </c>
      <c r="J1161" t="s" s="17">
        <v>279</v>
      </c>
      <c r="K1161" t="s" s="17">
        <v>23</v>
      </c>
      <c r="L1161" s="15">
        <f>IF(O1161,P1161/O1161,0)</f>
        <v>34.3905</v>
      </c>
      <c r="M1161" s="15">
        <v>34.3905</v>
      </c>
      <c r="N1161" s="15">
        <f>A1161</f>
        <v>1159</v>
      </c>
      <c r="O1161" s="15">
        <v>10</v>
      </c>
      <c r="P1161" s="42">
        <f t="shared" si="3732"/>
        <v>343.905</v>
      </c>
      <c r="Q1161" s="16"/>
    </row>
    <row r="1162" ht="20.05" customHeight="1">
      <c r="A1162" s="13">
        <f>A1161+1</f>
        <v>1160</v>
      </c>
      <c r="B1162" s="14">
        <v>2023</v>
      </c>
      <c r="C1162" s="15">
        <v>11</v>
      </c>
      <c r="D1162" s="15">
        <v>27</v>
      </c>
      <c r="E1162" s="16"/>
      <c r="F1162" t="s" s="17">
        <v>287</v>
      </c>
      <c r="G1162" s="16"/>
      <c r="H1162" t="s" s="17">
        <v>253</v>
      </c>
      <c r="I1162" t="s" s="17">
        <v>14</v>
      </c>
      <c r="J1162" t="s" s="17">
        <v>282</v>
      </c>
      <c r="K1162" t="s" s="17">
        <v>23</v>
      </c>
      <c r="L1162" s="15">
        <f>IF(O1162,P1162/O1162,0)</f>
        <v>27.4215</v>
      </c>
      <c r="M1162" s="15">
        <v>27.4215</v>
      </c>
      <c r="N1162" s="15">
        <f>A1162</f>
        <v>1160</v>
      </c>
      <c r="O1162" s="15">
        <v>10</v>
      </c>
      <c r="P1162" s="42">
        <f t="shared" si="4013"/>
        <v>274.215</v>
      </c>
      <c r="Q1162" s="16"/>
    </row>
    <row r="1163" ht="20.05" customHeight="1">
      <c r="A1163" s="13">
        <f>A1162+1</f>
        <v>1161</v>
      </c>
      <c r="B1163" s="14">
        <v>2023</v>
      </c>
      <c r="C1163" s="15">
        <v>11</v>
      </c>
      <c r="D1163" s="15">
        <v>27</v>
      </c>
      <c r="E1163" s="16"/>
      <c r="F1163" t="s" s="17">
        <v>287</v>
      </c>
      <c r="G1163" s="16"/>
      <c r="H1163" t="s" s="17">
        <v>253</v>
      </c>
      <c r="I1163" t="s" s="17">
        <v>14</v>
      </c>
      <c r="J1163" t="s" s="17">
        <v>288</v>
      </c>
      <c r="K1163" t="s" s="17">
        <v>23</v>
      </c>
      <c r="L1163" s="15">
        <f>IF(O1163,P1163/O1163,0)</f>
        <v>29.896</v>
      </c>
      <c r="M1163" s="15">
        <v>29.896</v>
      </c>
      <c r="N1163" s="15">
        <f>A1163</f>
        <v>1161</v>
      </c>
      <c r="O1163" s="15">
        <v>10</v>
      </c>
      <c r="P1163" s="41">
        <f t="shared" si="4163"/>
        <v>298.96</v>
      </c>
      <c r="Q1163" s="16"/>
    </row>
    <row r="1164" ht="20.05" customHeight="1">
      <c r="A1164" s="13">
        <f>A1163+1</f>
        <v>1162</v>
      </c>
      <c r="B1164" s="14">
        <v>2023</v>
      </c>
      <c r="C1164" s="15">
        <v>11</v>
      </c>
      <c r="D1164" s="15">
        <v>27</v>
      </c>
      <c r="E1164" s="16"/>
      <c r="F1164" t="s" s="17">
        <v>287</v>
      </c>
      <c r="G1164" s="16"/>
      <c r="H1164" t="s" s="17">
        <v>253</v>
      </c>
      <c r="I1164" t="s" s="17">
        <v>17</v>
      </c>
      <c r="J1164" t="s" s="17">
        <v>363</v>
      </c>
      <c r="K1164" t="s" s="17">
        <v>23</v>
      </c>
      <c r="L1164" s="15">
        <f>IF(O1164,P1164/O1164,0)</f>
        <v>27.8962</v>
      </c>
      <c r="M1164" s="15">
        <v>27.8962</v>
      </c>
      <c r="N1164" s="15">
        <f>A1164</f>
        <v>1162</v>
      </c>
      <c r="O1164" s="15">
        <v>24</v>
      </c>
      <c r="P1164" s="43">
        <f t="shared" si="3700"/>
        <v>669.5088</v>
      </c>
      <c r="Q1164" s="16"/>
    </row>
    <row r="1165" ht="32.05" customHeight="1">
      <c r="A1165" s="13">
        <f>A1164+1</f>
        <v>1163</v>
      </c>
      <c r="B1165" s="14">
        <v>2023</v>
      </c>
      <c r="C1165" s="15">
        <v>11</v>
      </c>
      <c r="D1165" s="15">
        <v>15</v>
      </c>
      <c r="E1165" s="16"/>
      <c r="F1165" t="s" s="17">
        <v>402</v>
      </c>
      <c r="G1165" s="16"/>
      <c r="H1165" t="s" s="17">
        <v>253</v>
      </c>
      <c r="I1165" t="s" s="17">
        <v>357</v>
      </c>
      <c r="J1165" t="s" s="17">
        <v>403</v>
      </c>
      <c r="K1165" t="s" s="17">
        <v>23</v>
      </c>
      <c r="L1165" s="15">
        <f>IF(O1165,P1165/O1165,0)</f>
        <v>1800</v>
      </c>
      <c r="M1165" s="15">
        <v>1800</v>
      </c>
      <c r="N1165" s="15">
        <f>A1165</f>
        <v>1163</v>
      </c>
      <c r="O1165" s="15">
        <v>1</v>
      </c>
      <c r="P1165" s="41">
        <f t="shared" si="3050"/>
        <v>1800</v>
      </c>
      <c r="Q1165" s="16"/>
    </row>
    <row r="1166" ht="20.05" customHeight="1">
      <c r="A1166" s="13">
        <f>A1165+1</f>
        <v>1164</v>
      </c>
      <c r="B1166" s="14">
        <v>2023</v>
      </c>
      <c r="C1166" s="15">
        <v>11</v>
      </c>
      <c r="D1166" s="15">
        <v>16</v>
      </c>
      <c r="E1166" s="16"/>
      <c r="F1166" t="s" s="17">
        <v>404</v>
      </c>
      <c r="G1166" s="16"/>
      <c r="H1166" t="s" s="17">
        <v>253</v>
      </c>
      <c r="I1166" t="s" s="17">
        <v>357</v>
      </c>
      <c r="J1166" t="s" s="17">
        <v>405</v>
      </c>
      <c r="K1166" t="s" s="17">
        <v>23</v>
      </c>
      <c r="L1166" s="15">
        <f>IF(O1166,P1166/O1166,0)</f>
        <v>6054.67</v>
      </c>
      <c r="M1166" s="15">
        <v>6054.67</v>
      </c>
      <c r="N1166" s="15">
        <f>A1166</f>
        <v>1164</v>
      </c>
      <c r="O1166" s="15">
        <v>1</v>
      </c>
      <c r="P1166" s="15">
        <v>6054.67</v>
      </c>
      <c r="Q1166" s="16"/>
    </row>
    <row r="1167" ht="32.05" customHeight="1">
      <c r="A1167" s="13">
        <f>A1166+1</f>
        <v>1165</v>
      </c>
      <c r="B1167" s="14">
        <v>2023</v>
      </c>
      <c r="C1167" s="15">
        <v>11</v>
      </c>
      <c r="D1167" s="15">
        <v>30</v>
      </c>
      <c r="E1167" s="16"/>
      <c r="F1167" t="s" s="17">
        <v>406</v>
      </c>
      <c r="G1167" s="16"/>
      <c r="H1167" t="s" s="17">
        <v>253</v>
      </c>
      <c r="I1167" t="s" s="17">
        <v>357</v>
      </c>
      <c r="J1167" t="s" s="17">
        <v>407</v>
      </c>
      <c r="K1167" t="s" s="17">
        <v>23</v>
      </c>
      <c r="L1167" s="15">
        <f>IF(O1167,P1167/O1167,0)</f>
        <v>2818.96</v>
      </c>
      <c r="M1167" s="15">
        <v>2818.96</v>
      </c>
      <c r="N1167" s="15">
        <f>A1167</f>
        <v>1165</v>
      </c>
      <c r="O1167" s="15">
        <v>1</v>
      </c>
      <c r="P1167" s="15">
        <v>2818.96</v>
      </c>
      <c r="Q1167" s="16"/>
    </row>
    <row r="1168" ht="32.05" customHeight="1">
      <c r="A1168" s="13">
        <f>A1167+1</f>
        <v>1166</v>
      </c>
      <c r="B1168" s="14">
        <v>2023</v>
      </c>
      <c r="C1168" s="15">
        <v>11</v>
      </c>
      <c r="D1168" s="15">
        <v>8</v>
      </c>
      <c r="E1168" s="16"/>
      <c r="F1168" t="s" s="17">
        <v>408</v>
      </c>
      <c r="G1168" s="16"/>
      <c r="H1168" t="s" s="17">
        <v>253</v>
      </c>
      <c r="I1168" s="16"/>
      <c r="J1168" t="s" s="17">
        <v>378</v>
      </c>
      <c r="K1168" t="s" s="17">
        <v>23</v>
      </c>
      <c r="L1168" s="15">
        <f>IF(O1168,P1168/O1168,0)</f>
        <v>7800</v>
      </c>
      <c r="M1168" s="15">
        <v>7800</v>
      </c>
      <c r="N1168" s="15">
        <f>A1168</f>
        <v>1166</v>
      </c>
      <c r="O1168" s="15">
        <v>1</v>
      </c>
      <c r="P1168" s="15">
        <v>7800</v>
      </c>
      <c r="Q1168" s="16"/>
    </row>
    <row r="1169" ht="20.05" customHeight="1">
      <c r="A1169" s="13">
        <f>A1168+1</f>
        <v>1167</v>
      </c>
      <c r="B1169" s="14">
        <v>2023</v>
      </c>
      <c r="C1169" s="15">
        <v>11</v>
      </c>
      <c r="D1169" s="15">
        <v>17</v>
      </c>
      <c r="E1169" s="16"/>
      <c r="F1169" t="s" s="17">
        <v>130</v>
      </c>
      <c r="G1169" s="16"/>
      <c r="H1169" t="s" s="17">
        <v>163</v>
      </c>
      <c r="I1169" t="s" s="17">
        <v>19</v>
      </c>
      <c r="J1169" t="s" s="17">
        <v>157</v>
      </c>
      <c r="K1169" t="s" s="17">
        <v>16</v>
      </c>
      <c r="L1169" s="15">
        <f>IF(O1169,P1169/O1169,0)</f>
        <v>0.0169509803921569</v>
      </c>
      <c r="M1169" s="15">
        <v>0.0169509803921569</v>
      </c>
      <c r="N1169" s="15">
        <f>A1169</f>
        <v>1167</v>
      </c>
      <c r="O1169" s="15">
        <v>1020</v>
      </c>
      <c r="P1169" s="15">
        <v>17.29</v>
      </c>
      <c r="Q1169" s="16"/>
    </row>
    <row r="1170" ht="20.05" customHeight="1">
      <c r="A1170" s="13">
        <f>A1169+1</f>
        <v>1168</v>
      </c>
      <c r="B1170" s="14">
        <v>2023</v>
      </c>
      <c r="C1170" s="15">
        <v>11</v>
      </c>
      <c r="D1170" s="15">
        <v>17</v>
      </c>
      <c r="E1170" s="16"/>
      <c r="F1170" t="s" s="17">
        <v>130</v>
      </c>
      <c r="G1170" s="16"/>
      <c r="H1170" t="s" s="17">
        <v>163</v>
      </c>
      <c r="I1170" t="s" s="17">
        <v>19</v>
      </c>
      <c r="J1170" t="s" s="17">
        <v>112</v>
      </c>
      <c r="K1170" t="s" s="17">
        <v>41</v>
      </c>
      <c r="L1170" s="15">
        <f>IF(O1170,P1170/O1170,0)</f>
        <v>0.0295</v>
      </c>
      <c r="M1170" s="15">
        <v>0.0295</v>
      </c>
      <c r="N1170" s="15">
        <f>A1170</f>
        <v>1168</v>
      </c>
      <c r="O1170" s="15">
        <f t="shared" si="3508"/>
        <v>2000</v>
      </c>
      <c r="P1170" s="15">
        <v>59</v>
      </c>
      <c r="Q1170" s="16"/>
    </row>
    <row r="1171" ht="20.05" customHeight="1">
      <c r="A1171" s="13">
        <f>A1170+1</f>
        <v>1169</v>
      </c>
      <c r="B1171" s="14">
        <v>2023</v>
      </c>
      <c r="C1171" s="15">
        <v>11</v>
      </c>
      <c r="D1171" s="15">
        <v>17</v>
      </c>
      <c r="E1171" s="16"/>
      <c r="F1171" t="s" s="17">
        <v>141</v>
      </c>
      <c r="G1171" s="16"/>
      <c r="H1171" t="s" s="17">
        <v>163</v>
      </c>
      <c r="I1171" t="s" s="17">
        <v>19</v>
      </c>
      <c r="J1171" t="s" s="17">
        <v>142</v>
      </c>
      <c r="K1171" t="s" s="17">
        <v>23</v>
      </c>
      <c r="L1171" s="15">
        <f>IF(O1171,P1171/O1171,0)</f>
        <v>13.8515208333333</v>
      </c>
      <c r="M1171" s="15">
        <v>13.8515208333333</v>
      </c>
      <c r="N1171" s="15">
        <f>A1171</f>
        <v>1169</v>
      </c>
      <c r="O1171" s="15">
        <f t="shared" si="3886"/>
        <v>48</v>
      </c>
      <c r="P1171" s="42">
        <f t="shared" si="4208" ref="P1171:P1371">604.43+604.43*10%</f>
        <v>664.873</v>
      </c>
      <c r="Q1171" s="16"/>
    </row>
    <row r="1172" ht="20.05" customHeight="1">
      <c r="A1172" s="13">
        <f>A1171+1</f>
        <v>1170</v>
      </c>
      <c r="B1172" s="14">
        <v>2023</v>
      </c>
      <c r="C1172" s="15">
        <v>11</v>
      </c>
      <c r="D1172" s="15">
        <v>17</v>
      </c>
      <c r="E1172" s="16"/>
      <c r="F1172" t="s" s="17">
        <v>141</v>
      </c>
      <c r="G1172" s="16"/>
      <c r="H1172" t="s" s="17">
        <v>163</v>
      </c>
      <c r="I1172" t="s" s="17">
        <v>19</v>
      </c>
      <c r="J1172" t="s" s="17">
        <v>144</v>
      </c>
      <c r="K1172" t="s" s="17">
        <v>23</v>
      </c>
      <c r="L1172" s="15">
        <f>IF(O1172,P1172/O1172,0)</f>
        <v>13.85175</v>
      </c>
      <c r="M1172" s="15">
        <v>13.85175</v>
      </c>
      <c r="N1172" s="15">
        <f>A1172</f>
        <v>1170</v>
      </c>
      <c r="O1172" s="15">
        <v>24</v>
      </c>
      <c r="P1172" s="42">
        <f t="shared" si="3668"/>
        <v>332.442</v>
      </c>
      <c r="Q1172" s="16"/>
    </row>
    <row r="1173" ht="20.05" customHeight="1">
      <c r="A1173" s="13">
        <f>A1172+1</f>
        <v>1171</v>
      </c>
      <c r="B1173" s="14">
        <v>2023</v>
      </c>
      <c r="C1173" s="15">
        <v>11</v>
      </c>
      <c r="D1173" s="15">
        <v>17</v>
      </c>
      <c r="E1173" s="16"/>
      <c r="F1173" t="s" s="17">
        <v>141</v>
      </c>
      <c r="G1173" s="16"/>
      <c r="H1173" t="s" s="17">
        <v>163</v>
      </c>
      <c r="I1173" t="s" s="17">
        <v>19</v>
      </c>
      <c r="J1173" t="s" s="17">
        <v>159</v>
      </c>
      <c r="K1173" t="s" s="17">
        <v>23</v>
      </c>
      <c r="L1173" s="15">
        <f>IF(O1173,P1173/O1173,0)</f>
        <v>2.4792975</v>
      </c>
      <c r="M1173" s="15">
        <v>2.4792975</v>
      </c>
      <c r="N1173" s="15">
        <f>A1173</f>
        <v>1171</v>
      </c>
      <c r="O1173" s="15">
        <f t="shared" si="4216" ref="O1173:O1372">5*24</f>
        <v>120</v>
      </c>
      <c r="P1173" s="43">
        <f t="shared" si="4217" ref="P1173:P1313">294.57+294.57*1%</f>
        <v>297.5157</v>
      </c>
      <c r="Q1173" s="16"/>
    </row>
    <row r="1174" ht="20.05" customHeight="1">
      <c r="A1174" s="13">
        <f>A1173+1</f>
        <v>1172</v>
      </c>
      <c r="B1174" s="14">
        <v>2023</v>
      </c>
      <c r="C1174" s="15">
        <v>11</v>
      </c>
      <c r="D1174" s="15">
        <v>18</v>
      </c>
      <c r="E1174" s="16"/>
      <c r="F1174" t="s" s="17">
        <v>287</v>
      </c>
      <c r="G1174" s="16"/>
      <c r="H1174" t="s" s="17">
        <v>163</v>
      </c>
      <c r="I1174" t="s" s="17">
        <v>14</v>
      </c>
      <c r="J1174" t="s" s="17">
        <v>289</v>
      </c>
      <c r="K1174" t="s" s="17">
        <v>23</v>
      </c>
      <c r="L1174" s="15">
        <f>IF(O1174,P1174/O1174,0)</f>
        <v>32.724</v>
      </c>
      <c r="M1174" s="15">
        <v>32.724</v>
      </c>
      <c r="N1174" s="15">
        <f>A1174</f>
        <v>1172</v>
      </c>
      <c r="O1174" s="15">
        <v>10</v>
      </c>
      <c r="P1174" s="41">
        <f t="shared" si="3728"/>
        <v>327.24</v>
      </c>
      <c r="Q1174" s="16"/>
    </row>
    <row r="1175" ht="32.05" customHeight="1">
      <c r="A1175" s="13">
        <f>A1174+1</f>
        <v>1173</v>
      </c>
      <c r="B1175" s="14">
        <v>2023</v>
      </c>
      <c r="C1175" s="15">
        <v>11</v>
      </c>
      <c r="D1175" s="15">
        <v>18</v>
      </c>
      <c r="E1175" s="16"/>
      <c r="F1175" t="s" s="17">
        <v>287</v>
      </c>
      <c r="G1175" s="16"/>
      <c r="H1175" t="s" s="17">
        <v>163</v>
      </c>
      <c r="I1175" t="s" s="17">
        <v>14</v>
      </c>
      <c r="J1175" t="s" s="17">
        <v>283</v>
      </c>
      <c r="K1175" t="s" s="17">
        <v>23</v>
      </c>
      <c r="L1175" s="15">
        <f>IF(O1175,P1175/O1175,0)</f>
        <v>35.8045</v>
      </c>
      <c r="M1175" s="15">
        <v>35.8045</v>
      </c>
      <c r="N1175" s="15">
        <f>A1175</f>
        <v>1173</v>
      </c>
      <c r="O1175" s="15">
        <f t="shared" si="4225" ref="O1175:O1378">2*10</f>
        <v>20</v>
      </c>
      <c r="P1175" s="41">
        <f t="shared" si="4226" ref="P1175:P1220">709+709*1%</f>
        <v>716.09</v>
      </c>
      <c r="Q1175" s="16"/>
    </row>
    <row r="1176" ht="20.05" customHeight="1">
      <c r="A1176" s="13">
        <f>A1175+1</f>
        <v>1174</v>
      </c>
      <c r="B1176" s="14">
        <v>2023</v>
      </c>
      <c r="C1176" s="15">
        <v>11</v>
      </c>
      <c r="D1176" s="15">
        <v>18</v>
      </c>
      <c r="E1176" s="16"/>
      <c r="F1176" t="s" s="17">
        <v>287</v>
      </c>
      <c r="G1176" s="16"/>
      <c r="H1176" t="s" s="17">
        <v>163</v>
      </c>
      <c r="I1176" t="s" s="17">
        <v>14</v>
      </c>
      <c r="J1176" t="s" s="17">
        <v>288</v>
      </c>
      <c r="K1176" t="s" s="17">
        <v>23</v>
      </c>
      <c r="L1176" s="15">
        <f>IF(O1176,P1176/O1176,0)</f>
        <v>37.5383333333333</v>
      </c>
      <c r="M1176" s="15">
        <v>37.5383333333333</v>
      </c>
      <c r="N1176" s="15">
        <f>A1176</f>
        <v>1174</v>
      </c>
      <c r="O1176" s="15">
        <v>9</v>
      </c>
      <c r="P1176" s="42">
        <f t="shared" si="4009"/>
        <v>337.845</v>
      </c>
      <c r="Q1176" s="16"/>
    </row>
    <row r="1177" ht="20.05" customHeight="1">
      <c r="A1177" s="13">
        <f>A1176+1</f>
        <v>1175</v>
      </c>
      <c r="B1177" s="14">
        <v>2023</v>
      </c>
      <c r="C1177" s="15">
        <v>11</v>
      </c>
      <c r="D1177" s="15">
        <v>18</v>
      </c>
      <c r="E1177" s="16"/>
      <c r="F1177" t="s" s="17">
        <v>287</v>
      </c>
      <c r="G1177" s="16"/>
      <c r="H1177" t="s" s="17">
        <v>163</v>
      </c>
      <c r="I1177" t="s" s="17">
        <v>14</v>
      </c>
      <c r="J1177" t="s" s="17">
        <v>282</v>
      </c>
      <c r="K1177" t="s" s="17">
        <v>23</v>
      </c>
      <c r="L1177" s="15">
        <f>IF(O1177,P1177/O1177,0)</f>
        <v>27.4215</v>
      </c>
      <c r="M1177" s="15">
        <v>27.4215</v>
      </c>
      <c r="N1177" s="15">
        <f>A1177</f>
        <v>1175</v>
      </c>
      <c r="O1177" s="15">
        <v>10</v>
      </c>
      <c r="P1177" s="42">
        <f t="shared" si="4013"/>
        <v>274.215</v>
      </c>
      <c r="Q1177" s="16"/>
    </row>
    <row r="1178" ht="20.05" customHeight="1">
      <c r="A1178" s="13">
        <f>A1177+1</f>
        <v>1176</v>
      </c>
      <c r="B1178" s="14">
        <v>2023</v>
      </c>
      <c r="C1178" s="15">
        <v>11</v>
      </c>
      <c r="D1178" s="15">
        <v>19</v>
      </c>
      <c r="E1178" s="16"/>
      <c r="F1178" t="s" s="17">
        <v>130</v>
      </c>
      <c r="G1178" s="16"/>
      <c r="H1178" t="s" s="17">
        <v>163</v>
      </c>
      <c r="I1178" t="s" s="17">
        <v>26</v>
      </c>
      <c r="J1178" t="s" s="17">
        <v>113</v>
      </c>
      <c r="K1178" t="s" s="17">
        <v>41</v>
      </c>
      <c r="L1178" s="15">
        <f>IF(O1178,P1178/O1178,0)</f>
        <v>0.03475</v>
      </c>
      <c r="M1178" s="15">
        <v>0.03475</v>
      </c>
      <c r="N1178" s="15">
        <f>A1178</f>
        <v>1176</v>
      </c>
      <c r="O1178" s="15">
        <v>2000</v>
      </c>
      <c r="P1178" s="15">
        <v>69.5</v>
      </c>
      <c r="Q1178" s="16"/>
    </row>
    <row r="1179" ht="20.05" customHeight="1">
      <c r="A1179" s="13">
        <f>A1178+1</f>
        <v>1177</v>
      </c>
      <c r="B1179" s="14">
        <v>2023</v>
      </c>
      <c r="C1179" s="15">
        <v>11</v>
      </c>
      <c r="D1179" s="15">
        <v>19</v>
      </c>
      <c r="E1179" s="16"/>
      <c r="F1179" t="s" s="17">
        <v>130</v>
      </c>
      <c r="G1179" s="16"/>
      <c r="H1179" t="s" s="17">
        <v>163</v>
      </c>
      <c r="I1179" t="s" s="17">
        <v>26</v>
      </c>
      <c r="J1179" t="s" s="17">
        <v>134</v>
      </c>
      <c r="K1179" t="s" s="17">
        <v>23</v>
      </c>
      <c r="L1179" s="15">
        <f>IF(O1179,P1179/O1179,0)</f>
        <v>39.95</v>
      </c>
      <c r="M1179" s="15">
        <v>39.95</v>
      </c>
      <c r="N1179" s="15">
        <f>A1179</f>
        <v>1177</v>
      </c>
      <c r="O1179" s="15">
        <v>4</v>
      </c>
      <c r="P1179" s="15">
        <v>159.8</v>
      </c>
      <c r="Q1179" s="16"/>
    </row>
    <row r="1180" ht="20.05" customHeight="1">
      <c r="A1180" s="13">
        <f>A1179+1</f>
        <v>1178</v>
      </c>
      <c r="B1180" s="14">
        <v>2023</v>
      </c>
      <c r="C1180" s="15">
        <v>11</v>
      </c>
      <c r="D1180" s="15">
        <v>19</v>
      </c>
      <c r="E1180" s="16"/>
      <c r="F1180" t="s" s="17">
        <v>130</v>
      </c>
      <c r="G1180" s="16"/>
      <c r="H1180" t="s" s="17">
        <v>163</v>
      </c>
      <c r="I1180" t="s" s="17">
        <v>26</v>
      </c>
      <c r="J1180" t="s" s="17">
        <v>118</v>
      </c>
      <c r="K1180" t="s" s="17">
        <v>23</v>
      </c>
      <c r="L1180" s="15">
        <f>IF(O1180,P1180/O1180,0)</f>
        <v>39.95</v>
      </c>
      <c r="M1180" s="15">
        <v>39.95</v>
      </c>
      <c r="N1180" s="15">
        <f>A1180</f>
        <v>1178</v>
      </c>
      <c r="O1180" s="15">
        <v>1</v>
      </c>
      <c r="P1180" s="15">
        <v>39.95</v>
      </c>
      <c r="Q1180" s="16"/>
    </row>
    <row r="1181" ht="20.05" customHeight="1">
      <c r="A1181" s="13">
        <f>A1180+1</f>
        <v>1179</v>
      </c>
      <c r="B1181" s="14">
        <v>2023</v>
      </c>
      <c r="C1181" s="15">
        <v>11</v>
      </c>
      <c r="D1181" s="15">
        <v>21</v>
      </c>
      <c r="E1181" s="16"/>
      <c r="F1181" t="s" s="17">
        <v>409</v>
      </c>
      <c r="G1181" s="16"/>
      <c r="H1181" t="s" s="17">
        <v>163</v>
      </c>
      <c r="I1181" t="s" s="17">
        <v>19</v>
      </c>
      <c r="J1181" t="s" s="17">
        <v>410</v>
      </c>
      <c r="K1181" t="s" s="17">
        <v>23</v>
      </c>
      <c r="L1181" s="15">
        <f>IF(O1181,P1181/O1181,0)</f>
        <v>90</v>
      </c>
      <c r="M1181" s="15">
        <v>90</v>
      </c>
      <c r="N1181" s="15">
        <f>A1181</f>
        <v>1179</v>
      </c>
      <c r="O1181" s="15">
        <v>1</v>
      </c>
      <c r="P1181" s="15">
        <v>90</v>
      </c>
      <c r="Q1181" s="16"/>
    </row>
    <row r="1182" ht="20.05" customHeight="1">
      <c r="A1182" s="13">
        <f>A1181+1</f>
        <v>1180</v>
      </c>
      <c r="B1182" s="14">
        <v>2023</v>
      </c>
      <c r="C1182" s="15">
        <v>11</v>
      </c>
      <c r="D1182" s="15">
        <v>22</v>
      </c>
      <c r="E1182" s="16"/>
      <c r="F1182" t="s" s="17">
        <v>111</v>
      </c>
      <c r="G1182" s="16"/>
      <c r="H1182" t="s" s="17">
        <v>163</v>
      </c>
      <c r="I1182" t="s" s="17">
        <v>19</v>
      </c>
      <c r="J1182" t="s" s="17">
        <v>112</v>
      </c>
      <c r="K1182" t="s" s="17">
        <v>41</v>
      </c>
      <c r="L1182" s="15">
        <f>IF(O1182,P1182/O1182,0)</f>
        <v>0.030694</v>
      </c>
      <c r="M1182" s="15">
        <v>0.030694</v>
      </c>
      <c r="N1182" s="15">
        <f>A1182</f>
        <v>1180</v>
      </c>
      <c r="O1182" s="15">
        <f t="shared" si="4250" ref="O1182:O1399">10*1000</f>
        <v>10000</v>
      </c>
      <c r="P1182" s="15">
        <v>306.94</v>
      </c>
      <c r="Q1182" s="16"/>
    </row>
    <row r="1183" ht="20.05" customHeight="1">
      <c r="A1183" s="13">
        <f>A1182+1</f>
        <v>1181</v>
      </c>
      <c r="B1183" s="14">
        <v>2023</v>
      </c>
      <c r="C1183" s="15">
        <v>11</v>
      </c>
      <c r="D1183" s="15">
        <v>22</v>
      </c>
      <c r="E1183" s="16"/>
      <c r="F1183" t="s" s="17">
        <v>111</v>
      </c>
      <c r="G1183" s="16"/>
      <c r="H1183" t="s" s="17">
        <v>163</v>
      </c>
      <c r="I1183" t="s" s="17">
        <v>26</v>
      </c>
      <c r="J1183" t="s" s="17">
        <v>113</v>
      </c>
      <c r="K1183" t="s" s="17">
        <v>41</v>
      </c>
      <c r="L1183" s="15">
        <f>IF(O1183,P1183/O1183,0)</f>
        <v>0.0279166666666667</v>
      </c>
      <c r="M1183" s="15">
        <v>0.0279166666666667</v>
      </c>
      <c r="N1183" s="15">
        <f>A1183</f>
        <v>1181</v>
      </c>
      <c r="O1183" s="15">
        <v>3000</v>
      </c>
      <c r="P1183" s="15">
        <v>83.75</v>
      </c>
      <c r="Q1183" s="16"/>
    </row>
    <row r="1184" ht="20.05" customHeight="1">
      <c r="A1184" s="13">
        <f>A1183+1</f>
        <v>1182</v>
      </c>
      <c r="B1184" s="14">
        <v>2023</v>
      </c>
      <c r="C1184" s="15">
        <v>11</v>
      </c>
      <c r="D1184" s="15">
        <v>22</v>
      </c>
      <c r="E1184" s="16"/>
      <c r="F1184" t="s" s="17">
        <v>111</v>
      </c>
      <c r="G1184" s="16"/>
      <c r="H1184" t="s" s="17">
        <v>163</v>
      </c>
      <c r="I1184" t="s" s="17">
        <v>19</v>
      </c>
      <c r="J1184" t="s" s="17">
        <v>72</v>
      </c>
      <c r="K1184" t="s" s="17">
        <v>41</v>
      </c>
      <c r="L1184" s="15">
        <f>IF(O1184,P1184/O1184,0)</f>
        <v>0.2975</v>
      </c>
      <c r="M1184" s="15">
        <v>0.2975</v>
      </c>
      <c r="N1184" s="15">
        <f>A1184</f>
        <v>1182</v>
      </c>
      <c r="O1184" s="15">
        <f t="shared" si="4257" ref="O1184:O1469">2*250</f>
        <v>500</v>
      </c>
      <c r="P1184" s="15">
        <v>148.75</v>
      </c>
      <c r="Q1184" s="16"/>
    </row>
    <row r="1185" ht="20.05" customHeight="1">
      <c r="A1185" s="13">
        <f>A1184+1</f>
        <v>1183</v>
      </c>
      <c r="B1185" s="14">
        <v>2023</v>
      </c>
      <c r="C1185" s="15">
        <v>11</v>
      </c>
      <c r="D1185" s="15">
        <v>22</v>
      </c>
      <c r="E1185" s="16"/>
      <c r="F1185" t="s" s="17">
        <v>111</v>
      </c>
      <c r="G1185" s="16"/>
      <c r="H1185" t="s" s="17">
        <v>163</v>
      </c>
      <c r="I1185" t="s" s="17">
        <v>26</v>
      </c>
      <c r="J1185" t="s" s="17">
        <v>27</v>
      </c>
      <c r="K1185" t="s" s="17">
        <v>16</v>
      </c>
      <c r="L1185" s="15">
        <f>IF(O1185,P1185/O1185,0)</f>
        <v>0.289572727272727</v>
      </c>
      <c r="M1185" s="15">
        <v>0.289572727272727</v>
      </c>
      <c r="N1185" s="15">
        <f>A1185</f>
        <v>1183</v>
      </c>
      <c r="O1185" s="15">
        <f t="shared" si="4261" ref="O1185:O1917">2*550</f>
        <v>1100</v>
      </c>
      <c r="P1185" s="15">
        <v>318.53</v>
      </c>
      <c r="Q1185" s="16"/>
    </row>
    <row r="1186" ht="20.05" customHeight="1">
      <c r="A1186" s="13">
        <f>A1185+1</f>
        <v>1184</v>
      </c>
      <c r="B1186" s="14">
        <v>2023</v>
      </c>
      <c r="C1186" s="15">
        <v>11</v>
      </c>
      <c r="D1186" s="15">
        <v>22</v>
      </c>
      <c r="E1186" s="16"/>
      <c r="F1186" t="s" s="17">
        <v>111</v>
      </c>
      <c r="G1186" s="16"/>
      <c r="H1186" t="s" s="17">
        <v>163</v>
      </c>
      <c r="I1186" t="s" s="17">
        <v>26</v>
      </c>
      <c r="J1186" t="s" s="17">
        <v>134</v>
      </c>
      <c r="K1186" t="s" s="17">
        <v>23</v>
      </c>
      <c r="L1186" s="15">
        <f>IF(O1186,P1186/O1186,0)</f>
        <v>42.1066666666667</v>
      </c>
      <c r="M1186" s="15">
        <v>42.1066666666667</v>
      </c>
      <c r="N1186" s="15">
        <f>A1186</f>
        <v>1184</v>
      </c>
      <c r="O1186" s="15">
        <v>12</v>
      </c>
      <c r="P1186" s="15">
        <v>505.28</v>
      </c>
      <c r="Q1186" s="16"/>
    </row>
    <row r="1187" ht="20.05" customHeight="1">
      <c r="A1187" s="13">
        <f>A1186+1</f>
        <v>1185</v>
      </c>
      <c r="B1187" s="14">
        <v>2023</v>
      </c>
      <c r="C1187" s="15">
        <v>11</v>
      </c>
      <c r="D1187" s="15">
        <v>22</v>
      </c>
      <c r="E1187" s="16"/>
      <c r="F1187" t="s" s="17">
        <v>111</v>
      </c>
      <c r="G1187" s="16"/>
      <c r="H1187" t="s" s="17">
        <v>163</v>
      </c>
      <c r="I1187" t="s" s="17">
        <v>19</v>
      </c>
      <c r="J1187" t="s" s="17">
        <v>81</v>
      </c>
      <c r="K1187" t="s" s="17">
        <v>23</v>
      </c>
      <c r="L1187" s="15">
        <f>IF(O1187,P1187/O1187,0)</f>
        <v>1.1900462962963</v>
      </c>
      <c r="M1187" s="15">
        <v>1.1900462962963</v>
      </c>
      <c r="N1187" s="15">
        <f>A1187</f>
        <v>1185</v>
      </c>
      <c r="O1187" s="15">
        <f t="shared" si="2762"/>
        <v>216</v>
      </c>
      <c r="P1187" s="15">
        <v>257.05</v>
      </c>
      <c r="Q1187" s="16"/>
    </row>
    <row r="1188" ht="20.05" customHeight="1">
      <c r="A1188" s="13">
        <f>A1187+1</f>
        <v>1186</v>
      </c>
      <c r="B1188" s="14">
        <v>2023</v>
      </c>
      <c r="C1188" s="15">
        <v>11</v>
      </c>
      <c r="D1188" s="15">
        <v>22</v>
      </c>
      <c r="E1188" s="16"/>
      <c r="F1188" t="s" s="17">
        <v>111</v>
      </c>
      <c r="G1188" s="16"/>
      <c r="H1188" t="s" s="17">
        <v>163</v>
      </c>
      <c r="I1188" t="s" s="17">
        <v>19</v>
      </c>
      <c r="J1188" t="s" s="17">
        <v>73</v>
      </c>
      <c r="K1188" t="s" s="17">
        <v>23</v>
      </c>
      <c r="L1188" s="15">
        <f>IF(O1188,P1188/O1188,0)</f>
        <v>4.84708333333333</v>
      </c>
      <c r="M1188" s="15">
        <v>4.84708333333333</v>
      </c>
      <c r="N1188" s="15">
        <f>A1188</f>
        <v>1186</v>
      </c>
      <c r="O1188" s="15">
        <v>24</v>
      </c>
      <c r="P1188" s="15">
        <v>116.33</v>
      </c>
      <c r="Q1188" s="16"/>
    </row>
    <row r="1189" ht="20.35" customHeight="1">
      <c r="A1189" s="13">
        <f>A1188+1</f>
        <v>1187</v>
      </c>
      <c r="B1189" s="14">
        <v>2023</v>
      </c>
      <c r="C1189" s="15">
        <v>11</v>
      </c>
      <c r="D1189" s="15">
        <v>22</v>
      </c>
      <c r="E1189" s="16"/>
      <c r="F1189" t="s" s="17">
        <v>111</v>
      </c>
      <c r="G1189" s="16"/>
      <c r="H1189" t="s" s="17">
        <v>163</v>
      </c>
      <c r="I1189" t="s" s="17">
        <v>187</v>
      </c>
      <c r="J1189" t="s" s="17">
        <v>276</v>
      </c>
      <c r="K1189" t="s" s="17">
        <v>41</v>
      </c>
      <c r="L1189" s="15">
        <f>IF(O1189,P1189/O1189,0)</f>
        <v>0.08089</v>
      </c>
      <c r="M1189" s="15">
        <v>0.08089</v>
      </c>
      <c r="N1189" s="15">
        <f>A1189</f>
        <v>1187</v>
      </c>
      <c r="O1189" s="15">
        <f t="shared" si="3508"/>
        <v>2000</v>
      </c>
      <c r="P1189" s="18">
        <v>161.78</v>
      </c>
      <c r="Q1189" s="16"/>
    </row>
    <row r="1190" ht="20.7" customHeight="1">
      <c r="A1190" s="13">
        <f>A1189+1</f>
        <v>1188</v>
      </c>
      <c r="B1190" s="14">
        <v>2023</v>
      </c>
      <c r="C1190" s="15">
        <v>11</v>
      </c>
      <c r="D1190" s="15">
        <v>22</v>
      </c>
      <c r="E1190" s="16"/>
      <c r="F1190" t="s" s="17">
        <v>341</v>
      </c>
      <c r="G1190" s="16"/>
      <c r="H1190" t="s" s="17">
        <v>163</v>
      </c>
      <c r="I1190" t="s" s="17">
        <v>19</v>
      </c>
      <c r="J1190" t="s" s="17">
        <v>60</v>
      </c>
      <c r="K1190" t="s" s="17">
        <v>23</v>
      </c>
      <c r="L1190" s="15">
        <f>IF(O1190,P1190/O1190,0)</f>
        <v>2.39168</v>
      </c>
      <c r="M1190" s="15">
        <v>2.39168</v>
      </c>
      <c r="N1190" s="15">
        <f>A1190</f>
        <v>1188</v>
      </c>
      <c r="O1190" s="19">
        <v>120</v>
      </c>
      <c r="P1190" s="47">
        <f t="shared" si="4079"/>
        <v>287.0016</v>
      </c>
      <c r="Q1190" s="21"/>
    </row>
    <row r="1191" ht="20.7" customHeight="1">
      <c r="A1191" s="13">
        <f>A1190+1</f>
        <v>1189</v>
      </c>
      <c r="B1191" s="14">
        <v>2023</v>
      </c>
      <c r="C1191" s="15">
        <v>11</v>
      </c>
      <c r="D1191" s="15">
        <v>22</v>
      </c>
      <c r="E1191" s="16"/>
      <c r="F1191" t="s" s="17">
        <v>341</v>
      </c>
      <c r="G1191" s="16"/>
      <c r="H1191" t="s" s="17">
        <v>163</v>
      </c>
      <c r="I1191" t="s" s="17">
        <v>19</v>
      </c>
      <c r="J1191" t="s" s="17">
        <v>67</v>
      </c>
      <c r="K1191" t="s" s="17">
        <v>23</v>
      </c>
      <c r="L1191" s="15">
        <f>IF(O1191,P1191/O1191,0)</f>
        <v>1.236139</v>
      </c>
      <c r="M1191" s="15">
        <v>1.236139</v>
      </c>
      <c r="N1191" s="15">
        <f>A1191</f>
        <v>1189</v>
      </c>
      <c r="O1191" s="19">
        <f t="shared" si="3799"/>
        <v>400</v>
      </c>
      <c r="P1191" s="47">
        <f t="shared" si="3800"/>
        <v>494.4556</v>
      </c>
      <c r="Q1191" s="21"/>
    </row>
    <row r="1192" ht="20.7" customHeight="1">
      <c r="A1192" s="13">
        <f>A1191+1</f>
        <v>1190</v>
      </c>
      <c r="B1192" s="14">
        <v>2023</v>
      </c>
      <c r="C1192" s="15">
        <v>11</v>
      </c>
      <c r="D1192" s="15">
        <v>22</v>
      </c>
      <c r="E1192" s="16"/>
      <c r="F1192" t="s" s="17">
        <v>341</v>
      </c>
      <c r="G1192" s="16"/>
      <c r="H1192" t="s" s="17">
        <v>163</v>
      </c>
      <c r="I1192" t="s" s="17">
        <v>19</v>
      </c>
      <c r="J1192" t="s" s="17">
        <v>138</v>
      </c>
      <c r="K1192" t="s" s="17">
        <v>41</v>
      </c>
      <c r="L1192" s="15">
        <f>IF(O1192,P1192/O1192,0)</f>
        <v>0.0380433333333333</v>
      </c>
      <c r="M1192" s="15">
        <v>0.0380433333333333</v>
      </c>
      <c r="N1192" s="15">
        <f>A1192</f>
        <v>1190</v>
      </c>
      <c r="O1192" s="19">
        <f t="shared" si="1705"/>
        <v>48000</v>
      </c>
      <c r="P1192" s="48">
        <f t="shared" si="4289" ref="P1192:P1327">1808+1808*1%</f>
        <v>1826.08</v>
      </c>
      <c r="Q1192" s="21"/>
    </row>
    <row r="1193" ht="20.7" customHeight="1">
      <c r="A1193" s="13">
        <f>A1192+1</f>
        <v>1191</v>
      </c>
      <c r="B1193" s="14">
        <v>2023</v>
      </c>
      <c r="C1193" s="15">
        <v>11</v>
      </c>
      <c r="D1193" s="15">
        <v>22</v>
      </c>
      <c r="E1193" s="16"/>
      <c r="F1193" t="s" s="17">
        <v>341</v>
      </c>
      <c r="G1193" s="16"/>
      <c r="H1193" t="s" s="17">
        <v>163</v>
      </c>
      <c r="I1193" t="s" s="17">
        <v>26</v>
      </c>
      <c r="J1193" t="s" s="17">
        <v>117</v>
      </c>
      <c r="K1193" t="s" s="17">
        <v>23</v>
      </c>
      <c r="L1193" s="15">
        <f>IF(O1193,P1193/O1193,0)</f>
        <v>35.35</v>
      </c>
      <c r="M1193" s="15">
        <v>35.35</v>
      </c>
      <c r="N1193" s="15">
        <f>A1193</f>
        <v>1191</v>
      </c>
      <c r="O1193" s="19">
        <v>14</v>
      </c>
      <c r="P1193" s="46">
        <f t="shared" si="4293" ref="P1193:P1410">490+490*1%</f>
        <v>494.9</v>
      </c>
      <c r="Q1193" s="21"/>
    </row>
    <row r="1194" ht="20.7" customHeight="1">
      <c r="A1194" s="13">
        <f>A1193+1</f>
        <v>1192</v>
      </c>
      <c r="B1194" s="14">
        <v>2023</v>
      </c>
      <c r="C1194" s="15">
        <v>11</v>
      </c>
      <c r="D1194" s="15">
        <v>22</v>
      </c>
      <c r="E1194" s="16"/>
      <c r="F1194" t="s" s="17">
        <v>341</v>
      </c>
      <c r="G1194" s="16"/>
      <c r="H1194" t="s" s="17">
        <v>163</v>
      </c>
      <c r="I1194" t="s" s="17">
        <v>26</v>
      </c>
      <c r="J1194" t="s" s="17">
        <v>118</v>
      </c>
      <c r="K1194" t="s" s="17">
        <v>23</v>
      </c>
      <c r="L1194" s="15">
        <f>IF(O1194,P1194/O1194,0)</f>
        <v>36.6125</v>
      </c>
      <c r="M1194" s="15">
        <v>36.6125</v>
      </c>
      <c r="N1194" s="15">
        <f>A1194</f>
        <v>1192</v>
      </c>
      <c r="O1194" s="19">
        <v>14</v>
      </c>
      <c r="P1194" s="46">
        <f t="shared" si="3314"/>
        <v>512.575</v>
      </c>
      <c r="Q1194" s="21"/>
    </row>
    <row r="1195" ht="20.7" customHeight="1">
      <c r="A1195" s="13">
        <f>A1194+1</f>
        <v>1193</v>
      </c>
      <c r="B1195" s="14">
        <v>2023</v>
      </c>
      <c r="C1195" s="15">
        <v>11</v>
      </c>
      <c r="D1195" s="15">
        <v>22</v>
      </c>
      <c r="E1195" s="16"/>
      <c r="F1195" t="s" s="17">
        <v>341</v>
      </c>
      <c r="G1195" s="16"/>
      <c r="H1195" t="s" s="17">
        <v>163</v>
      </c>
      <c r="I1195" t="s" s="17">
        <v>19</v>
      </c>
      <c r="J1195" t="s" s="17">
        <v>139</v>
      </c>
      <c r="K1195" t="s" s="17">
        <v>23</v>
      </c>
      <c r="L1195" s="15">
        <f>IF(O1195,P1195/O1195,0)</f>
        <v>3.89270833333333</v>
      </c>
      <c r="M1195" s="15">
        <v>3.89270833333333</v>
      </c>
      <c r="N1195" s="15">
        <f>A1195</f>
        <v>1193</v>
      </c>
      <c r="O1195" s="19">
        <f t="shared" si="3886"/>
        <v>48</v>
      </c>
      <c r="P1195" s="48">
        <f t="shared" si="4094"/>
        <v>186.85</v>
      </c>
      <c r="Q1195" s="21"/>
    </row>
    <row r="1196" ht="32.7" customHeight="1">
      <c r="A1196" s="13">
        <f>A1195+1</f>
        <v>1194</v>
      </c>
      <c r="B1196" s="14">
        <v>2023</v>
      </c>
      <c r="C1196" s="15">
        <v>11</v>
      </c>
      <c r="D1196" s="15">
        <v>22</v>
      </c>
      <c r="E1196" s="16"/>
      <c r="F1196" t="s" s="17">
        <v>341</v>
      </c>
      <c r="G1196" s="16"/>
      <c r="H1196" t="s" s="17">
        <v>163</v>
      </c>
      <c r="I1196" t="s" s="17">
        <v>187</v>
      </c>
      <c r="J1196" t="s" s="17">
        <v>136</v>
      </c>
      <c r="K1196" t="s" s="17">
        <v>23</v>
      </c>
      <c r="L1196" s="15">
        <f>IF(O1196,P1196/O1196,0)</f>
        <v>0.1755</v>
      </c>
      <c r="M1196" s="15">
        <v>0.1755</v>
      </c>
      <c r="N1196" s="15">
        <f>A1196</f>
        <v>1194</v>
      </c>
      <c r="O1196" s="19">
        <f t="shared" si="3351"/>
        <v>4800</v>
      </c>
      <c r="P1196" s="46">
        <f t="shared" si="3352"/>
        <v>842.4</v>
      </c>
      <c r="Q1196" s="21"/>
    </row>
    <row r="1197" ht="20.7" customHeight="1">
      <c r="A1197" s="13">
        <f>A1196+1</f>
        <v>1195</v>
      </c>
      <c r="B1197" s="14">
        <v>2023</v>
      </c>
      <c r="C1197" s="15">
        <v>11</v>
      </c>
      <c r="D1197" s="15">
        <v>22</v>
      </c>
      <c r="E1197" s="16"/>
      <c r="F1197" t="s" s="17">
        <v>341</v>
      </c>
      <c r="G1197" s="16"/>
      <c r="H1197" t="s" s="17">
        <v>163</v>
      </c>
      <c r="I1197" t="s" s="17">
        <v>187</v>
      </c>
      <c r="J1197" t="s" s="17">
        <v>161</v>
      </c>
      <c r="K1197" t="s" s="17">
        <v>23</v>
      </c>
      <c r="L1197" s="15">
        <f>IF(O1197,P1197/O1197,0)</f>
        <v>11.45</v>
      </c>
      <c r="M1197" s="15">
        <v>11.45</v>
      </c>
      <c r="N1197" s="15">
        <f>A1197</f>
        <v>1195</v>
      </c>
      <c r="O1197" s="19">
        <f t="shared" si="3809"/>
        <v>24</v>
      </c>
      <c r="P1197" s="46">
        <f t="shared" si="3810"/>
        <v>274.8</v>
      </c>
      <c r="Q1197" s="21"/>
    </row>
    <row r="1198" ht="20.7" customHeight="1">
      <c r="A1198" s="13">
        <f>A1197+1</f>
        <v>1196</v>
      </c>
      <c r="B1198" s="14">
        <v>2023</v>
      </c>
      <c r="C1198" s="15">
        <v>11</v>
      </c>
      <c r="D1198" s="15">
        <v>22</v>
      </c>
      <c r="E1198" s="16"/>
      <c r="F1198" t="s" s="17">
        <v>341</v>
      </c>
      <c r="G1198" s="16"/>
      <c r="H1198" t="s" s="17">
        <v>163</v>
      </c>
      <c r="I1198" t="s" s="17">
        <v>187</v>
      </c>
      <c r="J1198" t="s" s="17">
        <v>128</v>
      </c>
      <c r="K1198" t="s" s="17">
        <v>23</v>
      </c>
      <c r="L1198" s="15">
        <f>IF(O1198,P1198/O1198,0)</f>
        <v>25.55</v>
      </c>
      <c r="M1198" s="15">
        <v>25.55</v>
      </c>
      <c r="N1198" s="15">
        <f>A1198</f>
        <v>1196</v>
      </c>
      <c r="O1198" s="19">
        <v>24</v>
      </c>
      <c r="P1198" s="46">
        <f t="shared" si="4316" ref="P1198:P1329">511+511*20%</f>
        <v>613.2</v>
      </c>
      <c r="Q1198" s="21"/>
    </row>
    <row r="1199" ht="20.35" customHeight="1">
      <c r="A1199" s="13">
        <f>A1198+1</f>
        <v>1197</v>
      </c>
      <c r="B1199" s="14">
        <v>2023</v>
      </c>
      <c r="C1199" s="15">
        <v>11</v>
      </c>
      <c r="D1199" s="15">
        <v>22</v>
      </c>
      <c r="E1199" s="16"/>
      <c r="F1199" t="s" s="17">
        <v>130</v>
      </c>
      <c r="G1199" s="16"/>
      <c r="H1199" t="s" s="17">
        <v>163</v>
      </c>
      <c r="I1199" t="s" s="17">
        <v>19</v>
      </c>
      <c r="J1199" t="s" s="17">
        <v>157</v>
      </c>
      <c r="K1199" t="s" s="17">
        <v>16</v>
      </c>
      <c r="L1199" s="15">
        <f>IF(O1199,P1199/O1199,0)</f>
        <v>0.0169526627218935</v>
      </c>
      <c r="M1199" s="15">
        <v>0.0169526627218935</v>
      </c>
      <c r="N1199" s="15">
        <f>A1199</f>
        <v>1197</v>
      </c>
      <c r="O1199" s="15">
        <v>1014</v>
      </c>
      <c r="P1199" s="22">
        <v>17.19</v>
      </c>
      <c r="Q1199" s="16"/>
    </row>
    <row r="1200" ht="20.05" customHeight="1">
      <c r="A1200" s="13">
        <f>A1199+1</f>
        <v>1198</v>
      </c>
      <c r="B1200" s="14">
        <v>2023</v>
      </c>
      <c r="C1200" s="15">
        <v>11</v>
      </c>
      <c r="D1200" s="15">
        <v>22</v>
      </c>
      <c r="E1200" s="16"/>
      <c r="F1200" t="s" s="17">
        <v>150</v>
      </c>
      <c r="G1200" s="16"/>
      <c r="H1200" t="s" s="17">
        <v>163</v>
      </c>
      <c r="I1200" t="s" s="17">
        <v>19</v>
      </c>
      <c r="J1200" t="s" s="17">
        <v>89</v>
      </c>
      <c r="K1200" t="s" s="17">
        <v>41</v>
      </c>
      <c r="L1200" s="15">
        <f>IF(O1200,P1200/O1200,0)</f>
        <v>0.490571428571429</v>
      </c>
      <c r="M1200" s="15">
        <v>0.490571428571429</v>
      </c>
      <c r="N1200" s="15">
        <f>A1200</f>
        <v>1198</v>
      </c>
      <c r="O1200" s="15">
        <v>700</v>
      </c>
      <c r="P1200" s="42">
        <f t="shared" si="4323" ref="P1200:P1258">340+340*1%</f>
        <v>343.4</v>
      </c>
      <c r="Q1200" s="16"/>
    </row>
    <row r="1201" ht="20.05" customHeight="1">
      <c r="A1201" s="13">
        <f>A1200+1</f>
        <v>1199</v>
      </c>
      <c r="B1201" s="14">
        <v>2023</v>
      </c>
      <c r="C1201" s="15">
        <v>11</v>
      </c>
      <c r="D1201" s="15">
        <v>22</v>
      </c>
      <c r="E1201" s="16"/>
      <c r="F1201" t="s" s="17">
        <v>150</v>
      </c>
      <c r="G1201" s="16"/>
      <c r="H1201" t="s" s="17">
        <v>163</v>
      </c>
      <c r="I1201" t="s" s="17">
        <v>19</v>
      </c>
      <c r="J1201" t="s" s="17">
        <v>91</v>
      </c>
      <c r="K1201" t="s" s="17">
        <v>41</v>
      </c>
      <c r="L1201" s="15">
        <f>IF(O1201,P1201/O1201,0)</f>
        <v>0.28886</v>
      </c>
      <c r="M1201" s="15">
        <v>0.28886</v>
      </c>
      <c r="N1201" s="15">
        <f>A1201</f>
        <v>1199</v>
      </c>
      <c r="O1201" s="15">
        <v>2000</v>
      </c>
      <c r="P1201" s="41">
        <f t="shared" si="3393"/>
        <v>577.72</v>
      </c>
      <c r="Q1201" s="16"/>
    </row>
    <row r="1202" ht="20.05" customHeight="1">
      <c r="A1202" s="13">
        <f>A1201+1</f>
        <v>1200</v>
      </c>
      <c r="B1202" s="14">
        <v>2023</v>
      </c>
      <c r="C1202" s="15">
        <v>11</v>
      </c>
      <c r="D1202" s="15">
        <v>22</v>
      </c>
      <c r="E1202" s="16"/>
      <c r="F1202" t="s" s="17">
        <v>150</v>
      </c>
      <c r="G1202" s="16"/>
      <c r="H1202" t="s" s="17">
        <v>163</v>
      </c>
      <c r="I1202" t="s" s="17">
        <v>19</v>
      </c>
      <c r="J1202" t="s" s="17">
        <v>93</v>
      </c>
      <c r="K1202" t="s" s="17">
        <v>41</v>
      </c>
      <c r="L1202" s="15">
        <f>IF(O1202,P1202/O1202,0)</f>
        <v>0.73225</v>
      </c>
      <c r="M1202" s="15">
        <v>0.73225</v>
      </c>
      <c r="N1202" s="15">
        <f>A1202</f>
        <v>1200</v>
      </c>
      <c r="O1202" s="15">
        <v>1000</v>
      </c>
      <c r="P1202" s="41">
        <f t="shared" si="3855"/>
        <v>732.25</v>
      </c>
      <c r="Q1202" s="16"/>
    </row>
    <row r="1203" ht="20.05" customHeight="1">
      <c r="A1203" s="13">
        <f>A1202+1</f>
        <v>1201</v>
      </c>
      <c r="B1203" s="14">
        <v>2023</v>
      </c>
      <c r="C1203" s="15">
        <v>11</v>
      </c>
      <c r="D1203" s="15">
        <v>22</v>
      </c>
      <c r="E1203" s="16"/>
      <c r="F1203" t="s" s="17">
        <v>150</v>
      </c>
      <c r="G1203" s="16"/>
      <c r="H1203" t="s" s="17">
        <v>163</v>
      </c>
      <c r="I1203" t="s" s="17">
        <v>19</v>
      </c>
      <c r="J1203" t="s" s="17">
        <v>342</v>
      </c>
      <c r="K1203" t="s" s="17">
        <v>16</v>
      </c>
      <c r="L1203" s="15">
        <f>IF(O1203,P1203/O1203,0)</f>
        <v>0.18584</v>
      </c>
      <c r="M1203" s="15">
        <v>0.18584</v>
      </c>
      <c r="N1203" s="15">
        <f>A1203</f>
        <v>1201</v>
      </c>
      <c r="O1203" s="15">
        <v>1000</v>
      </c>
      <c r="P1203" s="41">
        <f t="shared" si="3504"/>
        <v>185.84</v>
      </c>
      <c r="Q1203" s="16"/>
    </row>
    <row r="1204" ht="20.05" customHeight="1">
      <c r="A1204" s="13">
        <f>A1203+1</f>
        <v>1202</v>
      </c>
      <c r="B1204" s="14">
        <v>2023</v>
      </c>
      <c r="C1204" s="15">
        <v>11</v>
      </c>
      <c r="D1204" s="15">
        <v>22</v>
      </c>
      <c r="E1204" s="16"/>
      <c r="F1204" t="s" s="17">
        <v>150</v>
      </c>
      <c r="G1204" s="16"/>
      <c r="H1204" t="s" s="17">
        <v>163</v>
      </c>
      <c r="I1204" t="s" s="17">
        <v>19</v>
      </c>
      <c r="J1204" t="s" s="17">
        <v>108</v>
      </c>
      <c r="K1204" t="s" s="17">
        <v>41</v>
      </c>
      <c r="L1204" s="15">
        <f>IF(O1204,P1204/O1204,0)</f>
        <v>0.48884</v>
      </c>
      <c r="M1204" s="15">
        <v>0.48884</v>
      </c>
      <c r="N1204" s="15">
        <f>A1204</f>
        <v>1202</v>
      </c>
      <c r="O1204" s="15">
        <v>1000</v>
      </c>
      <c r="P1204" s="41">
        <f t="shared" si="2339"/>
        <v>488.84</v>
      </c>
      <c r="Q1204" s="16"/>
    </row>
    <row r="1205" ht="20.05" customHeight="1">
      <c r="A1205" s="13">
        <f>A1204+1</f>
        <v>1203</v>
      </c>
      <c r="B1205" s="14">
        <v>2023</v>
      </c>
      <c r="C1205" s="15">
        <v>11</v>
      </c>
      <c r="D1205" s="15">
        <v>22</v>
      </c>
      <c r="E1205" s="16"/>
      <c r="F1205" t="s" s="17">
        <v>150</v>
      </c>
      <c r="G1205" s="16"/>
      <c r="H1205" t="s" s="17">
        <v>163</v>
      </c>
      <c r="I1205" t="s" s="17">
        <v>19</v>
      </c>
      <c r="J1205" t="s" s="17">
        <v>155</v>
      </c>
      <c r="K1205" t="s" s="17">
        <v>16</v>
      </c>
      <c r="L1205" s="15">
        <f>IF(O1205,P1205/O1205,0)</f>
        <v>0.33936</v>
      </c>
      <c r="M1205" s="15">
        <v>0.33936</v>
      </c>
      <c r="N1205" s="15">
        <f>A1205</f>
        <v>1203</v>
      </c>
      <c r="O1205" s="15">
        <f t="shared" si="3508"/>
        <v>2000</v>
      </c>
      <c r="P1205" s="41">
        <f t="shared" si="3509"/>
        <v>678.72</v>
      </c>
      <c r="Q1205" s="16"/>
    </row>
    <row r="1206" ht="32.05" customHeight="1">
      <c r="A1206" s="13">
        <f>A1205+1</f>
        <v>1204</v>
      </c>
      <c r="B1206" s="14">
        <v>2023</v>
      </c>
      <c r="C1206" s="15">
        <v>11</v>
      </c>
      <c r="D1206" s="15">
        <v>23</v>
      </c>
      <c r="E1206" s="16"/>
      <c r="F1206" t="s" s="17">
        <v>389</v>
      </c>
      <c r="G1206" s="16"/>
      <c r="H1206" t="s" s="17">
        <v>163</v>
      </c>
      <c r="I1206" t="s" s="17">
        <v>187</v>
      </c>
      <c r="J1206" t="s" s="17">
        <v>198</v>
      </c>
      <c r="K1206" t="s" s="17">
        <v>23</v>
      </c>
      <c r="L1206" s="15">
        <f>IF(O1206,P1206/O1206,0)</f>
        <v>2.92441666666667</v>
      </c>
      <c r="M1206" s="15">
        <v>2.92441666666667</v>
      </c>
      <c r="N1206" s="15">
        <f>A1206</f>
        <v>1204</v>
      </c>
      <c r="O1206" s="15">
        <v>120</v>
      </c>
      <c r="P1206" s="15">
        <v>350.93</v>
      </c>
      <c r="Q1206" s="16"/>
    </row>
    <row r="1207" ht="32.05" customHeight="1">
      <c r="A1207" s="13">
        <f>A1206+1</f>
        <v>1205</v>
      </c>
      <c r="B1207" s="14">
        <v>2023</v>
      </c>
      <c r="C1207" s="15">
        <v>11</v>
      </c>
      <c r="D1207" s="15">
        <v>23</v>
      </c>
      <c r="E1207" s="16"/>
      <c r="F1207" t="s" s="17">
        <v>411</v>
      </c>
      <c r="G1207" s="16"/>
      <c r="H1207" t="s" s="17">
        <v>163</v>
      </c>
      <c r="I1207" t="s" s="17">
        <v>187</v>
      </c>
      <c r="J1207" t="s" s="17">
        <v>285</v>
      </c>
      <c r="K1207" t="s" s="17">
        <v>41</v>
      </c>
      <c r="L1207" s="15">
        <f>IF(O1207,P1207/O1207,0)</f>
        <v>0.051</v>
      </c>
      <c r="M1207" s="15">
        <v>0.051</v>
      </c>
      <c r="N1207" s="15">
        <f>A1207</f>
        <v>1205</v>
      </c>
      <c r="O1207" s="15">
        <v>20000</v>
      </c>
      <c r="P1207" s="41">
        <f>850+850*20%</f>
        <v>1020</v>
      </c>
      <c r="Q1207" s="16"/>
    </row>
    <row r="1208" ht="20.05" customHeight="1">
      <c r="A1208" s="13">
        <f>A1207+1</f>
        <v>1206</v>
      </c>
      <c r="B1208" s="14">
        <v>2023</v>
      </c>
      <c r="C1208" s="15">
        <v>11</v>
      </c>
      <c r="D1208" s="15">
        <v>24</v>
      </c>
      <c r="E1208" s="16"/>
      <c r="F1208" t="s" s="17">
        <v>366</v>
      </c>
      <c r="G1208" s="16"/>
      <c r="H1208" t="s" s="17">
        <v>163</v>
      </c>
      <c r="I1208" t="s" s="17">
        <v>357</v>
      </c>
      <c r="J1208" t="s" s="17">
        <v>412</v>
      </c>
      <c r="K1208" t="s" s="17">
        <v>413</v>
      </c>
      <c r="L1208" s="15">
        <f>IF(O1208,P1208/O1208,0)</f>
        <v>0.0113388</v>
      </c>
      <c r="M1208" s="15">
        <v>0.0113388</v>
      </c>
      <c r="N1208" s="15">
        <f>A1208</f>
        <v>1206</v>
      </c>
      <c r="O1208" s="15">
        <v>10000</v>
      </c>
      <c r="P1208" s="42">
        <f>94.49+94.49*20%</f>
        <v>113.388</v>
      </c>
      <c r="Q1208" s="16"/>
    </row>
    <row r="1209" ht="20.05" customHeight="1">
      <c r="A1209" s="13">
        <f>A1208+1</f>
        <v>1207</v>
      </c>
      <c r="B1209" s="14">
        <v>2023</v>
      </c>
      <c r="C1209" s="15">
        <v>11</v>
      </c>
      <c r="D1209" s="15">
        <v>24</v>
      </c>
      <c r="E1209" s="16"/>
      <c r="F1209" t="s" s="17">
        <v>130</v>
      </c>
      <c r="G1209" s="16"/>
      <c r="H1209" t="s" s="17">
        <v>163</v>
      </c>
      <c r="I1209" t="s" s="17">
        <v>19</v>
      </c>
      <c r="J1209" t="s" s="17">
        <v>157</v>
      </c>
      <c r="K1209" t="s" s="17">
        <v>16</v>
      </c>
      <c r="L1209" s="15">
        <f>IF(O1209,P1209/O1209,0)</f>
        <v>0.0169519832985386</v>
      </c>
      <c r="M1209" s="15">
        <v>0.0169519832985386</v>
      </c>
      <c r="N1209" s="15">
        <f>A1209</f>
        <v>1207</v>
      </c>
      <c r="O1209" s="15">
        <v>958</v>
      </c>
      <c r="P1209" s="15">
        <v>16.24</v>
      </c>
      <c r="Q1209" s="16"/>
    </row>
    <row r="1210" ht="20.05" customHeight="1">
      <c r="A1210" s="13">
        <f>A1209+1</f>
        <v>1208</v>
      </c>
      <c r="B1210" s="14">
        <v>2023</v>
      </c>
      <c r="C1210" s="15">
        <v>11</v>
      </c>
      <c r="D1210" s="15">
        <v>24</v>
      </c>
      <c r="E1210" s="16"/>
      <c r="F1210" t="s" s="17">
        <v>130</v>
      </c>
      <c r="G1210" s="16"/>
      <c r="H1210" t="s" s="17">
        <v>163</v>
      </c>
      <c r="I1210" t="s" s="17">
        <v>26</v>
      </c>
      <c r="J1210" t="s" s="17">
        <v>82</v>
      </c>
      <c r="K1210" t="s" s="17">
        <v>16</v>
      </c>
      <c r="L1210" s="15">
        <f>IF(O1210,P1210/O1210,0)</f>
        <v>0.0349</v>
      </c>
      <c r="M1210" s="15">
        <v>0.0349</v>
      </c>
      <c r="N1210" s="15">
        <f>A1210</f>
        <v>1208</v>
      </c>
      <c r="O1210" s="15">
        <f t="shared" si="4362" ref="O1210:O1422">4*1000</f>
        <v>4000</v>
      </c>
      <c r="P1210" s="15">
        <v>139.6</v>
      </c>
      <c r="Q1210" s="16"/>
    </row>
    <row r="1211" ht="20.05" customHeight="1">
      <c r="A1211" s="13">
        <f>A1210+1</f>
        <v>1209</v>
      </c>
      <c r="B1211" s="14">
        <v>2023</v>
      </c>
      <c r="C1211" s="15">
        <v>11</v>
      </c>
      <c r="D1211" s="15">
        <v>24</v>
      </c>
      <c r="E1211" s="16"/>
      <c r="F1211" t="s" s="17">
        <v>184</v>
      </c>
      <c r="G1211" s="16"/>
      <c r="H1211" t="s" s="17">
        <v>163</v>
      </c>
      <c r="I1211" t="s" s="17">
        <v>187</v>
      </c>
      <c r="J1211" t="s" s="17">
        <v>185</v>
      </c>
      <c r="K1211" t="s" s="17">
        <v>23</v>
      </c>
      <c r="L1211" s="15">
        <f>IF(O1211,P1211/O1211,0)</f>
        <v>55</v>
      </c>
      <c r="M1211" s="15">
        <v>55</v>
      </c>
      <c r="N1211" s="15">
        <f>A1211</f>
        <v>1209</v>
      </c>
      <c r="O1211" s="15">
        <v>1</v>
      </c>
      <c r="P1211" s="15">
        <v>55</v>
      </c>
      <c r="Q1211" s="16"/>
    </row>
    <row r="1212" ht="20.05" customHeight="1">
      <c r="A1212" s="13">
        <f>A1211+1</f>
        <v>1210</v>
      </c>
      <c r="B1212" s="14">
        <v>2023</v>
      </c>
      <c r="C1212" s="15">
        <v>11</v>
      </c>
      <c r="D1212" s="15">
        <v>25</v>
      </c>
      <c r="E1212" s="16"/>
      <c r="F1212" t="s" s="17">
        <v>414</v>
      </c>
      <c r="G1212" s="16"/>
      <c r="H1212" t="s" s="17">
        <v>163</v>
      </c>
      <c r="I1212" t="s" s="17">
        <v>187</v>
      </c>
      <c r="J1212" t="s" s="17">
        <v>415</v>
      </c>
      <c r="K1212" t="s" s="17">
        <v>413</v>
      </c>
      <c r="L1212" s="15">
        <f>IF(O1212,P1212/O1212,0)</f>
        <v>0.275</v>
      </c>
      <c r="M1212" s="15">
        <v>0.275</v>
      </c>
      <c r="N1212" s="15">
        <f>A1212</f>
        <v>1210</v>
      </c>
      <c r="O1212" s="15">
        <v>2000</v>
      </c>
      <c r="P1212" s="15">
        <v>550</v>
      </c>
      <c r="Q1212" s="16"/>
    </row>
    <row r="1213" ht="20.05" customHeight="1">
      <c r="A1213" s="13">
        <f>A1212+1</f>
        <v>1211</v>
      </c>
      <c r="B1213" s="14">
        <v>2023</v>
      </c>
      <c r="C1213" s="15">
        <v>11</v>
      </c>
      <c r="D1213" s="15">
        <v>25</v>
      </c>
      <c r="E1213" s="16"/>
      <c r="F1213" t="s" s="17">
        <v>141</v>
      </c>
      <c r="G1213" s="16"/>
      <c r="H1213" t="s" s="17">
        <v>163</v>
      </c>
      <c r="I1213" t="s" s="17">
        <v>19</v>
      </c>
      <c r="J1213" t="s" s="17">
        <v>143</v>
      </c>
      <c r="K1213" t="s" s="17">
        <v>23</v>
      </c>
      <c r="L1213" s="15">
        <f>IF(O1213,P1213/O1213,0)</f>
        <v>13.85175</v>
      </c>
      <c r="M1213" s="15">
        <v>13.85175</v>
      </c>
      <c r="N1213" s="15">
        <f>A1213</f>
        <v>1211</v>
      </c>
      <c r="O1213" s="15">
        <v>24</v>
      </c>
      <c r="P1213" s="42">
        <f t="shared" si="3668"/>
        <v>332.442</v>
      </c>
      <c r="Q1213" s="16"/>
    </row>
    <row r="1214" ht="20.05" customHeight="1">
      <c r="A1214" s="13">
        <f>A1213+1</f>
        <v>1212</v>
      </c>
      <c r="B1214" s="14">
        <v>2023</v>
      </c>
      <c r="C1214" s="15">
        <v>11</v>
      </c>
      <c r="D1214" s="15">
        <v>25</v>
      </c>
      <c r="E1214" s="16"/>
      <c r="F1214" t="s" s="17">
        <v>141</v>
      </c>
      <c r="G1214" s="16"/>
      <c r="H1214" t="s" s="17">
        <v>163</v>
      </c>
      <c r="I1214" t="s" s="17">
        <v>19</v>
      </c>
      <c r="J1214" t="s" s="17">
        <v>158</v>
      </c>
      <c r="K1214" t="s" s="17">
        <v>23</v>
      </c>
      <c r="L1214" s="15">
        <f>IF(O1214,P1214/O1214,0)</f>
        <v>13.85175</v>
      </c>
      <c r="M1214" s="15">
        <v>13.85175</v>
      </c>
      <c r="N1214" s="15">
        <f>A1214</f>
        <v>1212</v>
      </c>
      <c r="O1214" s="15">
        <v>24</v>
      </c>
      <c r="P1214" s="42">
        <f t="shared" si="3668"/>
        <v>332.442</v>
      </c>
      <c r="Q1214" s="16"/>
    </row>
    <row r="1215" ht="20.05" customHeight="1">
      <c r="A1215" s="13">
        <f>A1214+1</f>
        <v>1213</v>
      </c>
      <c r="B1215" s="14">
        <v>2023</v>
      </c>
      <c r="C1215" s="15">
        <v>11</v>
      </c>
      <c r="D1215" s="15">
        <v>25</v>
      </c>
      <c r="E1215" s="16"/>
      <c r="F1215" t="s" s="17">
        <v>141</v>
      </c>
      <c r="G1215" s="16"/>
      <c r="H1215" t="s" s="17">
        <v>163</v>
      </c>
      <c r="I1215" t="s" s="17">
        <v>19</v>
      </c>
      <c r="J1215" t="s" s="17">
        <v>144</v>
      </c>
      <c r="K1215" t="s" s="17">
        <v>23</v>
      </c>
      <c r="L1215" s="15">
        <f>IF(O1215,P1215/O1215,0)</f>
        <v>13.85175</v>
      </c>
      <c r="M1215" s="15">
        <v>13.85175</v>
      </c>
      <c r="N1215" s="15">
        <f>A1215</f>
        <v>1213</v>
      </c>
      <c r="O1215" s="15">
        <v>24</v>
      </c>
      <c r="P1215" s="42">
        <f t="shared" si="3668"/>
        <v>332.442</v>
      </c>
      <c r="Q1215" s="16"/>
    </row>
    <row r="1216" ht="20.05" customHeight="1">
      <c r="A1216" s="13">
        <f>A1215+1</f>
        <v>1214</v>
      </c>
      <c r="B1216" s="14">
        <v>2023</v>
      </c>
      <c r="C1216" s="15">
        <v>11</v>
      </c>
      <c r="D1216" s="15">
        <v>25</v>
      </c>
      <c r="E1216" s="16"/>
      <c r="F1216" t="s" s="17">
        <v>141</v>
      </c>
      <c r="G1216" s="16"/>
      <c r="H1216" t="s" s="17">
        <v>163</v>
      </c>
      <c r="I1216" t="s" s="17">
        <v>19</v>
      </c>
      <c r="J1216" t="s" s="17">
        <v>159</v>
      </c>
      <c r="K1216" t="s" s="17">
        <v>23</v>
      </c>
      <c r="L1216" s="15">
        <f>IF(O1216,P1216/O1216,0)</f>
        <v>2.4792975</v>
      </c>
      <c r="M1216" s="15">
        <v>2.4792975</v>
      </c>
      <c r="N1216" s="15">
        <f>A1216</f>
        <v>1214</v>
      </c>
      <c r="O1216" s="15">
        <f t="shared" si="4216"/>
        <v>120</v>
      </c>
      <c r="P1216" s="43">
        <f t="shared" si="4217"/>
        <v>297.5157</v>
      </c>
      <c r="Q1216" s="16"/>
    </row>
    <row r="1217" ht="20.05" customHeight="1">
      <c r="A1217" s="13">
        <f>A1216+1</f>
        <v>1215</v>
      </c>
      <c r="B1217" s="14">
        <v>2023</v>
      </c>
      <c r="C1217" s="15">
        <v>11</v>
      </c>
      <c r="D1217" s="15">
        <v>25</v>
      </c>
      <c r="E1217" s="16"/>
      <c r="F1217" t="s" s="17">
        <v>141</v>
      </c>
      <c r="G1217" s="16"/>
      <c r="H1217" t="s" s="17">
        <v>163</v>
      </c>
      <c r="I1217" t="s" s="17">
        <v>19</v>
      </c>
      <c r="J1217" t="s" s="17">
        <v>337</v>
      </c>
      <c r="K1217" t="s" s="17">
        <v>23</v>
      </c>
      <c r="L1217" s="15">
        <f>IF(O1217,P1217/O1217,0)</f>
        <v>168</v>
      </c>
      <c r="M1217" s="15">
        <v>168</v>
      </c>
      <c r="N1217" s="15">
        <f>A1217</f>
        <v>1215</v>
      </c>
      <c r="O1217" s="15">
        <v>1</v>
      </c>
      <c r="P1217" s="15">
        <v>168</v>
      </c>
      <c r="Q1217" s="16"/>
    </row>
    <row r="1218" ht="20.05" customHeight="1">
      <c r="A1218" s="13">
        <f>A1217+1</f>
        <v>1216</v>
      </c>
      <c r="B1218" s="14">
        <v>2023</v>
      </c>
      <c r="C1218" s="15">
        <v>11</v>
      </c>
      <c r="D1218" s="15">
        <v>25</v>
      </c>
      <c r="E1218" s="16"/>
      <c r="F1218" t="s" s="17">
        <v>130</v>
      </c>
      <c r="G1218" s="16"/>
      <c r="H1218" t="s" s="17">
        <v>163</v>
      </c>
      <c r="I1218" t="s" s="17">
        <v>19</v>
      </c>
      <c r="J1218" t="s" s="17">
        <v>157</v>
      </c>
      <c r="K1218" t="s" s="17">
        <v>16</v>
      </c>
      <c r="L1218" s="15">
        <f>IF(O1218,P1218/O1218,0)</f>
        <v>0.0169489685124864</v>
      </c>
      <c r="M1218" s="15">
        <v>0.0169489685124864</v>
      </c>
      <c r="N1218" s="15">
        <f>A1218</f>
        <v>1216</v>
      </c>
      <c r="O1218" s="15">
        <v>1842</v>
      </c>
      <c r="P1218" s="15">
        <v>31.22</v>
      </c>
      <c r="Q1218" s="16"/>
    </row>
    <row r="1219" ht="20.05" customHeight="1">
      <c r="A1219" s="13">
        <f>A1218+1</f>
        <v>1217</v>
      </c>
      <c r="B1219" s="14">
        <v>2023</v>
      </c>
      <c r="C1219" s="15">
        <v>11</v>
      </c>
      <c r="D1219" s="15">
        <v>25</v>
      </c>
      <c r="E1219" s="16"/>
      <c r="F1219" t="s" s="17">
        <v>287</v>
      </c>
      <c r="G1219" s="16"/>
      <c r="H1219" t="s" s="17">
        <v>163</v>
      </c>
      <c r="I1219" t="s" s="17">
        <v>14</v>
      </c>
      <c r="J1219" t="s" s="17">
        <v>289</v>
      </c>
      <c r="K1219" t="s" s="17">
        <v>23</v>
      </c>
      <c r="L1219" s="15">
        <f>IF(O1219,P1219/O1219,0)</f>
        <v>32.724</v>
      </c>
      <c r="M1219" s="15">
        <v>32.724</v>
      </c>
      <c r="N1219" s="15">
        <f>A1219</f>
        <v>1217</v>
      </c>
      <c r="O1219" s="15">
        <v>20</v>
      </c>
      <c r="P1219" s="41">
        <f t="shared" si="4395" ref="P1219:P1436">648+(648*1%)</f>
        <v>654.48</v>
      </c>
      <c r="Q1219" s="16"/>
    </row>
    <row r="1220" ht="32.05" customHeight="1">
      <c r="A1220" s="13">
        <f>A1219+1</f>
        <v>1218</v>
      </c>
      <c r="B1220" s="14">
        <v>2023</v>
      </c>
      <c r="C1220" s="15">
        <v>11</v>
      </c>
      <c r="D1220" s="15">
        <v>25</v>
      </c>
      <c r="E1220" s="16"/>
      <c r="F1220" t="s" s="17">
        <v>287</v>
      </c>
      <c r="G1220" s="16"/>
      <c r="H1220" t="s" s="17">
        <v>163</v>
      </c>
      <c r="I1220" t="s" s="17">
        <v>14</v>
      </c>
      <c r="J1220" t="s" s="17">
        <v>283</v>
      </c>
      <c r="K1220" t="s" s="17">
        <v>23</v>
      </c>
      <c r="L1220" s="15">
        <f>IF(O1220,P1220/O1220,0)</f>
        <v>35.8045</v>
      </c>
      <c r="M1220" s="15">
        <v>35.8045</v>
      </c>
      <c r="N1220" s="15">
        <f>A1220</f>
        <v>1218</v>
      </c>
      <c r="O1220" s="15">
        <f t="shared" si="4225"/>
        <v>20</v>
      </c>
      <c r="P1220" s="41">
        <f t="shared" si="4226"/>
        <v>716.09</v>
      </c>
      <c r="Q1220" s="16"/>
    </row>
    <row r="1221" ht="20.05" customHeight="1">
      <c r="A1221" s="13">
        <f>A1220+1</f>
        <v>1219</v>
      </c>
      <c r="B1221" s="14">
        <v>2023</v>
      </c>
      <c r="C1221" s="15">
        <v>11</v>
      </c>
      <c r="D1221" s="15">
        <v>25</v>
      </c>
      <c r="E1221" s="16"/>
      <c r="F1221" t="s" s="17">
        <v>287</v>
      </c>
      <c r="G1221" s="16"/>
      <c r="H1221" t="s" s="17">
        <v>163</v>
      </c>
      <c r="I1221" t="s" s="17">
        <v>14</v>
      </c>
      <c r="J1221" t="s" s="17">
        <v>288</v>
      </c>
      <c r="K1221" t="s" s="17">
        <v>23</v>
      </c>
      <c r="L1221" s="15">
        <f>IF(O1221,P1221/O1221,0)</f>
        <v>29.896</v>
      </c>
      <c r="M1221" s="15">
        <v>29.896</v>
      </c>
      <c r="N1221" s="15">
        <f>A1221</f>
        <v>1219</v>
      </c>
      <c r="O1221" s="15">
        <f t="shared" si="4225"/>
        <v>20</v>
      </c>
      <c r="P1221" s="41">
        <f>592+592*1%</f>
        <v>597.92</v>
      </c>
      <c r="Q1221" s="16"/>
    </row>
    <row r="1222" ht="20.05" customHeight="1">
      <c r="A1222" s="13">
        <f>A1221+1</f>
        <v>1220</v>
      </c>
      <c r="B1222" s="14">
        <v>2023</v>
      </c>
      <c r="C1222" s="15">
        <v>11</v>
      </c>
      <c r="D1222" s="15">
        <v>25</v>
      </c>
      <c r="E1222" s="16"/>
      <c r="F1222" t="s" s="17">
        <v>287</v>
      </c>
      <c r="G1222" s="16"/>
      <c r="H1222" t="s" s="17">
        <v>163</v>
      </c>
      <c r="I1222" t="s" s="17">
        <v>14</v>
      </c>
      <c r="J1222" t="s" s="17">
        <v>282</v>
      </c>
      <c r="K1222" t="s" s="17">
        <v>23</v>
      </c>
      <c r="L1222" s="15">
        <f>IF(O1222,P1222/O1222,0)</f>
        <v>27.4215</v>
      </c>
      <c r="M1222" s="15">
        <v>27.4215</v>
      </c>
      <c r="N1222" s="15">
        <f>A1222</f>
        <v>1220</v>
      </c>
      <c r="O1222" s="15">
        <f t="shared" si="4225"/>
        <v>20</v>
      </c>
      <c r="P1222" s="41">
        <f t="shared" si="2681"/>
        <v>548.4299999999999</v>
      </c>
      <c r="Q1222" s="16"/>
    </row>
    <row r="1223" ht="20.05" customHeight="1">
      <c r="A1223" s="13">
        <f>A1222+1</f>
        <v>1221</v>
      </c>
      <c r="B1223" s="14">
        <v>2023</v>
      </c>
      <c r="C1223" s="15">
        <v>11</v>
      </c>
      <c r="D1223" s="15">
        <v>25</v>
      </c>
      <c r="E1223" s="16"/>
      <c r="F1223" t="s" s="17">
        <v>287</v>
      </c>
      <c r="G1223" s="16"/>
      <c r="H1223" t="s" s="17">
        <v>163</v>
      </c>
      <c r="I1223" t="s" s="17">
        <v>14</v>
      </c>
      <c r="J1223" t="s" s="17">
        <v>279</v>
      </c>
      <c r="K1223" t="s" s="17">
        <v>23</v>
      </c>
      <c r="L1223" s="15">
        <f>IF(O1223,P1223/O1223,0)</f>
        <v>34.3905</v>
      </c>
      <c r="M1223" s="15">
        <v>34.3905</v>
      </c>
      <c r="N1223" s="15">
        <f>A1223</f>
        <v>1221</v>
      </c>
      <c r="O1223" s="15">
        <f t="shared" si="4225"/>
        <v>20</v>
      </c>
      <c r="P1223" s="41">
        <f t="shared" si="4415" ref="P1223:P1374">681+681*1%</f>
        <v>687.8099999999999</v>
      </c>
      <c r="Q1223" s="16"/>
    </row>
    <row r="1224" ht="32.05" customHeight="1">
      <c r="A1224" s="13">
        <f>A1223+1</f>
        <v>1222</v>
      </c>
      <c r="B1224" s="14">
        <v>2023</v>
      </c>
      <c r="C1224" s="15">
        <v>11</v>
      </c>
      <c r="D1224" s="15">
        <v>25</v>
      </c>
      <c r="E1224" s="16"/>
      <c r="F1224" t="s" s="17">
        <v>287</v>
      </c>
      <c r="G1224" s="16"/>
      <c r="H1224" t="s" s="17">
        <v>163</v>
      </c>
      <c r="I1224" t="s" s="17">
        <v>17</v>
      </c>
      <c r="J1224" t="s" s="17">
        <v>299</v>
      </c>
      <c r="K1224" t="s" s="17">
        <v>23</v>
      </c>
      <c r="L1224" s="15">
        <f>IF(O1224,P1224/O1224,0)</f>
        <v>40.9959</v>
      </c>
      <c r="M1224" s="15">
        <v>40.9959</v>
      </c>
      <c r="N1224" s="15">
        <f>A1224</f>
        <v>1222</v>
      </c>
      <c r="O1224" s="15">
        <v>24</v>
      </c>
      <c r="P1224" s="43">
        <f t="shared" si="3696"/>
        <v>983.9016</v>
      </c>
      <c r="Q1224" s="16"/>
    </row>
    <row r="1225" ht="20.05" customHeight="1">
      <c r="A1225" s="13">
        <f>A1224+1</f>
        <v>1223</v>
      </c>
      <c r="B1225" s="14">
        <v>2023</v>
      </c>
      <c r="C1225" s="15">
        <v>11</v>
      </c>
      <c r="D1225" s="15">
        <v>26</v>
      </c>
      <c r="E1225" s="16"/>
      <c r="F1225" t="s" s="17">
        <v>130</v>
      </c>
      <c r="G1225" s="16"/>
      <c r="H1225" t="s" s="17">
        <v>163</v>
      </c>
      <c r="I1225" t="s" s="17">
        <v>26</v>
      </c>
      <c r="J1225" t="s" s="17">
        <v>113</v>
      </c>
      <c r="K1225" t="s" s="17">
        <v>41</v>
      </c>
      <c r="L1225" s="15">
        <f>IF(O1225,P1225/O1225,0)</f>
        <v>0.03475</v>
      </c>
      <c r="M1225" s="15">
        <v>0.03475</v>
      </c>
      <c r="N1225" s="15">
        <f>A1225</f>
        <v>1223</v>
      </c>
      <c r="O1225" s="15">
        <v>2000</v>
      </c>
      <c r="P1225" s="15">
        <v>69.5</v>
      </c>
      <c r="Q1225" s="16"/>
    </row>
    <row r="1226" ht="20.05" customHeight="1">
      <c r="A1226" s="13">
        <f>A1225+1</f>
        <v>1224</v>
      </c>
      <c r="B1226" s="14">
        <v>2023</v>
      </c>
      <c r="C1226" s="15">
        <v>11</v>
      </c>
      <c r="D1226" s="15">
        <v>26</v>
      </c>
      <c r="E1226" s="16"/>
      <c r="F1226" t="s" s="17">
        <v>130</v>
      </c>
      <c r="G1226" s="16"/>
      <c r="H1226" t="s" s="17">
        <v>163</v>
      </c>
      <c r="I1226" t="s" s="17">
        <v>26</v>
      </c>
      <c r="J1226" t="s" s="17">
        <v>82</v>
      </c>
      <c r="K1226" t="s" s="17">
        <v>16</v>
      </c>
      <c r="L1226" s="15">
        <f>IF(O1226,P1226/O1226,0)</f>
        <v>0.0349</v>
      </c>
      <c r="M1226" s="15">
        <v>0.0349</v>
      </c>
      <c r="N1226" s="15">
        <f>A1226</f>
        <v>1224</v>
      </c>
      <c r="O1226" s="15">
        <v>2000</v>
      </c>
      <c r="P1226" s="15">
        <f t="shared" si="4426" ref="P1226:P1717">2*34.9</f>
        <v>69.8</v>
      </c>
      <c r="Q1226" s="16"/>
    </row>
    <row r="1227" ht="20.05" customHeight="1">
      <c r="A1227" s="13">
        <f>A1226+1</f>
        <v>1225</v>
      </c>
      <c r="B1227" s="14">
        <v>2023</v>
      </c>
      <c r="C1227" s="15">
        <v>11</v>
      </c>
      <c r="D1227" s="15">
        <v>26</v>
      </c>
      <c r="E1227" s="16"/>
      <c r="F1227" t="s" s="17">
        <v>130</v>
      </c>
      <c r="G1227" s="16"/>
      <c r="H1227" t="s" s="17">
        <v>163</v>
      </c>
      <c r="I1227" t="s" s="17">
        <v>19</v>
      </c>
      <c r="J1227" t="s" s="17">
        <v>157</v>
      </c>
      <c r="K1227" t="s" s="17">
        <v>16</v>
      </c>
      <c r="L1227" s="15">
        <f>IF(O1227,P1227/O1227,0)</f>
        <v>0.0169513406156902</v>
      </c>
      <c r="M1227" s="15">
        <v>0.0169513406156902</v>
      </c>
      <c r="N1227" s="15">
        <f>A1227</f>
        <v>1225</v>
      </c>
      <c r="O1227" s="15">
        <v>2014</v>
      </c>
      <c r="P1227" s="15">
        <v>34.14</v>
      </c>
      <c r="Q1227" s="16"/>
    </row>
    <row r="1228" ht="32.05" customHeight="1">
      <c r="A1228" s="13">
        <f>A1227+1</f>
        <v>1226</v>
      </c>
      <c r="B1228" s="14">
        <v>2023</v>
      </c>
      <c r="C1228" s="15">
        <v>11</v>
      </c>
      <c r="D1228" s="15">
        <v>27</v>
      </c>
      <c r="E1228" s="16"/>
      <c r="F1228" t="s" s="17">
        <v>416</v>
      </c>
      <c r="G1228" s="16"/>
      <c r="H1228" t="s" s="17">
        <v>163</v>
      </c>
      <c r="I1228" t="s" s="17">
        <v>187</v>
      </c>
      <c r="J1228" t="s" s="17">
        <v>417</v>
      </c>
      <c r="K1228" t="s" s="17">
        <v>23</v>
      </c>
      <c r="L1228" s="15">
        <f>IF(O1228,P1228/O1228,0)</f>
        <v>145</v>
      </c>
      <c r="M1228" s="15">
        <v>145</v>
      </c>
      <c r="N1228" s="15">
        <f>A1228</f>
        <v>1226</v>
      </c>
      <c r="O1228" s="15">
        <v>3</v>
      </c>
      <c r="P1228" s="15">
        <v>435</v>
      </c>
      <c r="Q1228" s="16"/>
    </row>
    <row r="1229" ht="20.05" customHeight="1">
      <c r="A1229" s="13">
        <f>A1228+1</f>
        <v>1227</v>
      </c>
      <c r="B1229" s="14">
        <v>2023</v>
      </c>
      <c r="C1229" s="15">
        <v>11</v>
      </c>
      <c r="D1229" s="15">
        <v>27</v>
      </c>
      <c r="E1229" s="16"/>
      <c r="F1229" t="s" s="17">
        <v>317</v>
      </c>
      <c r="G1229" s="16"/>
      <c r="H1229" t="s" s="17">
        <v>163</v>
      </c>
      <c r="I1229" t="s" s="17">
        <v>14</v>
      </c>
      <c r="J1229" t="s" s="17">
        <v>318</v>
      </c>
      <c r="K1229" t="s" s="17">
        <v>23</v>
      </c>
      <c r="L1229" s="15">
        <f>IF(O1229,P1229/O1229,0)</f>
        <v>5.5</v>
      </c>
      <c r="M1229" s="15">
        <v>5.5</v>
      </c>
      <c r="N1229" s="15">
        <f>A1229</f>
        <v>1227</v>
      </c>
      <c r="O1229" s="15">
        <v>20</v>
      </c>
      <c r="P1229" s="15">
        <v>110</v>
      </c>
      <c r="Q1229" s="16"/>
    </row>
    <row r="1230" ht="20.05" customHeight="1">
      <c r="A1230" s="13">
        <f>A1229+1</f>
        <v>1228</v>
      </c>
      <c r="B1230" s="14">
        <v>2023</v>
      </c>
      <c r="C1230" s="15">
        <v>11</v>
      </c>
      <c r="D1230" s="15">
        <v>28</v>
      </c>
      <c r="E1230" s="16"/>
      <c r="F1230" t="s" s="17">
        <v>184</v>
      </c>
      <c r="G1230" s="16"/>
      <c r="H1230" t="s" s="17">
        <v>163</v>
      </c>
      <c r="I1230" t="s" s="17">
        <v>187</v>
      </c>
      <c r="J1230" t="s" s="17">
        <v>185</v>
      </c>
      <c r="K1230" t="s" s="17">
        <v>23</v>
      </c>
      <c r="L1230" s="15">
        <f>IF(O1230,P1230/O1230,0)</f>
        <v>120</v>
      </c>
      <c r="M1230" s="15">
        <v>120</v>
      </c>
      <c r="N1230" s="15">
        <f>A1230</f>
        <v>1228</v>
      </c>
      <c r="O1230" s="15">
        <v>1</v>
      </c>
      <c r="P1230" s="15">
        <v>120</v>
      </c>
      <c r="Q1230" s="16"/>
    </row>
    <row r="1231" ht="20.05" customHeight="1">
      <c r="A1231" s="13">
        <f>A1230+1</f>
        <v>1229</v>
      </c>
      <c r="B1231" s="14">
        <v>2023</v>
      </c>
      <c r="C1231" s="15">
        <v>11</v>
      </c>
      <c r="D1231" s="15">
        <v>29</v>
      </c>
      <c r="E1231" s="16"/>
      <c r="F1231" t="s" s="17">
        <v>130</v>
      </c>
      <c r="G1231" s="16"/>
      <c r="H1231" t="s" s="17">
        <v>163</v>
      </c>
      <c r="I1231" t="s" s="17">
        <v>19</v>
      </c>
      <c r="J1231" t="s" s="17">
        <v>418</v>
      </c>
      <c r="K1231" t="s" s="17">
        <v>23</v>
      </c>
      <c r="L1231" s="15">
        <f>IF(O1231,P1231/O1231,0)</f>
        <v>2.95</v>
      </c>
      <c r="M1231" s="15">
        <v>2.95</v>
      </c>
      <c r="N1231" s="15">
        <f>A1231</f>
        <v>1229</v>
      </c>
      <c r="O1231" s="15">
        <v>15</v>
      </c>
      <c r="P1231" s="15">
        <v>44.25</v>
      </c>
      <c r="Q1231" s="16"/>
    </row>
    <row r="1232" ht="20.05" customHeight="1">
      <c r="A1232" s="13">
        <f>A1231+1</f>
        <v>1230</v>
      </c>
      <c r="B1232" s="14">
        <v>2023</v>
      </c>
      <c r="C1232" s="15">
        <v>11</v>
      </c>
      <c r="D1232" s="15">
        <v>30</v>
      </c>
      <c r="E1232" s="16"/>
      <c r="F1232" t="s" s="17">
        <v>419</v>
      </c>
      <c r="G1232" s="16"/>
      <c r="H1232" t="s" s="17">
        <v>163</v>
      </c>
      <c r="I1232" t="s" s="17">
        <v>187</v>
      </c>
      <c r="J1232" t="s" s="17">
        <v>420</v>
      </c>
      <c r="K1232" t="s" s="17">
        <v>23</v>
      </c>
      <c r="L1232" s="15">
        <f>IF(O1232,P1232/O1232,0)</f>
        <v>55</v>
      </c>
      <c r="M1232" s="15">
        <v>55</v>
      </c>
      <c r="N1232" s="15">
        <f>A1232</f>
        <v>1230</v>
      </c>
      <c r="O1232" s="15">
        <v>1</v>
      </c>
      <c r="P1232" s="15">
        <v>55</v>
      </c>
      <c r="Q1232" s="16"/>
    </row>
    <row r="1233" ht="20.05" customHeight="1">
      <c r="A1233" s="13">
        <f>A1232+1</f>
        <v>1231</v>
      </c>
      <c r="B1233" s="14">
        <v>2023</v>
      </c>
      <c r="C1233" s="15">
        <v>11</v>
      </c>
      <c r="D1233" s="15">
        <v>29</v>
      </c>
      <c r="E1233" s="16"/>
      <c r="F1233" t="s" s="17">
        <v>111</v>
      </c>
      <c r="G1233" s="16"/>
      <c r="H1233" t="s" s="17">
        <v>163</v>
      </c>
      <c r="I1233" t="s" s="17">
        <v>19</v>
      </c>
      <c r="J1233" t="s" s="17">
        <v>112</v>
      </c>
      <c r="K1233" t="s" s="17">
        <v>41</v>
      </c>
      <c r="L1233" s="15">
        <f>IF(O1233,P1233/O1233,0)</f>
        <v>0.030694</v>
      </c>
      <c r="M1233" s="15">
        <v>0.030694</v>
      </c>
      <c r="N1233" s="15">
        <f>A1233</f>
        <v>1231</v>
      </c>
      <c r="O1233" s="15">
        <f t="shared" si="4250"/>
        <v>10000</v>
      </c>
      <c r="P1233" s="15">
        <v>306.94</v>
      </c>
      <c r="Q1233" s="16"/>
    </row>
    <row r="1234" ht="20.05" customHeight="1">
      <c r="A1234" s="13">
        <f>A1233+1</f>
        <v>1232</v>
      </c>
      <c r="B1234" s="14">
        <v>2023</v>
      </c>
      <c r="C1234" s="15">
        <v>11</v>
      </c>
      <c r="D1234" s="15">
        <v>29</v>
      </c>
      <c r="E1234" s="16"/>
      <c r="F1234" t="s" s="17">
        <v>111</v>
      </c>
      <c r="G1234" s="16"/>
      <c r="H1234" t="s" s="17">
        <v>163</v>
      </c>
      <c r="I1234" t="s" s="17">
        <v>26</v>
      </c>
      <c r="J1234" t="s" s="17">
        <v>113</v>
      </c>
      <c r="K1234" t="s" s="17">
        <v>41</v>
      </c>
      <c r="L1234" s="15">
        <f>IF(O1234,P1234/O1234,0)</f>
        <v>0.0279166666666667</v>
      </c>
      <c r="M1234" s="15">
        <v>0.0279166666666667</v>
      </c>
      <c r="N1234" s="15">
        <f>A1234</f>
        <v>1232</v>
      </c>
      <c r="O1234" s="15">
        <v>3000</v>
      </c>
      <c r="P1234" s="15">
        <v>83.75</v>
      </c>
      <c r="Q1234" s="16"/>
    </row>
    <row r="1235" ht="20.05" customHeight="1">
      <c r="A1235" s="13">
        <f>A1234+1</f>
        <v>1233</v>
      </c>
      <c r="B1235" s="14">
        <v>2023</v>
      </c>
      <c r="C1235" s="15">
        <v>11</v>
      </c>
      <c r="D1235" s="15">
        <v>29</v>
      </c>
      <c r="E1235" s="16"/>
      <c r="F1235" t="s" s="17">
        <v>111</v>
      </c>
      <c r="G1235" s="16"/>
      <c r="H1235" t="s" s="17">
        <v>163</v>
      </c>
      <c r="I1235" t="s" s="17">
        <v>19</v>
      </c>
      <c r="J1235" t="s" s="17">
        <v>72</v>
      </c>
      <c r="K1235" t="s" s="17">
        <v>41</v>
      </c>
      <c r="L1235" s="15">
        <f>IF(O1235,P1235/O1235,0)</f>
        <v>0.297506666666667</v>
      </c>
      <c r="M1235" s="15">
        <v>0.297506666666667</v>
      </c>
      <c r="N1235" s="15">
        <f>A1235</f>
        <v>1233</v>
      </c>
      <c r="O1235" s="15">
        <f t="shared" si="4455" ref="O1235:O1676">3*250</f>
        <v>750</v>
      </c>
      <c r="P1235" s="15">
        <v>223.13</v>
      </c>
      <c r="Q1235" s="16"/>
    </row>
    <row r="1236" ht="20.05" customHeight="1">
      <c r="A1236" s="13">
        <f>A1235+1</f>
        <v>1234</v>
      </c>
      <c r="B1236" s="14">
        <v>2023</v>
      </c>
      <c r="C1236" s="15">
        <v>11</v>
      </c>
      <c r="D1236" s="15">
        <v>29</v>
      </c>
      <c r="E1236" s="16"/>
      <c r="F1236" t="s" s="17">
        <v>111</v>
      </c>
      <c r="G1236" s="16"/>
      <c r="H1236" t="s" s="17">
        <v>163</v>
      </c>
      <c r="I1236" t="s" s="17">
        <v>26</v>
      </c>
      <c r="J1236" t="s" s="17">
        <v>134</v>
      </c>
      <c r="K1236" t="s" s="17">
        <v>23</v>
      </c>
      <c r="L1236" s="15">
        <f>IF(O1236,P1236/O1236,0)</f>
        <v>42.107</v>
      </c>
      <c r="M1236" s="15">
        <v>42.107</v>
      </c>
      <c r="N1236" s="15">
        <f>A1236</f>
        <v>1234</v>
      </c>
      <c r="O1236" s="15">
        <v>10</v>
      </c>
      <c r="P1236" s="15">
        <v>421.07</v>
      </c>
      <c r="Q1236" s="16"/>
    </row>
    <row r="1237" ht="20.35" customHeight="1">
      <c r="A1237" s="13">
        <f>A1236+1</f>
        <v>1235</v>
      </c>
      <c r="B1237" s="14">
        <v>2023</v>
      </c>
      <c r="C1237" s="15">
        <v>11</v>
      </c>
      <c r="D1237" s="15">
        <v>29</v>
      </c>
      <c r="E1237" s="16"/>
      <c r="F1237" t="s" s="17">
        <v>111</v>
      </c>
      <c r="G1237" s="16"/>
      <c r="H1237" t="s" s="17">
        <v>163</v>
      </c>
      <c r="I1237" t="s" s="17">
        <v>19</v>
      </c>
      <c r="J1237" t="s" s="17">
        <v>63</v>
      </c>
      <c r="K1237" t="s" s="17">
        <v>16</v>
      </c>
      <c r="L1237" s="15">
        <f>IF(O1237,P1237/O1237,0)</f>
        <v>0.76956</v>
      </c>
      <c r="M1237" s="15">
        <v>0.76956</v>
      </c>
      <c r="N1237" s="15">
        <f>A1237</f>
        <v>1235</v>
      </c>
      <c r="O1237" s="15">
        <v>250</v>
      </c>
      <c r="P1237" s="18">
        <v>192.39</v>
      </c>
      <c r="Q1237" s="16"/>
    </row>
    <row r="1238" ht="20.7" customHeight="1">
      <c r="A1238" s="13">
        <f>A1237+1</f>
        <v>1236</v>
      </c>
      <c r="B1238" s="14">
        <v>2023</v>
      </c>
      <c r="C1238" s="15">
        <v>11</v>
      </c>
      <c r="D1238" s="15">
        <v>29</v>
      </c>
      <c r="E1238" s="16"/>
      <c r="F1238" t="s" s="17">
        <v>341</v>
      </c>
      <c r="G1238" s="16"/>
      <c r="H1238" t="s" s="17">
        <v>163</v>
      </c>
      <c r="I1238" t="s" s="17">
        <v>19</v>
      </c>
      <c r="J1238" t="s" s="17">
        <v>67</v>
      </c>
      <c r="K1238" t="s" s="17">
        <v>23</v>
      </c>
      <c r="L1238" s="15">
        <f>IF(O1238,P1238/O1238,0)</f>
        <v>1.236176875</v>
      </c>
      <c r="M1238" s="15">
        <v>1.236176875</v>
      </c>
      <c r="N1238" s="15">
        <f>A1238</f>
        <v>1236</v>
      </c>
      <c r="O1238" s="19">
        <f>16*100</f>
        <v>1600</v>
      </c>
      <c r="P1238" s="46">
        <f>1958.3+1958.3*1%</f>
        <v>1977.883</v>
      </c>
      <c r="Q1238" s="21"/>
    </row>
    <row r="1239" ht="20.7" customHeight="1">
      <c r="A1239" s="13">
        <f>A1238+1</f>
        <v>1237</v>
      </c>
      <c r="B1239" s="14">
        <v>2023</v>
      </c>
      <c r="C1239" s="15">
        <v>11</v>
      </c>
      <c r="D1239" s="15">
        <v>29</v>
      </c>
      <c r="E1239" s="16"/>
      <c r="F1239" t="s" s="17">
        <v>341</v>
      </c>
      <c r="G1239" s="16"/>
      <c r="H1239" t="s" s="17">
        <v>163</v>
      </c>
      <c r="I1239" t="s" s="17">
        <v>26</v>
      </c>
      <c r="J1239" t="s" s="17">
        <v>117</v>
      </c>
      <c r="K1239" t="s" s="17">
        <v>23</v>
      </c>
      <c r="L1239" s="15">
        <f>IF(O1239,P1239/O1239,0)</f>
        <v>35.35</v>
      </c>
      <c r="M1239" s="15">
        <v>35.35</v>
      </c>
      <c r="N1239" s="15">
        <f>A1239</f>
        <v>1237</v>
      </c>
      <c r="O1239" s="19">
        <v>14</v>
      </c>
      <c r="P1239" s="46">
        <f t="shared" si="4293"/>
        <v>494.9</v>
      </c>
      <c r="Q1239" s="21"/>
    </row>
    <row r="1240" ht="20.7" customHeight="1">
      <c r="A1240" s="13">
        <f>A1239+1</f>
        <v>1238</v>
      </c>
      <c r="B1240" s="14">
        <v>2023</v>
      </c>
      <c r="C1240" s="15">
        <v>11</v>
      </c>
      <c r="D1240" s="15">
        <v>29</v>
      </c>
      <c r="E1240" s="16"/>
      <c r="F1240" t="s" s="17">
        <v>341</v>
      </c>
      <c r="G1240" s="16"/>
      <c r="H1240" t="s" s="17">
        <v>163</v>
      </c>
      <c r="I1240" t="s" s="17">
        <v>26</v>
      </c>
      <c r="J1240" t="s" s="17">
        <v>118</v>
      </c>
      <c r="K1240" t="s" s="17">
        <v>23</v>
      </c>
      <c r="L1240" s="15">
        <f>IF(O1240,P1240/O1240,0)</f>
        <v>36.6125</v>
      </c>
      <c r="M1240" s="15">
        <v>36.6125</v>
      </c>
      <c r="N1240" s="15">
        <f>A1240</f>
        <v>1238</v>
      </c>
      <c r="O1240" s="19">
        <v>14</v>
      </c>
      <c r="P1240" s="46">
        <f>507.5+507.5*1%</f>
        <v>512.575</v>
      </c>
      <c r="Q1240" s="21"/>
    </row>
    <row r="1241" ht="20.7" customHeight="1">
      <c r="A1241" s="13">
        <f>A1240+1</f>
        <v>1239</v>
      </c>
      <c r="B1241" s="14">
        <v>2023</v>
      </c>
      <c r="C1241" s="15">
        <v>11</v>
      </c>
      <c r="D1241" s="15">
        <v>29</v>
      </c>
      <c r="E1241" s="16"/>
      <c r="F1241" t="s" s="17">
        <v>341</v>
      </c>
      <c r="G1241" s="16"/>
      <c r="H1241" t="s" s="17">
        <v>163</v>
      </c>
      <c r="I1241" t="s" s="17">
        <v>19</v>
      </c>
      <c r="J1241" t="s" s="17">
        <v>139</v>
      </c>
      <c r="K1241" t="s" s="17">
        <v>23</v>
      </c>
      <c r="L1241" s="15">
        <f>IF(O1241,P1241/O1241,0)</f>
        <v>3.99791666666667</v>
      </c>
      <c r="M1241" s="15">
        <v>3.99791666666667</v>
      </c>
      <c r="N1241" s="15">
        <f>A1241</f>
        <v>1239</v>
      </c>
      <c r="O1241" s="19">
        <v>24</v>
      </c>
      <c r="P1241" s="48">
        <f>95+95*1%</f>
        <v>95.95</v>
      </c>
      <c r="Q1241" s="21"/>
    </row>
    <row r="1242" ht="20.7" customHeight="1">
      <c r="A1242" s="13">
        <f>A1241+1</f>
        <v>1240</v>
      </c>
      <c r="B1242" s="14">
        <v>2023</v>
      </c>
      <c r="C1242" s="15">
        <v>11</v>
      </c>
      <c r="D1242" s="15">
        <v>29</v>
      </c>
      <c r="E1242" s="16"/>
      <c r="F1242" t="s" s="17">
        <v>341</v>
      </c>
      <c r="G1242" s="16"/>
      <c r="H1242" t="s" s="17">
        <v>163</v>
      </c>
      <c r="I1242" t="s" s="17">
        <v>187</v>
      </c>
      <c r="J1242" t="s" s="17">
        <v>161</v>
      </c>
      <c r="K1242" t="s" s="17">
        <v>23</v>
      </c>
      <c r="L1242" s="15">
        <f>IF(O1242,P1242/O1242,0)</f>
        <v>11.45</v>
      </c>
      <c r="M1242" s="15">
        <v>11.45</v>
      </c>
      <c r="N1242" s="15">
        <f>A1242</f>
        <v>1240</v>
      </c>
      <c r="O1242" s="19">
        <v>24</v>
      </c>
      <c r="P1242" s="46">
        <f t="shared" si="3810"/>
        <v>274.8</v>
      </c>
      <c r="Q1242" s="21"/>
    </row>
    <row r="1243" ht="20.7" customHeight="1">
      <c r="A1243" s="13">
        <f>A1242+1</f>
        <v>1241</v>
      </c>
      <c r="B1243" s="14">
        <v>2023</v>
      </c>
      <c r="C1243" s="15">
        <v>11</v>
      </c>
      <c r="D1243" s="15">
        <v>29</v>
      </c>
      <c r="E1243" s="16"/>
      <c r="F1243" t="s" s="17">
        <v>341</v>
      </c>
      <c r="G1243" s="16"/>
      <c r="H1243" t="s" s="17">
        <v>163</v>
      </c>
      <c r="I1243" t="s" s="17">
        <v>187</v>
      </c>
      <c r="J1243" t="s" s="17">
        <v>237</v>
      </c>
      <c r="K1243" t="s" s="17">
        <v>41</v>
      </c>
      <c r="L1243" s="15">
        <f>IF(O1243,P1243/O1243,0)</f>
        <v>0.1188</v>
      </c>
      <c r="M1243" s="15">
        <v>0.1188</v>
      </c>
      <c r="N1243" s="15">
        <f>A1243</f>
        <v>1241</v>
      </c>
      <c r="O1243" s="19">
        <v>1000</v>
      </c>
      <c r="P1243" s="46">
        <f t="shared" si="2815"/>
        <v>118.8</v>
      </c>
      <c r="Q1243" s="21"/>
    </row>
    <row r="1244" ht="20.7" customHeight="1">
      <c r="A1244" s="13">
        <f>A1243+1</f>
        <v>1242</v>
      </c>
      <c r="B1244" s="14">
        <v>2023</v>
      </c>
      <c r="C1244" s="15">
        <v>11</v>
      </c>
      <c r="D1244" s="15">
        <v>29</v>
      </c>
      <c r="E1244" s="16"/>
      <c r="F1244" t="s" s="17">
        <v>341</v>
      </c>
      <c r="G1244" s="16"/>
      <c r="H1244" t="s" s="17">
        <v>163</v>
      </c>
      <c r="I1244" t="s" s="17">
        <v>187</v>
      </c>
      <c r="J1244" t="s" s="17">
        <v>339</v>
      </c>
      <c r="K1244" t="s" s="17">
        <v>23</v>
      </c>
      <c r="L1244" s="15">
        <f>IF(O1244,P1244/O1244,0)</f>
        <v>15.4</v>
      </c>
      <c r="M1244" s="15">
        <v>15.4</v>
      </c>
      <c r="N1244" s="15">
        <f>A1244</f>
        <v>1242</v>
      </c>
      <c r="O1244" s="19">
        <v>4</v>
      </c>
      <c r="P1244" s="46">
        <f>56+56*10%</f>
        <v>61.6</v>
      </c>
      <c r="Q1244" s="21"/>
    </row>
    <row r="1245" ht="20.35" customHeight="1">
      <c r="A1245" s="13">
        <f>A1244+1</f>
        <v>1243</v>
      </c>
      <c r="B1245" s="14">
        <v>2023</v>
      </c>
      <c r="C1245" s="15">
        <v>11</v>
      </c>
      <c r="D1245" s="15">
        <v>29</v>
      </c>
      <c r="E1245" s="16"/>
      <c r="F1245" t="s" s="17">
        <v>150</v>
      </c>
      <c r="G1245" s="16"/>
      <c r="H1245" t="s" s="17">
        <v>163</v>
      </c>
      <c r="I1245" t="s" s="17">
        <v>19</v>
      </c>
      <c r="J1245" t="s" s="17">
        <v>100</v>
      </c>
      <c r="K1245" t="s" s="17">
        <v>41</v>
      </c>
      <c r="L1245" s="15">
        <f>IF(O1245,P1245/O1245,0)</f>
        <v>0.48884</v>
      </c>
      <c r="M1245" s="15">
        <v>0.48884</v>
      </c>
      <c r="N1245" s="15">
        <f>A1245</f>
        <v>1243</v>
      </c>
      <c r="O1245" s="15">
        <v>1000</v>
      </c>
      <c r="P1245" s="50">
        <f t="shared" si="4494" ref="P1245:P1246">484+484*1%</f>
        <v>488.84</v>
      </c>
      <c r="Q1245" s="16"/>
    </row>
    <row r="1246" ht="20.05" customHeight="1">
      <c r="A1246" s="13">
        <f>A1245+1</f>
        <v>1244</v>
      </c>
      <c r="B1246" s="14">
        <v>2023</v>
      </c>
      <c r="C1246" s="15">
        <v>11</v>
      </c>
      <c r="D1246" s="15">
        <v>29</v>
      </c>
      <c r="E1246" s="16"/>
      <c r="F1246" t="s" s="17">
        <v>150</v>
      </c>
      <c r="G1246" s="16"/>
      <c r="H1246" t="s" s="17">
        <v>163</v>
      </c>
      <c r="I1246" t="s" s="17">
        <v>19</v>
      </c>
      <c r="J1246" t="s" s="17">
        <v>108</v>
      </c>
      <c r="K1246" t="s" s="17">
        <v>41</v>
      </c>
      <c r="L1246" s="15">
        <f>IF(O1246,P1246/O1246,0)</f>
        <v>0.48884</v>
      </c>
      <c r="M1246" s="15">
        <v>0.48884</v>
      </c>
      <c r="N1246" s="15">
        <f>A1246</f>
        <v>1244</v>
      </c>
      <c r="O1246" s="15">
        <v>1000</v>
      </c>
      <c r="P1246" s="41">
        <f t="shared" si="4494"/>
        <v>488.84</v>
      </c>
      <c r="Q1246" s="16"/>
    </row>
    <row r="1247" ht="20.05" customHeight="1">
      <c r="A1247" s="13">
        <f>A1246+1</f>
        <v>1245</v>
      </c>
      <c r="B1247" s="14">
        <v>2023</v>
      </c>
      <c r="C1247" s="15">
        <v>11</v>
      </c>
      <c r="D1247" s="15">
        <v>29</v>
      </c>
      <c r="E1247" s="16"/>
      <c r="F1247" t="s" s="17">
        <v>150</v>
      </c>
      <c r="G1247" s="16"/>
      <c r="H1247" t="s" s="17">
        <v>163</v>
      </c>
      <c r="I1247" t="s" s="17">
        <v>19</v>
      </c>
      <c r="J1247" t="s" s="17">
        <v>70</v>
      </c>
      <c r="K1247" t="s" s="17">
        <v>16</v>
      </c>
      <c r="L1247" s="15">
        <f>IF(O1247,P1247/O1247,0)</f>
        <v>0.3636</v>
      </c>
      <c r="M1247" s="15">
        <v>0.3636</v>
      </c>
      <c r="N1247" s="15">
        <f>A1247</f>
        <v>1245</v>
      </c>
      <c r="O1247" s="15">
        <f t="shared" si="4502" ref="O1247:O1489">3*1000</f>
        <v>3000</v>
      </c>
      <c r="P1247" s="42">
        <f t="shared" si="4503" ref="P1247:P1256">1080+1080*1%</f>
        <v>1090.8</v>
      </c>
      <c r="Q1247" s="16"/>
    </row>
    <row r="1248" ht="20.05" customHeight="1">
      <c r="A1248" s="13">
        <f>A1247+1</f>
        <v>1246</v>
      </c>
      <c r="B1248" s="14">
        <v>2023</v>
      </c>
      <c r="C1248" s="15">
        <v>11</v>
      </c>
      <c r="D1248" s="15">
        <v>29</v>
      </c>
      <c r="E1248" s="16"/>
      <c r="F1248" t="s" s="17">
        <v>150</v>
      </c>
      <c r="G1248" s="16"/>
      <c r="H1248" t="s" s="17">
        <v>163</v>
      </c>
      <c r="I1248" t="s" s="17">
        <v>19</v>
      </c>
      <c r="J1248" t="s" s="17">
        <v>155</v>
      </c>
      <c r="K1248" t="s" s="17">
        <v>16</v>
      </c>
      <c r="L1248" s="15">
        <f>IF(O1248,P1248/O1248,0)</f>
        <v>0.3636</v>
      </c>
      <c r="M1248" s="15">
        <v>0.3636</v>
      </c>
      <c r="N1248" s="15">
        <f>A1248</f>
        <v>1246</v>
      </c>
      <c r="O1248" s="15">
        <f t="shared" si="4362"/>
        <v>4000</v>
      </c>
      <c r="P1248" s="42">
        <f>1440+1440*1%</f>
        <v>1454.4</v>
      </c>
      <c r="Q1248" s="16"/>
    </row>
    <row r="1249" ht="20.05" customHeight="1">
      <c r="A1249" s="13">
        <f>A1248+1</f>
        <v>1247</v>
      </c>
      <c r="B1249" s="14">
        <v>2023</v>
      </c>
      <c r="C1249" s="15">
        <v>11</v>
      </c>
      <c r="D1249" s="15">
        <v>30</v>
      </c>
      <c r="E1249" s="16"/>
      <c r="F1249" t="s" s="17">
        <v>421</v>
      </c>
      <c r="G1249" s="16"/>
      <c r="H1249" t="s" s="17">
        <v>163</v>
      </c>
      <c r="I1249" t="s" s="17">
        <v>187</v>
      </c>
      <c r="J1249" t="s" s="17">
        <v>251</v>
      </c>
      <c r="K1249" t="s" s="17">
        <v>23</v>
      </c>
      <c r="L1249" s="15">
        <f>IF(O1249,P1249/O1249,0)</f>
        <v>93.5</v>
      </c>
      <c r="M1249" s="15">
        <v>93.5</v>
      </c>
      <c r="N1249" s="15">
        <f>A1249</f>
        <v>1247</v>
      </c>
      <c r="O1249" s="15">
        <v>366</v>
      </c>
      <c r="P1249" s="41">
        <f>31110+31110*10%</f>
        <v>34221</v>
      </c>
      <c r="Q1249" s="16"/>
    </row>
    <row r="1250" ht="32.05" customHeight="1">
      <c r="A1250" s="13">
        <f>A1249+1</f>
        <v>1248</v>
      </c>
      <c r="B1250" s="14">
        <v>2023</v>
      </c>
      <c r="C1250" s="15">
        <v>11</v>
      </c>
      <c r="D1250" s="15">
        <v>30</v>
      </c>
      <c r="E1250" s="16"/>
      <c r="F1250" t="s" s="17">
        <v>422</v>
      </c>
      <c r="G1250" s="16"/>
      <c r="H1250" t="s" s="17">
        <v>163</v>
      </c>
      <c r="I1250" t="s" s="17">
        <v>187</v>
      </c>
      <c r="J1250" t="s" s="17">
        <v>423</v>
      </c>
      <c r="K1250" t="s" s="17">
        <v>23</v>
      </c>
      <c r="L1250" s="15">
        <f>IF(O1250,P1250/O1250,0)</f>
        <v>179</v>
      </c>
      <c r="M1250" s="15">
        <v>179</v>
      </c>
      <c r="N1250" s="15">
        <f>A1250</f>
        <v>1248</v>
      </c>
      <c r="O1250" s="15">
        <v>1</v>
      </c>
      <c r="P1250" s="15">
        <v>179</v>
      </c>
      <c r="Q1250" s="16"/>
    </row>
    <row r="1251" ht="20.05" customHeight="1">
      <c r="A1251" s="13">
        <f>A1250+1</f>
        <v>1249</v>
      </c>
      <c r="B1251" s="14">
        <v>2023</v>
      </c>
      <c r="C1251" s="15">
        <v>11</v>
      </c>
      <c r="D1251" s="15">
        <v>28</v>
      </c>
      <c r="E1251" s="16"/>
      <c r="F1251" t="s" s="17">
        <v>293</v>
      </c>
      <c r="G1251" s="16"/>
      <c r="H1251" t="s" s="17">
        <v>253</v>
      </c>
      <c r="I1251" t="s" s="17">
        <v>19</v>
      </c>
      <c r="J1251" t="s" s="17">
        <v>157</v>
      </c>
      <c r="K1251" t="s" s="17">
        <v>16</v>
      </c>
      <c r="L1251" s="15">
        <f>IF(O1251,P1251/O1251,0)</f>
        <v>0.00989966555183946</v>
      </c>
      <c r="M1251" s="15">
        <v>0.00989966555183946</v>
      </c>
      <c r="N1251" s="15">
        <f>A1251</f>
        <v>1249</v>
      </c>
      <c r="O1251" s="15">
        <v>1495</v>
      </c>
      <c r="P1251" s="15">
        <v>14.8</v>
      </c>
      <c r="Q1251" s="16"/>
    </row>
    <row r="1252" ht="20.05" customHeight="1">
      <c r="A1252" s="13">
        <f>A1251+1</f>
        <v>1250</v>
      </c>
      <c r="B1252" s="14">
        <v>2023</v>
      </c>
      <c r="C1252" s="15">
        <v>11</v>
      </c>
      <c r="D1252" s="15">
        <v>29</v>
      </c>
      <c r="E1252" s="16"/>
      <c r="F1252" t="s" s="17">
        <v>111</v>
      </c>
      <c r="G1252" t="s" s="17">
        <v>424</v>
      </c>
      <c r="H1252" t="s" s="17">
        <v>253</v>
      </c>
      <c r="I1252" t="s" s="17">
        <v>19</v>
      </c>
      <c r="J1252" t="s" s="17">
        <v>138</v>
      </c>
      <c r="K1252" t="s" s="17">
        <v>41</v>
      </c>
      <c r="L1252" s="15">
        <f>IF(O1252,P1252/O1252,0)</f>
        <v>0.0279816666666667</v>
      </c>
      <c r="M1252" s="15">
        <v>0.0279816666666667</v>
      </c>
      <c r="N1252" s="15">
        <f>A1252</f>
        <v>1250</v>
      </c>
      <c r="O1252" s="15">
        <f t="shared" si="4522" ref="O1252:O1488">12*1000</f>
        <v>12000</v>
      </c>
      <c r="P1252" s="15">
        <v>335.78</v>
      </c>
      <c r="Q1252" s="16"/>
    </row>
    <row r="1253" ht="20.05" customHeight="1">
      <c r="A1253" s="13">
        <f>A1252+1</f>
        <v>1251</v>
      </c>
      <c r="B1253" s="14">
        <v>2023</v>
      </c>
      <c r="C1253" s="15">
        <v>11</v>
      </c>
      <c r="D1253" s="15">
        <v>29</v>
      </c>
      <c r="E1253" s="16"/>
      <c r="F1253" t="s" s="17">
        <v>111</v>
      </c>
      <c r="G1253" s="16"/>
      <c r="H1253" t="s" s="17">
        <v>253</v>
      </c>
      <c r="I1253" t="s" s="17">
        <v>19</v>
      </c>
      <c r="J1253" t="s" s="17">
        <v>72</v>
      </c>
      <c r="K1253" t="s" s="17">
        <v>41</v>
      </c>
      <c r="L1253" s="15">
        <f>IF(O1253,P1253/O1253,0)</f>
        <v>0.29752</v>
      </c>
      <c r="M1253" s="15">
        <v>0.29752</v>
      </c>
      <c r="N1253" s="15">
        <f>A1253</f>
        <v>1251</v>
      </c>
      <c r="O1253" s="15">
        <v>250</v>
      </c>
      <c r="P1253" s="15">
        <v>74.38</v>
      </c>
      <c r="Q1253" s="16"/>
    </row>
    <row r="1254" ht="20.05" customHeight="1">
      <c r="A1254" s="13">
        <f>A1253+1</f>
        <v>1252</v>
      </c>
      <c r="B1254" s="14">
        <v>2023</v>
      </c>
      <c r="C1254" s="15">
        <v>11</v>
      </c>
      <c r="D1254" s="15">
        <v>29</v>
      </c>
      <c r="E1254" s="16"/>
      <c r="F1254" t="s" s="17">
        <v>111</v>
      </c>
      <c r="G1254" t="s" s="17">
        <v>301</v>
      </c>
      <c r="H1254" t="s" s="17">
        <v>253</v>
      </c>
      <c r="I1254" t="s" s="17">
        <v>19</v>
      </c>
      <c r="J1254" t="s" s="17">
        <v>103</v>
      </c>
      <c r="K1254" t="s" s="17">
        <v>23</v>
      </c>
      <c r="L1254" s="15">
        <f>IF(O1254,P1254/O1254,0)</f>
        <v>0.575375</v>
      </c>
      <c r="M1254" s="15">
        <v>0.575375</v>
      </c>
      <c r="N1254" s="15">
        <f>A1254</f>
        <v>1252</v>
      </c>
      <c r="O1254" s="15">
        <v>80</v>
      </c>
      <c r="P1254" s="15">
        <v>46.03</v>
      </c>
      <c r="Q1254" s="16"/>
    </row>
    <row r="1255" ht="20.05" customHeight="1">
      <c r="A1255" s="13">
        <f>A1254+1</f>
        <v>1253</v>
      </c>
      <c r="B1255" s="14">
        <v>2023</v>
      </c>
      <c r="C1255" s="15">
        <v>11</v>
      </c>
      <c r="D1255" s="15">
        <v>29</v>
      </c>
      <c r="E1255" s="16"/>
      <c r="F1255" t="s" s="17">
        <v>150</v>
      </c>
      <c r="G1255" s="16"/>
      <c r="H1255" t="s" s="17">
        <v>253</v>
      </c>
      <c r="I1255" t="s" s="17">
        <v>19</v>
      </c>
      <c r="J1255" t="s" s="17">
        <v>353</v>
      </c>
      <c r="K1255" t="s" s="17">
        <v>23</v>
      </c>
      <c r="L1255" s="15">
        <f>IF(O1255,P1255/O1255,0)</f>
        <v>336</v>
      </c>
      <c r="M1255" s="15">
        <v>336</v>
      </c>
      <c r="N1255" s="15">
        <f>A1255</f>
        <v>1253</v>
      </c>
      <c r="O1255" s="15">
        <v>1</v>
      </c>
      <c r="P1255" s="41">
        <f t="shared" si="3080"/>
        <v>336</v>
      </c>
      <c r="Q1255" s="16"/>
    </row>
    <row r="1256" ht="20.05" customHeight="1">
      <c r="A1256" s="13">
        <f>A1255+1</f>
        <v>1254</v>
      </c>
      <c r="B1256" s="14">
        <v>2023</v>
      </c>
      <c r="C1256" s="15">
        <v>11</v>
      </c>
      <c r="D1256" s="15">
        <v>29</v>
      </c>
      <c r="E1256" s="16"/>
      <c r="F1256" t="s" s="17">
        <v>150</v>
      </c>
      <c r="G1256" s="16"/>
      <c r="H1256" t="s" s="17">
        <v>253</v>
      </c>
      <c r="I1256" t="s" s="17">
        <v>19</v>
      </c>
      <c r="J1256" t="s" s="17">
        <v>70</v>
      </c>
      <c r="K1256" t="s" s="17">
        <v>16</v>
      </c>
      <c r="L1256" s="15">
        <f>IF(O1256,P1256/O1256,0)</f>
        <v>0.3636</v>
      </c>
      <c r="M1256" s="15">
        <v>0.3636</v>
      </c>
      <c r="N1256" s="15">
        <f>A1256</f>
        <v>1254</v>
      </c>
      <c r="O1256" s="15">
        <f t="shared" si="4502"/>
        <v>3000</v>
      </c>
      <c r="P1256" s="42">
        <f t="shared" si="4503"/>
        <v>1090.8</v>
      </c>
      <c r="Q1256" s="16"/>
    </row>
    <row r="1257" ht="20.05" customHeight="1">
      <c r="A1257" s="13">
        <f>A1256+1</f>
        <v>1255</v>
      </c>
      <c r="B1257" s="14">
        <v>2023</v>
      </c>
      <c r="C1257" s="15">
        <v>11</v>
      </c>
      <c r="D1257" s="15">
        <v>29</v>
      </c>
      <c r="E1257" s="16"/>
      <c r="F1257" t="s" s="17">
        <v>150</v>
      </c>
      <c r="G1257" s="16"/>
      <c r="H1257" t="s" s="17">
        <v>253</v>
      </c>
      <c r="I1257" t="s" s="17">
        <v>19</v>
      </c>
      <c r="J1257" t="s" s="17">
        <v>155</v>
      </c>
      <c r="K1257" t="s" s="17">
        <v>16</v>
      </c>
      <c r="L1257" s="15">
        <f>IF(O1257,P1257/O1257,0)</f>
        <v>0.3636</v>
      </c>
      <c r="M1257" s="15">
        <v>0.3636</v>
      </c>
      <c r="N1257" s="15">
        <f>A1257</f>
        <v>1255</v>
      </c>
      <c r="O1257" s="15">
        <f t="shared" si="4541" ref="O1257:O1405">2*1000</f>
        <v>2000</v>
      </c>
      <c r="P1257" s="42">
        <f>720+720*1%</f>
        <v>727.2</v>
      </c>
      <c r="Q1257" s="16"/>
    </row>
    <row r="1258" ht="20.05" customHeight="1">
      <c r="A1258" s="13">
        <f>A1257+1</f>
        <v>1256</v>
      </c>
      <c r="B1258" s="14">
        <v>2023</v>
      </c>
      <c r="C1258" s="15">
        <v>11</v>
      </c>
      <c r="D1258" s="15">
        <v>29</v>
      </c>
      <c r="E1258" s="16"/>
      <c r="F1258" t="s" s="17">
        <v>150</v>
      </c>
      <c r="G1258" s="16"/>
      <c r="H1258" t="s" s="17">
        <v>253</v>
      </c>
      <c r="I1258" t="s" s="17">
        <v>19</v>
      </c>
      <c r="J1258" t="s" s="17">
        <v>151</v>
      </c>
      <c r="K1258" t="s" s="17">
        <v>41</v>
      </c>
      <c r="L1258" s="15">
        <f>IF(O1258,P1258/O1258,0)</f>
        <v>0.490571428571429</v>
      </c>
      <c r="M1258" s="15">
        <v>0.490571428571429</v>
      </c>
      <c r="N1258" s="15">
        <f>A1258</f>
        <v>1256</v>
      </c>
      <c r="O1258" s="15">
        <v>700</v>
      </c>
      <c r="P1258" s="42">
        <f t="shared" si="4323"/>
        <v>343.4</v>
      </c>
      <c r="Q1258" s="16"/>
    </row>
    <row r="1259" ht="20.05" customHeight="1">
      <c r="A1259" s="13">
        <f>A1258+1</f>
        <v>1257</v>
      </c>
      <c r="B1259" s="14">
        <v>2023</v>
      </c>
      <c r="C1259" s="15">
        <v>11</v>
      </c>
      <c r="D1259" s="15">
        <v>30</v>
      </c>
      <c r="E1259" s="16"/>
      <c r="F1259" t="s" s="17">
        <v>258</v>
      </c>
      <c r="G1259" s="16"/>
      <c r="H1259" t="s" s="17">
        <v>253</v>
      </c>
      <c r="I1259" t="s" s="17">
        <v>26</v>
      </c>
      <c r="J1259" t="s" s="17">
        <v>113</v>
      </c>
      <c r="K1259" t="s" s="17">
        <v>41</v>
      </c>
      <c r="L1259" s="15">
        <f>IF(O1259,P1259/O1259,0)</f>
        <v>0.034975</v>
      </c>
      <c r="M1259" s="15">
        <v>0.034975</v>
      </c>
      <c r="N1259" s="15">
        <f>A1259</f>
        <v>1257</v>
      </c>
      <c r="O1259" s="15">
        <v>2000</v>
      </c>
      <c r="P1259" s="15">
        <v>69.95</v>
      </c>
      <c r="Q1259" s="16"/>
    </row>
    <row r="1260" ht="32.05" customHeight="1">
      <c r="A1260" s="13">
        <f>A1259+1</f>
        <v>1258</v>
      </c>
      <c r="B1260" s="14">
        <v>2023</v>
      </c>
      <c r="C1260" s="15">
        <v>12</v>
      </c>
      <c r="D1260" s="15">
        <v>1</v>
      </c>
      <c r="E1260" s="16"/>
      <c r="F1260" t="s" s="17">
        <v>287</v>
      </c>
      <c r="G1260" s="16"/>
      <c r="H1260" t="s" s="17">
        <v>163</v>
      </c>
      <c r="I1260" t="s" s="17">
        <v>14</v>
      </c>
      <c r="J1260" t="s" s="17">
        <v>283</v>
      </c>
      <c r="K1260" t="s" s="17">
        <v>23</v>
      </c>
      <c r="L1260" s="15">
        <f>IF(O1260,P1260/O1260,0)</f>
        <v>35.8045</v>
      </c>
      <c r="M1260" s="15">
        <v>35.8045</v>
      </c>
      <c r="N1260" s="15">
        <f>A1260</f>
        <v>1258</v>
      </c>
      <c r="O1260" s="15">
        <v>10</v>
      </c>
      <c r="P1260" s="42">
        <f t="shared" si="4553" ref="P1260:P1281">354.5*(1+1%)</f>
        <v>358.045</v>
      </c>
      <c r="Q1260" s="16"/>
    </row>
    <row r="1261" ht="20.05" customHeight="1">
      <c r="A1261" s="13">
        <f>A1260+1</f>
        <v>1259</v>
      </c>
      <c r="B1261" s="14">
        <v>2023</v>
      </c>
      <c r="C1261" s="15">
        <v>12</v>
      </c>
      <c r="D1261" s="15">
        <v>1</v>
      </c>
      <c r="E1261" s="16"/>
      <c r="F1261" t="s" s="17">
        <v>287</v>
      </c>
      <c r="G1261" s="16"/>
      <c r="H1261" t="s" s="17">
        <v>163</v>
      </c>
      <c r="I1261" t="s" s="17">
        <v>14</v>
      </c>
      <c r="J1261" t="s" s="17">
        <v>288</v>
      </c>
      <c r="K1261" t="s" s="17">
        <v>23</v>
      </c>
      <c r="L1261" s="15">
        <f>IF(O1261,P1261/O1261,0)</f>
        <v>37.5383333333333</v>
      </c>
      <c r="M1261" s="15">
        <v>37.5383333333333</v>
      </c>
      <c r="N1261" s="15">
        <f>A1261</f>
        <v>1259</v>
      </c>
      <c r="O1261" s="15">
        <v>9</v>
      </c>
      <c r="P1261" s="42">
        <f t="shared" si="4557" ref="P1261:P1270">334.5*(1+1%)</f>
        <v>337.845</v>
      </c>
      <c r="Q1261" s="16"/>
    </row>
    <row r="1262" ht="32.05" customHeight="1">
      <c r="A1262" s="13">
        <f>A1261+1</f>
        <v>1260</v>
      </c>
      <c r="B1262" s="14">
        <v>2023</v>
      </c>
      <c r="C1262" s="15">
        <v>12</v>
      </c>
      <c r="D1262" s="15">
        <v>1</v>
      </c>
      <c r="E1262" s="16"/>
      <c r="F1262" t="s" s="17">
        <v>287</v>
      </c>
      <c r="G1262" s="16"/>
      <c r="H1262" t="s" s="17">
        <v>163</v>
      </c>
      <c r="I1262" t="s" s="17">
        <v>14</v>
      </c>
      <c r="J1262" t="s" s="17">
        <v>376</v>
      </c>
      <c r="K1262" t="s" s="17">
        <v>23</v>
      </c>
      <c r="L1262" s="15">
        <f>IF(O1262,P1262/O1262,0)</f>
        <v>-184.5</v>
      </c>
      <c r="M1262" s="15">
        <v>-184.5</v>
      </c>
      <c r="N1262" s="15">
        <f>A1262</f>
        <v>1260</v>
      </c>
      <c r="O1262" s="15">
        <v>1</v>
      </c>
      <c r="P1262" s="15">
        <v>-184.5</v>
      </c>
      <c r="Q1262" s="16"/>
    </row>
    <row r="1263" ht="20.05" customHeight="1">
      <c r="A1263" s="13">
        <f>A1262+1</f>
        <v>1261</v>
      </c>
      <c r="B1263" s="14">
        <v>2023</v>
      </c>
      <c r="C1263" s="15">
        <v>12</v>
      </c>
      <c r="D1263" s="15">
        <v>2</v>
      </c>
      <c r="E1263" s="16"/>
      <c r="F1263" t="s" s="17">
        <v>130</v>
      </c>
      <c r="G1263" s="16"/>
      <c r="H1263" t="s" s="17">
        <v>163</v>
      </c>
      <c r="I1263" t="s" s="17">
        <v>187</v>
      </c>
      <c r="J1263" t="s" s="17">
        <v>425</v>
      </c>
      <c r="K1263" t="s" s="17">
        <v>23</v>
      </c>
      <c r="L1263" s="15">
        <f>IF(O1263,P1263/O1263,0)</f>
        <v>59.9</v>
      </c>
      <c r="M1263" s="15">
        <v>59.9</v>
      </c>
      <c r="N1263" s="15">
        <f>A1263</f>
        <v>1261</v>
      </c>
      <c r="O1263" s="15">
        <v>1</v>
      </c>
      <c r="P1263" s="15">
        <v>59.9</v>
      </c>
      <c r="Q1263" s="16"/>
    </row>
    <row r="1264" ht="20.05" customHeight="1">
      <c r="A1264" s="13">
        <f>A1263+1</f>
        <v>1262</v>
      </c>
      <c r="B1264" s="14">
        <v>2023</v>
      </c>
      <c r="C1264" s="15">
        <v>12</v>
      </c>
      <c r="D1264" s="15">
        <v>2</v>
      </c>
      <c r="E1264" s="16"/>
      <c r="F1264" t="s" s="17">
        <v>130</v>
      </c>
      <c r="G1264" s="16"/>
      <c r="H1264" t="s" s="17">
        <v>163</v>
      </c>
      <c r="I1264" t="s" s="17">
        <v>187</v>
      </c>
      <c r="J1264" t="s" s="17">
        <v>426</v>
      </c>
      <c r="K1264" t="s" s="17">
        <v>23</v>
      </c>
      <c r="L1264" s="15">
        <f>IF(O1264,P1264/O1264,0)</f>
        <v>14.9</v>
      </c>
      <c r="M1264" s="15">
        <v>14.9</v>
      </c>
      <c r="N1264" s="15">
        <f>A1264</f>
        <v>1262</v>
      </c>
      <c r="O1264" s="15">
        <v>1</v>
      </c>
      <c r="P1264" s="15">
        <v>14.9</v>
      </c>
      <c r="Q1264" s="16"/>
    </row>
    <row r="1265" ht="20.05" customHeight="1">
      <c r="A1265" s="13">
        <f>A1264+1</f>
        <v>1263</v>
      </c>
      <c r="B1265" s="14">
        <v>2023</v>
      </c>
      <c r="C1265" s="15">
        <v>12</v>
      </c>
      <c r="D1265" s="15">
        <v>2</v>
      </c>
      <c r="E1265" s="16"/>
      <c r="F1265" t="s" s="17">
        <v>130</v>
      </c>
      <c r="G1265" s="16"/>
      <c r="H1265" t="s" s="17">
        <v>163</v>
      </c>
      <c r="I1265" t="s" s="17">
        <v>19</v>
      </c>
      <c r="J1265" t="s" s="17">
        <v>157</v>
      </c>
      <c r="K1265" t="s" s="17">
        <v>16</v>
      </c>
      <c r="L1265" s="15">
        <f>IF(O1265,P1265/O1265,0)</f>
        <v>0.0169461697722567</v>
      </c>
      <c r="M1265" s="15">
        <v>0.0169461697722567</v>
      </c>
      <c r="N1265" s="15">
        <f>A1265</f>
        <v>1263</v>
      </c>
      <c r="O1265" s="15">
        <v>966</v>
      </c>
      <c r="P1265" s="15">
        <v>16.37</v>
      </c>
      <c r="Q1265" s="16"/>
    </row>
    <row r="1266" ht="20.05" customHeight="1">
      <c r="A1266" s="13">
        <f>A1265+1</f>
        <v>1264</v>
      </c>
      <c r="B1266" s="14">
        <v>2023</v>
      </c>
      <c r="C1266" s="15">
        <v>12</v>
      </c>
      <c r="D1266" s="15">
        <v>2</v>
      </c>
      <c r="E1266" s="16"/>
      <c r="F1266" t="s" s="17">
        <v>287</v>
      </c>
      <c r="G1266" s="16"/>
      <c r="H1266" t="s" s="17">
        <v>163</v>
      </c>
      <c r="I1266" t="s" s="17">
        <v>17</v>
      </c>
      <c r="J1266" t="s" s="17">
        <v>363</v>
      </c>
      <c r="K1266" t="s" s="17">
        <v>23</v>
      </c>
      <c r="L1266" s="15">
        <f>IF(O1266,P1266/O1266,0)</f>
        <v>27.8962</v>
      </c>
      <c r="M1266" s="15">
        <v>27.8962</v>
      </c>
      <c r="N1266" s="15">
        <f>A1266</f>
        <v>1264</v>
      </c>
      <c r="O1266" s="15">
        <v>24</v>
      </c>
      <c r="P1266" s="43">
        <f>662.88*(1+1%)</f>
        <v>669.5088</v>
      </c>
      <c r="Q1266" s="16"/>
    </row>
    <row r="1267" ht="20.05" customHeight="1">
      <c r="A1267" s="13">
        <f>A1266+1</f>
        <v>1265</v>
      </c>
      <c r="B1267" s="14">
        <v>2023</v>
      </c>
      <c r="C1267" s="15">
        <v>12</v>
      </c>
      <c r="D1267" s="15">
        <v>2</v>
      </c>
      <c r="E1267" s="16"/>
      <c r="F1267" t="s" s="17">
        <v>287</v>
      </c>
      <c r="G1267" s="16"/>
      <c r="H1267" t="s" s="17">
        <v>163</v>
      </c>
      <c r="I1267" t="s" s="17">
        <v>14</v>
      </c>
      <c r="J1267" t="s" s="17">
        <v>282</v>
      </c>
      <c r="K1267" t="s" s="17">
        <v>23</v>
      </c>
      <c r="L1267" s="15">
        <f>IF(O1267,P1267/O1267,0)</f>
        <v>27.4215</v>
      </c>
      <c r="M1267" s="15">
        <v>27.4215</v>
      </c>
      <c r="N1267" s="15">
        <f>A1267</f>
        <v>1265</v>
      </c>
      <c r="O1267" s="15">
        <v>10</v>
      </c>
      <c r="P1267" s="42">
        <f>271.5*(1+1%)</f>
        <v>274.215</v>
      </c>
      <c r="Q1267" s="16"/>
    </row>
    <row r="1268" ht="20.05" customHeight="1">
      <c r="A1268" s="13">
        <f>A1267+1</f>
        <v>1266</v>
      </c>
      <c r="B1268" s="14">
        <v>2023</v>
      </c>
      <c r="C1268" s="15">
        <v>12</v>
      </c>
      <c r="D1268" s="15">
        <v>2</v>
      </c>
      <c r="E1268" s="16"/>
      <c r="F1268" t="s" s="17">
        <v>287</v>
      </c>
      <c r="G1268" s="16"/>
      <c r="H1268" t="s" s="17">
        <v>163</v>
      </c>
      <c r="I1268" t="s" s="17">
        <v>14</v>
      </c>
      <c r="J1268" t="s" s="17">
        <v>279</v>
      </c>
      <c r="K1268" t="s" s="17">
        <v>23</v>
      </c>
      <c r="L1268" s="15">
        <f>IF(O1268,P1268/O1268,0)</f>
        <v>34.3905</v>
      </c>
      <c r="M1268" s="15">
        <v>34.3905</v>
      </c>
      <c r="N1268" s="15">
        <f>A1268</f>
        <v>1266</v>
      </c>
      <c r="O1268" s="15">
        <v>10</v>
      </c>
      <c r="P1268" s="42">
        <f t="shared" si="4581" ref="P1268:P1283">340.5*(1+1%)</f>
        <v>343.905</v>
      </c>
      <c r="Q1268" s="16"/>
    </row>
    <row r="1269" ht="20.05" customHeight="1">
      <c r="A1269" s="13">
        <f>A1268+1</f>
        <v>1267</v>
      </c>
      <c r="B1269" s="14">
        <v>2023</v>
      </c>
      <c r="C1269" s="15">
        <v>12</v>
      </c>
      <c r="D1269" s="15">
        <v>2</v>
      </c>
      <c r="E1269" s="16"/>
      <c r="F1269" t="s" s="17">
        <v>287</v>
      </c>
      <c r="G1269" s="16"/>
      <c r="H1269" t="s" s="17">
        <v>163</v>
      </c>
      <c r="I1269" t="s" s="17">
        <v>14</v>
      </c>
      <c r="J1269" t="s" s="17">
        <v>289</v>
      </c>
      <c r="K1269" t="s" s="17">
        <v>23</v>
      </c>
      <c r="L1269" s="15">
        <f>IF(O1269,P1269/O1269,0)</f>
        <v>32.724</v>
      </c>
      <c r="M1269" s="15">
        <v>32.724</v>
      </c>
      <c r="N1269" s="15">
        <f>A1269</f>
        <v>1267</v>
      </c>
      <c r="O1269" s="15">
        <v>10</v>
      </c>
      <c r="P1269" s="41">
        <f>324*(1+1%)</f>
        <v>327.24</v>
      </c>
      <c r="Q1269" s="16"/>
    </row>
    <row r="1270" ht="20.05" customHeight="1">
      <c r="A1270" s="13">
        <f>A1269+1</f>
        <v>1268</v>
      </c>
      <c r="B1270" s="14">
        <v>2023</v>
      </c>
      <c r="C1270" s="15">
        <v>12</v>
      </c>
      <c r="D1270" s="15">
        <v>2</v>
      </c>
      <c r="E1270" s="16"/>
      <c r="F1270" t="s" s="17">
        <v>287</v>
      </c>
      <c r="G1270" s="16"/>
      <c r="H1270" t="s" s="17">
        <v>163</v>
      </c>
      <c r="I1270" t="s" s="17">
        <v>14</v>
      </c>
      <c r="J1270" t="s" s="17">
        <v>288</v>
      </c>
      <c r="K1270" t="s" s="17">
        <v>23</v>
      </c>
      <c r="L1270" s="15">
        <f>IF(O1270,P1270/O1270,0)</f>
        <v>37.5383333333333</v>
      </c>
      <c r="M1270" s="15">
        <v>37.5383333333333</v>
      </c>
      <c r="N1270" s="15">
        <f>A1270</f>
        <v>1268</v>
      </c>
      <c r="O1270" s="15">
        <v>9</v>
      </c>
      <c r="P1270" s="42">
        <f t="shared" si="4557"/>
        <v>337.845</v>
      </c>
      <c r="Q1270" s="16"/>
    </row>
    <row r="1271" ht="32.05" customHeight="1">
      <c r="A1271" s="13">
        <f>A1270+1</f>
        <v>1269</v>
      </c>
      <c r="B1271" s="14">
        <v>2023</v>
      </c>
      <c r="C1271" s="15">
        <v>12</v>
      </c>
      <c r="D1271" s="15">
        <v>2</v>
      </c>
      <c r="E1271" s="16"/>
      <c r="F1271" t="s" s="17">
        <v>287</v>
      </c>
      <c r="G1271" s="16"/>
      <c r="H1271" t="s" s="17">
        <v>163</v>
      </c>
      <c r="I1271" t="s" s="17">
        <v>14</v>
      </c>
      <c r="J1271" t="s" s="17">
        <v>376</v>
      </c>
      <c r="K1271" t="s" s="17">
        <v>23</v>
      </c>
      <c r="L1271" s="15">
        <f>IF(O1271,P1271/O1271,0)</f>
        <v>-1000</v>
      </c>
      <c r="M1271" s="15">
        <v>-1000</v>
      </c>
      <c r="N1271" s="15">
        <f>A1271</f>
        <v>1269</v>
      </c>
      <c r="O1271" s="15">
        <v>1</v>
      </c>
      <c r="P1271" s="15">
        <v>-1000</v>
      </c>
      <c r="Q1271" s="16"/>
    </row>
    <row r="1272" ht="20.05" customHeight="1">
      <c r="A1272" s="13">
        <f>A1271+1</f>
        <v>1270</v>
      </c>
      <c r="B1272" s="14">
        <v>2023</v>
      </c>
      <c r="C1272" s="15">
        <v>12</v>
      </c>
      <c r="D1272" s="15">
        <v>2</v>
      </c>
      <c r="E1272" s="16"/>
      <c r="F1272" t="s" s="17">
        <v>141</v>
      </c>
      <c r="G1272" s="16"/>
      <c r="H1272" t="s" s="17">
        <v>163</v>
      </c>
      <c r="I1272" t="s" s="17">
        <v>19</v>
      </c>
      <c r="J1272" t="s" s="17">
        <v>142</v>
      </c>
      <c r="K1272" t="s" s="17">
        <v>23</v>
      </c>
      <c r="L1272" s="15">
        <f>IF(O1272,P1272/O1272,0)</f>
        <v>13.8515208333333</v>
      </c>
      <c r="M1272" s="15">
        <v>13.8515208333333</v>
      </c>
      <c r="N1272" s="15">
        <f>A1272</f>
        <v>1270</v>
      </c>
      <c r="O1272" s="15">
        <f t="shared" si="3886"/>
        <v>48</v>
      </c>
      <c r="P1272" s="42">
        <f>604.43*(1+10%)</f>
        <v>664.873</v>
      </c>
      <c r="Q1272" s="16"/>
    </row>
    <row r="1273" ht="20.05" customHeight="1">
      <c r="A1273" s="13">
        <f>A1272+1</f>
        <v>1271</v>
      </c>
      <c r="B1273" s="14">
        <v>2023</v>
      </c>
      <c r="C1273" s="15">
        <v>12</v>
      </c>
      <c r="D1273" s="15">
        <v>2</v>
      </c>
      <c r="E1273" s="16"/>
      <c r="F1273" t="s" s="17">
        <v>141</v>
      </c>
      <c r="G1273" s="16"/>
      <c r="H1273" t="s" s="17">
        <v>163</v>
      </c>
      <c r="I1273" t="s" s="17">
        <v>19</v>
      </c>
      <c r="J1273" t="s" s="17">
        <v>159</v>
      </c>
      <c r="K1273" t="s" s="17">
        <v>23</v>
      </c>
      <c r="L1273" s="15">
        <f>IF(O1273,P1273/O1273,0)</f>
        <v>2.07525541666667</v>
      </c>
      <c r="M1273" s="15">
        <v>2.07525541666667</v>
      </c>
      <c r="N1273" s="15">
        <f>A1273</f>
        <v>1271</v>
      </c>
      <c r="O1273" s="15">
        <f t="shared" si="4601" ref="O1273:O1567">10*24</f>
        <v>240</v>
      </c>
      <c r="P1273" s="43">
        <f>493.13*(1+1%)</f>
        <v>498.0613</v>
      </c>
      <c r="Q1273" s="16"/>
    </row>
    <row r="1274" ht="20.05" customHeight="1">
      <c r="A1274" s="13">
        <f>A1273+1</f>
        <v>1272</v>
      </c>
      <c r="B1274" s="14">
        <v>2023</v>
      </c>
      <c r="C1274" s="15">
        <v>12</v>
      </c>
      <c r="D1274" s="15">
        <v>2</v>
      </c>
      <c r="E1274" s="16"/>
      <c r="F1274" t="s" s="17">
        <v>141</v>
      </c>
      <c r="G1274" s="16"/>
      <c r="H1274" t="s" s="17">
        <v>163</v>
      </c>
      <c r="I1274" t="s" s="17">
        <v>19</v>
      </c>
      <c r="J1274" t="s" s="17">
        <v>337</v>
      </c>
      <c r="K1274" t="s" s="17">
        <v>23</v>
      </c>
      <c r="L1274" s="15">
        <f>IF(O1274,P1274/O1274,0)</f>
        <v>-228</v>
      </c>
      <c r="M1274" s="15">
        <v>-228</v>
      </c>
      <c r="N1274" s="15">
        <f>A1274</f>
        <v>1272</v>
      </c>
      <c r="O1274" s="15">
        <v>1</v>
      </c>
      <c r="P1274" s="15">
        <v>-228</v>
      </c>
      <c r="Q1274" s="16"/>
    </row>
    <row r="1275" ht="20.05" customHeight="1">
      <c r="A1275" s="13">
        <f>A1274+1</f>
        <v>1273</v>
      </c>
      <c r="B1275" s="14">
        <v>2023</v>
      </c>
      <c r="C1275" s="15">
        <v>12</v>
      </c>
      <c r="D1275" s="15">
        <v>2</v>
      </c>
      <c r="E1275" s="16"/>
      <c r="F1275" t="s" s="17">
        <v>130</v>
      </c>
      <c r="G1275" t="s" s="17">
        <v>370</v>
      </c>
      <c r="H1275" t="s" s="17">
        <v>163</v>
      </c>
      <c r="I1275" t="s" s="17">
        <v>187</v>
      </c>
      <c r="J1275" t="s" s="17">
        <v>21</v>
      </c>
      <c r="K1275" t="s" s="17">
        <v>16</v>
      </c>
      <c r="L1275" s="15">
        <f>IF(O1275,P1275/O1275,0)</f>
        <v>0.0249512195121951</v>
      </c>
      <c r="M1275" s="15">
        <v>0.0249512195121951</v>
      </c>
      <c r="N1275" s="15">
        <f>A1275</f>
        <v>1273</v>
      </c>
      <c r="O1275" s="15">
        <v>2050</v>
      </c>
      <c r="P1275" s="15">
        <v>51.15</v>
      </c>
      <c r="Q1275" s="16"/>
    </row>
    <row r="1276" ht="20.05" customHeight="1">
      <c r="A1276" s="13">
        <f>A1275+1</f>
        <v>1274</v>
      </c>
      <c r="B1276" s="14">
        <v>2023</v>
      </c>
      <c r="C1276" s="15">
        <v>12</v>
      </c>
      <c r="D1276" s="15">
        <v>2</v>
      </c>
      <c r="E1276" s="16"/>
      <c r="F1276" t="s" s="17">
        <v>130</v>
      </c>
      <c r="G1276" t="s" s="17">
        <v>370</v>
      </c>
      <c r="H1276" t="s" s="17">
        <v>163</v>
      </c>
      <c r="I1276" t="s" s="17">
        <v>187</v>
      </c>
      <c r="J1276" t="s" s="17">
        <v>365</v>
      </c>
      <c r="K1276" t="s" s="17">
        <v>23</v>
      </c>
      <c r="L1276" s="15">
        <f>IF(O1276,P1276/O1276,0)</f>
        <v>0.0199493670886076</v>
      </c>
      <c r="M1276" s="15">
        <v>0.0199493670886076</v>
      </c>
      <c r="N1276" s="15">
        <f>A1276</f>
        <v>1274</v>
      </c>
      <c r="O1276" s="15">
        <v>1975</v>
      </c>
      <c r="P1276" s="15">
        <v>39.4</v>
      </c>
      <c r="Q1276" s="16"/>
    </row>
    <row r="1277" ht="20.05" customHeight="1">
      <c r="A1277" s="13">
        <f>A1276+1</f>
        <v>1275</v>
      </c>
      <c r="B1277" s="14">
        <v>2023</v>
      </c>
      <c r="C1277" s="15">
        <v>12</v>
      </c>
      <c r="D1277" s="15">
        <v>3</v>
      </c>
      <c r="E1277" s="16"/>
      <c r="F1277" t="s" s="17">
        <v>130</v>
      </c>
      <c r="G1277" s="16"/>
      <c r="H1277" t="s" s="17">
        <v>163</v>
      </c>
      <c r="I1277" t="s" s="17">
        <v>14</v>
      </c>
      <c r="J1277" t="s" s="17">
        <v>131</v>
      </c>
      <c r="K1277" t="s" s="17">
        <v>41</v>
      </c>
      <c r="L1277" s="15">
        <f>IF(O1277,P1277/O1277,0)</f>
        <v>0.0881176470588235</v>
      </c>
      <c r="M1277" s="15">
        <v>0.0881176470588235</v>
      </c>
      <c r="N1277" s="15">
        <f>A1277</f>
        <v>1275</v>
      </c>
      <c r="O1277" s="15">
        <v>850</v>
      </c>
      <c r="P1277" s="15">
        <v>74.90000000000001</v>
      </c>
      <c r="Q1277" s="16"/>
    </row>
    <row r="1278" ht="20.05" customHeight="1">
      <c r="A1278" s="13">
        <f>A1277+1</f>
        <v>1276</v>
      </c>
      <c r="B1278" s="14">
        <v>2023</v>
      </c>
      <c r="C1278" s="15">
        <v>12</v>
      </c>
      <c r="D1278" s="15">
        <v>3</v>
      </c>
      <c r="E1278" s="16"/>
      <c r="F1278" t="s" s="17">
        <v>130</v>
      </c>
      <c r="G1278" s="16"/>
      <c r="H1278" t="s" s="17">
        <v>163</v>
      </c>
      <c r="I1278" t="s" s="17">
        <v>14</v>
      </c>
      <c r="J1278" t="s" s="17">
        <v>113</v>
      </c>
      <c r="K1278" t="s" s="17">
        <v>41</v>
      </c>
      <c r="L1278" s="15">
        <f>IF(O1278,P1278/O1278,0)</f>
        <v>0.03475</v>
      </c>
      <c r="M1278" s="15">
        <v>0.03475</v>
      </c>
      <c r="N1278" s="15">
        <f>A1278</f>
        <v>1276</v>
      </c>
      <c r="O1278" s="15">
        <v>2000</v>
      </c>
      <c r="P1278" s="15">
        <v>69.5</v>
      </c>
      <c r="Q1278" s="16"/>
    </row>
    <row r="1279" ht="20.05" customHeight="1">
      <c r="A1279" s="13">
        <f>A1278+1</f>
        <v>1277</v>
      </c>
      <c r="B1279" s="14">
        <v>2023</v>
      </c>
      <c r="C1279" s="15">
        <v>12</v>
      </c>
      <c r="D1279" s="15">
        <v>3</v>
      </c>
      <c r="E1279" s="16"/>
      <c r="F1279" t="s" s="17">
        <v>130</v>
      </c>
      <c r="G1279" s="16"/>
      <c r="H1279" t="s" s="17">
        <v>163</v>
      </c>
      <c r="I1279" t="s" s="17">
        <v>14</v>
      </c>
      <c r="J1279" t="s" s="17">
        <v>157</v>
      </c>
      <c r="K1279" t="s" s="17">
        <v>16</v>
      </c>
      <c r="L1279" s="15">
        <f>IF(O1279,P1279/O1279,0)</f>
        <v>0.0169477317554241</v>
      </c>
      <c r="M1279" s="15">
        <v>0.0169477317554241</v>
      </c>
      <c r="N1279" s="15">
        <f>A1279</f>
        <v>1277</v>
      </c>
      <c r="O1279" s="15">
        <v>2028</v>
      </c>
      <c r="P1279" s="15">
        <v>34.37</v>
      </c>
      <c r="Q1279" s="16"/>
    </row>
    <row r="1280" ht="20.05" customHeight="1">
      <c r="A1280" s="13">
        <f>A1279+1</f>
        <v>1278</v>
      </c>
      <c r="B1280" s="14">
        <v>2023</v>
      </c>
      <c r="C1280" s="15">
        <v>12</v>
      </c>
      <c r="D1280" s="15">
        <v>4</v>
      </c>
      <c r="E1280" s="16"/>
      <c r="F1280" t="s" s="17">
        <v>184</v>
      </c>
      <c r="G1280" s="16"/>
      <c r="H1280" t="s" s="17">
        <v>163</v>
      </c>
      <c r="I1280" t="s" s="17">
        <v>187</v>
      </c>
      <c r="J1280" t="s" s="17">
        <v>185</v>
      </c>
      <c r="K1280" t="s" s="17">
        <v>23</v>
      </c>
      <c r="L1280" s="15">
        <f>IF(O1280,P1280/O1280,0)</f>
        <v>50</v>
      </c>
      <c r="M1280" s="15">
        <v>50</v>
      </c>
      <c r="N1280" s="15">
        <f>A1280</f>
        <v>1278</v>
      </c>
      <c r="O1280" s="15">
        <v>1</v>
      </c>
      <c r="P1280" s="15">
        <v>50</v>
      </c>
      <c r="Q1280" s="16"/>
    </row>
    <row r="1281" ht="32.05" customHeight="1">
      <c r="A1281" s="13">
        <f>A1280+1</f>
        <v>1279</v>
      </c>
      <c r="B1281" s="14">
        <v>2023</v>
      </c>
      <c r="C1281" s="15">
        <v>12</v>
      </c>
      <c r="D1281" s="15">
        <v>6</v>
      </c>
      <c r="E1281" s="16"/>
      <c r="F1281" t="s" s="17">
        <v>287</v>
      </c>
      <c r="G1281" s="16"/>
      <c r="H1281" t="s" s="17">
        <v>163</v>
      </c>
      <c r="I1281" t="s" s="17">
        <v>14</v>
      </c>
      <c r="J1281" t="s" s="17">
        <v>283</v>
      </c>
      <c r="K1281" t="s" s="17">
        <v>23</v>
      </c>
      <c r="L1281" s="15">
        <f>IF(O1281,P1281/O1281,0)</f>
        <v>35.8045</v>
      </c>
      <c r="M1281" s="15">
        <v>35.8045</v>
      </c>
      <c r="N1281" s="15">
        <f>A1281</f>
        <v>1279</v>
      </c>
      <c r="O1281" s="15">
        <v>10</v>
      </c>
      <c r="P1281" s="42">
        <f t="shared" si="4553"/>
        <v>358.045</v>
      </c>
      <c r="Q1281" s="16"/>
    </row>
    <row r="1282" ht="20.05" customHeight="1">
      <c r="A1282" s="13">
        <f>A1281+1</f>
        <v>1280</v>
      </c>
      <c r="B1282" s="14">
        <v>2023</v>
      </c>
      <c r="C1282" s="15">
        <v>12</v>
      </c>
      <c r="D1282" s="15">
        <v>6</v>
      </c>
      <c r="E1282" s="16"/>
      <c r="F1282" t="s" s="17">
        <v>287</v>
      </c>
      <c r="G1282" s="16"/>
      <c r="H1282" t="s" s="17">
        <v>163</v>
      </c>
      <c r="I1282" t="s" s="17">
        <v>14</v>
      </c>
      <c r="J1282" t="s" s="17">
        <v>288</v>
      </c>
      <c r="K1282" t="s" s="17">
        <v>23</v>
      </c>
      <c r="L1282" s="15">
        <f>IF(O1282,P1282/O1282,0)</f>
        <v>37.5383333333333</v>
      </c>
      <c r="M1282" s="15">
        <v>37.5383333333333</v>
      </c>
      <c r="N1282" s="15">
        <f>A1282</f>
        <v>1280</v>
      </c>
      <c r="O1282" s="15">
        <f t="shared" si="4631" ref="O1282:O1377">2*9</f>
        <v>18</v>
      </c>
      <c r="P1282" s="41">
        <f>669*(1+1%)</f>
        <v>675.6900000000001</v>
      </c>
      <c r="Q1282" s="16"/>
    </row>
    <row r="1283" ht="20.05" customHeight="1">
      <c r="A1283" s="13">
        <f>A1282+1</f>
        <v>1281</v>
      </c>
      <c r="B1283" s="14">
        <v>2023</v>
      </c>
      <c r="C1283" s="15">
        <v>12</v>
      </c>
      <c r="D1283" s="15">
        <v>6</v>
      </c>
      <c r="E1283" s="16"/>
      <c r="F1283" t="s" s="17">
        <v>287</v>
      </c>
      <c r="G1283" s="16"/>
      <c r="H1283" t="s" s="17">
        <v>163</v>
      </c>
      <c r="I1283" t="s" s="17">
        <v>14</v>
      </c>
      <c r="J1283" t="s" s="17">
        <v>279</v>
      </c>
      <c r="K1283" t="s" s="17">
        <v>23</v>
      </c>
      <c r="L1283" s="15">
        <f>IF(O1283,P1283/O1283,0)</f>
        <v>34.3905</v>
      </c>
      <c r="M1283" s="15">
        <v>34.3905</v>
      </c>
      <c r="N1283" s="15">
        <f>A1283</f>
        <v>1281</v>
      </c>
      <c r="O1283" s="15">
        <v>10</v>
      </c>
      <c r="P1283" s="42">
        <f t="shared" si="4581"/>
        <v>343.905</v>
      </c>
      <c r="Q1283" s="16"/>
    </row>
    <row r="1284" ht="32.05" customHeight="1">
      <c r="A1284" s="13">
        <f>A1283+1</f>
        <v>1282</v>
      </c>
      <c r="B1284" s="14">
        <v>2023</v>
      </c>
      <c r="C1284" s="15">
        <v>12</v>
      </c>
      <c r="D1284" s="15">
        <v>6</v>
      </c>
      <c r="E1284" s="16"/>
      <c r="F1284" t="s" s="17">
        <v>287</v>
      </c>
      <c r="G1284" s="16"/>
      <c r="H1284" t="s" s="17">
        <v>163</v>
      </c>
      <c r="I1284" t="s" s="17">
        <v>17</v>
      </c>
      <c r="J1284" t="s" s="17">
        <v>299</v>
      </c>
      <c r="K1284" t="s" s="17">
        <v>23</v>
      </c>
      <c r="L1284" s="15">
        <f>IF(O1284,P1284/O1284,0)</f>
        <v>40.9959</v>
      </c>
      <c r="M1284" s="15">
        <v>40.9959</v>
      </c>
      <c r="N1284" s="15">
        <f>A1284</f>
        <v>1282</v>
      </c>
      <c r="O1284" s="15">
        <v>24</v>
      </c>
      <c r="P1284" s="43">
        <f>974.16*(1+1%)</f>
        <v>983.9016</v>
      </c>
      <c r="Q1284" s="16"/>
    </row>
    <row r="1285" ht="20.05" customHeight="1">
      <c r="A1285" s="13">
        <f>A1284+1</f>
        <v>1283</v>
      </c>
      <c r="B1285" s="14">
        <v>2023</v>
      </c>
      <c r="C1285" s="15">
        <v>12</v>
      </c>
      <c r="D1285" s="15">
        <v>6</v>
      </c>
      <c r="E1285" s="16"/>
      <c r="F1285" t="s" s="17">
        <v>317</v>
      </c>
      <c r="G1285" s="16"/>
      <c r="H1285" t="s" s="17">
        <v>163</v>
      </c>
      <c r="I1285" t="s" s="17">
        <v>187</v>
      </c>
      <c r="J1285" t="s" s="17">
        <v>350</v>
      </c>
      <c r="K1285" t="s" s="17">
        <v>23</v>
      </c>
      <c r="L1285" s="15">
        <f>IF(O1285,P1285/O1285,0)</f>
        <v>5.8</v>
      </c>
      <c r="M1285" s="15">
        <v>5.8</v>
      </c>
      <c r="N1285" s="15">
        <f>A1285</f>
        <v>1283</v>
      </c>
      <c r="O1285" s="15">
        <f t="shared" si="4225"/>
        <v>20</v>
      </c>
      <c r="P1285" s="15">
        <v>116</v>
      </c>
      <c r="Q1285" s="16"/>
    </row>
    <row r="1286" ht="20.05" customHeight="1">
      <c r="A1286" s="13">
        <f>A1285+1</f>
        <v>1284</v>
      </c>
      <c r="B1286" s="14">
        <v>2023</v>
      </c>
      <c r="C1286" s="15">
        <v>12</v>
      </c>
      <c r="D1286" s="15">
        <v>7</v>
      </c>
      <c r="E1286" s="16"/>
      <c r="F1286" t="s" s="17">
        <v>130</v>
      </c>
      <c r="G1286" s="16"/>
      <c r="H1286" t="s" s="17">
        <v>163</v>
      </c>
      <c r="I1286" t="s" s="17">
        <v>19</v>
      </c>
      <c r="J1286" t="s" s="17">
        <v>418</v>
      </c>
      <c r="K1286" t="s" s="17">
        <v>23</v>
      </c>
      <c r="L1286" s="15">
        <f>IF(O1286,P1286/O1286,0)</f>
        <v>2.95</v>
      </c>
      <c r="M1286" s="15">
        <v>2.95</v>
      </c>
      <c r="N1286" s="15">
        <f>A1286</f>
        <v>1284</v>
      </c>
      <c r="O1286" s="15">
        <v>8</v>
      </c>
      <c r="P1286" s="15">
        <v>23.6</v>
      </c>
      <c r="Q1286" s="16"/>
    </row>
    <row r="1287" ht="20.05" customHeight="1">
      <c r="A1287" s="13">
        <f>A1286+1</f>
        <v>1285</v>
      </c>
      <c r="B1287" s="14">
        <v>2023</v>
      </c>
      <c r="C1287" s="15">
        <v>12</v>
      </c>
      <c r="D1287" s="15">
        <v>7</v>
      </c>
      <c r="E1287" s="16"/>
      <c r="F1287" t="s" s="17">
        <v>111</v>
      </c>
      <c r="G1287" s="16"/>
      <c r="H1287" t="s" s="17">
        <v>163</v>
      </c>
      <c r="I1287" t="s" s="17">
        <v>26</v>
      </c>
      <c r="J1287" t="s" s="17">
        <v>113</v>
      </c>
      <c r="K1287" t="s" s="17">
        <v>41</v>
      </c>
      <c r="L1287" s="15">
        <f>IF(O1287,P1287/O1287,0)</f>
        <v>0.0279166666666667</v>
      </c>
      <c r="M1287" s="15">
        <v>0.0279166666666667</v>
      </c>
      <c r="N1287" s="15">
        <f>A1287</f>
        <v>1285</v>
      </c>
      <c r="O1287" s="15">
        <v>3000</v>
      </c>
      <c r="P1287" s="15">
        <v>83.75</v>
      </c>
      <c r="Q1287" s="16"/>
    </row>
    <row r="1288" ht="20.05" customHeight="1">
      <c r="A1288" s="13">
        <f>A1287+1</f>
        <v>1286</v>
      </c>
      <c r="B1288" s="14">
        <v>2023</v>
      </c>
      <c r="C1288" s="15">
        <v>12</v>
      </c>
      <c r="D1288" s="15">
        <v>7</v>
      </c>
      <c r="E1288" s="16"/>
      <c r="F1288" t="s" s="17">
        <v>111</v>
      </c>
      <c r="G1288" s="16"/>
      <c r="H1288" t="s" s="17">
        <v>163</v>
      </c>
      <c r="I1288" t="s" s="17">
        <v>26</v>
      </c>
      <c r="J1288" t="s" s="17">
        <v>117</v>
      </c>
      <c r="K1288" t="s" s="17">
        <v>23</v>
      </c>
      <c r="L1288" s="15">
        <f>IF(O1288,P1288/O1288,0)</f>
        <v>35.814</v>
      </c>
      <c r="M1288" s="15">
        <v>35.814</v>
      </c>
      <c r="N1288" s="15">
        <f>A1288</f>
        <v>1286</v>
      </c>
      <c r="O1288" s="15">
        <v>5</v>
      </c>
      <c r="P1288" s="15">
        <v>179.07</v>
      </c>
      <c r="Q1288" s="16"/>
    </row>
    <row r="1289" ht="20.05" customHeight="1">
      <c r="A1289" s="13">
        <f>A1288+1</f>
        <v>1287</v>
      </c>
      <c r="B1289" s="14">
        <v>2023</v>
      </c>
      <c r="C1289" s="15">
        <v>12</v>
      </c>
      <c r="D1289" s="15">
        <v>7</v>
      </c>
      <c r="E1289" s="16"/>
      <c r="F1289" t="s" s="17">
        <v>111</v>
      </c>
      <c r="G1289" s="16"/>
      <c r="H1289" t="s" s="17">
        <v>163</v>
      </c>
      <c r="I1289" t="s" s="17">
        <v>26</v>
      </c>
      <c r="J1289" t="s" s="17">
        <v>134</v>
      </c>
      <c r="K1289" t="s" s="17">
        <v>23</v>
      </c>
      <c r="L1289" s="15">
        <f>IF(O1289,P1289/O1289,0)</f>
        <v>42.107</v>
      </c>
      <c r="M1289" s="15">
        <v>42.107</v>
      </c>
      <c r="N1289" s="15">
        <f>A1289</f>
        <v>1287</v>
      </c>
      <c r="O1289" s="15">
        <v>10</v>
      </c>
      <c r="P1289" s="15">
        <v>421.07</v>
      </c>
      <c r="Q1289" s="16"/>
    </row>
    <row r="1290" ht="20.05" customHeight="1">
      <c r="A1290" s="13">
        <f>A1289+1</f>
        <v>1288</v>
      </c>
      <c r="B1290" s="14">
        <v>2023</v>
      </c>
      <c r="C1290" s="15">
        <v>12</v>
      </c>
      <c r="D1290" s="15">
        <v>7</v>
      </c>
      <c r="E1290" s="16"/>
      <c r="F1290" t="s" s="17">
        <v>111</v>
      </c>
      <c r="G1290" s="16"/>
      <c r="H1290" t="s" s="17">
        <v>163</v>
      </c>
      <c r="I1290" t="s" s="17">
        <v>26</v>
      </c>
      <c r="J1290" t="s" s="17">
        <v>118</v>
      </c>
      <c r="K1290" t="s" s="17">
        <v>23</v>
      </c>
      <c r="L1290" s="15">
        <f>IF(O1290,P1290/O1290,0)</f>
        <v>42.106</v>
      </c>
      <c r="M1290" s="15">
        <v>42.106</v>
      </c>
      <c r="N1290" s="15">
        <f>A1290</f>
        <v>1288</v>
      </c>
      <c r="O1290" s="15">
        <v>5</v>
      </c>
      <c r="P1290" s="15">
        <v>210.53</v>
      </c>
      <c r="Q1290" s="16"/>
    </row>
    <row r="1291" ht="20.05" customHeight="1">
      <c r="A1291" s="13">
        <f>A1290+1</f>
        <v>1289</v>
      </c>
      <c r="B1291" s="14">
        <v>2023</v>
      </c>
      <c r="C1291" s="15">
        <v>12</v>
      </c>
      <c r="D1291" s="15">
        <v>7</v>
      </c>
      <c r="E1291" s="16"/>
      <c r="F1291" t="s" s="17">
        <v>111</v>
      </c>
      <c r="G1291" s="16"/>
      <c r="H1291" t="s" s="17">
        <v>163</v>
      </c>
      <c r="I1291" t="s" s="17">
        <v>19</v>
      </c>
      <c r="J1291" t="s" s="17">
        <v>81</v>
      </c>
      <c r="K1291" t="s" s="17">
        <v>23</v>
      </c>
      <c r="L1291" s="15">
        <f>IF(O1291,P1291/O1291,0)</f>
        <v>1.1900462962963</v>
      </c>
      <c r="M1291" s="15">
        <v>1.1900462962963</v>
      </c>
      <c r="N1291" s="15">
        <f>A1291</f>
        <v>1289</v>
      </c>
      <c r="O1291" s="15">
        <f t="shared" si="4663" ref="O1291:O1528">2*108</f>
        <v>216</v>
      </c>
      <c r="P1291" s="15">
        <v>257.05</v>
      </c>
      <c r="Q1291" s="16"/>
    </row>
    <row r="1292" ht="20.05" customHeight="1">
      <c r="A1292" s="13">
        <f>A1291+1</f>
        <v>1290</v>
      </c>
      <c r="B1292" s="14">
        <v>2023</v>
      </c>
      <c r="C1292" s="15">
        <v>12</v>
      </c>
      <c r="D1292" s="15">
        <v>7</v>
      </c>
      <c r="E1292" s="16"/>
      <c r="F1292" t="s" s="17">
        <v>111</v>
      </c>
      <c r="G1292" s="16"/>
      <c r="H1292" t="s" s="17">
        <v>163</v>
      </c>
      <c r="I1292" t="s" s="17">
        <v>19</v>
      </c>
      <c r="J1292" t="s" s="17">
        <v>135</v>
      </c>
      <c r="K1292" t="s" s="17">
        <v>23</v>
      </c>
      <c r="L1292" s="15">
        <f>IF(O1292,P1292/O1292,0)</f>
        <v>0.4776</v>
      </c>
      <c r="M1292" s="15">
        <v>0.4776</v>
      </c>
      <c r="N1292" s="15">
        <f>A1292</f>
        <v>1290</v>
      </c>
      <c r="O1292" s="15">
        <f>4*50</f>
        <v>200</v>
      </c>
      <c r="P1292" s="15">
        <v>95.52</v>
      </c>
      <c r="Q1292" s="16"/>
    </row>
    <row r="1293" ht="20.05" customHeight="1">
      <c r="A1293" s="13">
        <f>A1292+1</f>
        <v>1291</v>
      </c>
      <c r="B1293" s="14">
        <v>2023</v>
      </c>
      <c r="C1293" s="15">
        <v>12</v>
      </c>
      <c r="D1293" s="15">
        <v>7</v>
      </c>
      <c r="E1293" s="16"/>
      <c r="F1293" t="s" s="17">
        <v>150</v>
      </c>
      <c r="G1293" s="16"/>
      <c r="H1293" t="s" s="17">
        <v>163</v>
      </c>
      <c r="I1293" t="s" s="17">
        <v>19</v>
      </c>
      <c r="J1293" t="s" s="17">
        <v>151</v>
      </c>
      <c r="K1293" t="s" s="17">
        <v>41</v>
      </c>
      <c r="L1293" s="15">
        <f>IF(O1293,P1293/O1293,0)</f>
        <v>0.490571428571429</v>
      </c>
      <c r="M1293" s="15">
        <v>0.490571428571429</v>
      </c>
      <c r="N1293" s="15">
        <f>A1293</f>
        <v>1291</v>
      </c>
      <c r="O1293" s="15">
        <v>700</v>
      </c>
      <c r="P1293" s="42">
        <f>340*(1+1%)</f>
        <v>343.4</v>
      </c>
      <c r="Q1293" s="16"/>
    </row>
    <row r="1294" ht="20.05" customHeight="1">
      <c r="A1294" s="13">
        <f>A1293+1</f>
        <v>1292</v>
      </c>
      <c r="B1294" s="14">
        <v>2023</v>
      </c>
      <c r="C1294" s="15">
        <v>12</v>
      </c>
      <c r="D1294" s="15">
        <v>7</v>
      </c>
      <c r="E1294" s="16"/>
      <c r="F1294" t="s" s="17">
        <v>150</v>
      </c>
      <c r="G1294" s="16"/>
      <c r="H1294" t="s" s="17">
        <v>163</v>
      </c>
      <c r="I1294" t="s" s="17">
        <v>19</v>
      </c>
      <c r="J1294" t="s" s="17">
        <v>154</v>
      </c>
      <c r="K1294" t="s" s="17">
        <v>41</v>
      </c>
      <c r="L1294" s="15">
        <f>IF(O1294,P1294/O1294,0)</f>
        <v>0.28886</v>
      </c>
      <c r="M1294" s="15">
        <v>0.28886</v>
      </c>
      <c r="N1294" s="15">
        <f>A1294</f>
        <v>1292</v>
      </c>
      <c r="O1294" s="15">
        <v>2000</v>
      </c>
      <c r="P1294" s="41">
        <f>572*(1+1%)</f>
        <v>577.72</v>
      </c>
      <c r="Q1294" s="16"/>
    </row>
    <row r="1295" ht="20.05" customHeight="1">
      <c r="A1295" s="13">
        <f>A1294+1</f>
        <v>1293</v>
      </c>
      <c r="B1295" s="14">
        <v>2023</v>
      </c>
      <c r="C1295" s="15">
        <v>12</v>
      </c>
      <c r="D1295" s="15">
        <v>7</v>
      </c>
      <c r="E1295" s="16"/>
      <c r="F1295" t="s" s="17">
        <v>150</v>
      </c>
      <c r="G1295" s="16"/>
      <c r="H1295" t="s" s="17">
        <v>163</v>
      </c>
      <c r="I1295" t="s" s="17">
        <v>19</v>
      </c>
      <c r="J1295" t="s" s="17">
        <v>62</v>
      </c>
      <c r="K1295" t="s" s="17">
        <v>16</v>
      </c>
      <c r="L1295" s="15">
        <f>IF(O1295,P1295/O1295,0)</f>
        <v>0.48985</v>
      </c>
      <c r="M1295" s="15">
        <v>0.48985</v>
      </c>
      <c r="N1295" s="15">
        <f>A1295</f>
        <v>1293</v>
      </c>
      <c r="O1295" s="15">
        <v>200</v>
      </c>
      <c r="P1295" s="41">
        <f>97*(1+1%)</f>
        <v>97.97</v>
      </c>
      <c r="Q1295" s="16"/>
    </row>
    <row r="1296" ht="20.05" customHeight="1">
      <c r="A1296" s="13">
        <f>A1295+1</f>
        <v>1294</v>
      </c>
      <c r="B1296" s="14">
        <v>2023</v>
      </c>
      <c r="C1296" s="15">
        <v>12</v>
      </c>
      <c r="D1296" s="15">
        <v>7</v>
      </c>
      <c r="E1296" s="16"/>
      <c r="F1296" t="s" s="17">
        <v>287</v>
      </c>
      <c r="G1296" s="16"/>
      <c r="H1296" t="s" s="17">
        <v>163</v>
      </c>
      <c r="I1296" t="s" s="17">
        <v>14</v>
      </c>
      <c r="J1296" t="s" s="17">
        <v>288</v>
      </c>
      <c r="K1296" t="s" s="17">
        <v>23</v>
      </c>
      <c r="L1296" s="15">
        <f>IF(O1296,P1296/O1296,0)</f>
        <v>37.5383333333333</v>
      </c>
      <c r="M1296" s="15">
        <v>37.5383333333333</v>
      </c>
      <c r="N1296" s="15">
        <f>A1296</f>
        <v>1294</v>
      </c>
      <c r="O1296" s="15">
        <v>9</v>
      </c>
      <c r="P1296" s="42">
        <f t="shared" si="4009"/>
        <v>337.845</v>
      </c>
      <c r="Q1296" s="16"/>
    </row>
    <row r="1297" ht="20.05" customHeight="1">
      <c r="A1297" s="13">
        <f>A1296+1</f>
        <v>1295</v>
      </c>
      <c r="B1297" s="14">
        <v>2023</v>
      </c>
      <c r="C1297" s="15">
        <v>12</v>
      </c>
      <c r="D1297" s="15">
        <v>7</v>
      </c>
      <c r="E1297" s="16"/>
      <c r="F1297" t="s" s="17">
        <v>287</v>
      </c>
      <c r="G1297" s="16"/>
      <c r="H1297" t="s" s="17">
        <v>163</v>
      </c>
      <c r="I1297" t="s" s="17">
        <v>14</v>
      </c>
      <c r="J1297" t="s" s="17">
        <v>289</v>
      </c>
      <c r="K1297" t="s" s="17">
        <v>23</v>
      </c>
      <c r="L1297" s="15">
        <f>IF(O1297,P1297/O1297,0)</f>
        <v>32.724</v>
      </c>
      <c r="M1297" s="15">
        <v>32.724</v>
      </c>
      <c r="N1297" s="15">
        <f>A1297</f>
        <v>1295</v>
      </c>
      <c r="O1297" s="15">
        <v>10</v>
      </c>
      <c r="P1297" s="41">
        <f t="shared" si="3728"/>
        <v>327.24</v>
      </c>
      <c r="Q1297" s="16"/>
    </row>
    <row r="1298" ht="32.05" customHeight="1">
      <c r="A1298" s="13">
        <f>A1297+1</f>
        <v>1296</v>
      </c>
      <c r="B1298" s="14">
        <v>2023</v>
      </c>
      <c r="C1298" s="15">
        <v>12</v>
      </c>
      <c r="D1298" s="15">
        <v>7</v>
      </c>
      <c r="E1298" s="16"/>
      <c r="F1298" t="s" s="17">
        <v>287</v>
      </c>
      <c r="G1298" s="16"/>
      <c r="H1298" t="s" s="17">
        <v>163</v>
      </c>
      <c r="I1298" t="s" s="17">
        <v>17</v>
      </c>
      <c r="J1298" t="s" s="17">
        <v>299</v>
      </c>
      <c r="K1298" t="s" s="17">
        <v>23</v>
      </c>
      <c r="L1298" s="15">
        <f>IF(O1298,P1298/O1298,0)</f>
        <v>40.9959</v>
      </c>
      <c r="M1298" s="15">
        <v>40.9959</v>
      </c>
      <c r="N1298" s="15">
        <f>A1298</f>
        <v>1296</v>
      </c>
      <c r="O1298" s="15">
        <v>24</v>
      </c>
      <c r="P1298" s="43">
        <f t="shared" si="4691" ref="P1298:P1535">974.16+974.16*1%</f>
        <v>983.9016</v>
      </c>
      <c r="Q1298" s="16"/>
    </row>
    <row r="1299" ht="20.05" customHeight="1">
      <c r="A1299" s="13">
        <f>A1298+1</f>
        <v>1297</v>
      </c>
      <c r="B1299" s="14">
        <v>2023</v>
      </c>
      <c r="C1299" s="15">
        <v>12</v>
      </c>
      <c r="D1299" s="15">
        <v>7</v>
      </c>
      <c r="E1299" s="16"/>
      <c r="F1299" t="s" s="17">
        <v>341</v>
      </c>
      <c r="G1299" s="16"/>
      <c r="H1299" t="s" s="17">
        <v>163</v>
      </c>
      <c r="I1299" t="s" s="17">
        <v>19</v>
      </c>
      <c r="J1299" t="s" s="17">
        <v>138</v>
      </c>
      <c r="K1299" t="s" s="17">
        <v>41</v>
      </c>
      <c r="L1299" s="15">
        <f>IF(O1299,P1299/O1299,0)</f>
        <v>0.0380433333333333</v>
      </c>
      <c r="M1299" s="15">
        <v>0.0380433333333333</v>
      </c>
      <c r="N1299" s="15">
        <f>A1299</f>
        <v>1297</v>
      </c>
      <c r="O1299" s="15">
        <f t="shared" si="4695" ref="O1299:O1860">5*12*1000</f>
        <v>60000</v>
      </c>
      <c r="P1299" s="42">
        <f>2260+2260*1%</f>
        <v>2282.6</v>
      </c>
      <c r="Q1299" s="16"/>
    </row>
    <row r="1300" ht="32.05" customHeight="1">
      <c r="A1300" s="13">
        <f>A1299+1</f>
        <v>1298</v>
      </c>
      <c r="B1300" s="14">
        <v>2023</v>
      </c>
      <c r="C1300" s="15">
        <v>12</v>
      </c>
      <c r="D1300" s="15">
        <v>7</v>
      </c>
      <c r="E1300" s="16"/>
      <c r="F1300" t="s" s="17">
        <v>341</v>
      </c>
      <c r="G1300" s="16"/>
      <c r="H1300" t="s" s="17">
        <v>163</v>
      </c>
      <c r="I1300" t="s" s="17">
        <v>187</v>
      </c>
      <c r="J1300" t="s" s="17">
        <v>136</v>
      </c>
      <c r="K1300" t="s" s="17">
        <v>23</v>
      </c>
      <c r="L1300" s="15">
        <f>IF(O1300,P1300/O1300,0)</f>
        <v>0.1755</v>
      </c>
      <c r="M1300" s="15">
        <v>0.1755</v>
      </c>
      <c r="N1300" s="15">
        <f>A1300</f>
        <v>1298</v>
      </c>
      <c r="O1300" s="15">
        <f t="shared" si="4700" ref="O1300:O1467">2*12*200</f>
        <v>4800</v>
      </c>
      <c r="P1300" s="42">
        <f t="shared" si="4701" ref="P1300:P1467">702+702*20%</f>
        <v>842.4</v>
      </c>
      <c r="Q1300" s="16"/>
    </row>
    <row r="1301" ht="32.05" customHeight="1">
      <c r="A1301" s="13">
        <f>A1300+1</f>
        <v>1299</v>
      </c>
      <c r="B1301" s="14">
        <v>2023</v>
      </c>
      <c r="C1301" s="15">
        <v>12</v>
      </c>
      <c r="D1301" s="15">
        <v>7</v>
      </c>
      <c r="E1301" s="16"/>
      <c r="F1301" t="s" s="17">
        <v>341</v>
      </c>
      <c r="G1301" s="16"/>
      <c r="H1301" t="s" s="17">
        <v>163</v>
      </c>
      <c r="I1301" t="s" s="17">
        <v>187</v>
      </c>
      <c r="J1301" t="s" s="17">
        <v>165</v>
      </c>
      <c r="K1301" t="s" s="17">
        <v>23</v>
      </c>
      <c r="L1301" s="15">
        <f>IF(O1301,P1301/O1301,0)</f>
        <v>63.066</v>
      </c>
      <c r="M1301" s="15">
        <v>63.066</v>
      </c>
      <c r="N1301" s="15">
        <f>A1301</f>
        <v>1299</v>
      </c>
      <c r="O1301" s="15">
        <v>10</v>
      </c>
      <c r="P1301" s="41">
        <f>525.55+525.55*20%</f>
        <v>630.66</v>
      </c>
      <c r="Q1301" s="16"/>
    </row>
    <row r="1302" ht="32.05" customHeight="1">
      <c r="A1302" s="13">
        <f>A1301+1</f>
        <v>1300</v>
      </c>
      <c r="B1302" s="14">
        <v>2023</v>
      </c>
      <c r="C1302" s="15">
        <v>12</v>
      </c>
      <c r="D1302" s="15">
        <v>7</v>
      </c>
      <c r="E1302" s="16"/>
      <c r="F1302" t="s" s="17">
        <v>341</v>
      </c>
      <c r="G1302" s="16"/>
      <c r="H1302" t="s" s="17">
        <v>163</v>
      </c>
      <c r="I1302" t="s" s="17">
        <v>187</v>
      </c>
      <c r="J1302" t="s" s="17">
        <v>427</v>
      </c>
      <c r="K1302" t="s" s="17">
        <v>23</v>
      </c>
      <c r="L1302" s="15">
        <f>IF(O1302,P1302/O1302,0)</f>
        <v>60.858</v>
      </c>
      <c r="M1302" s="15">
        <v>60.858</v>
      </c>
      <c r="N1302" s="15">
        <f>A1302</f>
        <v>1300</v>
      </c>
      <c r="O1302" s="15">
        <v>10</v>
      </c>
      <c r="P1302" s="41">
        <f>507.15+507.15*20%</f>
        <v>608.58</v>
      </c>
      <c r="Q1302" s="16"/>
    </row>
    <row r="1303" ht="20.05" customHeight="1">
      <c r="A1303" s="13">
        <f>A1302+1</f>
        <v>1301</v>
      </c>
      <c r="B1303" s="14">
        <v>2023</v>
      </c>
      <c r="C1303" s="15">
        <v>12</v>
      </c>
      <c r="D1303" s="15">
        <v>7</v>
      </c>
      <c r="E1303" s="16"/>
      <c r="F1303" t="s" s="17">
        <v>341</v>
      </c>
      <c r="G1303" s="16"/>
      <c r="H1303" t="s" s="17">
        <v>163</v>
      </c>
      <c r="I1303" t="s" s="17">
        <v>19</v>
      </c>
      <c r="J1303" t="s" s="17">
        <v>67</v>
      </c>
      <c r="K1303" t="s" s="17">
        <v>23</v>
      </c>
      <c r="L1303" s="15">
        <f>IF(O1303,P1303/O1303,0)</f>
        <v>1.22510566666667</v>
      </c>
      <c r="M1303" s="15">
        <v>1.22510566666667</v>
      </c>
      <c r="N1303" s="15">
        <f>A1303</f>
        <v>1301</v>
      </c>
      <c r="O1303" s="15">
        <f t="shared" si="3790"/>
        <v>300</v>
      </c>
      <c r="P1303" s="43">
        <f>367.17+36.17*1%</f>
        <v>367.5317</v>
      </c>
      <c r="Q1303" s="16"/>
    </row>
    <row r="1304" ht="20.35" customHeight="1">
      <c r="A1304" s="13">
        <f>A1303+1</f>
        <v>1302</v>
      </c>
      <c r="B1304" s="14">
        <v>2023</v>
      </c>
      <c r="C1304" s="15">
        <v>12</v>
      </c>
      <c r="D1304" s="15">
        <v>8</v>
      </c>
      <c r="E1304" s="16"/>
      <c r="F1304" t="s" s="17">
        <v>130</v>
      </c>
      <c r="G1304" s="16"/>
      <c r="H1304" t="s" s="17">
        <v>163</v>
      </c>
      <c r="I1304" t="s" s="17">
        <v>19</v>
      </c>
      <c r="J1304" t="s" s="17">
        <v>157</v>
      </c>
      <c r="K1304" t="s" s="17">
        <v>16</v>
      </c>
      <c r="L1304" s="15">
        <f>IF(O1304,P1304/O1304,0)</f>
        <v>0.0169521912350598</v>
      </c>
      <c r="M1304" s="15">
        <v>0.0169521912350598</v>
      </c>
      <c r="N1304" s="15">
        <f>A1304</f>
        <v>1302</v>
      </c>
      <c r="O1304" s="15">
        <v>2008</v>
      </c>
      <c r="P1304" s="18">
        <v>34.04</v>
      </c>
      <c r="Q1304" s="16"/>
    </row>
    <row r="1305" ht="20.7" customHeight="1">
      <c r="A1305" s="13">
        <f>A1304+1</f>
        <v>1303</v>
      </c>
      <c r="B1305" s="14">
        <v>2023</v>
      </c>
      <c r="C1305" s="15">
        <v>12</v>
      </c>
      <c r="D1305" s="15">
        <v>8</v>
      </c>
      <c r="E1305" s="16"/>
      <c r="F1305" t="s" s="17">
        <v>428</v>
      </c>
      <c r="G1305" s="16"/>
      <c r="H1305" t="s" s="17">
        <v>163</v>
      </c>
      <c r="I1305" t="s" s="17">
        <v>19</v>
      </c>
      <c r="J1305" t="s" s="17">
        <v>139</v>
      </c>
      <c r="K1305" t="s" s="17">
        <v>23</v>
      </c>
      <c r="L1305" s="15">
        <f>IF(O1305,P1305/O1305,0)</f>
        <v>3.62505833333333</v>
      </c>
      <c r="M1305" s="15">
        <v>3.62505833333333</v>
      </c>
      <c r="N1305" s="15">
        <f>A1305</f>
        <v>1303</v>
      </c>
      <c r="O1305" s="19">
        <f t="shared" si="4721" ref="O1305:O1460">3*24</f>
        <v>72</v>
      </c>
      <c r="P1305" s="47">
        <f t="shared" si="4722" ref="P1305:P1460">258.42+258.42*1%</f>
        <v>261.0042</v>
      </c>
      <c r="Q1305" s="21"/>
    </row>
    <row r="1306" ht="20.7" customHeight="1">
      <c r="A1306" s="13">
        <f>A1305+1</f>
        <v>1304</v>
      </c>
      <c r="B1306" s="14">
        <v>2023</v>
      </c>
      <c r="C1306" s="15">
        <v>12</v>
      </c>
      <c r="D1306" s="15">
        <v>8</v>
      </c>
      <c r="E1306" s="16"/>
      <c r="F1306" t="s" s="17">
        <v>428</v>
      </c>
      <c r="G1306" s="16"/>
      <c r="H1306" t="s" s="17">
        <v>163</v>
      </c>
      <c r="I1306" t="s" s="17">
        <v>19</v>
      </c>
      <c r="J1306" t="s" s="17">
        <v>101</v>
      </c>
      <c r="K1306" t="s" s="17">
        <v>23</v>
      </c>
      <c r="L1306" s="15">
        <f>IF(O1306,P1306/O1306,0)</f>
        <v>7.291625</v>
      </c>
      <c r="M1306" s="15">
        <v>7.291625</v>
      </c>
      <c r="N1306" s="15">
        <f>A1306</f>
        <v>1304</v>
      </c>
      <c r="O1306" s="19">
        <v>24</v>
      </c>
      <c r="P1306" s="46">
        <f t="shared" si="4726" ref="P1306:P1500">159.09+159.09*10%</f>
        <v>174.999</v>
      </c>
      <c r="Q1306" s="21"/>
    </row>
    <row r="1307" ht="20.35" customHeight="1">
      <c r="A1307" s="13">
        <f>A1306+1</f>
        <v>1305</v>
      </c>
      <c r="B1307" s="14">
        <v>2023</v>
      </c>
      <c r="C1307" s="15">
        <v>12</v>
      </c>
      <c r="D1307" s="15">
        <v>9</v>
      </c>
      <c r="E1307" s="16"/>
      <c r="F1307" t="s" s="17">
        <v>130</v>
      </c>
      <c r="G1307" s="16"/>
      <c r="H1307" t="s" s="17">
        <v>163</v>
      </c>
      <c r="I1307" t="s" s="17">
        <v>187</v>
      </c>
      <c r="J1307" t="s" s="17">
        <v>72</v>
      </c>
      <c r="K1307" t="s" s="17">
        <v>41</v>
      </c>
      <c r="L1307" s="15">
        <f>IF(O1307,P1307/O1307,0)</f>
        <v>0.3996</v>
      </c>
      <c r="M1307" s="15">
        <v>0.3996</v>
      </c>
      <c r="N1307" s="15">
        <f>A1307</f>
        <v>1305</v>
      </c>
      <c r="O1307" s="15">
        <v>250</v>
      </c>
      <c r="P1307" s="22">
        <v>99.90000000000001</v>
      </c>
      <c r="Q1307" s="16"/>
    </row>
    <row r="1308" ht="20.05" customHeight="1">
      <c r="A1308" s="13">
        <f>A1307+1</f>
        <v>1306</v>
      </c>
      <c r="B1308" s="14">
        <v>2023</v>
      </c>
      <c r="C1308" s="15">
        <v>12</v>
      </c>
      <c r="D1308" s="15">
        <v>9</v>
      </c>
      <c r="E1308" s="16"/>
      <c r="F1308" t="s" s="17">
        <v>130</v>
      </c>
      <c r="G1308" s="16"/>
      <c r="H1308" t="s" s="17">
        <v>163</v>
      </c>
      <c r="I1308" t="s" s="17">
        <v>19</v>
      </c>
      <c r="J1308" t="s" s="17">
        <v>157</v>
      </c>
      <c r="K1308" t="s" s="17">
        <v>16</v>
      </c>
      <c r="L1308" s="15">
        <f>IF(O1308,P1308/O1308,0)</f>
        <v>0.00995019920318725</v>
      </c>
      <c r="M1308" s="15">
        <v>0.00995019920318725</v>
      </c>
      <c r="N1308" s="15">
        <f>A1308</f>
        <v>1306</v>
      </c>
      <c r="O1308" s="15">
        <v>2008</v>
      </c>
      <c r="P1308" s="15">
        <v>19.98</v>
      </c>
      <c r="Q1308" s="16"/>
    </row>
    <row r="1309" ht="20.05" customHeight="1">
      <c r="A1309" s="13">
        <f>A1308+1</f>
        <v>1307</v>
      </c>
      <c r="B1309" s="14">
        <v>2023</v>
      </c>
      <c r="C1309" s="15">
        <v>12</v>
      </c>
      <c r="D1309" s="15">
        <v>9</v>
      </c>
      <c r="E1309" s="16"/>
      <c r="F1309" t="s" s="17">
        <v>287</v>
      </c>
      <c r="G1309" s="16"/>
      <c r="H1309" t="s" s="17">
        <v>163</v>
      </c>
      <c r="I1309" t="s" s="17">
        <v>14</v>
      </c>
      <c r="J1309" t="s" s="17">
        <v>288</v>
      </c>
      <c r="K1309" t="s" s="17">
        <v>23</v>
      </c>
      <c r="L1309" s="15">
        <f>IF(O1309,P1309/O1309,0)</f>
        <v>33.7845</v>
      </c>
      <c r="M1309" s="15">
        <v>33.7845</v>
      </c>
      <c r="N1309" s="15">
        <f>A1309</f>
        <v>1307</v>
      </c>
      <c r="O1309" s="15">
        <f t="shared" si="4225"/>
        <v>20</v>
      </c>
      <c r="P1309" s="41">
        <f t="shared" si="4737" ref="P1309:P1547">669+669*1%</f>
        <v>675.6900000000001</v>
      </c>
      <c r="Q1309" s="16"/>
    </row>
    <row r="1310" ht="32.05" customHeight="1">
      <c r="A1310" s="13">
        <f>A1309+1</f>
        <v>1308</v>
      </c>
      <c r="B1310" s="14">
        <v>2023</v>
      </c>
      <c r="C1310" s="15">
        <v>12</v>
      </c>
      <c r="D1310" s="15">
        <v>9</v>
      </c>
      <c r="E1310" s="16"/>
      <c r="F1310" t="s" s="17">
        <v>287</v>
      </c>
      <c r="G1310" s="16"/>
      <c r="H1310" t="s" s="17">
        <v>163</v>
      </c>
      <c r="I1310" t="s" s="17">
        <v>17</v>
      </c>
      <c r="J1310" t="s" s="17">
        <v>300</v>
      </c>
      <c r="K1310" t="s" s="17">
        <v>23</v>
      </c>
      <c r="L1310" s="15">
        <f>IF(O1310,P1310/O1310,0)</f>
        <v>35.2995</v>
      </c>
      <c r="M1310" s="15">
        <v>35.2995</v>
      </c>
      <c r="N1310" s="15">
        <f>A1310</f>
        <v>1308</v>
      </c>
      <c r="O1310" s="15">
        <v>24</v>
      </c>
      <c r="P1310" s="42">
        <f t="shared" si="4741" ref="P1310:P1551">838.8+838.8*1%</f>
        <v>847.188</v>
      </c>
      <c r="Q1310" s="16"/>
    </row>
    <row r="1311" ht="20.05" customHeight="1">
      <c r="A1311" s="13">
        <f>A1310+1</f>
        <v>1309</v>
      </c>
      <c r="B1311" s="14">
        <v>2023</v>
      </c>
      <c r="C1311" s="15">
        <v>12</v>
      </c>
      <c r="D1311" s="15">
        <v>9</v>
      </c>
      <c r="E1311" s="16"/>
      <c r="F1311" t="s" s="17">
        <v>141</v>
      </c>
      <c r="G1311" s="16"/>
      <c r="H1311" t="s" s="17">
        <v>163</v>
      </c>
      <c r="I1311" t="s" s="17">
        <v>19</v>
      </c>
      <c r="J1311" t="s" s="17">
        <v>142</v>
      </c>
      <c r="K1311" t="s" s="17">
        <v>23</v>
      </c>
      <c r="L1311" s="15">
        <f>IF(O1311,P1311/O1311,0)</f>
        <v>13.8515208333333</v>
      </c>
      <c r="M1311" s="15">
        <v>13.8515208333333</v>
      </c>
      <c r="N1311" s="15">
        <f>A1311</f>
        <v>1309</v>
      </c>
      <c r="O1311" s="15">
        <f t="shared" si="3886"/>
        <v>48</v>
      </c>
      <c r="P1311" s="42">
        <f t="shared" si="4208"/>
        <v>664.873</v>
      </c>
      <c r="Q1311" s="16"/>
    </row>
    <row r="1312" ht="20.05" customHeight="1">
      <c r="A1312" s="13">
        <f>A1311+1</f>
        <v>1310</v>
      </c>
      <c r="B1312" s="14">
        <v>2023</v>
      </c>
      <c r="C1312" s="15">
        <v>12</v>
      </c>
      <c r="D1312" s="15">
        <v>9</v>
      </c>
      <c r="E1312" s="16"/>
      <c r="F1312" t="s" s="17">
        <v>141</v>
      </c>
      <c r="G1312" s="16"/>
      <c r="H1312" t="s" s="17">
        <v>163</v>
      </c>
      <c r="I1312" t="s" s="17">
        <v>19</v>
      </c>
      <c r="J1312" t="s" s="17">
        <v>144</v>
      </c>
      <c r="K1312" t="s" s="17">
        <v>23</v>
      </c>
      <c r="L1312" s="15">
        <f>IF(O1312,P1312/O1312,0)</f>
        <v>13.85175</v>
      </c>
      <c r="M1312" s="15">
        <v>13.85175</v>
      </c>
      <c r="N1312" s="15">
        <f>A1312</f>
        <v>1310</v>
      </c>
      <c r="O1312" s="15">
        <v>24</v>
      </c>
      <c r="P1312" s="42">
        <f t="shared" si="4750" ref="P1312:P1566">302.22+302.22*10%</f>
        <v>332.442</v>
      </c>
      <c r="Q1312" s="16"/>
    </row>
    <row r="1313" ht="20.05" customHeight="1">
      <c r="A1313" s="13">
        <f>A1312+1</f>
        <v>1311</v>
      </c>
      <c r="B1313" s="14">
        <v>2023</v>
      </c>
      <c r="C1313" s="15">
        <v>12</v>
      </c>
      <c r="D1313" s="15">
        <v>9</v>
      </c>
      <c r="E1313" s="16"/>
      <c r="F1313" t="s" s="17">
        <v>141</v>
      </c>
      <c r="G1313" s="16"/>
      <c r="H1313" t="s" s="17">
        <v>163</v>
      </c>
      <c r="I1313" t="s" s="17">
        <v>19</v>
      </c>
      <c r="J1313" t="s" s="17">
        <v>159</v>
      </c>
      <c r="K1313" t="s" s="17">
        <v>23</v>
      </c>
      <c r="L1313" s="15">
        <f>IF(O1313,P1313/O1313,0)</f>
        <v>2.4792975</v>
      </c>
      <c r="M1313" s="15">
        <v>2.4792975</v>
      </c>
      <c r="N1313" s="15">
        <f>A1313</f>
        <v>1311</v>
      </c>
      <c r="O1313" s="15">
        <f t="shared" si="4216"/>
        <v>120</v>
      </c>
      <c r="P1313" s="43">
        <f t="shared" si="4217"/>
        <v>297.5157</v>
      </c>
      <c r="Q1313" s="16"/>
    </row>
    <row r="1314" ht="20.05" customHeight="1">
      <c r="A1314" s="13">
        <f>A1313+1</f>
        <v>1312</v>
      </c>
      <c r="B1314" s="14">
        <v>2023</v>
      </c>
      <c r="C1314" s="15">
        <v>12</v>
      </c>
      <c r="D1314" s="15">
        <v>9</v>
      </c>
      <c r="E1314" s="16"/>
      <c r="F1314" t="s" s="17">
        <v>141</v>
      </c>
      <c r="G1314" s="16"/>
      <c r="H1314" t="s" s="17">
        <v>163</v>
      </c>
      <c r="I1314" s="16"/>
      <c r="J1314" t="s" s="17">
        <v>337</v>
      </c>
      <c r="K1314" t="s" s="17">
        <v>23</v>
      </c>
      <c r="L1314" s="15">
        <f>IF(O1314,P1314/O1314,0)</f>
        <v>-114</v>
      </c>
      <c r="M1314" s="15">
        <v>-114</v>
      </c>
      <c r="N1314" s="15">
        <f>A1314</f>
        <v>1312</v>
      </c>
      <c r="O1314" s="15">
        <v>1</v>
      </c>
      <c r="P1314" s="15">
        <v>-114</v>
      </c>
      <c r="Q1314" s="16"/>
    </row>
    <row r="1315" ht="20.05" customHeight="1">
      <c r="A1315" s="13">
        <f>A1314+1</f>
        <v>1313</v>
      </c>
      <c r="B1315" s="14">
        <v>2023</v>
      </c>
      <c r="C1315" s="15">
        <v>12</v>
      </c>
      <c r="D1315" s="15">
        <v>10</v>
      </c>
      <c r="E1315" s="16"/>
      <c r="F1315" t="s" s="17">
        <v>130</v>
      </c>
      <c r="G1315" s="16"/>
      <c r="H1315" t="s" s="17">
        <v>163</v>
      </c>
      <c r="I1315" t="s" s="17">
        <v>19</v>
      </c>
      <c r="J1315" t="s" s="17">
        <v>157</v>
      </c>
      <c r="K1315" t="s" s="17">
        <v>16</v>
      </c>
      <c r="L1315" s="15">
        <f>IF(O1315,P1315/O1315,0)</f>
        <v>0.009948453608247421</v>
      </c>
      <c r="M1315" s="15">
        <v>0.009948453608247421</v>
      </c>
      <c r="N1315" s="15">
        <f>A1315</f>
        <v>1313</v>
      </c>
      <c r="O1315" s="15">
        <v>970</v>
      </c>
      <c r="P1315" s="15">
        <v>9.65</v>
      </c>
      <c r="Q1315" s="16"/>
    </row>
    <row r="1316" ht="20.05" customHeight="1">
      <c r="A1316" s="13">
        <f>A1315+1</f>
        <v>1314</v>
      </c>
      <c r="B1316" s="14">
        <v>2023</v>
      </c>
      <c r="C1316" s="15">
        <v>12</v>
      </c>
      <c r="D1316" s="15">
        <v>10</v>
      </c>
      <c r="E1316" s="16"/>
      <c r="F1316" t="s" s="17">
        <v>130</v>
      </c>
      <c r="G1316" s="16"/>
      <c r="H1316" t="s" s="17">
        <v>163</v>
      </c>
      <c r="I1316" t="s" s="17">
        <v>19</v>
      </c>
      <c r="J1316" t="s" s="17">
        <v>418</v>
      </c>
      <c r="K1316" t="s" s="17">
        <v>23</v>
      </c>
      <c r="L1316" s="15">
        <f>IF(O1316,P1316/O1316,0)</f>
        <v>2.95</v>
      </c>
      <c r="M1316" s="15">
        <v>2.95</v>
      </c>
      <c r="N1316" s="15">
        <f>A1316</f>
        <v>1314</v>
      </c>
      <c r="O1316" s="15">
        <v>12</v>
      </c>
      <c r="P1316" s="15">
        <v>35.4</v>
      </c>
      <c r="Q1316" s="16"/>
    </row>
    <row r="1317" ht="20.05" customHeight="1">
      <c r="A1317" s="13">
        <f>A1316+1</f>
        <v>1315</v>
      </c>
      <c r="B1317" s="14">
        <v>2023</v>
      </c>
      <c r="C1317" s="15">
        <v>12</v>
      </c>
      <c r="D1317" s="15">
        <v>10</v>
      </c>
      <c r="E1317" s="16"/>
      <c r="F1317" t="s" s="17">
        <v>429</v>
      </c>
      <c r="G1317" s="16"/>
      <c r="H1317" t="s" s="17">
        <v>163</v>
      </c>
      <c r="I1317" t="s" s="17">
        <v>187</v>
      </c>
      <c r="J1317" t="s" s="17">
        <v>170</v>
      </c>
      <c r="K1317" t="s" s="17">
        <v>23</v>
      </c>
      <c r="L1317" s="15">
        <f>IF(O1317,P1317/O1317,0)</f>
        <v>44</v>
      </c>
      <c r="M1317" s="15">
        <v>44</v>
      </c>
      <c r="N1317" s="15">
        <f>A1317</f>
        <v>1315</v>
      </c>
      <c r="O1317" s="15">
        <v>10</v>
      </c>
      <c r="P1317" s="41">
        <f>400+400*10%</f>
        <v>440</v>
      </c>
      <c r="Q1317" s="16"/>
    </row>
    <row r="1318" ht="20.05" customHeight="1">
      <c r="A1318" s="13">
        <f>A1317+1</f>
        <v>1316</v>
      </c>
      <c r="B1318" s="14">
        <v>2023</v>
      </c>
      <c r="C1318" s="15">
        <v>12</v>
      </c>
      <c r="D1318" s="15">
        <v>10</v>
      </c>
      <c r="E1318" s="16"/>
      <c r="F1318" t="s" s="17">
        <v>429</v>
      </c>
      <c r="G1318" s="16"/>
      <c r="H1318" t="s" s="17">
        <v>163</v>
      </c>
      <c r="I1318" t="s" s="17">
        <v>187</v>
      </c>
      <c r="J1318" t="s" s="17">
        <v>430</v>
      </c>
      <c r="K1318" t="s" s="17">
        <v>23</v>
      </c>
      <c r="L1318" s="15">
        <f>IF(O1318,P1318/O1318,0)</f>
        <v>38.5</v>
      </c>
      <c r="M1318" s="15">
        <v>38.5</v>
      </c>
      <c r="N1318" s="15">
        <f>A1318</f>
        <v>1316</v>
      </c>
      <c r="O1318" s="15">
        <v>10</v>
      </c>
      <c r="P1318" s="41">
        <f>350+350*10%</f>
        <v>385</v>
      </c>
      <c r="Q1318" s="16"/>
    </row>
    <row r="1319" ht="20.05" customHeight="1">
      <c r="A1319" s="13">
        <f>A1318+1</f>
        <v>1317</v>
      </c>
      <c r="B1319" s="14">
        <v>2023</v>
      </c>
      <c r="C1319" s="15">
        <v>12</v>
      </c>
      <c r="D1319" s="15">
        <v>10</v>
      </c>
      <c r="E1319" s="16"/>
      <c r="F1319" t="s" s="17">
        <v>429</v>
      </c>
      <c r="G1319" s="16"/>
      <c r="H1319" t="s" s="17">
        <v>163</v>
      </c>
      <c r="I1319" t="s" s="17">
        <v>187</v>
      </c>
      <c r="J1319" t="s" s="17">
        <v>431</v>
      </c>
      <c r="K1319" t="s" s="17">
        <v>23</v>
      </c>
      <c r="L1319" s="15">
        <f>IF(O1319,P1319/O1319,0)</f>
        <v>72</v>
      </c>
      <c r="M1319" s="15">
        <v>72</v>
      </c>
      <c r="N1319" s="15">
        <f>A1319</f>
        <v>1317</v>
      </c>
      <c r="O1319" s="15">
        <v>2</v>
      </c>
      <c r="P1319" s="41">
        <f>120+120*20%</f>
        <v>144</v>
      </c>
      <c r="Q1319" s="16"/>
    </row>
    <row r="1320" ht="20.05" customHeight="1">
      <c r="A1320" s="13">
        <f>A1319+1</f>
        <v>1318</v>
      </c>
      <c r="B1320" s="14">
        <v>2023</v>
      </c>
      <c r="C1320" s="15">
        <v>12</v>
      </c>
      <c r="D1320" s="15">
        <v>10</v>
      </c>
      <c r="E1320" s="16"/>
      <c r="F1320" t="s" s="17">
        <v>429</v>
      </c>
      <c r="G1320" s="16"/>
      <c r="H1320" t="s" s="17">
        <v>163</v>
      </c>
      <c r="I1320" t="s" s="17">
        <v>187</v>
      </c>
      <c r="J1320" t="s" s="17">
        <v>432</v>
      </c>
      <c r="K1320" t="s" s="17">
        <v>23</v>
      </c>
      <c r="L1320" s="15">
        <f>IF(O1320,P1320/O1320,0)</f>
        <v>55</v>
      </c>
      <c r="M1320" s="15">
        <v>55</v>
      </c>
      <c r="N1320" s="15">
        <f>A1320</f>
        <v>1318</v>
      </c>
      <c r="O1320" s="15">
        <v>2</v>
      </c>
      <c r="P1320" s="41">
        <f>100+100*10%</f>
        <v>110</v>
      </c>
      <c r="Q1320" s="16"/>
    </row>
    <row r="1321" ht="20.05" customHeight="1">
      <c r="A1321" s="13">
        <f>A1320+1</f>
        <v>1319</v>
      </c>
      <c r="B1321" s="14">
        <v>2023</v>
      </c>
      <c r="C1321" s="15">
        <v>12</v>
      </c>
      <c r="D1321" s="15">
        <v>11</v>
      </c>
      <c r="E1321" s="16"/>
      <c r="F1321" t="s" s="17">
        <v>287</v>
      </c>
      <c r="G1321" s="16"/>
      <c r="H1321" t="s" s="17">
        <v>163</v>
      </c>
      <c r="I1321" t="s" s="17">
        <v>14</v>
      </c>
      <c r="J1321" t="s" s="17">
        <v>289</v>
      </c>
      <c r="K1321" t="s" s="17">
        <v>23</v>
      </c>
      <c r="L1321" s="15">
        <f>IF(O1321,P1321/O1321,0)</f>
        <v>32.724</v>
      </c>
      <c r="M1321" s="15">
        <v>32.724</v>
      </c>
      <c r="N1321" s="15">
        <f>A1321</f>
        <v>1319</v>
      </c>
      <c r="O1321" s="15">
        <v>10</v>
      </c>
      <c r="P1321" s="41">
        <f t="shared" si="4784" ref="P1321:P1561">324+(324*1%)</f>
        <v>327.24</v>
      </c>
      <c r="Q1321" s="16"/>
    </row>
    <row r="1322" ht="32.05" customHeight="1">
      <c r="A1322" s="13">
        <f>A1321+1</f>
        <v>1320</v>
      </c>
      <c r="B1322" s="14">
        <v>2023</v>
      </c>
      <c r="C1322" s="15">
        <v>12</v>
      </c>
      <c r="D1322" s="15">
        <v>11</v>
      </c>
      <c r="E1322" s="16"/>
      <c r="F1322" t="s" s="17">
        <v>287</v>
      </c>
      <c r="G1322" s="16"/>
      <c r="H1322" t="s" s="17">
        <v>163</v>
      </c>
      <c r="I1322" t="s" s="17">
        <v>14</v>
      </c>
      <c r="J1322" t="s" s="17">
        <v>283</v>
      </c>
      <c r="K1322" t="s" s="17">
        <v>23</v>
      </c>
      <c r="L1322" s="15">
        <f>IF(O1322,P1322/O1322,0)</f>
        <v>35.8045</v>
      </c>
      <c r="M1322" s="15">
        <v>35.8045</v>
      </c>
      <c r="N1322" s="15">
        <f>A1322</f>
        <v>1320</v>
      </c>
      <c r="O1322" s="15">
        <v>10</v>
      </c>
      <c r="P1322" s="42">
        <f t="shared" si="4005"/>
        <v>358.045</v>
      </c>
      <c r="Q1322" s="16"/>
    </row>
    <row r="1323" ht="20.05" customHeight="1">
      <c r="A1323" s="13">
        <f>A1322+1</f>
        <v>1321</v>
      </c>
      <c r="B1323" s="14">
        <v>2023</v>
      </c>
      <c r="C1323" s="15">
        <v>12</v>
      </c>
      <c r="D1323" s="15">
        <v>11</v>
      </c>
      <c r="E1323" s="16"/>
      <c r="F1323" t="s" s="17">
        <v>287</v>
      </c>
      <c r="G1323" s="16"/>
      <c r="H1323" t="s" s="17">
        <v>163</v>
      </c>
      <c r="I1323" t="s" s="17">
        <v>14</v>
      </c>
      <c r="J1323" t="s" s="17">
        <v>433</v>
      </c>
      <c r="K1323" t="s" s="17">
        <v>23</v>
      </c>
      <c r="L1323" s="15">
        <f>IF(O1323,P1323/O1323,0)</f>
        <v>39.289</v>
      </c>
      <c r="M1323" s="15">
        <v>39.289</v>
      </c>
      <c r="N1323" s="15">
        <f>A1323</f>
        <v>1321</v>
      </c>
      <c r="O1323" s="15">
        <v>10</v>
      </c>
      <c r="P1323" s="41">
        <f t="shared" si="4792" ref="P1323:P1550">389+389*1%</f>
        <v>392.89</v>
      </c>
      <c r="Q1323" s="16"/>
    </row>
    <row r="1324" ht="32.05" customHeight="1">
      <c r="A1324" s="13">
        <f>A1323+1</f>
        <v>1322</v>
      </c>
      <c r="B1324" s="14">
        <v>2023</v>
      </c>
      <c r="C1324" s="15">
        <v>12</v>
      </c>
      <c r="D1324" s="15">
        <v>11</v>
      </c>
      <c r="E1324" s="16"/>
      <c r="F1324" t="s" s="17">
        <v>287</v>
      </c>
      <c r="G1324" s="16"/>
      <c r="H1324" t="s" s="17">
        <v>163</v>
      </c>
      <c r="I1324" t="s" s="17">
        <v>17</v>
      </c>
      <c r="J1324" t="s" s="17">
        <v>299</v>
      </c>
      <c r="K1324" t="s" s="17">
        <v>23</v>
      </c>
      <c r="L1324" s="15">
        <f>IF(O1324,P1324/O1324,0)</f>
        <v>40.9959</v>
      </c>
      <c r="M1324" s="15">
        <v>40.9959</v>
      </c>
      <c r="N1324" s="15">
        <f>A1324</f>
        <v>1322</v>
      </c>
      <c r="O1324" s="15">
        <v>24</v>
      </c>
      <c r="P1324" s="43">
        <f t="shared" si="4691"/>
        <v>983.9016</v>
      </c>
      <c r="Q1324" s="16"/>
    </row>
    <row r="1325" ht="32.05" customHeight="1">
      <c r="A1325" s="13">
        <f>A1324+1</f>
        <v>1323</v>
      </c>
      <c r="B1325" s="14">
        <v>2023</v>
      </c>
      <c r="C1325" s="15">
        <v>12</v>
      </c>
      <c r="D1325" s="15">
        <v>11</v>
      </c>
      <c r="E1325" s="16"/>
      <c r="F1325" t="s" s="17">
        <v>287</v>
      </c>
      <c r="G1325" s="16"/>
      <c r="H1325" t="s" s="17">
        <v>163</v>
      </c>
      <c r="I1325" t="s" s="17">
        <v>17</v>
      </c>
      <c r="J1325" t="s" s="17">
        <v>434</v>
      </c>
      <c r="K1325" t="s" s="17">
        <v>23</v>
      </c>
      <c r="L1325" s="15">
        <f>IF(O1325,P1325/O1325,0)</f>
        <v>47.6215</v>
      </c>
      <c r="M1325" s="15">
        <v>47.6215</v>
      </c>
      <c r="N1325" s="15">
        <f>A1325</f>
        <v>1323</v>
      </c>
      <c r="O1325" s="15">
        <v>24</v>
      </c>
      <c r="P1325" s="42">
        <f t="shared" si="4800" ref="P1325:P1552">1131.6+1131.6*1%</f>
        <v>1142.916</v>
      </c>
      <c r="Q1325" s="16"/>
    </row>
    <row r="1326" ht="20.05" customHeight="1">
      <c r="A1326" s="13">
        <f>A1325+1</f>
        <v>1324</v>
      </c>
      <c r="B1326" s="14">
        <v>2023</v>
      </c>
      <c r="C1326" s="15">
        <v>12</v>
      </c>
      <c r="D1326" s="15">
        <v>11</v>
      </c>
      <c r="E1326" s="16"/>
      <c r="F1326" t="s" s="17">
        <v>130</v>
      </c>
      <c r="G1326" s="16"/>
      <c r="H1326" t="s" s="17">
        <v>163</v>
      </c>
      <c r="I1326" t="s" s="17">
        <v>26</v>
      </c>
      <c r="J1326" t="s" s="17">
        <v>113</v>
      </c>
      <c r="K1326" t="s" s="17">
        <v>41</v>
      </c>
      <c r="L1326" s="15">
        <f>IF(O1326,P1326/O1326,0)</f>
        <v>0.03475</v>
      </c>
      <c r="M1326" s="15">
        <v>0.03475</v>
      </c>
      <c r="N1326" s="15">
        <f>A1326</f>
        <v>1324</v>
      </c>
      <c r="O1326" s="15">
        <v>2000</v>
      </c>
      <c r="P1326" s="15">
        <v>69.5</v>
      </c>
      <c r="Q1326" s="16"/>
    </row>
    <row r="1327" ht="20.05" customHeight="1">
      <c r="A1327" s="13">
        <f>A1326+1</f>
        <v>1325</v>
      </c>
      <c r="B1327" s="14">
        <v>2023</v>
      </c>
      <c r="C1327" s="15">
        <v>12</v>
      </c>
      <c r="D1327" s="15">
        <v>13</v>
      </c>
      <c r="E1327" s="16"/>
      <c r="F1327" t="s" s="17">
        <v>341</v>
      </c>
      <c r="G1327" s="16"/>
      <c r="H1327" t="s" s="17">
        <v>163</v>
      </c>
      <c r="I1327" t="s" s="17">
        <v>19</v>
      </c>
      <c r="J1327" t="s" s="17">
        <v>138</v>
      </c>
      <c r="K1327" t="s" s="17">
        <v>41</v>
      </c>
      <c r="L1327" s="15">
        <f>IF(O1327,P1327/O1327,0)</f>
        <v>0.0380433333333333</v>
      </c>
      <c r="M1327" s="15">
        <v>0.0380433333333333</v>
      </c>
      <c r="N1327" s="15">
        <f>A1327</f>
        <v>1325</v>
      </c>
      <c r="O1327" s="15">
        <f t="shared" si="4807" ref="O1327:O1455">4*12*1000</f>
        <v>48000</v>
      </c>
      <c r="P1327" s="41">
        <f t="shared" si="4289"/>
        <v>1826.08</v>
      </c>
      <c r="Q1327" s="16"/>
    </row>
    <row r="1328" ht="32.05" customHeight="1">
      <c r="A1328" s="13">
        <f>A1327+1</f>
        <v>1326</v>
      </c>
      <c r="B1328" s="14">
        <v>2023</v>
      </c>
      <c r="C1328" s="15">
        <v>12</v>
      </c>
      <c r="D1328" s="15">
        <v>13</v>
      </c>
      <c r="E1328" s="16"/>
      <c r="F1328" t="s" s="17">
        <v>341</v>
      </c>
      <c r="G1328" s="16"/>
      <c r="H1328" t="s" s="17">
        <v>163</v>
      </c>
      <c r="I1328" t="s" s="17">
        <v>187</v>
      </c>
      <c r="J1328" t="s" s="17">
        <v>136</v>
      </c>
      <c r="K1328" t="s" s="17">
        <v>23</v>
      </c>
      <c r="L1328" s="15">
        <f>IF(O1328,P1328/O1328,0)</f>
        <v>0.1755</v>
      </c>
      <c r="M1328" s="15">
        <v>0.1755</v>
      </c>
      <c r="N1328" s="15">
        <f>A1328</f>
        <v>1326</v>
      </c>
      <c r="O1328" s="15">
        <f>3*12*200</f>
        <v>7200</v>
      </c>
      <c r="P1328" s="42">
        <f t="shared" si="4813" ref="P1328:P1523">1053+1053*20%</f>
        <v>1263.6</v>
      </c>
      <c r="Q1328" s="15">
        <f>2106/2</f>
        <v>1053</v>
      </c>
    </row>
    <row r="1329" ht="20.05" customHeight="1">
      <c r="A1329" s="13">
        <f>A1328+1</f>
        <v>1327</v>
      </c>
      <c r="B1329" s="14">
        <v>2023</v>
      </c>
      <c r="C1329" s="15">
        <v>12</v>
      </c>
      <c r="D1329" s="15">
        <v>13</v>
      </c>
      <c r="E1329" s="16"/>
      <c r="F1329" t="s" s="17">
        <v>341</v>
      </c>
      <c r="G1329" s="16"/>
      <c r="H1329" t="s" s="17">
        <v>163</v>
      </c>
      <c r="I1329" t="s" s="17">
        <v>187</v>
      </c>
      <c r="J1329" t="s" s="17">
        <v>128</v>
      </c>
      <c r="K1329" t="s" s="17">
        <v>23</v>
      </c>
      <c r="L1329" s="15">
        <f>IF(O1329,P1329/O1329,0)</f>
        <v>25.55</v>
      </c>
      <c r="M1329" s="15">
        <v>25.55</v>
      </c>
      <c r="N1329" s="15">
        <f>A1329</f>
        <v>1327</v>
      </c>
      <c r="O1329" s="15">
        <f t="shared" si="4818" ref="O1329:O1640">24</f>
        <v>24</v>
      </c>
      <c r="P1329" s="42">
        <f t="shared" si="4316"/>
        <v>613.2</v>
      </c>
      <c r="Q1329" s="15">
        <f>1022.01/2</f>
        <v>511.005</v>
      </c>
    </row>
    <row r="1330" ht="20.05" customHeight="1">
      <c r="A1330" s="13">
        <f>A1329+1</f>
        <v>1328</v>
      </c>
      <c r="B1330" s="14">
        <v>2023</v>
      </c>
      <c r="C1330" s="15">
        <v>12</v>
      </c>
      <c r="D1330" s="15">
        <v>13</v>
      </c>
      <c r="E1330" s="16"/>
      <c r="F1330" t="s" s="17">
        <v>341</v>
      </c>
      <c r="G1330" s="16"/>
      <c r="H1330" t="s" s="17">
        <v>163</v>
      </c>
      <c r="I1330" t="s" s="17">
        <v>187</v>
      </c>
      <c r="J1330" t="s" s="17">
        <v>161</v>
      </c>
      <c r="K1330" t="s" s="17">
        <v>23</v>
      </c>
      <c r="L1330" s="15">
        <f>IF(O1330,P1330/O1330,0)</f>
        <v>11.45</v>
      </c>
      <c r="M1330" s="15">
        <v>11.45</v>
      </c>
      <c r="N1330" s="15">
        <f>A1330</f>
        <v>1328</v>
      </c>
      <c r="O1330" s="15">
        <v>24</v>
      </c>
      <c r="P1330" s="42">
        <f>229+229*20%</f>
        <v>274.8</v>
      </c>
      <c r="Q1330" s="15">
        <f>458.01/2</f>
        <v>229.005</v>
      </c>
    </row>
    <row r="1331" ht="32.05" customHeight="1">
      <c r="A1331" s="13">
        <f>A1330+1</f>
        <v>1329</v>
      </c>
      <c r="B1331" s="14">
        <v>2023</v>
      </c>
      <c r="C1331" s="15">
        <v>12</v>
      </c>
      <c r="D1331" s="15">
        <v>13</v>
      </c>
      <c r="E1331" s="16"/>
      <c r="F1331" t="s" s="17">
        <v>341</v>
      </c>
      <c r="G1331" s="16"/>
      <c r="H1331" t="s" s="17">
        <v>163</v>
      </c>
      <c r="I1331" t="s" s="17">
        <v>187</v>
      </c>
      <c r="J1331" t="s" s="17">
        <v>165</v>
      </c>
      <c r="K1331" t="s" s="17">
        <v>23</v>
      </c>
      <c r="L1331" s="15">
        <f>IF(O1331,P1331/O1331,0)</f>
        <v>47.61</v>
      </c>
      <c r="M1331" s="15">
        <v>47.61</v>
      </c>
      <c r="N1331" s="15">
        <f>A1331</f>
        <v>1329</v>
      </c>
      <c r="O1331" s="15">
        <v>10</v>
      </c>
      <c r="P1331" s="42">
        <f t="shared" si="2849"/>
        <v>476.1</v>
      </c>
      <c r="Q1331" s="16"/>
    </row>
    <row r="1332" ht="20.05" customHeight="1">
      <c r="A1332" s="13">
        <f>A1331+1</f>
        <v>1330</v>
      </c>
      <c r="B1332" s="14">
        <v>2023</v>
      </c>
      <c r="C1332" s="15">
        <v>12</v>
      </c>
      <c r="D1332" s="15">
        <v>13</v>
      </c>
      <c r="E1332" s="16"/>
      <c r="F1332" t="s" s="17">
        <v>341</v>
      </c>
      <c r="G1332" s="16"/>
      <c r="H1332" t="s" s="17">
        <v>163</v>
      </c>
      <c r="I1332" t="s" s="17">
        <v>187</v>
      </c>
      <c r="J1332" t="s" s="17">
        <v>167</v>
      </c>
      <c r="K1332" t="s" s="17">
        <v>23</v>
      </c>
      <c r="L1332" s="15">
        <f>IF(O1332,P1332/O1332,0)</f>
        <v>0.77</v>
      </c>
      <c r="M1332" s="15">
        <v>0.77</v>
      </c>
      <c r="N1332" s="15">
        <f>A1332</f>
        <v>1330</v>
      </c>
      <c r="O1332" s="15">
        <f t="shared" si="4833" ref="O1332:O1408">2*100</f>
        <v>200</v>
      </c>
      <c r="P1332" s="41">
        <f t="shared" si="3815"/>
        <v>154</v>
      </c>
      <c r="Q1332" s="16"/>
    </row>
    <row r="1333" ht="20.05" customHeight="1">
      <c r="A1333" s="13">
        <f>A1332+1</f>
        <v>1331</v>
      </c>
      <c r="B1333" s="14">
        <v>2023</v>
      </c>
      <c r="C1333" s="15">
        <v>12</v>
      </c>
      <c r="D1333" s="15">
        <v>13</v>
      </c>
      <c r="E1333" s="16"/>
      <c r="F1333" t="s" s="17">
        <v>341</v>
      </c>
      <c r="G1333" s="16"/>
      <c r="H1333" t="s" s="17">
        <v>163</v>
      </c>
      <c r="I1333" t="s" s="17">
        <v>187</v>
      </c>
      <c r="J1333" t="s" s="17">
        <v>169</v>
      </c>
      <c r="K1333" t="s" s="17">
        <v>23</v>
      </c>
      <c r="L1333" s="15">
        <f>IF(O1333,P1333/O1333,0)</f>
        <v>0.4824</v>
      </c>
      <c r="M1333" s="15">
        <v>0.4824</v>
      </c>
      <c r="N1333" s="15">
        <f>A1333</f>
        <v>1331</v>
      </c>
      <c r="O1333" s="15">
        <v>1000</v>
      </c>
      <c r="P1333" s="42">
        <f t="shared" si="4838" ref="P1333:P1943">402+402*20%</f>
        <v>482.4</v>
      </c>
      <c r="Q1333" s="16"/>
    </row>
    <row r="1334" ht="20.05" customHeight="1">
      <c r="A1334" s="13">
        <f>A1333+1</f>
        <v>1332</v>
      </c>
      <c r="B1334" s="14">
        <v>2023</v>
      </c>
      <c r="C1334" s="15">
        <v>12</v>
      </c>
      <c r="D1334" s="15">
        <v>13</v>
      </c>
      <c r="E1334" s="16"/>
      <c r="F1334" t="s" s="17">
        <v>341</v>
      </c>
      <c r="G1334" s="16"/>
      <c r="H1334" t="s" s="17">
        <v>163</v>
      </c>
      <c r="I1334" t="s" s="17">
        <v>187</v>
      </c>
      <c r="J1334" t="s" s="17">
        <v>339</v>
      </c>
      <c r="K1334" t="s" s="17">
        <v>23</v>
      </c>
      <c r="L1334" s="15">
        <f>IF(O1334,P1334/O1334,0)</f>
        <v>15.4</v>
      </c>
      <c r="M1334" s="15">
        <v>15.4</v>
      </c>
      <c r="N1334" s="15">
        <f>A1334</f>
        <v>1332</v>
      </c>
      <c r="O1334" s="15">
        <v>40</v>
      </c>
      <c r="P1334" s="41">
        <f t="shared" si="3452"/>
        <v>616</v>
      </c>
      <c r="Q1334" s="16"/>
    </row>
    <row r="1335" ht="20.05" customHeight="1">
      <c r="A1335" s="13">
        <f>A1334+1</f>
        <v>1333</v>
      </c>
      <c r="B1335" s="14">
        <v>2023</v>
      </c>
      <c r="C1335" s="15">
        <v>12</v>
      </c>
      <c r="D1335" s="15">
        <v>13</v>
      </c>
      <c r="E1335" s="16"/>
      <c r="F1335" t="s" s="17">
        <v>150</v>
      </c>
      <c r="G1335" s="16"/>
      <c r="H1335" t="s" s="17">
        <v>163</v>
      </c>
      <c r="I1335" t="s" s="17">
        <v>19</v>
      </c>
      <c r="J1335" t="s" s="17">
        <v>151</v>
      </c>
      <c r="K1335" t="s" s="17">
        <v>41</v>
      </c>
      <c r="L1335" s="15">
        <f>IF(O1335,P1335/O1335,0)</f>
        <v>0.255866666666667</v>
      </c>
      <c r="M1335" s="15">
        <v>0.255866666666667</v>
      </c>
      <c r="N1335" s="15">
        <f>A1335</f>
        <v>1333</v>
      </c>
      <c r="O1335" s="15">
        <v>750</v>
      </c>
      <c r="P1335" s="42">
        <f t="shared" si="4846" ref="P1335:P1417">190+190*1%</f>
        <v>191.9</v>
      </c>
      <c r="Q1335" s="16"/>
    </row>
    <row r="1336" ht="20.05" customHeight="1">
      <c r="A1336" s="13">
        <f>A1335+1</f>
        <v>1334</v>
      </c>
      <c r="B1336" s="14">
        <v>2023</v>
      </c>
      <c r="C1336" s="15">
        <v>12</v>
      </c>
      <c r="D1336" s="15">
        <v>13</v>
      </c>
      <c r="E1336" s="16"/>
      <c r="F1336" t="s" s="17">
        <v>150</v>
      </c>
      <c r="G1336" s="16"/>
      <c r="H1336" t="s" s="17">
        <v>163</v>
      </c>
      <c r="I1336" t="s" s="17">
        <v>19</v>
      </c>
      <c r="J1336" t="s" s="17">
        <v>91</v>
      </c>
      <c r="K1336" t="s" s="17">
        <v>41</v>
      </c>
      <c r="L1336" s="15">
        <f>IF(O1336,P1336/O1336,0)</f>
        <v>0.28886</v>
      </c>
      <c r="M1336" s="15">
        <v>0.28886</v>
      </c>
      <c r="N1336" s="15">
        <f>A1336</f>
        <v>1334</v>
      </c>
      <c r="O1336" s="15">
        <v>2000</v>
      </c>
      <c r="P1336" s="41">
        <f>572+572*1%</f>
        <v>577.72</v>
      </c>
      <c r="Q1336" s="16"/>
    </row>
    <row r="1337" ht="20.05" customHeight="1">
      <c r="A1337" s="13">
        <f>A1336+1</f>
        <v>1335</v>
      </c>
      <c r="B1337" s="14">
        <v>2023</v>
      </c>
      <c r="C1337" s="15">
        <v>12</v>
      </c>
      <c r="D1337" s="15">
        <v>13</v>
      </c>
      <c r="E1337" s="16"/>
      <c r="F1337" t="s" s="17">
        <v>150</v>
      </c>
      <c r="G1337" s="16"/>
      <c r="H1337" t="s" s="17">
        <v>163</v>
      </c>
      <c r="I1337" t="s" s="17">
        <v>19</v>
      </c>
      <c r="J1337" t="s" s="17">
        <v>68</v>
      </c>
      <c r="K1337" t="s" s="17">
        <v>16</v>
      </c>
      <c r="L1337" s="15">
        <f>IF(O1337,P1337/O1337,0)</f>
        <v>1.212</v>
      </c>
      <c r="M1337" s="15">
        <v>1.212</v>
      </c>
      <c r="N1337" s="15">
        <f>A1337</f>
        <v>1335</v>
      </c>
      <c r="O1337" s="15">
        <v>1000</v>
      </c>
      <c r="P1337" s="41">
        <f>1200+(1200*1%)</f>
        <v>1212</v>
      </c>
      <c r="Q1337" s="16"/>
    </row>
    <row r="1338" ht="20.05" customHeight="1">
      <c r="A1338" s="13">
        <f>A1337+1</f>
        <v>1336</v>
      </c>
      <c r="B1338" s="14">
        <v>2023</v>
      </c>
      <c r="C1338" s="15">
        <v>12</v>
      </c>
      <c r="D1338" s="15">
        <v>13</v>
      </c>
      <c r="E1338" s="16"/>
      <c r="F1338" t="s" s="17">
        <v>150</v>
      </c>
      <c r="G1338" s="16"/>
      <c r="H1338" t="s" s="17">
        <v>163</v>
      </c>
      <c r="I1338" t="s" s="17">
        <v>19</v>
      </c>
      <c r="J1338" t="s" s="17">
        <v>61</v>
      </c>
      <c r="K1338" t="s" s="17">
        <v>16</v>
      </c>
      <c r="L1338" s="15">
        <f>IF(O1338,P1338/O1338,0)</f>
        <v>1.1514</v>
      </c>
      <c r="M1338" s="15">
        <v>1.1514</v>
      </c>
      <c r="N1338" s="15">
        <f>A1338</f>
        <v>1336</v>
      </c>
      <c r="O1338" s="15">
        <v>500</v>
      </c>
      <c r="P1338" s="42">
        <f>570+570*1%</f>
        <v>575.7</v>
      </c>
      <c r="Q1338" s="16"/>
    </row>
    <row r="1339" ht="20.05" customHeight="1">
      <c r="A1339" s="13">
        <f>A1338+1</f>
        <v>1337</v>
      </c>
      <c r="B1339" s="14">
        <v>2023</v>
      </c>
      <c r="C1339" s="15">
        <v>12</v>
      </c>
      <c r="D1339" s="15">
        <v>13</v>
      </c>
      <c r="E1339" s="16"/>
      <c r="F1339" t="s" s="17">
        <v>150</v>
      </c>
      <c r="G1339" s="16"/>
      <c r="H1339" t="s" s="17">
        <v>163</v>
      </c>
      <c r="I1339" t="s" s="17">
        <v>19</v>
      </c>
      <c r="J1339" t="s" s="17">
        <v>62</v>
      </c>
      <c r="K1339" t="s" s="17">
        <v>16</v>
      </c>
      <c r="L1339" s="15">
        <f>IF(O1339,P1339/O1339,0)</f>
        <v>0.5656</v>
      </c>
      <c r="M1339" s="15">
        <v>0.5656</v>
      </c>
      <c r="N1339" s="15">
        <f>A1339</f>
        <v>1337</v>
      </c>
      <c r="O1339" s="15">
        <v>200</v>
      </c>
      <c r="P1339" s="41">
        <f>112+112*1%</f>
        <v>113.12</v>
      </c>
      <c r="Q1339" s="16"/>
    </row>
    <row r="1340" ht="20.05" customHeight="1">
      <c r="A1340" s="13">
        <f>A1339+1</f>
        <v>1338</v>
      </c>
      <c r="B1340" s="14">
        <v>2023</v>
      </c>
      <c r="C1340" s="15">
        <v>12</v>
      </c>
      <c r="D1340" s="15">
        <v>13</v>
      </c>
      <c r="E1340" s="16"/>
      <c r="F1340" t="s" s="17">
        <v>111</v>
      </c>
      <c r="G1340" s="16"/>
      <c r="H1340" t="s" s="17">
        <v>163</v>
      </c>
      <c r="I1340" t="s" s="17">
        <v>187</v>
      </c>
      <c r="J1340" t="s" s="17">
        <v>132</v>
      </c>
      <c r="K1340" t="s" s="17">
        <v>41</v>
      </c>
      <c r="L1340" s="15">
        <f>IF(O1340,P1340/O1340,0)</f>
        <v>0.0172175</v>
      </c>
      <c r="M1340" s="15">
        <v>0.0172175</v>
      </c>
      <c r="N1340" s="15">
        <f>A1340</f>
        <v>1338</v>
      </c>
      <c r="O1340" s="15">
        <v>4000</v>
      </c>
      <c r="P1340" s="15">
        <v>68.87</v>
      </c>
      <c r="Q1340" s="16"/>
    </row>
    <row r="1341" ht="20.05" customHeight="1">
      <c r="A1341" s="13">
        <f>A1340+1</f>
        <v>1339</v>
      </c>
      <c r="B1341" s="14">
        <v>2023</v>
      </c>
      <c r="C1341" s="15">
        <v>12</v>
      </c>
      <c r="D1341" s="15">
        <v>13</v>
      </c>
      <c r="E1341" s="16"/>
      <c r="F1341" t="s" s="17">
        <v>111</v>
      </c>
      <c r="G1341" s="16"/>
      <c r="H1341" t="s" s="17">
        <v>163</v>
      </c>
      <c r="I1341" t="s" s="17">
        <v>19</v>
      </c>
      <c r="J1341" t="s" s="17">
        <v>112</v>
      </c>
      <c r="K1341" t="s" s="17">
        <v>41</v>
      </c>
      <c r="L1341" s="15">
        <f>IF(O1341,P1341/O1341,0)</f>
        <v>0.033068</v>
      </c>
      <c r="M1341" s="15">
        <v>0.033068</v>
      </c>
      <c r="N1341" s="15">
        <f>A1341</f>
        <v>1339</v>
      </c>
      <c r="O1341" s="15">
        <f t="shared" si="4869" ref="O1341:O1583">5*1000</f>
        <v>5000</v>
      </c>
      <c r="P1341" s="15">
        <v>165.34</v>
      </c>
      <c r="Q1341" s="16"/>
    </row>
    <row r="1342" ht="20.05" customHeight="1">
      <c r="A1342" s="13">
        <f>A1341+1</f>
        <v>1340</v>
      </c>
      <c r="B1342" s="14">
        <v>2023</v>
      </c>
      <c r="C1342" s="15">
        <v>12</v>
      </c>
      <c r="D1342" s="15">
        <v>13</v>
      </c>
      <c r="E1342" s="16"/>
      <c r="F1342" t="s" s="17">
        <v>111</v>
      </c>
      <c r="G1342" s="16"/>
      <c r="H1342" t="s" s="17">
        <v>163</v>
      </c>
      <c r="I1342" t="s" s="17">
        <v>26</v>
      </c>
      <c r="J1342" t="s" s="17">
        <v>113</v>
      </c>
      <c r="K1342" t="s" s="17">
        <v>41</v>
      </c>
      <c r="L1342" s="15">
        <f>IF(O1342,P1342/O1342,0)</f>
        <v>0.0279166666666667</v>
      </c>
      <c r="M1342" s="15">
        <v>0.0279166666666667</v>
      </c>
      <c r="N1342" s="15">
        <f>A1342</f>
        <v>1340</v>
      </c>
      <c r="O1342" s="15">
        <v>3000</v>
      </c>
      <c r="P1342" s="15">
        <v>83.75</v>
      </c>
      <c r="Q1342" s="16"/>
    </row>
    <row r="1343" ht="20.05" customHeight="1">
      <c r="A1343" s="13">
        <f>A1342+1</f>
        <v>1341</v>
      </c>
      <c r="B1343" s="14">
        <v>2023</v>
      </c>
      <c r="C1343" s="15">
        <v>12</v>
      </c>
      <c r="D1343" s="15">
        <v>13</v>
      </c>
      <c r="E1343" s="16"/>
      <c r="F1343" t="s" s="17">
        <v>111</v>
      </c>
      <c r="G1343" s="16"/>
      <c r="H1343" t="s" s="17">
        <v>163</v>
      </c>
      <c r="I1343" t="s" s="17">
        <v>19</v>
      </c>
      <c r="J1343" t="s" s="17">
        <v>72</v>
      </c>
      <c r="K1343" t="s" s="17">
        <v>41</v>
      </c>
      <c r="L1343" s="15">
        <f>IF(O1343,P1343/O1343,0)</f>
        <v>0.297505</v>
      </c>
      <c r="M1343" s="15">
        <v>0.297505</v>
      </c>
      <c r="N1343" s="15">
        <f>A1343</f>
        <v>1341</v>
      </c>
      <c r="O1343" s="15">
        <f>8*250</f>
        <v>2000</v>
      </c>
      <c r="P1343" s="15">
        <v>595.01</v>
      </c>
      <c r="Q1343" s="16"/>
    </row>
    <row r="1344" ht="20.05" customHeight="1">
      <c r="A1344" s="13">
        <f>A1343+1</f>
        <v>1342</v>
      </c>
      <c r="B1344" s="14">
        <v>2023</v>
      </c>
      <c r="C1344" s="15">
        <v>12</v>
      </c>
      <c r="D1344" s="15">
        <v>13</v>
      </c>
      <c r="E1344" s="16"/>
      <c r="F1344" t="s" s="17">
        <v>111</v>
      </c>
      <c r="G1344" s="16"/>
      <c r="H1344" t="s" s="17">
        <v>163</v>
      </c>
      <c r="I1344" t="s" s="17">
        <v>26</v>
      </c>
      <c r="J1344" t="s" s="17">
        <v>117</v>
      </c>
      <c r="K1344" t="s" s="17">
        <v>23</v>
      </c>
      <c r="L1344" s="15">
        <f>IF(O1344,P1344/O1344,0)</f>
        <v>35.814</v>
      </c>
      <c r="M1344" s="15">
        <v>35.814</v>
      </c>
      <c r="N1344" s="15">
        <f>A1344</f>
        <v>1342</v>
      </c>
      <c r="O1344" s="15">
        <v>5</v>
      </c>
      <c r="P1344" s="15">
        <v>179.07</v>
      </c>
      <c r="Q1344" s="16"/>
    </row>
    <row r="1345" ht="20.05" customHeight="1">
      <c r="A1345" s="13">
        <f>A1344+1</f>
        <v>1343</v>
      </c>
      <c r="B1345" s="14">
        <v>2023</v>
      </c>
      <c r="C1345" s="15">
        <v>12</v>
      </c>
      <c r="D1345" s="15">
        <v>13</v>
      </c>
      <c r="E1345" s="16"/>
      <c r="F1345" t="s" s="17">
        <v>111</v>
      </c>
      <c r="G1345" s="16"/>
      <c r="H1345" t="s" s="17">
        <v>163</v>
      </c>
      <c r="I1345" t="s" s="17">
        <v>26</v>
      </c>
      <c r="J1345" t="s" s="17">
        <v>134</v>
      </c>
      <c r="K1345" t="s" s="17">
        <v>23</v>
      </c>
      <c r="L1345" s="15">
        <f>IF(O1345,P1345/O1345,0)</f>
        <v>42.107</v>
      </c>
      <c r="M1345" s="15">
        <v>42.107</v>
      </c>
      <c r="N1345" s="15">
        <f>A1345</f>
        <v>1343</v>
      </c>
      <c r="O1345" s="15">
        <v>10</v>
      </c>
      <c r="P1345" s="15">
        <v>421.07</v>
      </c>
      <c r="Q1345" s="16"/>
    </row>
    <row r="1346" ht="20.05" customHeight="1">
      <c r="A1346" s="13">
        <f>A1345+1</f>
        <v>1344</v>
      </c>
      <c r="B1346" s="14">
        <v>2023</v>
      </c>
      <c r="C1346" s="15">
        <v>12</v>
      </c>
      <c r="D1346" s="15">
        <v>13</v>
      </c>
      <c r="E1346" s="16"/>
      <c r="F1346" t="s" s="17">
        <v>111</v>
      </c>
      <c r="G1346" s="16"/>
      <c r="H1346" t="s" s="17">
        <v>163</v>
      </c>
      <c r="I1346" t="s" s="17">
        <v>26</v>
      </c>
      <c r="J1346" t="s" s="17">
        <v>118</v>
      </c>
      <c r="K1346" t="s" s="17">
        <v>23</v>
      </c>
      <c r="L1346" s="15">
        <f>IF(O1346,P1346/O1346,0)</f>
        <v>42.106</v>
      </c>
      <c r="M1346" s="15">
        <v>42.106</v>
      </c>
      <c r="N1346" s="15">
        <f>A1346</f>
        <v>1344</v>
      </c>
      <c r="O1346" s="15">
        <v>5</v>
      </c>
      <c r="P1346" s="15">
        <v>210.53</v>
      </c>
      <c r="Q1346" s="16"/>
    </row>
    <row r="1347" ht="20.05" customHeight="1">
      <c r="A1347" s="13">
        <f>A1346+1</f>
        <v>1345</v>
      </c>
      <c r="B1347" s="14">
        <v>2023</v>
      </c>
      <c r="C1347" s="15">
        <v>12</v>
      </c>
      <c r="D1347" s="15">
        <v>13</v>
      </c>
      <c r="E1347" s="16"/>
      <c r="F1347" t="s" s="17">
        <v>111</v>
      </c>
      <c r="G1347" s="16"/>
      <c r="H1347" t="s" s="17">
        <v>163</v>
      </c>
      <c r="I1347" t="s" s="17">
        <v>187</v>
      </c>
      <c r="J1347" t="s" s="17">
        <v>276</v>
      </c>
      <c r="K1347" t="s" s="17">
        <v>41</v>
      </c>
      <c r="L1347" s="15">
        <f>IF(O1347,P1347/O1347,0)</f>
        <v>0.07656</v>
      </c>
      <c r="M1347" s="15">
        <v>0.07656</v>
      </c>
      <c r="N1347" s="15">
        <f>A1347</f>
        <v>1345</v>
      </c>
      <c r="O1347" s="15">
        <v>1000</v>
      </c>
      <c r="P1347" s="15">
        <v>76.56</v>
      </c>
      <c r="Q1347" s="16"/>
    </row>
    <row r="1348" ht="20.05" customHeight="1">
      <c r="A1348" s="13">
        <f>A1347+1</f>
        <v>1346</v>
      </c>
      <c r="B1348" s="14">
        <v>2023</v>
      </c>
      <c r="C1348" s="15">
        <v>12</v>
      </c>
      <c r="D1348" s="15">
        <v>13</v>
      </c>
      <c r="E1348" s="16"/>
      <c r="F1348" t="s" s="17">
        <v>111</v>
      </c>
      <c r="G1348" s="16"/>
      <c r="H1348" t="s" s="17">
        <v>163</v>
      </c>
      <c r="I1348" t="s" s="17">
        <v>187</v>
      </c>
      <c r="J1348" t="s" s="17">
        <v>166</v>
      </c>
      <c r="K1348" t="s" s="17">
        <v>41</v>
      </c>
      <c r="L1348" s="15">
        <f>IF(O1348,P1348/O1348,0)</f>
        <v>0.0526</v>
      </c>
      <c r="M1348" s="15">
        <v>0.0526</v>
      </c>
      <c r="N1348" s="15">
        <f>A1348</f>
        <v>1346</v>
      </c>
      <c r="O1348" s="15">
        <v>500</v>
      </c>
      <c r="P1348" s="15">
        <v>26.3</v>
      </c>
      <c r="Q1348" s="16"/>
    </row>
    <row r="1349" ht="20.05" customHeight="1">
      <c r="A1349" s="13">
        <f>A1348+1</f>
        <v>1347</v>
      </c>
      <c r="B1349" s="14">
        <v>2023</v>
      </c>
      <c r="C1349" s="15">
        <v>12</v>
      </c>
      <c r="D1349" s="15">
        <v>13</v>
      </c>
      <c r="E1349" s="16"/>
      <c r="F1349" t="s" s="17">
        <v>111</v>
      </c>
      <c r="G1349" s="16"/>
      <c r="H1349" t="s" s="17">
        <v>163</v>
      </c>
      <c r="I1349" t="s" s="17">
        <v>26</v>
      </c>
      <c r="J1349" t="s" s="17">
        <v>82</v>
      </c>
      <c r="K1349" t="s" s="17">
        <v>16</v>
      </c>
      <c r="L1349" s="15">
        <f>IF(O1349,P1349/O1349,0)</f>
        <v>0.072336</v>
      </c>
      <c r="M1349" s="15">
        <v>0.072336</v>
      </c>
      <c r="N1349" s="15">
        <f>A1349</f>
        <v>1347</v>
      </c>
      <c r="O1349" s="15">
        <f t="shared" si="4895" ref="O1349:O1402">5*500</f>
        <v>2500</v>
      </c>
      <c r="P1349" s="15">
        <v>180.84</v>
      </c>
      <c r="Q1349" s="16"/>
    </row>
    <row r="1350" ht="20.05" customHeight="1">
      <c r="A1350" s="13">
        <f>A1349+1</f>
        <v>1348</v>
      </c>
      <c r="B1350" s="14">
        <v>2023</v>
      </c>
      <c r="C1350" s="15">
        <v>12</v>
      </c>
      <c r="D1350" s="15">
        <v>13</v>
      </c>
      <c r="E1350" s="16"/>
      <c r="F1350" t="s" s="17">
        <v>317</v>
      </c>
      <c r="G1350" s="16"/>
      <c r="H1350" t="s" s="17">
        <v>163</v>
      </c>
      <c r="I1350" t="s" s="17">
        <v>187</v>
      </c>
      <c r="J1350" t="s" s="17">
        <v>435</v>
      </c>
      <c r="K1350" t="s" s="17">
        <v>23</v>
      </c>
      <c r="L1350" s="15">
        <f>IF(O1350,P1350/O1350,0)</f>
        <v>10.5</v>
      </c>
      <c r="M1350" s="15">
        <v>10.5</v>
      </c>
      <c r="N1350" s="15">
        <f>A1350</f>
        <v>1348</v>
      </c>
      <c r="O1350" s="15">
        <v>20</v>
      </c>
      <c r="P1350" s="15">
        <v>210</v>
      </c>
      <c r="Q1350" s="16"/>
    </row>
    <row r="1351" ht="20.05" customHeight="1">
      <c r="A1351" s="13">
        <f>A1350+1</f>
        <v>1349</v>
      </c>
      <c r="B1351" s="14">
        <v>2023</v>
      </c>
      <c r="C1351" s="15">
        <v>12</v>
      </c>
      <c r="D1351" s="15">
        <v>13</v>
      </c>
      <c r="E1351" s="16"/>
      <c r="F1351" t="s" s="17">
        <v>317</v>
      </c>
      <c r="G1351" s="16"/>
      <c r="H1351" t="s" s="17">
        <v>163</v>
      </c>
      <c r="I1351" t="s" s="17">
        <v>14</v>
      </c>
      <c r="J1351" t="s" s="17">
        <v>436</v>
      </c>
      <c r="K1351" t="s" s="17">
        <v>23</v>
      </c>
      <c r="L1351" s="15">
        <f>IF(O1351,P1351/O1351,0)</f>
        <v>120</v>
      </c>
      <c r="M1351" s="15">
        <v>120</v>
      </c>
      <c r="N1351" s="15">
        <f>A1351</f>
        <v>1349</v>
      </c>
      <c r="O1351" s="15">
        <v>1</v>
      </c>
      <c r="P1351" s="15">
        <v>120</v>
      </c>
      <c r="Q1351" s="16"/>
    </row>
    <row r="1352" ht="20.05" customHeight="1">
      <c r="A1352" s="13">
        <f>A1351+1</f>
        <v>1350</v>
      </c>
      <c r="B1352" s="14">
        <v>2023</v>
      </c>
      <c r="C1352" s="15">
        <v>12</v>
      </c>
      <c r="D1352" s="15">
        <v>13</v>
      </c>
      <c r="E1352" s="16"/>
      <c r="F1352" t="s" s="17">
        <v>317</v>
      </c>
      <c r="G1352" s="16"/>
      <c r="H1352" t="s" s="17">
        <v>163</v>
      </c>
      <c r="I1352" t="s" s="17">
        <v>187</v>
      </c>
      <c r="J1352" t="s" s="17">
        <v>435</v>
      </c>
      <c r="K1352" t="s" s="17">
        <v>23</v>
      </c>
      <c r="L1352" s="15">
        <f>IF(O1352,P1352/O1352,0)</f>
        <v>130</v>
      </c>
      <c r="M1352" s="15">
        <v>130</v>
      </c>
      <c r="N1352" s="15">
        <f>A1352</f>
        <v>1350</v>
      </c>
      <c r="O1352" s="15">
        <v>1</v>
      </c>
      <c r="P1352" s="15">
        <v>130</v>
      </c>
      <c r="Q1352" s="16"/>
    </row>
    <row r="1353" ht="20.35" customHeight="1">
      <c r="A1353" s="13">
        <f>A1352+1</f>
        <v>1351</v>
      </c>
      <c r="B1353" s="14">
        <v>2023</v>
      </c>
      <c r="C1353" s="15">
        <v>12</v>
      </c>
      <c r="D1353" s="15">
        <v>13</v>
      </c>
      <c r="E1353" s="16"/>
      <c r="F1353" t="s" s="17">
        <v>130</v>
      </c>
      <c r="G1353" s="16"/>
      <c r="H1353" t="s" s="17">
        <v>163</v>
      </c>
      <c r="I1353" t="s" s="17">
        <v>19</v>
      </c>
      <c r="J1353" t="s" s="17">
        <v>157</v>
      </c>
      <c r="K1353" t="s" s="17">
        <v>16</v>
      </c>
      <c r="L1353" s="15">
        <f>IF(O1353,P1353/O1353,0)</f>
        <v>0.00994802494802495</v>
      </c>
      <c r="M1353" s="15">
        <v>0.00994802494802495</v>
      </c>
      <c r="N1353" s="15">
        <f>A1353</f>
        <v>1351</v>
      </c>
      <c r="O1353" s="15">
        <v>1924</v>
      </c>
      <c r="P1353" s="18">
        <v>19.14</v>
      </c>
      <c r="Q1353" s="16"/>
    </row>
    <row r="1354" ht="32.7" customHeight="1">
      <c r="A1354" s="13">
        <f>A1353+1</f>
        <v>1352</v>
      </c>
      <c r="B1354" s="14">
        <v>2023</v>
      </c>
      <c r="C1354" s="15">
        <v>12</v>
      </c>
      <c r="D1354" s="15">
        <v>13</v>
      </c>
      <c r="E1354" s="16"/>
      <c r="F1354" t="s" s="17">
        <v>428</v>
      </c>
      <c r="G1354" s="16"/>
      <c r="H1354" t="s" s="17">
        <v>163</v>
      </c>
      <c r="I1354" t="s" s="17">
        <v>19</v>
      </c>
      <c r="J1354" t="s" s="17">
        <v>437</v>
      </c>
      <c r="K1354" t="s" s="17">
        <v>16</v>
      </c>
      <c r="L1354" s="15">
        <f>IF(O1354,P1354/O1354,0)</f>
        <v>0.389961</v>
      </c>
      <c r="M1354" s="15">
        <v>0.389961</v>
      </c>
      <c r="N1354" s="15">
        <f>A1354</f>
        <v>1352</v>
      </c>
      <c r="O1354" s="19">
        <f t="shared" si="4541"/>
        <v>2000</v>
      </c>
      <c r="P1354" s="46">
        <f t="shared" si="4912" ref="P1354:P1541">772.2+772.2*1%</f>
        <v>779.922</v>
      </c>
      <c r="Q1354" s="21"/>
    </row>
    <row r="1355" ht="20.7" customHeight="1">
      <c r="A1355" s="13">
        <f>A1354+1</f>
        <v>1353</v>
      </c>
      <c r="B1355" s="14">
        <v>2023</v>
      </c>
      <c r="C1355" s="15">
        <v>12</v>
      </c>
      <c r="D1355" s="15">
        <v>13</v>
      </c>
      <c r="E1355" s="16"/>
      <c r="F1355" t="s" s="17">
        <v>428</v>
      </c>
      <c r="G1355" s="16"/>
      <c r="H1355" t="s" s="17">
        <v>163</v>
      </c>
      <c r="I1355" t="s" s="17">
        <v>19</v>
      </c>
      <c r="J1355" t="s" s="17">
        <v>139</v>
      </c>
      <c r="K1355" t="s" s="17">
        <v>23</v>
      </c>
      <c r="L1355" s="15">
        <f>IF(O1355,P1355/O1355,0)</f>
        <v>3.62505833333333</v>
      </c>
      <c r="M1355" s="15">
        <v>3.62505833333333</v>
      </c>
      <c r="N1355" s="15">
        <f>A1355</f>
        <v>1353</v>
      </c>
      <c r="O1355" s="19">
        <f t="shared" si="4721"/>
        <v>72</v>
      </c>
      <c r="P1355" s="47">
        <f t="shared" si="4722"/>
        <v>261.0042</v>
      </c>
      <c r="Q1355" s="21"/>
    </row>
    <row r="1356" ht="20.35" customHeight="1">
      <c r="A1356" s="13">
        <f>A1355+1</f>
        <v>1354</v>
      </c>
      <c r="B1356" s="14">
        <v>2023</v>
      </c>
      <c r="C1356" s="15">
        <v>12</v>
      </c>
      <c r="D1356" s="15">
        <v>13</v>
      </c>
      <c r="E1356" s="16"/>
      <c r="F1356" t="s" s="17">
        <v>438</v>
      </c>
      <c r="G1356" s="16"/>
      <c r="H1356" t="s" s="17">
        <v>163</v>
      </c>
      <c r="I1356" t="s" s="17">
        <v>187</v>
      </c>
      <c r="J1356" t="s" s="17">
        <v>439</v>
      </c>
      <c r="K1356" t="s" s="17">
        <v>23</v>
      </c>
      <c r="L1356" s="15">
        <f>IF(O1356,P1356/O1356,0)</f>
        <v>397</v>
      </c>
      <c r="M1356" s="15">
        <v>397</v>
      </c>
      <c r="N1356" s="15">
        <f>A1356</f>
        <v>1354</v>
      </c>
      <c r="O1356" s="15">
        <v>1</v>
      </c>
      <c r="P1356" s="22">
        <v>397</v>
      </c>
      <c r="Q1356" s="16"/>
    </row>
    <row r="1357" ht="20.05" customHeight="1">
      <c r="A1357" s="13">
        <f>A1356+1</f>
        <v>1355</v>
      </c>
      <c r="B1357" s="14">
        <v>2023</v>
      </c>
      <c r="C1357" s="15">
        <v>12</v>
      </c>
      <c r="D1357" s="15">
        <v>14</v>
      </c>
      <c r="E1357" s="16"/>
      <c r="F1357" t="s" s="17">
        <v>184</v>
      </c>
      <c r="G1357" s="16"/>
      <c r="H1357" t="s" s="17">
        <v>163</v>
      </c>
      <c r="I1357" t="s" s="17">
        <v>187</v>
      </c>
      <c r="J1357" t="s" s="17">
        <v>185</v>
      </c>
      <c r="K1357" t="s" s="17">
        <v>23</v>
      </c>
      <c r="L1357" s="15">
        <f>IF(O1357,P1357/O1357,0)</f>
        <v>70</v>
      </c>
      <c r="M1357" s="15">
        <v>70</v>
      </c>
      <c r="N1357" s="15">
        <f>A1357</f>
        <v>1355</v>
      </c>
      <c r="O1357" s="15">
        <v>1</v>
      </c>
      <c r="P1357" s="15">
        <v>70</v>
      </c>
      <c r="Q1357" s="16"/>
    </row>
    <row r="1358" ht="20.05" customHeight="1">
      <c r="A1358" s="13">
        <f>A1357+1</f>
        <v>1356</v>
      </c>
      <c r="B1358" s="14">
        <v>2023</v>
      </c>
      <c r="C1358" s="15">
        <v>12</v>
      </c>
      <c r="D1358" s="15">
        <v>14</v>
      </c>
      <c r="E1358" s="16"/>
      <c r="F1358" t="s" s="17">
        <v>287</v>
      </c>
      <c r="G1358" s="16"/>
      <c r="H1358" t="s" s="17">
        <v>163</v>
      </c>
      <c r="I1358" t="s" s="17">
        <v>14</v>
      </c>
      <c r="J1358" t="s" s="17">
        <v>289</v>
      </c>
      <c r="K1358" t="s" s="17">
        <v>23</v>
      </c>
      <c r="L1358" s="15">
        <f>IF(O1358,P1358/O1358,0)</f>
        <v>32.724</v>
      </c>
      <c r="M1358" s="15">
        <v>32.724</v>
      </c>
      <c r="N1358" s="15">
        <f>A1358</f>
        <v>1356</v>
      </c>
      <c r="O1358" s="15">
        <v>10</v>
      </c>
      <c r="P1358" s="41">
        <f t="shared" si="4784"/>
        <v>327.24</v>
      </c>
      <c r="Q1358" s="16"/>
    </row>
    <row r="1359" ht="32.05" customHeight="1">
      <c r="A1359" s="13">
        <f>A1358+1</f>
        <v>1357</v>
      </c>
      <c r="B1359" s="14">
        <v>2023</v>
      </c>
      <c r="C1359" s="15">
        <v>12</v>
      </c>
      <c r="D1359" s="15">
        <v>14</v>
      </c>
      <c r="E1359" s="16"/>
      <c r="F1359" t="s" s="17">
        <v>287</v>
      </c>
      <c r="G1359" s="16"/>
      <c r="H1359" t="s" s="17">
        <v>163</v>
      </c>
      <c r="I1359" t="s" s="17">
        <v>14</v>
      </c>
      <c r="J1359" t="s" s="17">
        <v>283</v>
      </c>
      <c r="K1359" t="s" s="17">
        <v>23</v>
      </c>
      <c r="L1359" s="15">
        <f>IF(O1359,P1359/O1359,0)</f>
        <v>35.8045</v>
      </c>
      <c r="M1359" s="15">
        <v>35.8045</v>
      </c>
      <c r="N1359" s="15">
        <f>A1359</f>
        <v>1357</v>
      </c>
      <c r="O1359" s="15">
        <v>10</v>
      </c>
      <c r="P1359" s="42">
        <f t="shared" si="4005"/>
        <v>358.045</v>
      </c>
      <c r="Q1359" s="16"/>
    </row>
    <row r="1360" ht="20.05" customHeight="1">
      <c r="A1360" s="13">
        <f>A1359+1</f>
        <v>1358</v>
      </c>
      <c r="B1360" s="14">
        <v>2023</v>
      </c>
      <c r="C1360" s="15">
        <v>12</v>
      </c>
      <c r="D1360" s="15">
        <v>14</v>
      </c>
      <c r="E1360" s="16"/>
      <c r="F1360" t="s" s="17">
        <v>287</v>
      </c>
      <c r="G1360" s="16"/>
      <c r="H1360" t="s" s="17">
        <v>163</v>
      </c>
      <c r="I1360" t="s" s="17">
        <v>14</v>
      </c>
      <c r="J1360" t="s" s="17">
        <v>288</v>
      </c>
      <c r="K1360" t="s" s="17">
        <v>23</v>
      </c>
      <c r="L1360" s="15">
        <f>IF(O1360,P1360/O1360,0)</f>
        <v>37.5383333333333</v>
      </c>
      <c r="M1360" s="15">
        <v>37.5383333333333</v>
      </c>
      <c r="N1360" s="15">
        <f>A1360</f>
        <v>1358</v>
      </c>
      <c r="O1360" s="15">
        <v>9</v>
      </c>
      <c r="P1360" s="42">
        <f t="shared" si="4009"/>
        <v>337.845</v>
      </c>
      <c r="Q1360" s="16"/>
    </row>
    <row r="1361" ht="20.05" customHeight="1">
      <c r="A1361" s="13">
        <f>A1360+1</f>
        <v>1359</v>
      </c>
      <c r="B1361" s="14">
        <v>2023</v>
      </c>
      <c r="C1361" s="15">
        <v>12</v>
      </c>
      <c r="D1361" s="15">
        <v>14</v>
      </c>
      <c r="E1361" s="16"/>
      <c r="F1361" t="s" s="17">
        <v>287</v>
      </c>
      <c r="G1361" s="16"/>
      <c r="H1361" t="s" s="17">
        <v>163</v>
      </c>
      <c r="I1361" t="s" s="17">
        <v>14</v>
      </c>
      <c r="J1361" t="s" s="17">
        <v>282</v>
      </c>
      <c r="K1361" t="s" s="17">
        <v>23</v>
      </c>
      <c r="L1361" s="15">
        <f>IF(O1361,P1361/O1361,0)</f>
        <v>27.4215</v>
      </c>
      <c r="M1361" s="15">
        <v>27.4215</v>
      </c>
      <c r="N1361" s="15">
        <f>A1361</f>
        <v>1359</v>
      </c>
      <c r="O1361" s="15">
        <v>10</v>
      </c>
      <c r="P1361" s="42">
        <f t="shared" si="4013"/>
        <v>274.215</v>
      </c>
      <c r="Q1361" s="16"/>
    </row>
    <row r="1362" ht="20.05" customHeight="1">
      <c r="A1362" s="13">
        <f>A1361+1</f>
        <v>1360</v>
      </c>
      <c r="B1362" s="14">
        <v>2023</v>
      </c>
      <c r="C1362" s="15">
        <v>12</v>
      </c>
      <c r="D1362" s="15">
        <v>14</v>
      </c>
      <c r="E1362" s="16"/>
      <c r="F1362" t="s" s="17">
        <v>438</v>
      </c>
      <c r="G1362" s="16"/>
      <c r="H1362" t="s" s="17">
        <v>163</v>
      </c>
      <c r="I1362" t="s" s="17">
        <v>187</v>
      </c>
      <c r="J1362" t="s" s="17">
        <v>439</v>
      </c>
      <c r="K1362" t="s" s="17">
        <v>23</v>
      </c>
      <c r="L1362" s="15">
        <f>IF(O1362,P1362/O1362,0)</f>
        <v>143.945142857143</v>
      </c>
      <c r="M1362" s="15">
        <v>143.945142857143</v>
      </c>
      <c r="N1362" s="15">
        <f>A1362</f>
        <v>1360</v>
      </c>
      <c r="O1362" s="15">
        <v>28</v>
      </c>
      <c r="P1362" s="42">
        <f>3358.72+3358.72*20%</f>
        <v>4030.464</v>
      </c>
      <c r="Q1362" s="16"/>
    </row>
    <row r="1363" ht="20.05" customHeight="1">
      <c r="A1363" s="13">
        <f>A1362+1</f>
        <v>1361</v>
      </c>
      <c r="B1363" s="14">
        <v>2023</v>
      </c>
      <c r="C1363" s="15">
        <v>12</v>
      </c>
      <c r="D1363" s="15">
        <v>15</v>
      </c>
      <c r="E1363" s="16"/>
      <c r="F1363" t="s" s="17">
        <v>130</v>
      </c>
      <c r="G1363" s="16"/>
      <c r="H1363" t="s" s="17">
        <v>163</v>
      </c>
      <c r="I1363" t="s" s="17">
        <v>19</v>
      </c>
      <c r="J1363" t="s" s="17">
        <v>157</v>
      </c>
      <c r="K1363" t="s" s="17">
        <v>16</v>
      </c>
      <c r="L1363" s="15">
        <f>IF(O1363,P1363/O1363,0)</f>
        <v>0.009948875255623719</v>
      </c>
      <c r="M1363" s="15">
        <v>0.009948875255623719</v>
      </c>
      <c r="N1363" s="15">
        <f>A1363</f>
        <v>1361</v>
      </c>
      <c r="O1363" s="15">
        <v>1956</v>
      </c>
      <c r="P1363" s="15">
        <v>19.46</v>
      </c>
      <c r="Q1363" s="16"/>
    </row>
    <row r="1364" ht="20.05" customHeight="1">
      <c r="A1364" s="13">
        <f>A1363+1</f>
        <v>1362</v>
      </c>
      <c r="B1364" s="14">
        <v>2023</v>
      </c>
      <c r="C1364" s="15">
        <v>12</v>
      </c>
      <c r="D1364" s="15">
        <v>15</v>
      </c>
      <c r="E1364" s="16"/>
      <c r="F1364" t="s" s="17">
        <v>130</v>
      </c>
      <c r="G1364" s="16"/>
      <c r="H1364" t="s" s="17">
        <v>163</v>
      </c>
      <c r="I1364" t="s" s="17">
        <v>26</v>
      </c>
      <c r="J1364" t="s" s="17">
        <v>113</v>
      </c>
      <c r="K1364" t="s" s="17">
        <v>41</v>
      </c>
      <c r="L1364" s="15">
        <f>IF(O1364,P1364/O1364,0)</f>
        <v>0.02995</v>
      </c>
      <c r="M1364" s="15">
        <v>0.02995</v>
      </c>
      <c r="N1364" s="15">
        <f>A1364</f>
        <v>1362</v>
      </c>
      <c r="O1364" s="15">
        <v>2000</v>
      </c>
      <c r="P1364" s="15">
        <v>59.9</v>
      </c>
      <c r="Q1364" s="16"/>
    </row>
    <row r="1365" ht="20.05" customHeight="1">
      <c r="A1365" s="13">
        <f>A1364+1</f>
        <v>1363</v>
      </c>
      <c r="B1365" s="14">
        <v>2023</v>
      </c>
      <c r="C1365" s="15">
        <v>12</v>
      </c>
      <c r="D1365" s="15">
        <v>15</v>
      </c>
      <c r="E1365" s="16"/>
      <c r="F1365" t="s" s="17">
        <v>130</v>
      </c>
      <c r="G1365" s="16"/>
      <c r="H1365" t="s" s="17">
        <v>163</v>
      </c>
      <c r="I1365" t="s" s="17">
        <v>26</v>
      </c>
      <c r="J1365" t="s" s="17">
        <v>118</v>
      </c>
      <c r="K1365" t="s" s="17">
        <v>23</v>
      </c>
      <c r="L1365" s="15">
        <f>IF(O1365,P1365/O1365,0)</f>
        <v>39.95</v>
      </c>
      <c r="M1365" s="15">
        <v>39.95</v>
      </c>
      <c r="N1365" s="15">
        <f>A1365</f>
        <v>1363</v>
      </c>
      <c r="O1365" s="15">
        <v>5</v>
      </c>
      <c r="P1365" s="15">
        <f>5*39.95</f>
        <v>199.75</v>
      </c>
      <c r="Q1365" s="16"/>
    </row>
    <row r="1366" ht="20.05" customHeight="1">
      <c r="A1366" s="13">
        <f>A1365+1</f>
        <v>1364</v>
      </c>
      <c r="B1366" s="14">
        <v>2023</v>
      </c>
      <c r="C1366" s="15">
        <v>12</v>
      </c>
      <c r="D1366" s="15">
        <v>15</v>
      </c>
      <c r="E1366" s="16"/>
      <c r="F1366" t="s" s="17">
        <v>130</v>
      </c>
      <c r="G1366" s="16"/>
      <c r="H1366" t="s" s="17">
        <v>163</v>
      </c>
      <c r="I1366" t="s" s="17">
        <v>26</v>
      </c>
      <c r="J1366" t="s" s="17">
        <v>117</v>
      </c>
      <c r="K1366" t="s" s="17">
        <v>23</v>
      </c>
      <c r="L1366" s="15">
        <f>IF(O1366,P1366/O1366,0)</f>
        <v>38.95</v>
      </c>
      <c r="M1366" s="15">
        <v>38.95</v>
      </c>
      <c r="N1366" s="15">
        <f>A1366</f>
        <v>1364</v>
      </c>
      <c r="O1366" s="15">
        <v>5</v>
      </c>
      <c r="P1366" s="15">
        <v>194.75</v>
      </c>
      <c r="Q1366" s="16"/>
    </row>
    <row r="1367" ht="20.05" customHeight="1">
      <c r="A1367" s="13">
        <f>A1366+1</f>
        <v>1365</v>
      </c>
      <c r="B1367" s="14">
        <v>2023</v>
      </c>
      <c r="C1367" s="15">
        <v>12</v>
      </c>
      <c r="D1367" s="15">
        <v>15</v>
      </c>
      <c r="E1367" s="16"/>
      <c r="F1367" t="s" s="17">
        <v>317</v>
      </c>
      <c r="G1367" s="16"/>
      <c r="H1367" t="s" s="17">
        <v>163</v>
      </c>
      <c r="I1367" t="s" s="17">
        <v>187</v>
      </c>
      <c r="J1367" t="s" s="17">
        <v>435</v>
      </c>
      <c r="K1367" t="s" s="17">
        <v>23</v>
      </c>
      <c r="L1367" s="15">
        <f>IF(O1367,P1367/O1367,0)</f>
        <v>225</v>
      </c>
      <c r="M1367" s="15">
        <v>225</v>
      </c>
      <c r="N1367" s="15">
        <f>A1367</f>
        <v>1365</v>
      </c>
      <c r="O1367" s="15">
        <v>2</v>
      </c>
      <c r="P1367" s="15">
        <v>450</v>
      </c>
      <c r="Q1367" s="16"/>
    </row>
    <row r="1368" ht="20.05" customHeight="1">
      <c r="A1368" s="13">
        <f>A1367+1</f>
        <v>1366</v>
      </c>
      <c r="B1368" s="14">
        <v>2023</v>
      </c>
      <c r="C1368" s="15">
        <v>12</v>
      </c>
      <c r="D1368" s="15">
        <v>15</v>
      </c>
      <c r="E1368" s="16"/>
      <c r="F1368" t="s" s="17">
        <v>141</v>
      </c>
      <c r="G1368" s="16"/>
      <c r="H1368" t="s" s="17">
        <v>163</v>
      </c>
      <c r="I1368" t="s" s="17">
        <v>19</v>
      </c>
      <c r="J1368" t="s" s="17">
        <v>142</v>
      </c>
      <c r="K1368" t="s" s="17">
        <v>23</v>
      </c>
      <c r="L1368" s="15">
        <f>IF(O1368,P1368/O1368,0)</f>
        <v>13.8515972222222</v>
      </c>
      <c r="M1368" s="15">
        <v>13.8515972222222</v>
      </c>
      <c r="N1368" s="15">
        <f>A1368</f>
        <v>1366</v>
      </c>
      <c r="O1368" s="15">
        <f t="shared" si="4721"/>
        <v>72</v>
      </c>
      <c r="P1368" s="42">
        <f>906.65+906.65*10%</f>
        <v>997.3150000000001</v>
      </c>
      <c r="Q1368" s="16"/>
    </row>
    <row r="1369" ht="20.05" customHeight="1">
      <c r="A1369" s="13">
        <f>A1368+1</f>
        <v>1367</v>
      </c>
      <c r="B1369" s="14">
        <v>2023</v>
      </c>
      <c r="C1369" s="15">
        <v>12</v>
      </c>
      <c r="D1369" s="15">
        <v>15</v>
      </c>
      <c r="E1369" s="16"/>
      <c r="F1369" t="s" s="17">
        <v>141</v>
      </c>
      <c r="G1369" s="16"/>
      <c r="H1369" t="s" s="17">
        <v>163</v>
      </c>
      <c r="I1369" t="s" s="17">
        <v>19</v>
      </c>
      <c r="J1369" t="s" s="17">
        <v>143</v>
      </c>
      <c r="K1369" t="s" s="17">
        <v>23</v>
      </c>
      <c r="L1369" s="15">
        <f>IF(O1369,P1369/O1369,0)</f>
        <v>13.8515208333333</v>
      </c>
      <c r="M1369" s="15">
        <v>13.8515208333333</v>
      </c>
      <c r="N1369" s="15">
        <f>A1369</f>
        <v>1367</v>
      </c>
      <c r="O1369" s="15">
        <f t="shared" si="4968" ref="O1369:O1600">2*24</f>
        <v>48</v>
      </c>
      <c r="P1369" s="42">
        <f t="shared" si="4208"/>
        <v>664.873</v>
      </c>
      <c r="Q1369" s="16"/>
    </row>
    <row r="1370" ht="20.05" customHeight="1">
      <c r="A1370" s="13">
        <f>A1369+1</f>
        <v>1368</v>
      </c>
      <c r="B1370" s="14">
        <v>2023</v>
      </c>
      <c r="C1370" s="15">
        <v>12</v>
      </c>
      <c r="D1370" s="15">
        <v>15</v>
      </c>
      <c r="E1370" s="16"/>
      <c r="F1370" t="s" s="17">
        <v>141</v>
      </c>
      <c r="G1370" s="16"/>
      <c r="H1370" t="s" s="17">
        <v>163</v>
      </c>
      <c r="I1370" t="s" s="17">
        <v>19</v>
      </c>
      <c r="J1370" t="s" s="17">
        <v>158</v>
      </c>
      <c r="K1370" t="s" s="17">
        <v>23</v>
      </c>
      <c r="L1370" s="15">
        <f>IF(O1370,P1370/O1370,0)</f>
        <v>13.8515208333333</v>
      </c>
      <c r="M1370" s="15">
        <v>13.8515208333333</v>
      </c>
      <c r="N1370" s="15">
        <f>A1370</f>
        <v>1368</v>
      </c>
      <c r="O1370" s="15">
        <f t="shared" si="4968"/>
        <v>48</v>
      </c>
      <c r="P1370" s="42">
        <f t="shared" si="4208"/>
        <v>664.873</v>
      </c>
      <c r="Q1370" s="16"/>
    </row>
    <row r="1371" ht="20.05" customHeight="1">
      <c r="A1371" s="13">
        <f>A1370+1</f>
        <v>1369</v>
      </c>
      <c r="B1371" s="14">
        <v>2023</v>
      </c>
      <c r="C1371" s="15">
        <v>12</v>
      </c>
      <c r="D1371" s="15">
        <v>15</v>
      </c>
      <c r="E1371" s="16"/>
      <c r="F1371" t="s" s="17">
        <v>141</v>
      </c>
      <c r="G1371" s="16"/>
      <c r="H1371" t="s" s="17">
        <v>163</v>
      </c>
      <c r="I1371" t="s" s="17">
        <v>19</v>
      </c>
      <c r="J1371" t="s" s="17">
        <v>144</v>
      </c>
      <c r="K1371" t="s" s="17">
        <v>23</v>
      </c>
      <c r="L1371" s="15">
        <f>IF(O1371,P1371/O1371,0)</f>
        <v>13.8515208333333</v>
      </c>
      <c r="M1371" s="15">
        <v>13.8515208333333</v>
      </c>
      <c r="N1371" s="15">
        <f>A1371</f>
        <v>1369</v>
      </c>
      <c r="O1371" s="15">
        <f t="shared" si="4968"/>
        <v>48</v>
      </c>
      <c r="P1371" s="42">
        <f t="shared" si="4208"/>
        <v>664.873</v>
      </c>
      <c r="Q1371" s="16"/>
    </row>
    <row r="1372" ht="20.05" customHeight="1">
      <c r="A1372" s="13">
        <f>A1371+1</f>
        <v>1370</v>
      </c>
      <c r="B1372" s="14">
        <v>2023</v>
      </c>
      <c r="C1372" s="15">
        <v>12</v>
      </c>
      <c r="D1372" s="15">
        <v>15</v>
      </c>
      <c r="E1372" s="16"/>
      <c r="F1372" t="s" s="17">
        <v>141</v>
      </c>
      <c r="G1372" s="16"/>
      <c r="H1372" t="s" s="17">
        <v>163</v>
      </c>
      <c r="I1372" t="s" s="17">
        <v>19</v>
      </c>
      <c r="J1372" t="s" s="17">
        <v>159</v>
      </c>
      <c r="K1372" t="s" s="17">
        <v>23</v>
      </c>
      <c r="L1372" s="15">
        <f>IF(O1372,P1372/O1372,0)</f>
        <v>2.60016083333333</v>
      </c>
      <c r="M1372" s="15">
        <v>2.60016083333333</v>
      </c>
      <c r="N1372" s="15">
        <f>A1372</f>
        <v>1370</v>
      </c>
      <c r="O1372" s="15">
        <f t="shared" si="4216"/>
        <v>120</v>
      </c>
      <c r="P1372" s="43">
        <f t="shared" si="4984" ref="P1372:P1983">308.93+308.93*1%</f>
        <v>312.0193</v>
      </c>
      <c r="Q1372" s="16"/>
    </row>
    <row r="1373" ht="20.05" customHeight="1">
      <c r="A1373" s="13">
        <f>A1372+1</f>
        <v>1371</v>
      </c>
      <c r="B1373" s="14">
        <v>2023</v>
      </c>
      <c r="C1373" s="15">
        <v>12</v>
      </c>
      <c r="D1373" s="15">
        <v>15</v>
      </c>
      <c r="E1373" s="16"/>
      <c r="F1373" t="s" s="17">
        <v>141</v>
      </c>
      <c r="G1373" s="16"/>
      <c r="H1373" t="s" s="17">
        <v>163</v>
      </c>
      <c r="I1373" s="16"/>
      <c r="J1373" t="s" s="17">
        <v>359</v>
      </c>
      <c r="K1373" t="s" s="17">
        <v>23</v>
      </c>
      <c r="L1373" s="15">
        <f>IF(O1373,P1373/O1373,0)</f>
        <v>684</v>
      </c>
      <c r="M1373" s="15">
        <v>684</v>
      </c>
      <c r="N1373" s="15">
        <f>A1373</f>
        <v>1371</v>
      </c>
      <c r="O1373" s="15">
        <v>1</v>
      </c>
      <c r="P1373" s="15">
        <v>684</v>
      </c>
      <c r="Q1373" s="16"/>
    </row>
    <row r="1374" ht="20.05" customHeight="1">
      <c r="A1374" s="13">
        <f>A1373+1</f>
        <v>1372</v>
      </c>
      <c r="B1374" s="14">
        <v>2023</v>
      </c>
      <c r="C1374" s="15">
        <v>12</v>
      </c>
      <c r="D1374" s="15">
        <v>16</v>
      </c>
      <c r="E1374" s="16"/>
      <c r="F1374" t="s" s="17">
        <v>287</v>
      </c>
      <c r="G1374" s="16"/>
      <c r="H1374" t="s" s="17">
        <v>163</v>
      </c>
      <c r="I1374" t="s" s="17">
        <v>14</v>
      </c>
      <c r="J1374" t="s" s="17">
        <v>279</v>
      </c>
      <c r="K1374" t="s" s="17">
        <v>23</v>
      </c>
      <c r="L1374" s="15">
        <f>IF(O1374,P1374/O1374,0)</f>
        <v>34.3905</v>
      </c>
      <c r="M1374" s="15">
        <v>34.3905</v>
      </c>
      <c r="N1374" s="15">
        <f>A1374</f>
        <v>1372</v>
      </c>
      <c r="O1374" s="15">
        <f t="shared" si="4225"/>
        <v>20</v>
      </c>
      <c r="P1374" s="41">
        <f t="shared" si="4415"/>
        <v>687.8099999999999</v>
      </c>
      <c r="Q1374" s="16"/>
    </row>
    <row r="1375" ht="32.05" customHeight="1">
      <c r="A1375" s="13">
        <f>A1374+1</f>
        <v>1373</v>
      </c>
      <c r="B1375" s="14">
        <v>2023</v>
      </c>
      <c r="C1375" s="15">
        <v>12</v>
      </c>
      <c r="D1375" s="15">
        <v>16</v>
      </c>
      <c r="E1375" s="16"/>
      <c r="F1375" t="s" s="17">
        <v>287</v>
      </c>
      <c r="G1375" s="16"/>
      <c r="H1375" t="s" s="17">
        <v>163</v>
      </c>
      <c r="I1375" t="s" s="17">
        <v>14</v>
      </c>
      <c r="J1375" t="s" s="17">
        <v>283</v>
      </c>
      <c r="K1375" t="s" s="17">
        <v>23</v>
      </c>
      <c r="L1375" s="15">
        <f>IF(O1375,P1375/O1375,0)</f>
        <v>35.8045</v>
      </c>
      <c r="M1375" s="15">
        <v>35.8045</v>
      </c>
      <c r="N1375" s="15">
        <f>A1375</f>
        <v>1373</v>
      </c>
      <c r="O1375" s="15">
        <v>10</v>
      </c>
      <c r="P1375" s="42">
        <f t="shared" si="4996" ref="P1375:P1532">354.5+354.5*1%</f>
        <v>358.045</v>
      </c>
      <c r="Q1375" s="16"/>
    </row>
    <row r="1376" ht="20.05" customHeight="1">
      <c r="A1376" s="13">
        <f>A1375+1</f>
        <v>1374</v>
      </c>
      <c r="B1376" s="14">
        <v>2023</v>
      </c>
      <c r="C1376" s="15">
        <v>12</v>
      </c>
      <c r="D1376" s="15">
        <v>16</v>
      </c>
      <c r="E1376" s="16"/>
      <c r="F1376" t="s" s="17">
        <v>287</v>
      </c>
      <c r="G1376" s="16"/>
      <c r="H1376" t="s" s="17">
        <v>163</v>
      </c>
      <c r="I1376" t="s" s="17">
        <v>14</v>
      </c>
      <c r="J1376" t="s" s="17">
        <v>282</v>
      </c>
      <c r="K1376" t="s" s="17">
        <v>23</v>
      </c>
      <c r="L1376" s="15">
        <f>IF(O1376,P1376/O1376,0)</f>
        <v>27.4215</v>
      </c>
      <c r="M1376" s="15">
        <v>27.4215</v>
      </c>
      <c r="N1376" s="15">
        <f>A1376</f>
        <v>1374</v>
      </c>
      <c r="O1376" s="15">
        <v>10</v>
      </c>
      <c r="P1376" s="42">
        <f t="shared" si="5000" ref="P1376:P1563">271.5+271.5*1%</f>
        <v>274.215</v>
      </c>
      <c r="Q1376" s="16"/>
    </row>
    <row r="1377" ht="20.05" customHeight="1">
      <c r="A1377" s="13">
        <f>A1376+1</f>
        <v>1375</v>
      </c>
      <c r="B1377" s="14">
        <v>2023</v>
      </c>
      <c r="C1377" s="15">
        <v>12</v>
      </c>
      <c r="D1377" s="15">
        <v>16</v>
      </c>
      <c r="E1377" s="16"/>
      <c r="F1377" t="s" s="17">
        <v>287</v>
      </c>
      <c r="G1377" s="16"/>
      <c r="H1377" t="s" s="17">
        <v>163</v>
      </c>
      <c r="I1377" t="s" s="17">
        <v>14</v>
      </c>
      <c r="J1377" t="s" s="17">
        <v>288</v>
      </c>
      <c r="K1377" t="s" s="17">
        <v>23</v>
      </c>
      <c r="L1377" s="15">
        <f>IF(O1377,P1377/O1377,0)</f>
        <v>37.5383333333333</v>
      </c>
      <c r="M1377" s="15">
        <v>37.5383333333333</v>
      </c>
      <c r="N1377" s="15">
        <f>A1377</f>
        <v>1375</v>
      </c>
      <c r="O1377" s="15">
        <f t="shared" si="4631"/>
        <v>18</v>
      </c>
      <c r="P1377" s="41">
        <f t="shared" si="4737"/>
        <v>675.6900000000001</v>
      </c>
      <c r="Q1377" s="16"/>
    </row>
    <row r="1378" ht="20.05" customHeight="1">
      <c r="A1378" s="13">
        <f>A1377+1</f>
        <v>1376</v>
      </c>
      <c r="B1378" s="14">
        <v>2023</v>
      </c>
      <c r="C1378" s="15">
        <v>12</v>
      </c>
      <c r="D1378" s="15">
        <v>16</v>
      </c>
      <c r="E1378" s="16"/>
      <c r="F1378" t="s" s="17">
        <v>287</v>
      </c>
      <c r="G1378" s="16"/>
      <c r="H1378" t="s" s="17">
        <v>163</v>
      </c>
      <c r="I1378" t="s" s="17">
        <v>14</v>
      </c>
      <c r="J1378" t="s" s="17">
        <v>289</v>
      </c>
      <c r="K1378" t="s" s="17">
        <v>23</v>
      </c>
      <c r="L1378" s="15">
        <f>IF(O1378,P1378/O1378,0)</f>
        <v>32.724</v>
      </c>
      <c r="M1378" s="15">
        <v>32.724</v>
      </c>
      <c r="N1378" s="15">
        <f>A1378</f>
        <v>1376</v>
      </c>
      <c r="O1378" s="15">
        <f t="shared" si="4225"/>
        <v>20</v>
      </c>
      <c r="P1378" s="41">
        <f t="shared" si="4395"/>
        <v>654.48</v>
      </c>
      <c r="Q1378" s="16"/>
    </row>
    <row r="1379" ht="32.05" customHeight="1">
      <c r="A1379" s="13">
        <f>A1378+1</f>
        <v>1377</v>
      </c>
      <c r="B1379" s="14">
        <v>2023</v>
      </c>
      <c r="C1379" s="15">
        <v>12</v>
      </c>
      <c r="D1379" s="15">
        <v>16</v>
      </c>
      <c r="E1379" s="16"/>
      <c r="F1379" t="s" s="17">
        <v>287</v>
      </c>
      <c r="G1379" s="16"/>
      <c r="H1379" t="s" s="17">
        <v>163</v>
      </c>
      <c r="I1379" t="s" s="17">
        <v>17</v>
      </c>
      <c r="J1379" t="s" s="17">
        <v>300</v>
      </c>
      <c r="K1379" t="s" s="17">
        <v>23</v>
      </c>
      <c r="L1379" s="15">
        <f>IF(O1379,P1379/O1379,0)</f>
        <v>35.2995</v>
      </c>
      <c r="M1379" s="15">
        <v>35.2995</v>
      </c>
      <c r="N1379" s="15">
        <f>A1379</f>
        <v>1377</v>
      </c>
      <c r="O1379" s="15">
        <v>24</v>
      </c>
      <c r="P1379" s="42">
        <f t="shared" si="4741"/>
        <v>847.188</v>
      </c>
      <c r="Q1379" s="16"/>
    </row>
    <row r="1380" ht="20.05" customHeight="1">
      <c r="A1380" s="13">
        <f>A1379+1</f>
        <v>1378</v>
      </c>
      <c r="B1380" s="14">
        <v>2023</v>
      </c>
      <c r="C1380" s="15">
        <v>12</v>
      </c>
      <c r="D1380" s="15">
        <v>16</v>
      </c>
      <c r="E1380" s="16"/>
      <c r="F1380" t="s" s="17">
        <v>130</v>
      </c>
      <c r="G1380" s="16"/>
      <c r="H1380" t="s" s="17">
        <v>163</v>
      </c>
      <c r="I1380" t="s" s="17">
        <v>19</v>
      </c>
      <c r="J1380" t="s" s="17">
        <v>157</v>
      </c>
      <c r="K1380" t="s" s="17">
        <v>16</v>
      </c>
      <c r="L1380" s="15">
        <f>IF(O1380,P1380/O1380,0)</f>
        <v>0.0099492385786802</v>
      </c>
      <c r="M1380" s="15">
        <v>0.0099492385786802</v>
      </c>
      <c r="N1380" s="15">
        <f>A1380</f>
        <v>1378</v>
      </c>
      <c r="O1380" s="15">
        <v>1970</v>
      </c>
      <c r="P1380" s="15">
        <v>19.6</v>
      </c>
      <c r="Q1380" s="16"/>
    </row>
    <row r="1381" ht="20.05" customHeight="1">
      <c r="A1381" s="13">
        <f>A1380+1</f>
        <v>1379</v>
      </c>
      <c r="B1381" s="14">
        <v>2023</v>
      </c>
      <c r="C1381" s="15">
        <v>12</v>
      </c>
      <c r="D1381" s="15">
        <v>16</v>
      </c>
      <c r="E1381" s="16"/>
      <c r="F1381" t="s" s="17">
        <v>324</v>
      </c>
      <c r="G1381" s="16"/>
      <c r="H1381" t="s" s="17">
        <v>163</v>
      </c>
      <c r="I1381" t="s" s="17">
        <v>187</v>
      </c>
      <c r="J1381" t="s" s="17">
        <v>185</v>
      </c>
      <c r="K1381" t="s" s="17">
        <v>23</v>
      </c>
      <c r="L1381" s="15">
        <f>IF(O1381,P1381/O1381,0)</f>
        <v>135</v>
      </c>
      <c r="M1381" s="15">
        <v>135</v>
      </c>
      <c r="N1381" s="15">
        <f>A1381</f>
        <v>1379</v>
      </c>
      <c r="O1381" s="15">
        <v>1</v>
      </c>
      <c r="P1381" s="15">
        <v>135</v>
      </c>
      <c r="Q1381" s="16"/>
    </row>
    <row r="1382" ht="20.05" customHeight="1">
      <c r="A1382" s="13">
        <f>A1381+1</f>
        <v>1380</v>
      </c>
      <c r="B1382" s="14">
        <v>2023</v>
      </c>
      <c r="C1382" s="15">
        <v>12</v>
      </c>
      <c r="D1382" s="15">
        <v>17</v>
      </c>
      <c r="E1382" s="16"/>
      <c r="F1382" t="s" s="17">
        <v>317</v>
      </c>
      <c r="G1382" s="16"/>
      <c r="H1382" t="s" s="17">
        <v>163</v>
      </c>
      <c r="I1382" t="s" s="17">
        <v>187</v>
      </c>
      <c r="J1382" t="s" s="17">
        <v>436</v>
      </c>
      <c r="K1382" t="s" s="17">
        <v>23</v>
      </c>
      <c r="L1382" s="15">
        <f>IF(O1382,P1382/O1382,0)</f>
        <v>7.5</v>
      </c>
      <c r="M1382" s="15">
        <v>7.5</v>
      </c>
      <c r="N1382" s="15">
        <f>A1382</f>
        <v>1380</v>
      </c>
      <c r="O1382" s="15">
        <v>4</v>
      </c>
      <c r="P1382" s="15">
        <v>30</v>
      </c>
      <c r="Q1382" s="16"/>
    </row>
    <row r="1383" ht="20.05" customHeight="1">
      <c r="A1383" s="13">
        <f>A1382+1</f>
        <v>1381</v>
      </c>
      <c r="B1383" s="14">
        <v>2023</v>
      </c>
      <c r="C1383" s="15">
        <v>12</v>
      </c>
      <c r="D1383" s="15">
        <v>17</v>
      </c>
      <c r="E1383" s="16"/>
      <c r="F1383" t="s" s="17">
        <v>130</v>
      </c>
      <c r="G1383" s="16"/>
      <c r="H1383" t="s" s="17">
        <v>163</v>
      </c>
      <c r="I1383" t="s" s="17">
        <v>19</v>
      </c>
      <c r="J1383" t="s" s="17">
        <v>157</v>
      </c>
      <c r="K1383" t="s" s="17">
        <v>16</v>
      </c>
      <c r="L1383" s="15">
        <f>IF(O1383,P1383/O1383,0)</f>
        <v>0.00994939271255061</v>
      </c>
      <c r="M1383" s="15">
        <v>0.00994939271255061</v>
      </c>
      <c r="N1383" s="15">
        <f>A1383</f>
        <v>1381</v>
      </c>
      <c r="O1383" s="15">
        <v>988</v>
      </c>
      <c r="P1383" s="15">
        <v>9.83</v>
      </c>
      <c r="Q1383" s="16"/>
    </row>
    <row r="1384" ht="20.05" customHeight="1">
      <c r="A1384" s="13">
        <f>A1383+1</f>
        <v>1382</v>
      </c>
      <c r="B1384" s="14">
        <v>2023</v>
      </c>
      <c r="C1384" s="15">
        <v>12</v>
      </c>
      <c r="D1384" s="15">
        <v>17</v>
      </c>
      <c r="E1384" s="16"/>
      <c r="F1384" t="s" s="17">
        <v>130</v>
      </c>
      <c r="G1384" s="16"/>
      <c r="H1384" t="s" s="17">
        <v>163</v>
      </c>
      <c r="I1384" t="s" s="17">
        <v>187</v>
      </c>
      <c r="J1384" t="s" s="17">
        <v>440</v>
      </c>
      <c r="K1384" t="s" s="17">
        <v>23</v>
      </c>
      <c r="L1384" s="15">
        <f>IF(O1384,P1384/O1384,0)</f>
        <v>199.75</v>
      </c>
      <c r="M1384" s="15">
        <v>199.75</v>
      </c>
      <c r="N1384" s="15">
        <f>A1384</f>
        <v>1382</v>
      </c>
      <c r="O1384" s="15">
        <v>1</v>
      </c>
      <c r="P1384" s="15">
        <v>199.75</v>
      </c>
      <c r="Q1384" s="16"/>
    </row>
    <row r="1385" ht="20.05" customHeight="1">
      <c r="A1385" s="13">
        <f>A1384+1</f>
        <v>1383</v>
      </c>
      <c r="B1385" s="14">
        <v>2023</v>
      </c>
      <c r="C1385" s="15">
        <v>12</v>
      </c>
      <c r="D1385" s="15">
        <v>18</v>
      </c>
      <c r="E1385" s="16"/>
      <c r="F1385" t="s" s="17">
        <v>317</v>
      </c>
      <c r="G1385" s="16"/>
      <c r="H1385" t="s" s="17">
        <v>163</v>
      </c>
      <c r="I1385" t="s" s="17">
        <v>187</v>
      </c>
      <c r="J1385" t="s" s="17">
        <v>436</v>
      </c>
      <c r="K1385" t="s" s="17">
        <v>23</v>
      </c>
      <c r="L1385" s="15">
        <f>IF(O1385,P1385/O1385,0)</f>
        <v>6</v>
      </c>
      <c r="M1385" s="15">
        <v>6</v>
      </c>
      <c r="N1385" s="15">
        <f>A1385</f>
        <v>1383</v>
      </c>
      <c r="O1385" s="15">
        <v>20</v>
      </c>
      <c r="P1385" s="15">
        <v>120</v>
      </c>
      <c r="Q1385" s="16"/>
    </row>
    <row r="1386" ht="20.05" customHeight="1">
      <c r="A1386" s="13">
        <f>A1385+1</f>
        <v>1384</v>
      </c>
      <c r="B1386" s="14">
        <v>2023</v>
      </c>
      <c r="C1386" s="15">
        <v>12</v>
      </c>
      <c r="D1386" s="15">
        <v>18</v>
      </c>
      <c r="E1386" s="16"/>
      <c r="F1386" t="s" s="17">
        <v>130</v>
      </c>
      <c r="G1386" s="16"/>
      <c r="H1386" t="s" s="17">
        <v>163</v>
      </c>
      <c r="I1386" t="s" s="17">
        <v>19</v>
      </c>
      <c r="J1386" t="s" s="17">
        <v>157</v>
      </c>
      <c r="K1386" t="s" s="17">
        <v>16</v>
      </c>
      <c r="L1386" s="15">
        <f>IF(O1386,P1386/O1386,0)</f>
        <v>0.00994725738396624</v>
      </c>
      <c r="M1386" s="15">
        <v>0.00994725738396624</v>
      </c>
      <c r="N1386" s="15">
        <f>A1386</f>
        <v>1384</v>
      </c>
      <c r="O1386" s="15">
        <v>948</v>
      </c>
      <c r="P1386" s="15">
        <v>9.43</v>
      </c>
      <c r="Q1386" s="16"/>
    </row>
    <row r="1387" ht="20.05" customHeight="1">
      <c r="A1387" s="13">
        <f>A1386+1</f>
        <v>1385</v>
      </c>
      <c r="B1387" s="14">
        <v>2023</v>
      </c>
      <c r="C1387" s="15">
        <v>12</v>
      </c>
      <c r="D1387" s="15">
        <v>18</v>
      </c>
      <c r="E1387" s="16"/>
      <c r="F1387" t="s" s="17">
        <v>130</v>
      </c>
      <c r="G1387" s="16"/>
      <c r="H1387" t="s" s="17">
        <v>163</v>
      </c>
      <c r="I1387" t="s" s="17">
        <v>26</v>
      </c>
      <c r="J1387" t="s" s="17">
        <v>113</v>
      </c>
      <c r="K1387" t="s" s="17">
        <v>41</v>
      </c>
      <c r="L1387" s="15">
        <f>IF(O1387,P1387/O1387,0)</f>
        <v>0.02995</v>
      </c>
      <c r="M1387" s="15">
        <v>0.02995</v>
      </c>
      <c r="N1387" s="15">
        <f>A1387</f>
        <v>1385</v>
      </c>
      <c r="O1387" s="15">
        <v>2000</v>
      </c>
      <c r="P1387" s="15">
        <v>59.9</v>
      </c>
      <c r="Q1387" s="16"/>
    </row>
    <row r="1388" ht="20.05" customHeight="1">
      <c r="A1388" s="13">
        <f>A1387+1</f>
        <v>1386</v>
      </c>
      <c r="B1388" s="14">
        <v>2023</v>
      </c>
      <c r="C1388" s="15">
        <v>12</v>
      </c>
      <c r="D1388" s="15">
        <v>18</v>
      </c>
      <c r="E1388" s="16"/>
      <c r="F1388" t="s" s="17">
        <v>130</v>
      </c>
      <c r="G1388" s="16"/>
      <c r="H1388" t="s" s="17">
        <v>163</v>
      </c>
      <c r="I1388" t="s" s="17">
        <v>14</v>
      </c>
      <c r="J1388" t="s" s="17">
        <v>131</v>
      </c>
      <c r="K1388" t="s" s="17">
        <v>41</v>
      </c>
      <c r="L1388" s="15">
        <f>IF(O1388,P1388/O1388,0)</f>
        <v>0.0392142857142857</v>
      </c>
      <c r="M1388" s="15">
        <v>0.0392142857142857</v>
      </c>
      <c r="N1388" s="15">
        <f>A1388</f>
        <v>1386</v>
      </c>
      <c r="O1388" s="15">
        <v>1400</v>
      </c>
      <c r="P1388" s="15">
        <v>54.9</v>
      </c>
      <c r="Q1388" s="16"/>
    </row>
    <row r="1389" ht="32.05" customHeight="1">
      <c r="A1389" s="13">
        <f>A1388+1</f>
        <v>1387</v>
      </c>
      <c r="B1389" s="14">
        <v>2023</v>
      </c>
      <c r="C1389" s="15">
        <v>12</v>
      </c>
      <c r="D1389" s="15">
        <v>18</v>
      </c>
      <c r="E1389" s="16"/>
      <c r="F1389" t="s" s="17">
        <v>287</v>
      </c>
      <c r="G1389" s="16"/>
      <c r="H1389" t="s" s="17">
        <v>163</v>
      </c>
      <c r="I1389" t="s" s="17">
        <v>17</v>
      </c>
      <c r="J1389" t="s" s="17">
        <v>299</v>
      </c>
      <c r="K1389" t="s" s="17">
        <v>23</v>
      </c>
      <c r="L1389" s="15">
        <f>IF(O1389,P1389/O1389,0)</f>
        <v>40.9959</v>
      </c>
      <c r="M1389" s="15">
        <v>40.9959</v>
      </c>
      <c r="N1389" s="15">
        <f>A1389</f>
        <v>1387</v>
      </c>
      <c r="O1389" s="15">
        <v>24</v>
      </c>
      <c r="P1389" s="43">
        <f t="shared" si="4691"/>
        <v>983.9016</v>
      </c>
      <c r="Q1389" s="16"/>
    </row>
    <row r="1390" ht="20.05" customHeight="1">
      <c r="A1390" s="13">
        <f>A1389+1</f>
        <v>1388</v>
      </c>
      <c r="B1390" s="14">
        <v>2023</v>
      </c>
      <c r="C1390" s="15">
        <v>12</v>
      </c>
      <c r="D1390" s="15">
        <v>18</v>
      </c>
      <c r="E1390" s="16"/>
      <c r="F1390" t="s" s="17">
        <v>324</v>
      </c>
      <c r="G1390" s="16"/>
      <c r="H1390" t="s" s="17">
        <v>163</v>
      </c>
      <c r="I1390" t="s" s="17">
        <v>187</v>
      </c>
      <c r="J1390" t="s" s="17">
        <v>185</v>
      </c>
      <c r="K1390" t="s" s="17">
        <v>23</v>
      </c>
      <c r="L1390" s="15">
        <f>IF(O1390,P1390/O1390,0)</f>
        <v>85</v>
      </c>
      <c r="M1390" s="15">
        <v>85</v>
      </c>
      <c r="N1390" s="15">
        <f>A1390</f>
        <v>1388</v>
      </c>
      <c r="O1390" s="15">
        <v>1</v>
      </c>
      <c r="P1390" s="15">
        <v>85</v>
      </c>
      <c r="Q1390" s="16"/>
    </row>
    <row r="1391" ht="32.05" customHeight="1">
      <c r="A1391" s="13">
        <f>A1390+1</f>
        <v>1389</v>
      </c>
      <c r="B1391" s="14">
        <v>2023</v>
      </c>
      <c r="C1391" s="15">
        <v>12</v>
      </c>
      <c r="D1391" s="15">
        <v>18</v>
      </c>
      <c r="E1391" s="16"/>
      <c r="F1391" t="s" s="17">
        <v>441</v>
      </c>
      <c r="G1391" s="16"/>
      <c r="H1391" t="s" s="17">
        <v>163</v>
      </c>
      <c r="I1391" t="s" s="17">
        <v>14</v>
      </c>
      <c r="J1391" t="s" s="17">
        <v>281</v>
      </c>
      <c r="K1391" t="s" s="17">
        <v>23</v>
      </c>
      <c r="L1391" s="15">
        <f>IF(O1391,P1391/O1391,0)</f>
        <v>50.5</v>
      </c>
      <c r="M1391" s="15">
        <v>50.5</v>
      </c>
      <c r="N1391" s="15">
        <f>A1391</f>
        <v>1389</v>
      </c>
      <c r="O1391" s="15">
        <v>10</v>
      </c>
      <c r="P1391" s="41">
        <f t="shared" si="5052" ref="P1391:P1392">500+500*1%</f>
        <v>505</v>
      </c>
      <c r="Q1391" s="16"/>
    </row>
    <row r="1392" ht="32.05" customHeight="1">
      <c r="A1392" s="13">
        <f>A1391+1</f>
        <v>1390</v>
      </c>
      <c r="B1392" s="14">
        <v>2023</v>
      </c>
      <c r="C1392" s="15">
        <v>12</v>
      </c>
      <c r="D1392" s="15">
        <v>18</v>
      </c>
      <c r="E1392" s="16"/>
      <c r="F1392" t="s" s="17">
        <v>441</v>
      </c>
      <c r="G1392" s="16"/>
      <c r="H1392" t="s" s="17">
        <v>163</v>
      </c>
      <c r="I1392" t="s" s="17">
        <v>14</v>
      </c>
      <c r="J1392" t="s" s="17">
        <v>289</v>
      </c>
      <c r="K1392" t="s" s="17">
        <v>23</v>
      </c>
      <c r="L1392" s="15">
        <f>IF(O1392,P1392/O1392,0)</f>
        <v>50.5</v>
      </c>
      <c r="M1392" s="15">
        <v>50.5</v>
      </c>
      <c r="N1392" s="15">
        <f>A1392</f>
        <v>1390</v>
      </c>
      <c r="O1392" s="15">
        <v>10</v>
      </c>
      <c r="P1392" s="41">
        <f t="shared" si="5052"/>
        <v>505</v>
      </c>
      <c r="Q1392" s="16"/>
    </row>
    <row r="1393" ht="20.05" customHeight="1">
      <c r="A1393" s="13">
        <f>A1392+1</f>
        <v>1391</v>
      </c>
      <c r="B1393" s="14">
        <v>2023</v>
      </c>
      <c r="C1393" s="15">
        <v>12</v>
      </c>
      <c r="D1393" s="15">
        <v>20</v>
      </c>
      <c r="E1393" s="16"/>
      <c r="F1393" t="s" s="17">
        <v>130</v>
      </c>
      <c r="G1393" s="16"/>
      <c r="H1393" t="s" s="17">
        <v>163</v>
      </c>
      <c r="I1393" t="s" s="17">
        <v>19</v>
      </c>
      <c r="J1393" t="s" s="17">
        <v>157</v>
      </c>
      <c r="K1393" t="s" s="17">
        <v>16</v>
      </c>
      <c r="L1393" s="15">
        <f>IF(O1393,P1393/O1393,0)</f>
        <v>0.0149494949494949</v>
      </c>
      <c r="M1393" s="15">
        <v>0.0149494949494949</v>
      </c>
      <c r="N1393" s="15">
        <f>A1393</f>
        <v>1391</v>
      </c>
      <c r="O1393" s="15">
        <v>990</v>
      </c>
      <c r="P1393" s="15">
        <v>14.8</v>
      </c>
      <c r="Q1393" s="16"/>
    </row>
    <row r="1394" ht="32.05" customHeight="1">
      <c r="A1394" s="13">
        <f>A1393+1</f>
        <v>1392</v>
      </c>
      <c r="B1394" s="14">
        <v>2023</v>
      </c>
      <c r="C1394" s="15">
        <v>12</v>
      </c>
      <c r="D1394" s="15">
        <v>7</v>
      </c>
      <c r="E1394" s="16"/>
      <c r="F1394" t="s" s="17">
        <v>422</v>
      </c>
      <c r="G1394" s="16"/>
      <c r="H1394" t="s" s="17">
        <v>163</v>
      </c>
      <c r="I1394" t="s" s="17">
        <v>187</v>
      </c>
      <c r="J1394" t="s" s="17">
        <v>423</v>
      </c>
      <c r="K1394" t="s" s="17">
        <v>23</v>
      </c>
      <c r="L1394" s="15">
        <f>IF(O1394,P1394/O1394,0)</f>
        <v>179</v>
      </c>
      <c r="M1394" s="15">
        <v>179</v>
      </c>
      <c r="N1394" s="15">
        <f>A1394</f>
        <v>1392</v>
      </c>
      <c r="O1394" s="15">
        <v>1</v>
      </c>
      <c r="P1394" s="15">
        <v>179</v>
      </c>
      <c r="Q1394" s="16"/>
    </row>
    <row r="1395" ht="32.05" customHeight="1">
      <c r="A1395" s="13">
        <f>A1394+1</f>
        <v>1393</v>
      </c>
      <c r="B1395" s="14">
        <v>2023</v>
      </c>
      <c r="C1395" s="15">
        <v>12</v>
      </c>
      <c r="D1395" s="15">
        <v>5</v>
      </c>
      <c r="E1395" s="16"/>
      <c r="F1395" t="s" s="17">
        <v>348</v>
      </c>
      <c r="G1395" s="16"/>
      <c r="H1395" t="s" s="17">
        <v>163</v>
      </c>
      <c r="I1395" t="s" s="17">
        <v>187</v>
      </c>
      <c r="J1395" t="s" s="17">
        <v>350</v>
      </c>
      <c r="K1395" t="s" s="17">
        <v>23</v>
      </c>
      <c r="L1395" s="15">
        <f>IF(O1395,P1395/O1395,0)</f>
        <v>6.49</v>
      </c>
      <c r="M1395" s="15">
        <v>6.49</v>
      </c>
      <c r="N1395" s="15">
        <f>A1395</f>
        <v>1393</v>
      </c>
      <c r="O1395" s="15">
        <f t="shared" si="3061"/>
        <v>80</v>
      </c>
      <c r="P1395" s="15">
        <v>519.2</v>
      </c>
      <c r="Q1395" s="16"/>
    </row>
    <row r="1396" ht="20.05" customHeight="1">
      <c r="A1396" s="13">
        <f>A1395+1</f>
        <v>1394</v>
      </c>
      <c r="B1396" s="14">
        <v>2023</v>
      </c>
      <c r="C1396" s="15">
        <v>12</v>
      </c>
      <c r="D1396" s="15">
        <v>13</v>
      </c>
      <c r="E1396" s="16"/>
      <c r="F1396" t="s" s="17">
        <v>442</v>
      </c>
      <c r="G1396" s="16"/>
      <c r="H1396" t="s" s="17">
        <v>163</v>
      </c>
      <c r="I1396" t="s" s="17">
        <v>443</v>
      </c>
      <c r="J1396" t="s" s="17">
        <v>444</v>
      </c>
      <c r="K1396" t="s" s="17">
        <v>23</v>
      </c>
      <c r="L1396" s="15">
        <f>IF(O1396,P1396/O1396,0)</f>
        <v>10.8</v>
      </c>
      <c r="M1396" s="15">
        <v>10.8</v>
      </c>
      <c r="N1396" s="15">
        <f>A1396</f>
        <v>1394</v>
      </c>
      <c r="O1396" s="15">
        <v>1000</v>
      </c>
      <c r="P1396" s="41">
        <f>9000*(1+20%)</f>
        <v>10800</v>
      </c>
      <c r="Q1396" s="16"/>
    </row>
    <row r="1397" ht="20.05" customHeight="1">
      <c r="A1397" s="13">
        <f>A1396+1</f>
        <v>1395</v>
      </c>
      <c r="B1397" s="14">
        <v>2023</v>
      </c>
      <c r="C1397" s="15">
        <v>12</v>
      </c>
      <c r="D1397" s="15">
        <v>19</v>
      </c>
      <c r="E1397" s="16"/>
      <c r="F1397" t="s" s="17">
        <v>445</v>
      </c>
      <c r="G1397" s="16"/>
      <c r="H1397" t="s" s="17">
        <v>163</v>
      </c>
      <c r="I1397" t="s" s="17">
        <v>443</v>
      </c>
      <c r="J1397" t="s" s="17">
        <v>446</v>
      </c>
      <c r="K1397" t="s" s="17">
        <v>23</v>
      </c>
      <c r="L1397" s="15">
        <f>IF(O1397,P1397/O1397,0)</f>
        <v>178.539361702128</v>
      </c>
      <c r="M1397" s="15">
        <v>178.539361702128</v>
      </c>
      <c r="N1397" s="15">
        <f>A1397</f>
        <v>1395</v>
      </c>
      <c r="O1397" s="15">
        <v>47</v>
      </c>
      <c r="P1397" s="41">
        <f>7628.5+7628.5*10%</f>
        <v>8391.35</v>
      </c>
      <c r="Q1397" s="16"/>
    </row>
    <row r="1398" ht="20.05" customHeight="1">
      <c r="A1398" s="13">
        <f>A1397+1</f>
        <v>1396</v>
      </c>
      <c r="B1398" s="14">
        <v>2023</v>
      </c>
      <c r="C1398" s="15">
        <v>12</v>
      </c>
      <c r="D1398" s="15">
        <v>20</v>
      </c>
      <c r="E1398" s="16"/>
      <c r="F1398" t="s" s="17">
        <v>111</v>
      </c>
      <c r="G1398" s="16"/>
      <c r="H1398" t="s" s="17">
        <v>163</v>
      </c>
      <c r="I1398" t="s" s="17">
        <v>187</v>
      </c>
      <c r="J1398" t="s" s="17">
        <v>132</v>
      </c>
      <c r="K1398" t="s" s="17">
        <v>41</v>
      </c>
      <c r="L1398" s="15">
        <f>IF(O1398,P1398/O1398,0)</f>
        <v>0.03375</v>
      </c>
      <c r="M1398" s="15">
        <v>0.03375</v>
      </c>
      <c r="N1398" s="15">
        <f>A1398</f>
        <v>1396</v>
      </c>
      <c r="O1398" s="15">
        <v>4000</v>
      </c>
      <c r="P1398" s="15">
        <v>135</v>
      </c>
      <c r="Q1398" s="16"/>
    </row>
    <row r="1399" ht="20.05" customHeight="1">
      <c r="A1399" s="13">
        <f>A1398+1</f>
        <v>1397</v>
      </c>
      <c r="B1399" s="14">
        <v>2023</v>
      </c>
      <c r="C1399" s="15">
        <v>12</v>
      </c>
      <c r="D1399" s="15">
        <v>20</v>
      </c>
      <c r="E1399" s="16"/>
      <c r="F1399" t="s" s="17">
        <v>111</v>
      </c>
      <c r="G1399" s="16"/>
      <c r="H1399" t="s" s="17">
        <v>163</v>
      </c>
      <c r="I1399" t="s" s="17">
        <v>19</v>
      </c>
      <c r="J1399" t="s" s="17">
        <v>112</v>
      </c>
      <c r="K1399" t="s" s="17">
        <v>41</v>
      </c>
      <c r="L1399" s="15">
        <f>IF(O1399,P1399/O1399,0)</f>
        <v>0.033067</v>
      </c>
      <c r="M1399" s="15">
        <v>0.033067</v>
      </c>
      <c r="N1399" s="15">
        <f>A1399</f>
        <v>1397</v>
      </c>
      <c r="O1399" s="15">
        <f t="shared" si="4250"/>
        <v>10000</v>
      </c>
      <c r="P1399" s="15">
        <v>330.67</v>
      </c>
      <c r="Q1399" s="16"/>
    </row>
    <row r="1400" ht="20.05" customHeight="1">
      <c r="A1400" s="13">
        <f>A1399+1</f>
        <v>1398</v>
      </c>
      <c r="B1400" s="14">
        <v>2023</v>
      </c>
      <c r="C1400" s="15">
        <v>12</v>
      </c>
      <c r="D1400" s="15">
        <v>20</v>
      </c>
      <c r="E1400" s="16"/>
      <c r="F1400" t="s" s="17">
        <v>111</v>
      </c>
      <c r="G1400" s="16"/>
      <c r="H1400" t="s" s="17">
        <v>163</v>
      </c>
      <c r="I1400" t="s" s="17">
        <v>26</v>
      </c>
      <c r="J1400" t="s" s="17">
        <v>113</v>
      </c>
      <c r="K1400" t="s" s="17">
        <v>41</v>
      </c>
      <c r="L1400" s="15">
        <f>IF(O1400,P1400/O1400,0)</f>
        <v>0.0279166666666667</v>
      </c>
      <c r="M1400" s="15">
        <v>0.0279166666666667</v>
      </c>
      <c r="N1400" s="15">
        <f>A1400</f>
        <v>1398</v>
      </c>
      <c r="O1400" s="15">
        <v>3000</v>
      </c>
      <c r="P1400" s="15">
        <v>83.75</v>
      </c>
      <c r="Q1400" s="16"/>
    </row>
    <row r="1401" ht="20.05" customHeight="1">
      <c r="A1401" s="13">
        <f>A1400+1</f>
        <v>1399</v>
      </c>
      <c r="B1401" s="14">
        <v>2023</v>
      </c>
      <c r="C1401" s="15">
        <v>12</v>
      </c>
      <c r="D1401" s="15">
        <v>20</v>
      </c>
      <c r="E1401" s="16"/>
      <c r="F1401" t="s" s="17">
        <v>111</v>
      </c>
      <c r="G1401" s="16"/>
      <c r="H1401" t="s" s="17">
        <v>163</v>
      </c>
      <c r="I1401" t="s" s="17">
        <v>19</v>
      </c>
      <c r="J1401" t="s" s="17">
        <v>72</v>
      </c>
      <c r="K1401" t="s" s="17">
        <v>41</v>
      </c>
      <c r="L1401" s="15">
        <f>IF(O1401,P1401/O1401,0)</f>
        <v>0.273713333333333</v>
      </c>
      <c r="M1401" s="15">
        <v>0.273713333333333</v>
      </c>
      <c r="N1401" s="15">
        <f>A1401</f>
        <v>1399</v>
      </c>
      <c r="O1401" s="15">
        <f>6*250</f>
        <v>1500</v>
      </c>
      <c r="P1401" s="15">
        <v>410.57</v>
      </c>
      <c r="Q1401" s="16"/>
    </row>
    <row r="1402" ht="20.05" customHeight="1">
      <c r="A1402" s="13">
        <f>A1401+1</f>
        <v>1400</v>
      </c>
      <c r="B1402" s="14">
        <v>2023</v>
      </c>
      <c r="C1402" s="15">
        <v>12</v>
      </c>
      <c r="D1402" s="15">
        <v>20</v>
      </c>
      <c r="E1402" s="16"/>
      <c r="F1402" t="s" s="17">
        <v>111</v>
      </c>
      <c r="G1402" s="16"/>
      <c r="H1402" t="s" s="17">
        <v>163</v>
      </c>
      <c r="I1402" t="s" s="17">
        <v>26</v>
      </c>
      <c r="J1402" t="s" s="17">
        <v>82</v>
      </c>
      <c r="K1402" t="s" s="17">
        <v>16</v>
      </c>
      <c r="L1402" s="15">
        <f>IF(O1402,P1402/O1402,0)</f>
        <v>0.072336</v>
      </c>
      <c r="M1402" s="15">
        <v>0.072336</v>
      </c>
      <c r="N1402" s="15">
        <f>A1402</f>
        <v>1400</v>
      </c>
      <c r="O1402" s="15">
        <f t="shared" si="4895"/>
        <v>2500</v>
      </c>
      <c r="P1402" s="15">
        <v>180.84</v>
      </c>
      <c r="Q1402" s="16"/>
    </row>
    <row r="1403" ht="20.05" customHeight="1">
      <c r="A1403" s="13">
        <f>A1402+1</f>
        <v>1401</v>
      </c>
      <c r="B1403" s="14">
        <v>2023</v>
      </c>
      <c r="C1403" s="15">
        <v>12</v>
      </c>
      <c r="D1403" s="15">
        <v>20</v>
      </c>
      <c r="E1403" s="16"/>
      <c r="F1403" t="s" s="17">
        <v>111</v>
      </c>
      <c r="G1403" s="16"/>
      <c r="H1403" t="s" s="17">
        <v>163</v>
      </c>
      <c r="I1403" t="s" s="17">
        <v>26</v>
      </c>
      <c r="J1403" t="s" s="17">
        <v>134</v>
      </c>
      <c r="K1403" t="s" s="17">
        <v>23</v>
      </c>
      <c r="L1403" s="15">
        <f>IF(O1403,P1403/O1403,0)</f>
        <v>36.684</v>
      </c>
      <c r="M1403" s="15">
        <v>36.684</v>
      </c>
      <c r="N1403" s="15">
        <f>A1403</f>
        <v>1401</v>
      </c>
      <c r="O1403" s="15">
        <v>5</v>
      </c>
      <c r="P1403" s="15">
        <v>183.42</v>
      </c>
      <c r="Q1403" s="16"/>
    </row>
    <row r="1404" ht="20.05" customHeight="1">
      <c r="A1404" s="13">
        <f>A1403+1</f>
        <v>1402</v>
      </c>
      <c r="B1404" s="14">
        <v>2023</v>
      </c>
      <c r="C1404" s="15">
        <v>12</v>
      </c>
      <c r="D1404" s="15">
        <v>20</v>
      </c>
      <c r="E1404" s="16"/>
      <c r="F1404" t="s" s="17">
        <v>111</v>
      </c>
      <c r="G1404" s="16"/>
      <c r="H1404" t="s" s="17">
        <v>163</v>
      </c>
      <c r="I1404" t="s" s="17">
        <v>19</v>
      </c>
      <c r="J1404" t="s" s="17">
        <v>81</v>
      </c>
      <c r="K1404" t="s" s="17">
        <v>23</v>
      </c>
      <c r="L1404" s="15">
        <f>IF(O1404,P1404/O1404,0)</f>
        <v>1.1900462962963</v>
      </c>
      <c r="M1404" s="15">
        <v>1.1900462962963</v>
      </c>
      <c r="N1404" s="15">
        <f>A1404</f>
        <v>1402</v>
      </c>
      <c r="O1404" s="15">
        <f t="shared" si="4663"/>
        <v>216</v>
      </c>
      <c r="P1404" s="15">
        <v>257.05</v>
      </c>
      <c r="Q1404" s="16"/>
    </row>
    <row r="1405" ht="20.05" customHeight="1">
      <c r="A1405" s="13">
        <f>A1404+1</f>
        <v>1403</v>
      </c>
      <c r="B1405" s="14">
        <v>2023</v>
      </c>
      <c r="C1405" s="15">
        <v>12</v>
      </c>
      <c r="D1405" s="15">
        <v>20</v>
      </c>
      <c r="E1405" s="16"/>
      <c r="F1405" t="s" s="17">
        <v>111</v>
      </c>
      <c r="G1405" s="16"/>
      <c r="H1405" t="s" s="17">
        <v>163</v>
      </c>
      <c r="I1405" t="s" s="17">
        <v>19</v>
      </c>
      <c r="J1405" t="s" s="17">
        <v>71</v>
      </c>
      <c r="K1405" t="s" s="17">
        <v>16</v>
      </c>
      <c r="L1405" s="15">
        <f>IF(O1405,P1405/O1405,0)</f>
        <v>0.114875</v>
      </c>
      <c r="M1405" s="15">
        <v>0.114875</v>
      </c>
      <c r="N1405" s="15">
        <f>A1405</f>
        <v>1403</v>
      </c>
      <c r="O1405" s="15">
        <f t="shared" si="4541"/>
        <v>2000</v>
      </c>
      <c r="P1405" s="15">
        <v>229.75</v>
      </c>
      <c r="Q1405" s="16"/>
    </row>
    <row r="1406" ht="20.05" customHeight="1">
      <c r="A1406" s="13">
        <f>A1405+1</f>
        <v>1404</v>
      </c>
      <c r="B1406" s="14">
        <v>2023</v>
      </c>
      <c r="C1406" s="15">
        <v>12</v>
      </c>
      <c r="D1406" s="15">
        <v>20</v>
      </c>
      <c r="E1406" s="16"/>
      <c r="F1406" t="s" s="17">
        <v>111</v>
      </c>
      <c r="G1406" s="16"/>
      <c r="H1406" t="s" s="17">
        <v>163</v>
      </c>
      <c r="I1406" t="s" s="17">
        <v>19</v>
      </c>
      <c r="J1406" t="s" s="17">
        <v>135</v>
      </c>
      <c r="K1406" t="s" s="17">
        <v>23</v>
      </c>
      <c r="L1406" s="15">
        <f>IF(O1406,P1406/O1406,0)</f>
        <v>0.4776</v>
      </c>
      <c r="M1406" s="15">
        <v>0.4776</v>
      </c>
      <c r="N1406" s="15">
        <f>A1406</f>
        <v>1404</v>
      </c>
      <c r="O1406" s="15">
        <f t="shared" si="3835"/>
        <v>250</v>
      </c>
      <c r="P1406" s="15">
        <v>119.4</v>
      </c>
      <c r="Q1406" s="16"/>
    </row>
    <row r="1407" ht="20.05" customHeight="1">
      <c r="A1407" s="13">
        <f>A1406+1</f>
        <v>1405</v>
      </c>
      <c r="B1407" s="14">
        <v>2023</v>
      </c>
      <c r="C1407" s="15">
        <v>12</v>
      </c>
      <c r="D1407" s="15">
        <v>20</v>
      </c>
      <c r="E1407" s="16"/>
      <c r="F1407" t="s" s="17">
        <v>111</v>
      </c>
      <c r="G1407" s="16"/>
      <c r="H1407" t="s" s="17">
        <v>163</v>
      </c>
      <c r="I1407" t="s" s="17">
        <v>187</v>
      </c>
      <c r="J1407" t="s" s="17">
        <v>276</v>
      </c>
      <c r="K1407" t="s" s="17">
        <v>41</v>
      </c>
      <c r="L1407" s="15">
        <f>IF(O1407,P1407/O1407,0)</f>
        <v>0.06888</v>
      </c>
      <c r="M1407" s="15">
        <v>0.06888</v>
      </c>
      <c r="N1407" s="15">
        <f>A1407</f>
        <v>1405</v>
      </c>
      <c r="O1407" s="15">
        <v>1000</v>
      </c>
      <c r="P1407" s="15">
        <v>68.88</v>
      </c>
      <c r="Q1407" s="16"/>
    </row>
    <row r="1408" ht="20.05" customHeight="1">
      <c r="A1408" s="13">
        <f>A1407+1</f>
        <v>1406</v>
      </c>
      <c r="B1408" s="14">
        <v>2023</v>
      </c>
      <c r="C1408" s="15">
        <v>12</v>
      </c>
      <c r="D1408" s="15">
        <v>20</v>
      </c>
      <c r="E1408" s="16"/>
      <c r="F1408" t="s" s="17">
        <v>122</v>
      </c>
      <c r="G1408" s="16"/>
      <c r="H1408" t="s" s="17">
        <v>163</v>
      </c>
      <c r="I1408" t="s" s="17">
        <v>19</v>
      </c>
      <c r="J1408" t="s" s="17">
        <v>67</v>
      </c>
      <c r="K1408" t="s" s="17">
        <v>23</v>
      </c>
      <c r="L1408" s="15">
        <f>IF(O1408,P1408/O1408,0)</f>
        <v>1.2361895</v>
      </c>
      <c r="M1408" s="15">
        <v>1.2361895</v>
      </c>
      <c r="N1408" s="15">
        <f>A1408</f>
        <v>1406</v>
      </c>
      <c r="O1408" s="15">
        <f t="shared" si="4833"/>
        <v>200</v>
      </c>
      <c r="P1408" s="43">
        <f t="shared" si="5115" ref="P1408:P1638">244.79+244.79*1%</f>
        <v>247.2379</v>
      </c>
      <c r="Q1408" s="16"/>
    </row>
    <row r="1409" ht="20.05" customHeight="1">
      <c r="A1409" s="13">
        <f>A1408+1</f>
        <v>1407</v>
      </c>
      <c r="B1409" s="14">
        <v>2023</v>
      </c>
      <c r="C1409" s="15">
        <v>12</v>
      </c>
      <c r="D1409" s="15">
        <v>20</v>
      </c>
      <c r="E1409" s="16"/>
      <c r="F1409" t="s" s="17">
        <v>122</v>
      </c>
      <c r="G1409" s="16"/>
      <c r="H1409" t="s" s="17">
        <v>163</v>
      </c>
      <c r="I1409" t="s" s="17">
        <v>19</v>
      </c>
      <c r="J1409" t="s" s="17">
        <v>138</v>
      </c>
      <c r="K1409" t="s" s="17">
        <v>41</v>
      </c>
      <c r="L1409" s="15">
        <f>IF(O1409,P1409/O1409,0)</f>
        <v>0.0391375</v>
      </c>
      <c r="M1409" s="15">
        <v>0.0391375</v>
      </c>
      <c r="N1409" s="15">
        <f>A1409</f>
        <v>1407</v>
      </c>
      <c r="O1409" s="15">
        <f t="shared" si="4807"/>
        <v>48000</v>
      </c>
      <c r="P1409" s="42">
        <f t="shared" si="5120" ref="P1409:P1596">1860+1860*1%</f>
        <v>1878.6</v>
      </c>
      <c r="Q1409" s="16"/>
    </row>
    <row r="1410" ht="20.05" customHeight="1">
      <c r="A1410" s="13">
        <f>A1409+1</f>
        <v>1408</v>
      </c>
      <c r="B1410" s="14">
        <v>2023</v>
      </c>
      <c r="C1410" s="15">
        <v>12</v>
      </c>
      <c r="D1410" s="15">
        <v>20</v>
      </c>
      <c r="E1410" s="16"/>
      <c r="F1410" t="s" s="17">
        <v>122</v>
      </c>
      <c r="G1410" s="16"/>
      <c r="H1410" t="s" s="17">
        <v>163</v>
      </c>
      <c r="I1410" t="s" s="17">
        <v>26</v>
      </c>
      <c r="J1410" t="s" s="17">
        <v>117</v>
      </c>
      <c r="K1410" t="s" s="17">
        <v>23</v>
      </c>
      <c r="L1410" s="15">
        <f>IF(O1410,P1410/O1410,0)</f>
        <v>35.35</v>
      </c>
      <c r="M1410" s="15">
        <v>35.35</v>
      </c>
      <c r="N1410" s="15">
        <f>A1410</f>
        <v>1408</v>
      </c>
      <c r="O1410" s="15">
        <v>14</v>
      </c>
      <c r="P1410" s="42">
        <f t="shared" si="4293"/>
        <v>494.9</v>
      </c>
      <c r="Q1410" s="16"/>
    </row>
    <row r="1411" ht="20.05" customHeight="1">
      <c r="A1411" s="13">
        <f>A1410+1</f>
        <v>1409</v>
      </c>
      <c r="B1411" s="14">
        <v>2023</v>
      </c>
      <c r="C1411" s="15">
        <v>12</v>
      </c>
      <c r="D1411" s="15">
        <v>20</v>
      </c>
      <c r="E1411" s="16"/>
      <c r="F1411" t="s" s="17">
        <v>122</v>
      </c>
      <c r="G1411" s="16"/>
      <c r="H1411" t="s" s="17">
        <v>163</v>
      </c>
      <c r="I1411" t="s" s="17">
        <v>26</v>
      </c>
      <c r="J1411" t="s" s="17">
        <v>118</v>
      </c>
      <c r="K1411" t="s" s="17">
        <v>23</v>
      </c>
      <c r="L1411" s="15">
        <f>IF(O1411,P1411/O1411,0)</f>
        <v>37.1535714285714</v>
      </c>
      <c r="M1411" s="15">
        <v>37.1535714285714</v>
      </c>
      <c r="N1411" s="15">
        <f>A1411</f>
        <v>1409</v>
      </c>
      <c r="O1411" s="15">
        <v>14</v>
      </c>
      <c r="P1411" s="41">
        <f t="shared" si="5128" ref="P1411:P1521">515+515*1%</f>
        <v>520.15</v>
      </c>
      <c r="Q1411" s="16"/>
    </row>
    <row r="1412" ht="32.05" customHeight="1">
      <c r="A1412" s="13">
        <f>A1411+1</f>
        <v>1410</v>
      </c>
      <c r="B1412" s="14">
        <v>2023</v>
      </c>
      <c r="C1412" s="15">
        <v>12</v>
      </c>
      <c r="D1412" s="15">
        <v>20</v>
      </c>
      <c r="E1412" s="16"/>
      <c r="F1412" t="s" s="17">
        <v>122</v>
      </c>
      <c r="G1412" s="16"/>
      <c r="H1412" t="s" s="17">
        <v>163</v>
      </c>
      <c r="I1412" t="s" s="17">
        <v>187</v>
      </c>
      <c r="J1412" t="s" s="17">
        <v>165</v>
      </c>
      <c r="K1412" t="s" s="17">
        <v>23</v>
      </c>
      <c r="L1412" s="15">
        <f>IF(O1412,P1412/O1412,0)</f>
        <v>47.61</v>
      </c>
      <c r="M1412" s="15">
        <v>47.61</v>
      </c>
      <c r="N1412" s="15">
        <f>A1412</f>
        <v>1410</v>
      </c>
      <c r="O1412" s="15">
        <v>10</v>
      </c>
      <c r="P1412" s="42">
        <f t="shared" si="5132" ref="P1412:P2054">396.75+396.75*20%</f>
        <v>476.1</v>
      </c>
      <c r="Q1412" s="16"/>
    </row>
    <row r="1413" ht="32.05" customHeight="1">
      <c r="A1413" s="13">
        <f>A1412+1</f>
        <v>1411</v>
      </c>
      <c r="B1413" s="14">
        <v>2023</v>
      </c>
      <c r="C1413" s="15">
        <v>12</v>
      </c>
      <c r="D1413" s="15">
        <v>20</v>
      </c>
      <c r="E1413" s="16"/>
      <c r="F1413" t="s" s="17">
        <v>122</v>
      </c>
      <c r="G1413" s="16"/>
      <c r="H1413" t="s" s="17">
        <v>163</v>
      </c>
      <c r="I1413" t="s" s="17">
        <v>187</v>
      </c>
      <c r="J1413" t="s" s="17">
        <v>137</v>
      </c>
      <c r="K1413" t="s" s="17">
        <v>41</v>
      </c>
      <c r="L1413" s="15">
        <f>IF(O1413,P1413/O1413,0)</f>
        <v>0.023808</v>
      </c>
      <c r="M1413" s="15">
        <v>0.023808</v>
      </c>
      <c r="N1413" s="15">
        <f>A1413</f>
        <v>1411</v>
      </c>
      <c r="O1413" s="15">
        <f t="shared" si="1940"/>
        <v>10000</v>
      </c>
      <c r="P1413" s="41">
        <f>198.4+198.4*20%</f>
        <v>238.08</v>
      </c>
      <c r="Q1413" s="16"/>
    </row>
    <row r="1414" ht="32.05" customHeight="1">
      <c r="A1414" s="13">
        <f>A1413+1</f>
        <v>1412</v>
      </c>
      <c r="B1414" s="14">
        <v>2023</v>
      </c>
      <c r="C1414" s="15">
        <v>12</v>
      </c>
      <c r="D1414" s="15">
        <v>20</v>
      </c>
      <c r="E1414" s="16"/>
      <c r="F1414" t="s" s="17">
        <v>122</v>
      </c>
      <c r="G1414" s="16"/>
      <c r="H1414" t="s" s="17">
        <v>163</v>
      </c>
      <c r="I1414" t="s" s="17">
        <v>187</v>
      </c>
      <c r="J1414" t="s" s="17">
        <v>129</v>
      </c>
      <c r="K1414" t="s" s="17">
        <v>23</v>
      </c>
      <c r="L1414" s="15">
        <f>IF(O1414,P1414/O1414,0)</f>
        <v>0.3375</v>
      </c>
      <c r="M1414" s="15">
        <v>0.3375</v>
      </c>
      <c r="N1414" s="15">
        <f>A1414</f>
        <v>1412</v>
      </c>
      <c r="O1414" s="15">
        <f t="shared" si="3365"/>
        <v>1600</v>
      </c>
      <c r="P1414" s="41">
        <f t="shared" si="3366"/>
        <v>540</v>
      </c>
      <c r="Q1414" s="16"/>
    </row>
    <row r="1415" ht="20.05" customHeight="1">
      <c r="A1415" s="13">
        <f>A1414+1</f>
        <v>1413</v>
      </c>
      <c r="B1415" s="14">
        <v>2023</v>
      </c>
      <c r="C1415" s="15">
        <v>12</v>
      </c>
      <c r="D1415" s="15">
        <v>20</v>
      </c>
      <c r="E1415" s="16"/>
      <c r="F1415" t="s" s="17">
        <v>122</v>
      </c>
      <c r="G1415" s="16"/>
      <c r="H1415" t="s" s="17">
        <v>163</v>
      </c>
      <c r="I1415" t="s" s="17">
        <v>187</v>
      </c>
      <c r="J1415" t="s" s="17">
        <v>237</v>
      </c>
      <c r="K1415" t="s" s="17">
        <v>41</v>
      </c>
      <c r="L1415" s="15">
        <f>IF(O1415,P1415/O1415,0)</f>
        <v>0.1188</v>
      </c>
      <c r="M1415" s="15">
        <v>0.1188</v>
      </c>
      <c r="N1415" s="15">
        <f>A1415</f>
        <v>1413</v>
      </c>
      <c r="O1415" s="15">
        <v>1000</v>
      </c>
      <c r="P1415" s="42">
        <f t="shared" si="5146" ref="P1415:P1522">99+99*20%</f>
        <v>118.8</v>
      </c>
      <c r="Q1415" s="16"/>
    </row>
    <row r="1416" ht="20.05" customHeight="1">
      <c r="A1416" s="13">
        <f>A1415+1</f>
        <v>1414</v>
      </c>
      <c r="B1416" s="14">
        <v>2023</v>
      </c>
      <c r="C1416" s="15">
        <v>12</v>
      </c>
      <c r="D1416" s="15">
        <v>20</v>
      </c>
      <c r="E1416" s="16"/>
      <c r="F1416" t="s" s="17">
        <v>122</v>
      </c>
      <c r="G1416" s="16"/>
      <c r="H1416" t="s" s="17">
        <v>163</v>
      </c>
      <c r="I1416" t="s" s="17">
        <v>187</v>
      </c>
      <c r="J1416" t="s" s="17">
        <v>220</v>
      </c>
      <c r="K1416" t="s" s="17">
        <v>23</v>
      </c>
      <c r="L1416" s="15">
        <f>IF(O1416,P1416/O1416,0)</f>
        <v>8.699999999999999</v>
      </c>
      <c r="M1416" s="15">
        <v>8.699999999999999</v>
      </c>
      <c r="N1416" s="15">
        <f>A1416</f>
        <v>1414</v>
      </c>
      <c r="O1416" s="15">
        <f>5*4</f>
        <v>20</v>
      </c>
      <c r="P1416" s="41">
        <f>145+145*20%</f>
        <v>174</v>
      </c>
      <c r="Q1416" s="16"/>
    </row>
    <row r="1417" ht="20.05" customHeight="1">
      <c r="A1417" s="13">
        <f>A1416+1</f>
        <v>1415</v>
      </c>
      <c r="B1417" s="14">
        <v>2023</v>
      </c>
      <c r="C1417" s="15">
        <v>12</v>
      </c>
      <c r="D1417" s="15">
        <v>20</v>
      </c>
      <c r="E1417" s="16"/>
      <c r="F1417" t="s" s="17">
        <v>150</v>
      </c>
      <c r="G1417" s="16"/>
      <c r="H1417" t="s" s="17">
        <v>163</v>
      </c>
      <c r="I1417" t="s" s="17">
        <v>19</v>
      </c>
      <c r="J1417" t="s" s="17">
        <v>151</v>
      </c>
      <c r="K1417" t="s" s="17">
        <v>41</v>
      </c>
      <c r="L1417" s="15">
        <f>IF(O1417,P1417/O1417,0)</f>
        <v>0.255866666666667</v>
      </c>
      <c r="M1417" s="15">
        <v>0.255866666666667</v>
      </c>
      <c r="N1417" s="15">
        <f>A1417</f>
        <v>1415</v>
      </c>
      <c r="O1417" s="15">
        <v>750</v>
      </c>
      <c r="P1417" s="42">
        <f t="shared" si="4846"/>
        <v>191.9</v>
      </c>
      <c r="Q1417" s="16"/>
    </row>
    <row r="1418" ht="20.05" customHeight="1">
      <c r="A1418" s="13">
        <f>A1417+1</f>
        <v>1416</v>
      </c>
      <c r="B1418" s="14">
        <v>2023</v>
      </c>
      <c r="C1418" s="15">
        <v>12</v>
      </c>
      <c r="D1418" s="15">
        <v>20</v>
      </c>
      <c r="E1418" s="16"/>
      <c r="F1418" t="s" s="17">
        <v>150</v>
      </c>
      <c r="G1418" s="16"/>
      <c r="H1418" t="s" s="17">
        <v>163</v>
      </c>
      <c r="I1418" t="s" s="17">
        <v>19</v>
      </c>
      <c r="J1418" t="s" s="17">
        <v>105</v>
      </c>
      <c r="K1418" t="s" s="17">
        <v>41</v>
      </c>
      <c r="L1418" s="15">
        <f>IF(O1418,P1418/O1418,0)</f>
        <v>0.360906666666667</v>
      </c>
      <c r="M1418" s="15">
        <v>0.360906666666667</v>
      </c>
      <c r="N1418" s="15">
        <f>A1418</f>
        <v>1416</v>
      </c>
      <c r="O1418" s="15">
        <v>750</v>
      </c>
      <c r="P1418" s="41">
        <f t="shared" si="5159" ref="P1418:P1539">268+268*1%</f>
        <v>270.68</v>
      </c>
      <c r="Q1418" s="16"/>
    </row>
    <row r="1419" ht="20.05" customHeight="1">
      <c r="A1419" s="13">
        <f>A1418+1</f>
        <v>1417</v>
      </c>
      <c r="B1419" s="14">
        <v>2023</v>
      </c>
      <c r="C1419" s="15">
        <v>12</v>
      </c>
      <c r="D1419" s="15">
        <v>20</v>
      </c>
      <c r="E1419" s="16"/>
      <c r="F1419" t="s" s="17">
        <v>130</v>
      </c>
      <c r="G1419" s="16"/>
      <c r="H1419" t="s" s="17">
        <v>163</v>
      </c>
      <c r="I1419" t="s" s="17">
        <v>19</v>
      </c>
      <c r="J1419" t="s" s="17">
        <v>59</v>
      </c>
      <c r="K1419" t="s" s="17">
        <v>41</v>
      </c>
      <c r="L1419" s="15">
        <f>IF(O1419,P1419/O1419,0)</f>
        <v>0.314</v>
      </c>
      <c r="M1419" s="15">
        <v>0.314</v>
      </c>
      <c r="N1419" s="15">
        <f>A1419</f>
        <v>1417</v>
      </c>
      <c r="O1419" s="15">
        <v>350</v>
      </c>
      <c r="P1419" s="15">
        <v>109.9</v>
      </c>
      <c r="Q1419" s="16"/>
    </row>
    <row r="1420" ht="20.35" customHeight="1">
      <c r="A1420" s="13">
        <f>A1419+1</f>
        <v>1418</v>
      </c>
      <c r="B1420" s="14">
        <v>2023</v>
      </c>
      <c r="C1420" s="15">
        <v>12</v>
      </c>
      <c r="D1420" s="15">
        <v>20</v>
      </c>
      <c r="E1420" s="16"/>
      <c r="F1420" t="s" s="17">
        <v>130</v>
      </c>
      <c r="G1420" s="16"/>
      <c r="H1420" t="s" s="17">
        <v>163</v>
      </c>
      <c r="I1420" t="s" s="17">
        <v>187</v>
      </c>
      <c r="J1420" t="s" s="17">
        <v>447</v>
      </c>
      <c r="K1420" t="s" s="17">
        <v>16</v>
      </c>
      <c r="L1420" s="15">
        <f>IF(O1420,P1420/O1420,0)</f>
        <v>0.0244387254901961</v>
      </c>
      <c r="M1420" s="15">
        <v>0.0244387254901961</v>
      </c>
      <c r="N1420" s="15">
        <f>A1420</f>
        <v>1418</v>
      </c>
      <c r="O1420" s="15">
        <f>1115+975+1990</f>
        <v>4080</v>
      </c>
      <c r="P1420" s="18">
        <f>44.54+19.45+35.72</f>
        <v>99.70999999999999</v>
      </c>
      <c r="Q1420" s="16"/>
    </row>
    <row r="1421" ht="32.7" customHeight="1">
      <c r="A1421" s="13">
        <f>A1420+1</f>
        <v>1419</v>
      </c>
      <c r="B1421" s="14">
        <v>2023</v>
      </c>
      <c r="C1421" s="15">
        <v>12</v>
      </c>
      <c r="D1421" s="15">
        <v>20</v>
      </c>
      <c r="E1421" s="16"/>
      <c r="F1421" t="s" s="17">
        <v>428</v>
      </c>
      <c r="G1421" s="16"/>
      <c r="H1421" t="s" s="17">
        <v>163</v>
      </c>
      <c r="I1421" t="s" s="17">
        <v>19</v>
      </c>
      <c r="J1421" t="s" s="17">
        <v>448</v>
      </c>
      <c r="K1421" t="s" s="17">
        <v>16</v>
      </c>
      <c r="L1421" s="15">
        <f>IF(O1421,P1421/O1421,0)</f>
        <v>0.3372895</v>
      </c>
      <c r="M1421" s="15">
        <v>0.3372895</v>
      </c>
      <c r="N1421" s="15">
        <f>A1421</f>
        <v>1419</v>
      </c>
      <c r="O1421" s="19">
        <f>4*500</f>
        <v>2000</v>
      </c>
      <c r="P1421" s="46">
        <f>667.9+667.9*1%</f>
        <v>674.579</v>
      </c>
      <c r="Q1421" s="21"/>
    </row>
    <row r="1422" ht="32.7" customHeight="1">
      <c r="A1422" s="13">
        <f>A1421+1</f>
        <v>1420</v>
      </c>
      <c r="B1422" s="14">
        <v>2023</v>
      </c>
      <c r="C1422" s="15">
        <v>12</v>
      </c>
      <c r="D1422" s="15">
        <v>20</v>
      </c>
      <c r="E1422" s="16"/>
      <c r="F1422" t="s" s="17">
        <v>428</v>
      </c>
      <c r="G1422" s="16"/>
      <c r="H1422" t="s" s="17">
        <v>163</v>
      </c>
      <c r="I1422" t="s" s="17">
        <v>19</v>
      </c>
      <c r="J1422" t="s" s="17">
        <v>437</v>
      </c>
      <c r="K1422" t="s" s="17">
        <v>16</v>
      </c>
      <c r="L1422" s="15">
        <f>IF(O1422,P1422/O1422,0)</f>
        <v>0.389961</v>
      </c>
      <c r="M1422" s="15">
        <v>0.389961</v>
      </c>
      <c r="N1422" s="15">
        <f>A1422</f>
        <v>1420</v>
      </c>
      <c r="O1422" s="19">
        <f t="shared" si="4362"/>
        <v>4000</v>
      </c>
      <c r="P1422" s="46">
        <f t="shared" si="5177" ref="P1422:P1602">1544.4+1544.4*1%</f>
        <v>1559.844</v>
      </c>
      <c r="Q1422" s="21"/>
    </row>
    <row r="1423" ht="20.7" customHeight="1">
      <c r="A1423" s="13">
        <f>A1422+1</f>
        <v>1421</v>
      </c>
      <c r="B1423" s="14">
        <v>2023</v>
      </c>
      <c r="C1423" s="15">
        <v>12</v>
      </c>
      <c r="D1423" s="15">
        <v>20</v>
      </c>
      <c r="E1423" s="16"/>
      <c r="F1423" t="s" s="17">
        <v>428</v>
      </c>
      <c r="G1423" s="16"/>
      <c r="H1423" t="s" s="17">
        <v>163</v>
      </c>
      <c r="I1423" t="s" s="17">
        <v>19</v>
      </c>
      <c r="J1423" t="s" s="17">
        <v>139</v>
      </c>
      <c r="K1423" t="s" s="17">
        <v>23</v>
      </c>
      <c r="L1423" s="15">
        <f>IF(O1423,P1423/O1423,0)</f>
        <v>3.62491805555556</v>
      </c>
      <c r="M1423" s="15">
        <v>3.62491805555556</v>
      </c>
      <c r="N1423" s="15">
        <f>A1423</f>
        <v>1421</v>
      </c>
      <c r="O1423" s="19">
        <f t="shared" si="4721"/>
        <v>72</v>
      </c>
      <c r="P1423" s="47">
        <f>258.41+258.41*1%</f>
        <v>260.9941</v>
      </c>
      <c r="Q1423" s="21"/>
    </row>
    <row r="1424" ht="20.7" customHeight="1">
      <c r="A1424" s="13">
        <f>A1423+1</f>
        <v>1422</v>
      </c>
      <c r="B1424" s="14">
        <v>2023</v>
      </c>
      <c r="C1424" s="15">
        <v>12</v>
      </c>
      <c r="D1424" s="15">
        <v>20</v>
      </c>
      <c r="E1424" s="16"/>
      <c r="F1424" t="s" s="17">
        <v>428</v>
      </c>
      <c r="G1424" s="16"/>
      <c r="H1424" t="s" s="17">
        <v>163</v>
      </c>
      <c r="I1424" t="s" s="17">
        <v>19</v>
      </c>
      <c r="J1424" t="s" s="17">
        <v>73</v>
      </c>
      <c r="K1424" t="s" s="17">
        <v>23</v>
      </c>
      <c r="L1424" s="15">
        <f>IF(O1424,P1424/O1424,0)</f>
        <v>4.5210125</v>
      </c>
      <c r="M1424" s="15">
        <v>4.5210125</v>
      </c>
      <c r="N1424" s="15">
        <f>A1424</f>
        <v>1422</v>
      </c>
      <c r="O1424" s="19">
        <v>24</v>
      </c>
      <c r="P1424" s="47">
        <f t="shared" si="5186" ref="P1424:P1425">107.43+107.43*1%</f>
        <v>108.5043</v>
      </c>
      <c r="Q1424" s="21"/>
    </row>
    <row r="1425" ht="20.7" customHeight="1">
      <c r="A1425" s="13">
        <f>A1424+1</f>
        <v>1423</v>
      </c>
      <c r="B1425" s="14">
        <v>2023</v>
      </c>
      <c r="C1425" s="15">
        <v>12</v>
      </c>
      <c r="D1425" s="15">
        <v>20</v>
      </c>
      <c r="E1425" s="16"/>
      <c r="F1425" t="s" s="17">
        <v>428</v>
      </c>
      <c r="G1425" s="16"/>
      <c r="H1425" t="s" s="17">
        <v>163</v>
      </c>
      <c r="I1425" t="s" s="17">
        <v>19</v>
      </c>
      <c r="J1425" t="s" s="17">
        <v>74</v>
      </c>
      <c r="K1425" t="s" s="17">
        <v>23</v>
      </c>
      <c r="L1425" s="15">
        <f>IF(O1425,P1425/O1425,0)</f>
        <v>4.5210125</v>
      </c>
      <c r="M1425" s="15">
        <v>4.5210125</v>
      </c>
      <c r="N1425" s="15">
        <f>A1425</f>
        <v>1423</v>
      </c>
      <c r="O1425" s="19">
        <v>24</v>
      </c>
      <c r="P1425" s="47">
        <f t="shared" si="5186"/>
        <v>108.5043</v>
      </c>
      <c r="Q1425" s="21"/>
    </row>
    <row r="1426" ht="20.35" customHeight="1">
      <c r="A1426" s="13">
        <f>A1425+1</f>
        <v>1424</v>
      </c>
      <c r="B1426" s="14">
        <v>2023</v>
      </c>
      <c r="C1426" s="15">
        <v>12</v>
      </c>
      <c r="D1426" s="15">
        <v>20</v>
      </c>
      <c r="E1426" s="16"/>
      <c r="F1426" t="s" s="17">
        <v>324</v>
      </c>
      <c r="G1426" s="16"/>
      <c r="H1426" t="s" s="17">
        <v>163</v>
      </c>
      <c r="I1426" t="s" s="17">
        <v>187</v>
      </c>
      <c r="J1426" t="s" s="17">
        <v>185</v>
      </c>
      <c r="K1426" t="s" s="17">
        <v>23</v>
      </c>
      <c r="L1426" s="15">
        <f>IF(O1426,P1426/O1426,0)</f>
        <v>69</v>
      </c>
      <c r="M1426" s="15">
        <v>69</v>
      </c>
      <c r="N1426" s="15">
        <f>A1426</f>
        <v>1424</v>
      </c>
      <c r="O1426" s="15">
        <v>1</v>
      </c>
      <c r="P1426" s="22">
        <v>69</v>
      </c>
      <c r="Q1426" s="16"/>
    </row>
    <row r="1427" ht="32.05" customHeight="1">
      <c r="A1427" s="13">
        <f>A1426+1</f>
        <v>1425</v>
      </c>
      <c r="B1427" s="14">
        <v>2023</v>
      </c>
      <c r="C1427" s="15">
        <v>12</v>
      </c>
      <c r="D1427" s="15">
        <v>20</v>
      </c>
      <c r="E1427" s="16"/>
      <c r="F1427" t="s" s="17">
        <v>449</v>
      </c>
      <c r="G1427" s="16"/>
      <c r="H1427" t="s" s="17">
        <v>163</v>
      </c>
      <c r="I1427" t="s" s="17">
        <v>187</v>
      </c>
      <c r="J1427" t="s" s="17">
        <v>450</v>
      </c>
      <c r="K1427" t="s" s="17">
        <v>23</v>
      </c>
      <c r="L1427" s="15">
        <f>IF(O1427,P1427/O1427,0)</f>
        <v>1119.504</v>
      </c>
      <c r="M1427" s="15">
        <v>1119.504</v>
      </c>
      <c r="N1427" s="15">
        <f>A1427</f>
        <v>1425</v>
      </c>
      <c r="O1427" s="15">
        <v>1</v>
      </c>
      <c r="P1427" s="42">
        <f>932.92+932.92*20%</f>
        <v>1119.504</v>
      </c>
      <c r="Q1427" s="16"/>
    </row>
    <row r="1428" ht="20.05" customHeight="1">
      <c r="A1428" s="13">
        <f>A1427+1</f>
        <v>1426</v>
      </c>
      <c r="B1428" s="14">
        <v>2023</v>
      </c>
      <c r="C1428" s="15">
        <v>12</v>
      </c>
      <c r="D1428" s="15">
        <v>20</v>
      </c>
      <c r="E1428" s="16"/>
      <c r="F1428" t="s" s="17">
        <v>419</v>
      </c>
      <c r="G1428" s="16"/>
      <c r="H1428" t="s" s="17">
        <v>163</v>
      </c>
      <c r="I1428" t="s" s="17">
        <v>187</v>
      </c>
      <c r="J1428" t="s" s="17">
        <v>451</v>
      </c>
      <c r="K1428" t="s" s="17">
        <v>23</v>
      </c>
      <c r="L1428" s="15">
        <f>IF(O1428,P1428/O1428,0)</f>
        <v>74</v>
      </c>
      <c r="M1428" s="15">
        <v>74</v>
      </c>
      <c r="N1428" s="15">
        <f>A1428</f>
        <v>1426</v>
      </c>
      <c r="O1428" s="15">
        <v>1</v>
      </c>
      <c r="P1428" s="15">
        <v>74</v>
      </c>
      <c r="Q1428" s="16"/>
    </row>
    <row r="1429" ht="32.05" customHeight="1">
      <c r="A1429" s="13">
        <f>A1428+1</f>
        <v>1427</v>
      </c>
      <c r="B1429" s="14">
        <v>2023</v>
      </c>
      <c r="C1429" s="15">
        <v>12</v>
      </c>
      <c r="D1429" s="15">
        <v>21</v>
      </c>
      <c r="E1429" s="16"/>
      <c r="F1429" t="s" s="17">
        <v>287</v>
      </c>
      <c r="G1429" s="16"/>
      <c r="H1429" t="s" s="17">
        <v>163</v>
      </c>
      <c r="I1429" t="s" s="17">
        <v>14</v>
      </c>
      <c r="J1429" t="s" s="17">
        <v>283</v>
      </c>
      <c r="K1429" t="s" s="17">
        <v>23</v>
      </c>
      <c r="L1429" s="15">
        <f>IF(O1429,P1429/O1429,0)</f>
        <v>35.8045</v>
      </c>
      <c r="M1429" s="15">
        <v>35.8045</v>
      </c>
      <c r="N1429" s="15">
        <f>A1429</f>
        <v>1427</v>
      </c>
      <c r="O1429" s="15">
        <v>10</v>
      </c>
      <c r="P1429" s="42">
        <f t="shared" si="4996"/>
        <v>358.045</v>
      </c>
      <c r="Q1429" s="16"/>
    </row>
    <row r="1430" ht="20.05" customHeight="1">
      <c r="A1430" s="13">
        <f>A1429+1</f>
        <v>1428</v>
      </c>
      <c r="B1430" s="14">
        <v>2023</v>
      </c>
      <c r="C1430" s="15">
        <v>12</v>
      </c>
      <c r="D1430" s="15">
        <v>21</v>
      </c>
      <c r="E1430" s="16"/>
      <c r="F1430" t="s" s="17">
        <v>287</v>
      </c>
      <c r="G1430" s="16"/>
      <c r="H1430" t="s" s="17">
        <v>163</v>
      </c>
      <c r="I1430" t="s" s="17">
        <v>14</v>
      </c>
      <c r="J1430" t="s" s="17">
        <v>282</v>
      </c>
      <c r="K1430" t="s" s="17">
        <v>23</v>
      </c>
      <c r="L1430" s="15">
        <f>IF(O1430,P1430/O1430,0)</f>
        <v>27.4215</v>
      </c>
      <c r="M1430" s="15">
        <v>27.4215</v>
      </c>
      <c r="N1430" s="15">
        <f>A1430</f>
        <v>1428</v>
      </c>
      <c r="O1430" s="15">
        <v>10</v>
      </c>
      <c r="P1430" s="42">
        <f t="shared" si="5000"/>
        <v>274.215</v>
      </c>
      <c r="Q1430" s="16"/>
    </row>
    <row r="1431" ht="32.05" customHeight="1">
      <c r="A1431" s="13">
        <f>A1430+1</f>
        <v>1429</v>
      </c>
      <c r="B1431" s="14">
        <v>2023</v>
      </c>
      <c r="C1431" s="15">
        <v>12</v>
      </c>
      <c r="D1431" s="15">
        <v>21</v>
      </c>
      <c r="E1431" s="16"/>
      <c r="F1431" t="s" s="17">
        <v>287</v>
      </c>
      <c r="G1431" s="16"/>
      <c r="H1431" t="s" s="17">
        <v>163</v>
      </c>
      <c r="I1431" t="s" s="17">
        <v>17</v>
      </c>
      <c r="J1431" t="s" s="17">
        <v>300</v>
      </c>
      <c r="K1431" t="s" s="17">
        <v>23</v>
      </c>
      <c r="L1431" s="15">
        <f>IF(O1431,P1431/O1431,0)</f>
        <v>35.2995</v>
      </c>
      <c r="M1431" s="15">
        <v>35.2995</v>
      </c>
      <c r="N1431" s="15">
        <f>A1431</f>
        <v>1429</v>
      </c>
      <c r="O1431" s="15">
        <v>24</v>
      </c>
      <c r="P1431" s="42">
        <f t="shared" si="4741"/>
        <v>847.188</v>
      </c>
      <c r="Q1431" s="16"/>
    </row>
    <row r="1432" ht="20.05" customHeight="1">
      <c r="A1432" s="13">
        <f>A1431+1</f>
        <v>1430</v>
      </c>
      <c r="B1432" s="14">
        <v>2023</v>
      </c>
      <c r="C1432" s="15">
        <v>12</v>
      </c>
      <c r="D1432" s="15">
        <v>22</v>
      </c>
      <c r="E1432" s="16"/>
      <c r="F1432" t="s" s="17">
        <v>130</v>
      </c>
      <c r="G1432" s="16"/>
      <c r="H1432" t="s" s="17">
        <v>163</v>
      </c>
      <c r="I1432" t="s" s="17">
        <v>187</v>
      </c>
      <c r="J1432" t="s" s="17">
        <v>447</v>
      </c>
      <c r="K1432" t="s" s="17">
        <v>16</v>
      </c>
      <c r="L1432" s="15">
        <f>IF(O1432,P1432/O1432,0)</f>
        <v>0.0284642094017094</v>
      </c>
      <c r="M1432" s="15">
        <v>0.0284642094017094</v>
      </c>
      <c r="N1432" s="15">
        <f>A1432</f>
        <v>1430</v>
      </c>
      <c r="O1432" s="15">
        <f>1906+862+976</f>
        <v>3744</v>
      </c>
      <c r="P1432" s="15">
        <f>38.02+34.44+34.11</f>
        <v>106.57</v>
      </c>
      <c r="Q1432" s="16"/>
    </row>
    <row r="1433" ht="20.05" customHeight="1">
      <c r="A1433" s="13">
        <f>A1432+1</f>
        <v>1431</v>
      </c>
      <c r="B1433" s="14">
        <v>2023</v>
      </c>
      <c r="C1433" s="15">
        <v>12</v>
      </c>
      <c r="D1433" s="15">
        <v>22</v>
      </c>
      <c r="E1433" s="16"/>
      <c r="F1433" t="s" s="17">
        <v>141</v>
      </c>
      <c r="G1433" s="16"/>
      <c r="H1433" t="s" s="17">
        <v>163</v>
      </c>
      <c r="I1433" t="s" s="17">
        <v>19</v>
      </c>
      <c r="J1433" t="s" s="17">
        <v>142</v>
      </c>
      <c r="K1433" t="s" s="17">
        <v>23</v>
      </c>
      <c r="L1433" s="15">
        <f>IF(O1433,P1433/O1433,0)</f>
        <v>13.8515208333333</v>
      </c>
      <c r="M1433" s="15">
        <v>13.8515208333333</v>
      </c>
      <c r="N1433" s="15">
        <f>A1433</f>
        <v>1431</v>
      </c>
      <c r="O1433" s="15">
        <f t="shared" si="4968"/>
        <v>48</v>
      </c>
      <c r="P1433" s="42">
        <f t="shared" si="5222" ref="P1433:P1657">604.43+604.43*10%</f>
        <v>664.873</v>
      </c>
      <c r="Q1433" s="16"/>
    </row>
    <row r="1434" ht="20.05" customHeight="1">
      <c r="A1434" s="13">
        <f>A1433+1</f>
        <v>1432</v>
      </c>
      <c r="B1434" s="14">
        <v>2023</v>
      </c>
      <c r="C1434" s="15">
        <v>12</v>
      </c>
      <c r="D1434" s="15">
        <v>22</v>
      </c>
      <c r="E1434" s="16"/>
      <c r="F1434" t="s" s="17">
        <v>141</v>
      </c>
      <c r="G1434" s="16"/>
      <c r="H1434" t="s" s="17">
        <v>163</v>
      </c>
      <c r="I1434" t="s" s="17">
        <v>19</v>
      </c>
      <c r="J1434" t="s" s="17">
        <v>159</v>
      </c>
      <c r="K1434" t="s" s="17">
        <v>23</v>
      </c>
      <c r="L1434" s="15">
        <f>IF(O1434,P1434/O1434,0)</f>
        <v>2.48002694444444</v>
      </c>
      <c r="M1434" s="15">
        <v>2.48002694444444</v>
      </c>
      <c r="N1434" s="15">
        <f>A1434</f>
        <v>1432</v>
      </c>
      <c r="O1434" s="15">
        <f>15*24</f>
        <v>360</v>
      </c>
      <c r="P1434" s="43">
        <f>883.97+883.97*1%</f>
        <v>892.8097</v>
      </c>
      <c r="Q1434" s="16"/>
    </row>
    <row r="1435" ht="20.05" customHeight="1">
      <c r="A1435" s="13">
        <f>A1434+1</f>
        <v>1433</v>
      </c>
      <c r="B1435" s="14">
        <v>2023</v>
      </c>
      <c r="C1435" s="15">
        <v>12</v>
      </c>
      <c r="D1435" s="15">
        <v>22</v>
      </c>
      <c r="E1435" s="16"/>
      <c r="F1435" t="s" s="17">
        <v>141</v>
      </c>
      <c r="G1435" s="16"/>
      <c r="H1435" t="s" s="17">
        <v>163</v>
      </c>
      <c r="I1435" s="16"/>
      <c r="J1435" t="s" s="17">
        <v>337</v>
      </c>
      <c r="K1435" t="s" s="17">
        <v>23</v>
      </c>
      <c r="L1435" s="15">
        <f>IF(O1435,P1435/O1435,0)</f>
        <v>-114</v>
      </c>
      <c r="M1435" s="15">
        <v>-114</v>
      </c>
      <c r="N1435" s="15">
        <f>A1435</f>
        <v>1433</v>
      </c>
      <c r="O1435" s="15">
        <v>2</v>
      </c>
      <c r="P1435" s="15">
        <v>-228</v>
      </c>
      <c r="Q1435" s="16"/>
    </row>
    <row r="1436" ht="20.05" customHeight="1">
      <c r="A1436" s="13">
        <f>A1435+1</f>
        <v>1434</v>
      </c>
      <c r="B1436" s="14">
        <v>2023</v>
      </c>
      <c r="C1436" s="15">
        <v>12</v>
      </c>
      <c r="D1436" s="15">
        <v>23</v>
      </c>
      <c r="E1436" s="16"/>
      <c r="F1436" t="s" s="17">
        <v>287</v>
      </c>
      <c r="G1436" s="16"/>
      <c r="H1436" t="s" s="17">
        <v>163</v>
      </c>
      <c r="I1436" t="s" s="17">
        <v>14</v>
      </c>
      <c r="J1436" t="s" s="17">
        <v>289</v>
      </c>
      <c r="K1436" t="s" s="17">
        <v>23</v>
      </c>
      <c r="L1436" s="15">
        <f>IF(O1436,P1436/O1436,0)</f>
        <v>32.724</v>
      </c>
      <c r="M1436" s="15">
        <v>32.724</v>
      </c>
      <c r="N1436" s="15">
        <f>A1436</f>
        <v>1434</v>
      </c>
      <c r="O1436" s="15">
        <f t="shared" si="5234" ref="O1436:O1653">2*10</f>
        <v>20</v>
      </c>
      <c r="P1436" s="41">
        <f t="shared" si="4395"/>
        <v>654.48</v>
      </c>
      <c r="Q1436" s="16"/>
    </row>
    <row r="1437" ht="20.05" customHeight="1">
      <c r="A1437" s="13">
        <f>A1436+1</f>
        <v>1435</v>
      </c>
      <c r="B1437" s="14">
        <v>2023</v>
      </c>
      <c r="C1437" s="15">
        <v>12</v>
      </c>
      <c r="D1437" s="15">
        <v>23</v>
      </c>
      <c r="E1437" s="16"/>
      <c r="F1437" t="s" s="17">
        <v>287</v>
      </c>
      <c r="G1437" s="16"/>
      <c r="H1437" t="s" s="17">
        <v>163</v>
      </c>
      <c r="I1437" t="s" s="17">
        <v>14</v>
      </c>
      <c r="J1437" t="s" s="17">
        <v>433</v>
      </c>
      <c r="K1437" t="s" s="17">
        <v>23</v>
      </c>
      <c r="L1437" s="15">
        <f>IF(O1437,P1437/O1437,0)</f>
        <v>39.289</v>
      </c>
      <c r="M1437" s="15">
        <v>39.289</v>
      </c>
      <c r="N1437" s="15">
        <f>A1437</f>
        <v>1435</v>
      </c>
      <c r="O1437" s="15">
        <v>10</v>
      </c>
      <c r="P1437" s="41">
        <f t="shared" si="4792"/>
        <v>392.89</v>
      </c>
      <c r="Q1437" s="16"/>
    </row>
    <row r="1438" ht="20.05" customHeight="1">
      <c r="A1438" s="13">
        <f>A1437+1</f>
        <v>1436</v>
      </c>
      <c r="B1438" s="14">
        <v>2023</v>
      </c>
      <c r="C1438" s="15">
        <v>12</v>
      </c>
      <c r="D1438" s="15">
        <v>23</v>
      </c>
      <c r="E1438" s="16"/>
      <c r="F1438" t="s" s="17">
        <v>287</v>
      </c>
      <c r="G1438" s="16"/>
      <c r="H1438" t="s" s="17">
        <v>163</v>
      </c>
      <c r="I1438" t="s" s="17">
        <v>14</v>
      </c>
      <c r="J1438" t="s" s="17">
        <v>282</v>
      </c>
      <c r="K1438" t="s" s="17">
        <v>23</v>
      </c>
      <c r="L1438" s="15">
        <f>IF(O1438,P1438/O1438,0)</f>
        <v>27.4215</v>
      </c>
      <c r="M1438" s="15">
        <v>27.4215</v>
      </c>
      <c r="N1438" s="15">
        <f>A1438</f>
        <v>1436</v>
      </c>
      <c r="O1438" s="15">
        <f t="shared" si="5234"/>
        <v>20</v>
      </c>
      <c r="P1438" s="41">
        <f t="shared" si="5244" ref="P1438:P1548">543+543*1%</f>
        <v>548.4299999999999</v>
      </c>
      <c r="Q1438" s="16"/>
    </row>
    <row r="1439" ht="32.05" customHeight="1">
      <c r="A1439" s="13">
        <f>A1438+1</f>
        <v>1437</v>
      </c>
      <c r="B1439" s="14">
        <v>2023</v>
      </c>
      <c r="C1439" s="15">
        <v>12</v>
      </c>
      <c r="D1439" s="15">
        <v>23</v>
      </c>
      <c r="E1439" s="16"/>
      <c r="F1439" t="s" s="17">
        <v>287</v>
      </c>
      <c r="G1439" s="16"/>
      <c r="H1439" t="s" s="17">
        <v>163</v>
      </c>
      <c r="I1439" t="s" s="17">
        <v>17</v>
      </c>
      <c r="J1439" t="s" s="17">
        <v>299</v>
      </c>
      <c r="K1439" t="s" s="17">
        <v>23</v>
      </c>
      <c r="L1439" s="15">
        <f>IF(O1439,P1439/O1439,0)</f>
        <v>40.9959</v>
      </c>
      <c r="M1439" s="15">
        <v>40.9959</v>
      </c>
      <c r="N1439" s="15">
        <f>A1439</f>
        <v>1437</v>
      </c>
      <c r="O1439" s="15">
        <v>24</v>
      </c>
      <c r="P1439" s="43">
        <f t="shared" si="4691"/>
        <v>983.9016</v>
      </c>
      <c r="Q1439" s="16"/>
    </row>
    <row r="1440" ht="32.05" customHeight="1">
      <c r="A1440" s="13">
        <f>A1439+1</f>
        <v>1438</v>
      </c>
      <c r="B1440" s="14">
        <v>2023</v>
      </c>
      <c r="C1440" s="15">
        <v>12</v>
      </c>
      <c r="D1440" s="15">
        <v>23</v>
      </c>
      <c r="E1440" s="16"/>
      <c r="F1440" t="s" s="17">
        <v>287</v>
      </c>
      <c r="G1440" s="16"/>
      <c r="H1440" t="s" s="17">
        <v>163</v>
      </c>
      <c r="I1440" t="s" s="17">
        <v>17</v>
      </c>
      <c r="J1440" t="s" s="17">
        <v>300</v>
      </c>
      <c r="K1440" t="s" s="17">
        <v>23</v>
      </c>
      <c r="L1440" s="15">
        <f>IF(O1440,P1440/O1440,0)</f>
        <v>35.2995</v>
      </c>
      <c r="M1440" s="15">
        <v>35.2995</v>
      </c>
      <c r="N1440" s="15">
        <f>A1440</f>
        <v>1438</v>
      </c>
      <c r="O1440" s="15">
        <v>24</v>
      </c>
      <c r="P1440" s="42">
        <f t="shared" si="4741"/>
        <v>847.188</v>
      </c>
      <c r="Q1440" s="16"/>
    </row>
    <row r="1441" ht="20.05" customHeight="1">
      <c r="A1441" s="13">
        <f>A1440+1</f>
        <v>1439</v>
      </c>
      <c r="B1441" s="14">
        <v>2023</v>
      </c>
      <c r="C1441" s="15">
        <v>12</v>
      </c>
      <c r="D1441" s="15">
        <v>23</v>
      </c>
      <c r="E1441" s="16"/>
      <c r="F1441" t="s" s="17">
        <v>130</v>
      </c>
      <c r="G1441" s="16"/>
      <c r="H1441" t="s" s="17">
        <v>163</v>
      </c>
      <c r="I1441" t="s" s="17">
        <v>26</v>
      </c>
      <c r="J1441" t="s" s="17">
        <v>113</v>
      </c>
      <c r="K1441" t="s" s="17">
        <v>41</v>
      </c>
      <c r="L1441" s="15">
        <f>IF(O1441,P1441/O1441,0)</f>
        <v>0.02995</v>
      </c>
      <c r="M1441" s="15">
        <v>0.02995</v>
      </c>
      <c r="N1441" s="15">
        <f>A1441</f>
        <v>1439</v>
      </c>
      <c r="O1441" s="15">
        <v>2000</v>
      </c>
      <c r="P1441" s="15">
        <v>59.9</v>
      </c>
      <c r="Q1441" s="16"/>
    </row>
    <row r="1442" ht="20.05" customHeight="1">
      <c r="A1442" s="13">
        <f>A1441+1</f>
        <v>1440</v>
      </c>
      <c r="B1442" s="14">
        <v>2023</v>
      </c>
      <c r="C1442" s="15">
        <v>12</v>
      </c>
      <c r="D1442" s="15">
        <v>24</v>
      </c>
      <c r="E1442" s="16"/>
      <c r="F1442" t="s" s="17">
        <v>130</v>
      </c>
      <c r="G1442" s="16"/>
      <c r="H1442" t="s" s="17">
        <v>163</v>
      </c>
      <c r="I1442" t="s" s="17">
        <v>187</v>
      </c>
      <c r="J1442" t="s" s="17">
        <v>170</v>
      </c>
      <c r="K1442" t="s" s="17">
        <v>23</v>
      </c>
      <c r="L1442" s="15">
        <f>IF(O1442,P1442/O1442,0)</f>
        <v>23.975</v>
      </c>
      <c r="M1442" s="15">
        <v>23.975</v>
      </c>
      <c r="N1442" s="15">
        <f>A1442</f>
        <v>1440</v>
      </c>
      <c r="O1442" s="15">
        <v>2</v>
      </c>
      <c r="P1442" s="15">
        <v>47.95</v>
      </c>
      <c r="Q1442" s="16"/>
    </row>
    <row r="1443" ht="32.05" customHeight="1">
      <c r="A1443" s="13">
        <f>A1442+1</f>
        <v>1441</v>
      </c>
      <c r="B1443" s="14">
        <v>2023</v>
      </c>
      <c r="C1443" s="15">
        <v>12</v>
      </c>
      <c r="D1443" s="15">
        <v>24</v>
      </c>
      <c r="E1443" s="16"/>
      <c r="F1443" t="s" s="17">
        <v>130</v>
      </c>
      <c r="G1443" s="16"/>
      <c r="H1443" t="s" s="17">
        <v>163</v>
      </c>
      <c r="I1443" t="s" s="17">
        <v>187</v>
      </c>
      <c r="J1443" t="s" s="17">
        <v>452</v>
      </c>
      <c r="K1443" t="s" s="17">
        <v>41</v>
      </c>
      <c r="L1443" s="15">
        <f>IF(O1443,P1443/O1443,0)</f>
        <v>0.3716</v>
      </c>
      <c r="M1443" s="15">
        <v>0.3716</v>
      </c>
      <c r="N1443" s="15">
        <f>A1443</f>
        <v>1441</v>
      </c>
      <c r="O1443" s="15">
        <v>250</v>
      </c>
      <c r="P1443" s="15">
        <v>92.90000000000001</v>
      </c>
      <c r="Q1443" s="16"/>
    </row>
    <row r="1444" ht="20.05" customHeight="1">
      <c r="A1444" s="13">
        <f>A1443+1</f>
        <v>1442</v>
      </c>
      <c r="B1444" s="14">
        <v>2023</v>
      </c>
      <c r="C1444" s="15">
        <v>12</v>
      </c>
      <c r="D1444" s="15">
        <v>24</v>
      </c>
      <c r="E1444" s="16"/>
      <c r="F1444" t="s" s="17">
        <v>130</v>
      </c>
      <c r="G1444" s="16"/>
      <c r="H1444" t="s" s="17">
        <v>163</v>
      </c>
      <c r="I1444" t="s" s="17">
        <v>19</v>
      </c>
      <c r="J1444" t="s" s="17">
        <v>157</v>
      </c>
      <c r="K1444" t="s" s="17">
        <v>16</v>
      </c>
      <c r="L1444" s="15">
        <f>IF(O1444,P1444/O1444,0)</f>
        <v>0.019952380952381</v>
      </c>
      <c r="M1444" s="15">
        <v>0.019952380952381</v>
      </c>
      <c r="N1444" s="15">
        <f>A1444</f>
        <v>1442</v>
      </c>
      <c r="O1444" s="15">
        <v>1890</v>
      </c>
      <c r="P1444" s="15">
        <v>37.71</v>
      </c>
      <c r="Q1444" s="16"/>
    </row>
    <row r="1445" ht="20.05" customHeight="1">
      <c r="A1445" s="13">
        <f>A1444+1</f>
        <v>1443</v>
      </c>
      <c r="B1445" s="14">
        <v>2023</v>
      </c>
      <c r="C1445" s="15">
        <v>12</v>
      </c>
      <c r="D1445" s="15">
        <v>24</v>
      </c>
      <c r="E1445" s="16"/>
      <c r="F1445" t="s" s="17">
        <v>130</v>
      </c>
      <c r="G1445" s="16"/>
      <c r="H1445" t="s" s="17">
        <v>163</v>
      </c>
      <c r="I1445" t="s" s="17">
        <v>187</v>
      </c>
      <c r="J1445" t="s" s="17">
        <v>426</v>
      </c>
      <c r="K1445" t="s" s="17">
        <v>23</v>
      </c>
      <c r="L1445" s="15">
        <f>IF(O1445,P1445/O1445,0)</f>
        <v>23.9</v>
      </c>
      <c r="M1445" s="15">
        <v>23.9</v>
      </c>
      <c r="N1445" s="15">
        <f>A1445</f>
        <v>1443</v>
      </c>
      <c r="O1445" s="15">
        <v>1</v>
      </c>
      <c r="P1445" s="15">
        <v>23.9</v>
      </c>
      <c r="Q1445" s="16"/>
    </row>
    <row r="1446" ht="20.05" customHeight="1">
      <c r="A1446" s="13">
        <f>A1445+1</f>
        <v>1444</v>
      </c>
      <c r="B1446" s="14">
        <v>2023</v>
      </c>
      <c r="C1446" s="15">
        <v>12</v>
      </c>
      <c r="D1446" s="15">
        <v>24</v>
      </c>
      <c r="E1446" s="16"/>
      <c r="F1446" t="s" s="17">
        <v>130</v>
      </c>
      <c r="G1446" s="16"/>
      <c r="H1446" t="s" s="17">
        <v>163</v>
      </c>
      <c r="I1446" t="s" s="17">
        <v>19</v>
      </c>
      <c r="J1446" t="s" s="17">
        <v>157</v>
      </c>
      <c r="K1446" t="s" s="17">
        <v>16</v>
      </c>
      <c r="L1446" s="15">
        <f>IF(O1446,P1446/O1446,0)</f>
        <v>0.019952380952381</v>
      </c>
      <c r="M1446" s="15">
        <v>0.019952380952381</v>
      </c>
      <c r="N1446" s="15">
        <f>A1446</f>
        <v>1444</v>
      </c>
      <c r="O1446" s="15">
        <v>1470</v>
      </c>
      <c r="P1446" s="15">
        <v>29.33</v>
      </c>
      <c r="Q1446" s="16"/>
    </row>
    <row r="1447" ht="20.05" customHeight="1">
      <c r="A1447" s="13">
        <f>A1446+1</f>
        <v>1445</v>
      </c>
      <c r="B1447" s="14">
        <v>2023</v>
      </c>
      <c r="C1447" s="15">
        <v>12</v>
      </c>
      <c r="D1447" s="15">
        <v>24</v>
      </c>
      <c r="E1447" s="16"/>
      <c r="F1447" t="s" s="17">
        <v>130</v>
      </c>
      <c r="G1447" s="16"/>
      <c r="H1447" t="s" s="17">
        <v>163</v>
      </c>
      <c r="I1447" t="s" s="17">
        <v>26</v>
      </c>
      <c r="J1447" t="s" s="17">
        <v>113</v>
      </c>
      <c r="K1447" t="s" s="17">
        <v>41</v>
      </c>
      <c r="L1447" s="15">
        <f>IF(O1447,P1447/O1447,0)</f>
        <v>0.02995</v>
      </c>
      <c r="M1447" s="15">
        <v>0.02995</v>
      </c>
      <c r="N1447" s="15">
        <f>A1447</f>
        <v>1445</v>
      </c>
      <c r="O1447" s="15">
        <v>2000</v>
      </c>
      <c r="P1447" s="15">
        <v>59.9</v>
      </c>
      <c r="Q1447" s="16"/>
    </row>
    <row r="1448" ht="20.05" customHeight="1">
      <c r="A1448" s="13">
        <f>A1447+1</f>
        <v>1446</v>
      </c>
      <c r="B1448" s="14">
        <v>2023</v>
      </c>
      <c r="C1448" s="15">
        <v>12</v>
      </c>
      <c r="D1448" s="15">
        <v>25</v>
      </c>
      <c r="E1448" s="16"/>
      <c r="F1448" t="s" s="17">
        <v>184</v>
      </c>
      <c r="G1448" s="16"/>
      <c r="H1448" t="s" s="17">
        <v>163</v>
      </c>
      <c r="I1448" t="s" s="17">
        <v>187</v>
      </c>
      <c r="J1448" t="s" s="17">
        <v>185</v>
      </c>
      <c r="K1448" t="s" s="17">
        <v>23</v>
      </c>
      <c r="L1448" s="15">
        <f>IF(O1448,P1448/O1448,0)</f>
        <v>60</v>
      </c>
      <c r="M1448" s="15">
        <v>60</v>
      </c>
      <c r="N1448" s="15">
        <f>A1448</f>
        <v>1446</v>
      </c>
      <c r="O1448" s="15">
        <v>1</v>
      </c>
      <c r="P1448" s="15">
        <v>60</v>
      </c>
      <c r="Q1448" s="16"/>
    </row>
    <row r="1449" ht="20.05" customHeight="1">
      <c r="A1449" s="13">
        <f>A1448+1</f>
        <v>1447</v>
      </c>
      <c r="B1449" s="14">
        <v>2023</v>
      </c>
      <c r="C1449" s="15">
        <v>12</v>
      </c>
      <c r="D1449" s="15">
        <v>27</v>
      </c>
      <c r="E1449" s="16"/>
      <c r="F1449" t="s" s="17">
        <v>111</v>
      </c>
      <c r="G1449" s="16"/>
      <c r="H1449" t="s" s="17">
        <v>163</v>
      </c>
      <c r="I1449" t="s" s="17">
        <v>26</v>
      </c>
      <c r="J1449" t="s" s="17">
        <v>113</v>
      </c>
      <c r="K1449" t="s" s="17">
        <v>41</v>
      </c>
      <c r="L1449" s="15">
        <f>IF(O1449,P1449/O1449,0)</f>
        <v>0.0279166666666667</v>
      </c>
      <c r="M1449" s="15">
        <v>0.0279166666666667</v>
      </c>
      <c r="N1449" s="15">
        <f>A1449</f>
        <v>1447</v>
      </c>
      <c r="O1449" s="15">
        <v>3000</v>
      </c>
      <c r="P1449" s="15">
        <v>83.75</v>
      </c>
      <c r="Q1449" s="16"/>
    </row>
    <row r="1450" ht="20.05" customHeight="1">
      <c r="A1450" s="13">
        <f>A1449+1</f>
        <v>1448</v>
      </c>
      <c r="B1450" s="14">
        <v>2023</v>
      </c>
      <c r="C1450" s="15">
        <v>12</v>
      </c>
      <c r="D1450" s="15">
        <v>27</v>
      </c>
      <c r="E1450" s="16"/>
      <c r="F1450" t="s" s="17">
        <v>111</v>
      </c>
      <c r="G1450" s="16"/>
      <c r="H1450" t="s" s="17">
        <v>163</v>
      </c>
      <c r="I1450" t="s" s="17">
        <v>26</v>
      </c>
      <c r="J1450" t="s" s="17">
        <v>134</v>
      </c>
      <c r="K1450" t="s" s="17">
        <v>23</v>
      </c>
      <c r="L1450" s="15">
        <f>IF(O1450,P1450/O1450,0)</f>
        <v>36.683</v>
      </c>
      <c r="M1450" s="15">
        <v>36.683</v>
      </c>
      <c r="N1450" s="15">
        <f>A1450</f>
        <v>1448</v>
      </c>
      <c r="O1450" s="15">
        <v>10</v>
      </c>
      <c r="P1450" s="15">
        <v>366.83</v>
      </c>
      <c r="Q1450" s="16"/>
    </row>
    <row r="1451" ht="20.05" customHeight="1">
      <c r="A1451" s="13">
        <f>A1450+1</f>
        <v>1449</v>
      </c>
      <c r="B1451" s="14">
        <v>2023</v>
      </c>
      <c r="C1451" s="15">
        <v>12</v>
      </c>
      <c r="D1451" s="15">
        <v>27</v>
      </c>
      <c r="E1451" s="16"/>
      <c r="F1451" t="s" s="17">
        <v>111</v>
      </c>
      <c r="G1451" s="16"/>
      <c r="H1451" t="s" s="17">
        <v>163</v>
      </c>
      <c r="I1451" t="s" s="17">
        <v>19</v>
      </c>
      <c r="J1451" t="s" s="17">
        <v>81</v>
      </c>
      <c r="K1451" t="s" s="17">
        <v>23</v>
      </c>
      <c r="L1451" s="15">
        <f>IF(O1451,P1451/O1451,0)</f>
        <v>1.1900462962963</v>
      </c>
      <c r="M1451" s="15">
        <v>1.1900462962963</v>
      </c>
      <c r="N1451" s="15">
        <f>A1451</f>
        <v>1449</v>
      </c>
      <c r="O1451" s="15">
        <f t="shared" si="4663"/>
        <v>216</v>
      </c>
      <c r="P1451" s="15">
        <v>257.05</v>
      </c>
      <c r="Q1451" s="16"/>
    </row>
    <row r="1452" ht="20.05" customHeight="1">
      <c r="A1452" s="13">
        <f>A1451+1</f>
        <v>1450</v>
      </c>
      <c r="B1452" s="14">
        <v>2023</v>
      </c>
      <c r="C1452" s="15">
        <v>12</v>
      </c>
      <c r="D1452" s="15">
        <v>27</v>
      </c>
      <c r="E1452" s="16"/>
      <c r="F1452" t="s" s="17">
        <v>111</v>
      </c>
      <c r="G1452" s="16"/>
      <c r="H1452" t="s" s="17">
        <v>163</v>
      </c>
      <c r="I1452" t="s" s="17">
        <v>187</v>
      </c>
      <c r="J1452" t="s" s="17">
        <v>276</v>
      </c>
      <c r="K1452" t="s" s="17">
        <v>41</v>
      </c>
      <c r="L1452" s="15">
        <f>IF(O1452,P1452/O1452,0)</f>
        <v>0.06888</v>
      </c>
      <c r="M1452" s="15">
        <v>0.06888</v>
      </c>
      <c r="N1452" s="15">
        <f>A1452</f>
        <v>1450</v>
      </c>
      <c r="O1452" s="15">
        <v>1000</v>
      </c>
      <c r="P1452" s="15">
        <v>68.88</v>
      </c>
      <c r="Q1452" s="16"/>
    </row>
    <row r="1453" ht="20.05" customHeight="1">
      <c r="A1453" s="13">
        <f>A1452+1</f>
        <v>1451</v>
      </c>
      <c r="B1453" s="14">
        <v>2023</v>
      </c>
      <c r="C1453" s="15">
        <v>12</v>
      </c>
      <c r="D1453" s="15">
        <v>27</v>
      </c>
      <c r="E1453" s="16"/>
      <c r="F1453" t="s" s="17">
        <v>122</v>
      </c>
      <c r="G1453" s="16"/>
      <c r="H1453" t="s" s="17">
        <v>163</v>
      </c>
      <c r="I1453" t="s" s="17">
        <v>19</v>
      </c>
      <c r="J1453" t="s" s="17">
        <v>60</v>
      </c>
      <c r="K1453" t="s" s="17">
        <v>23</v>
      </c>
      <c r="L1453" s="15">
        <f>IF(O1453,P1453/O1453,0)</f>
        <v>2.48864</v>
      </c>
      <c r="M1453" s="15">
        <v>2.48864</v>
      </c>
      <c r="N1453" s="15">
        <f>A1453</f>
        <v>1451</v>
      </c>
      <c r="O1453" s="15">
        <v>120</v>
      </c>
      <c r="P1453" s="43">
        <f t="shared" si="5293" ref="P1453:P1858">295.68+295.68*1%</f>
        <v>298.6368</v>
      </c>
      <c r="Q1453" s="41">
        <f t="shared" si="5294" ref="Q1453:Q1858">384-384*23%</f>
        <v>295.68</v>
      </c>
    </row>
    <row r="1454" ht="20.05" customHeight="1">
      <c r="A1454" s="13">
        <f>A1453+1</f>
        <v>1452</v>
      </c>
      <c r="B1454" s="14">
        <v>2023</v>
      </c>
      <c r="C1454" s="15">
        <v>12</v>
      </c>
      <c r="D1454" s="15">
        <v>27</v>
      </c>
      <c r="E1454" s="16"/>
      <c r="F1454" t="s" s="17">
        <v>122</v>
      </c>
      <c r="G1454" s="16"/>
      <c r="H1454" t="s" s="17">
        <v>163</v>
      </c>
      <c r="I1454" t="s" s="17">
        <v>19</v>
      </c>
      <c r="J1454" t="s" s="17">
        <v>67</v>
      </c>
      <c r="K1454" t="s" s="17">
        <v>23</v>
      </c>
      <c r="L1454" s="15">
        <f>IF(O1454,P1454/O1454,0)</f>
        <v>1.236139</v>
      </c>
      <c r="M1454" s="15">
        <v>1.236139</v>
      </c>
      <c r="N1454" s="15">
        <f>A1454</f>
        <v>1452</v>
      </c>
      <c r="O1454" s="15">
        <f t="shared" si="5298" ref="O1454:O1598">4*100</f>
        <v>400</v>
      </c>
      <c r="P1454" s="43">
        <f>489.56+489.56*1%</f>
        <v>494.4556</v>
      </c>
      <c r="Q1454" s="42">
        <f>543.96-543.96*10%</f>
        <v>489.564</v>
      </c>
    </row>
    <row r="1455" ht="20.05" customHeight="1">
      <c r="A1455" s="13">
        <f>A1454+1</f>
        <v>1453</v>
      </c>
      <c r="B1455" s="14">
        <v>2023</v>
      </c>
      <c r="C1455" s="15">
        <v>12</v>
      </c>
      <c r="D1455" s="15">
        <v>27</v>
      </c>
      <c r="E1455" s="16"/>
      <c r="F1455" t="s" s="17">
        <v>122</v>
      </c>
      <c r="G1455" s="16"/>
      <c r="H1455" t="s" s="17">
        <v>163</v>
      </c>
      <c r="I1455" t="s" s="17">
        <v>19</v>
      </c>
      <c r="J1455" t="s" s="17">
        <v>138</v>
      </c>
      <c r="K1455" t="s" s="17">
        <v>41</v>
      </c>
      <c r="L1455" s="15">
        <f>IF(O1455,P1455/O1455,0)</f>
        <v>0.0391375</v>
      </c>
      <c r="M1455" s="15">
        <v>0.0391375</v>
      </c>
      <c r="N1455" s="15">
        <f>A1455</f>
        <v>1453</v>
      </c>
      <c r="O1455" s="15">
        <f t="shared" si="4807"/>
        <v>48000</v>
      </c>
      <c r="P1455" s="42">
        <f t="shared" si="5120"/>
        <v>1878.6</v>
      </c>
      <c r="Q1455" s="16"/>
    </row>
    <row r="1456" ht="20.05" customHeight="1">
      <c r="A1456" s="13">
        <f>A1455+1</f>
        <v>1454</v>
      </c>
      <c r="B1456" s="14">
        <v>2023</v>
      </c>
      <c r="C1456" s="15">
        <v>12</v>
      </c>
      <c r="D1456" s="15">
        <v>27</v>
      </c>
      <c r="E1456" s="16"/>
      <c r="F1456" t="s" s="17">
        <v>122</v>
      </c>
      <c r="G1456" s="16"/>
      <c r="H1456" t="s" s="17">
        <v>163</v>
      </c>
      <c r="I1456" t="s" s="17">
        <v>26</v>
      </c>
      <c r="J1456" t="s" s="17">
        <v>117</v>
      </c>
      <c r="K1456" t="s" s="17">
        <v>23</v>
      </c>
      <c r="L1456" s="15">
        <f>IF(O1456,P1456/O1456,0)</f>
        <v>35.35</v>
      </c>
      <c r="M1456" s="15">
        <v>35.35</v>
      </c>
      <c r="N1456" s="15">
        <f>A1456</f>
        <v>1454</v>
      </c>
      <c r="O1456" s="15">
        <v>14</v>
      </c>
      <c r="P1456" s="42">
        <f t="shared" si="5309" ref="P1456:P1520">490+490*1%</f>
        <v>494.9</v>
      </c>
      <c r="Q1456" s="16"/>
    </row>
    <row r="1457" ht="20.05" customHeight="1">
      <c r="A1457" s="13">
        <f>A1456+1</f>
        <v>1455</v>
      </c>
      <c r="B1457" s="14">
        <v>2023</v>
      </c>
      <c r="C1457" s="15">
        <v>12</v>
      </c>
      <c r="D1457" s="15">
        <v>27</v>
      </c>
      <c r="E1457" s="16"/>
      <c r="F1457" t="s" s="17">
        <v>122</v>
      </c>
      <c r="G1457" s="16"/>
      <c r="H1457" t="s" s="17">
        <v>163</v>
      </c>
      <c r="I1457" t="s" s="17">
        <v>26</v>
      </c>
      <c r="J1457" t="s" s="17">
        <v>118</v>
      </c>
      <c r="K1457" t="s" s="17">
        <v>23</v>
      </c>
      <c r="L1457" s="15">
        <f>IF(O1457,P1457/O1457,0)</f>
        <v>37.1535714285714</v>
      </c>
      <c r="M1457" s="15">
        <v>37.1535714285714</v>
      </c>
      <c r="N1457" s="15">
        <f>A1457</f>
        <v>1455</v>
      </c>
      <c r="O1457" s="15">
        <v>14</v>
      </c>
      <c r="P1457" s="41">
        <f t="shared" si="5128"/>
        <v>520.15</v>
      </c>
      <c r="Q1457" s="16"/>
    </row>
    <row r="1458" ht="20.05" customHeight="1">
      <c r="A1458" s="13">
        <f>A1457+1</f>
        <v>1456</v>
      </c>
      <c r="B1458" s="14">
        <v>2023</v>
      </c>
      <c r="C1458" s="15">
        <v>12</v>
      </c>
      <c r="D1458" s="15">
        <v>27</v>
      </c>
      <c r="E1458" s="16"/>
      <c r="F1458" t="s" s="17">
        <v>122</v>
      </c>
      <c r="G1458" s="16"/>
      <c r="H1458" t="s" s="17">
        <v>163</v>
      </c>
      <c r="I1458" t="s" s="17">
        <v>19</v>
      </c>
      <c r="J1458" t="s" s="17">
        <v>74</v>
      </c>
      <c r="K1458" t="s" s="17">
        <v>23</v>
      </c>
      <c r="L1458" s="15">
        <f>IF(O1458,P1458/O1458,0)</f>
        <v>5.89166666666667</v>
      </c>
      <c r="M1458" s="15">
        <v>5.89166666666667</v>
      </c>
      <c r="N1458" s="15">
        <f>A1458</f>
        <v>1456</v>
      </c>
      <c r="O1458" s="15">
        <v>24</v>
      </c>
      <c r="P1458" s="42">
        <f t="shared" si="5317" ref="P1458:P1459">140+140*1%</f>
        <v>141.4</v>
      </c>
      <c r="Q1458" s="16"/>
    </row>
    <row r="1459" ht="20.35" customHeight="1">
      <c r="A1459" s="13">
        <f>A1458+1</f>
        <v>1457</v>
      </c>
      <c r="B1459" s="14">
        <v>2023</v>
      </c>
      <c r="C1459" s="15">
        <v>12</v>
      </c>
      <c r="D1459" s="15">
        <v>27</v>
      </c>
      <c r="E1459" s="16"/>
      <c r="F1459" t="s" s="17">
        <v>122</v>
      </c>
      <c r="G1459" s="16"/>
      <c r="H1459" t="s" s="17">
        <v>163</v>
      </c>
      <c r="I1459" t="s" s="17">
        <v>19</v>
      </c>
      <c r="J1459" t="s" s="17">
        <v>73</v>
      </c>
      <c r="K1459" t="s" s="17">
        <v>23</v>
      </c>
      <c r="L1459" s="15">
        <f>IF(O1459,P1459/O1459,0)</f>
        <v>5.89166666666667</v>
      </c>
      <c r="M1459" s="15">
        <v>5.89166666666667</v>
      </c>
      <c r="N1459" s="15">
        <f>A1459</f>
        <v>1457</v>
      </c>
      <c r="O1459" s="15">
        <v>24</v>
      </c>
      <c r="P1459" s="54">
        <f t="shared" si="5317"/>
        <v>141.4</v>
      </c>
      <c r="Q1459" s="16"/>
    </row>
    <row r="1460" ht="20.7" customHeight="1">
      <c r="A1460" s="13">
        <f>A1459+1</f>
        <v>1458</v>
      </c>
      <c r="B1460" s="14">
        <v>2023</v>
      </c>
      <c r="C1460" s="15">
        <v>12</v>
      </c>
      <c r="D1460" s="15">
        <v>27</v>
      </c>
      <c r="E1460" s="16"/>
      <c r="F1460" t="s" s="17">
        <v>428</v>
      </c>
      <c r="G1460" s="16"/>
      <c r="H1460" t="s" s="17">
        <v>163</v>
      </c>
      <c r="I1460" t="s" s="17">
        <v>19</v>
      </c>
      <c r="J1460" t="s" s="17">
        <v>139</v>
      </c>
      <c r="K1460" t="s" s="17">
        <v>23</v>
      </c>
      <c r="L1460" s="15">
        <f>IF(O1460,P1460/O1460,0)</f>
        <v>3.62505833333333</v>
      </c>
      <c r="M1460" s="15">
        <v>3.62505833333333</v>
      </c>
      <c r="N1460" s="15">
        <f>A1460</f>
        <v>1458</v>
      </c>
      <c r="O1460" s="19">
        <f t="shared" si="4721"/>
        <v>72</v>
      </c>
      <c r="P1460" s="47">
        <f t="shared" si="4722"/>
        <v>261.0042</v>
      </c>
      <c r="Q1460" s="21"/>
    </row>
    <row r="1461" ht="32.7" customHeight="1">
      <c r="A1461" s="13">
        <f>A1460+1</f>
        <v>1459</v>
      </c>
      <c r="B1461" s="14">
        <v>2023</v>
      </c>
      <c r="C1461" s="15">
        <v>12</v>
      </c>
      <c r="D1461" s="15">
        <v>27</v>
      </c>
      <c r="E1461" s="16"/>
      <c r="F1461" t="s" s="17">
        <v>428</v>
      </c>
      <c r="G1461" s="16"/>
      <c r="H1461" t="s" s="17">
        <v>163</v>
      </c>
      <c r="I1461" t="s" s="17">
        <v>19</v>
      </c>
      <c r="J1461" t="s" s="17">
        <v>448</v>
      </c>
      <c r="K1461" t="s" s="17">
        <v>16</v>
      </c>
      <c r="L1461" s="15">
        <f>IF(O1461,P1461/O1461,0)</f>
        <v>0.337286133333333</v>
      </c>
      <c r="M1461" s="15">
        <v>0.337286133333333</v>
      </c>
      <c r="N1461" s="15">
        <f>A1461</f>
        <v>1459</v>
      </c>
      <c r="O1461" s="19">
        <f t="shared" si="2446"/>
        <v>1500</v>
      </c>
      <c r="P1461" s="47">
        <f t="shared" si="5331" ref="P1461:P1741">500.92+500.92*1%</f>
        <v>505.9292</v>
      </c>
      <c r="Q1461" s="21"/>
    </row>
    <row r="1462" ht="20.35" customHeight="1">
      <c r="A1462" s="13">
        <f>A1461+1</f>
        <v>1460</v>
      </c>
      <c r="B1462" s="14">
        <v>2023</v>
      </c>
      <c r="C1462" s="15">
        <v>12</v>
      </c>
      <c r="D1462" s="15">
        <v>28</v>
      </c>
      <c r="E1462" s="16"/>
      <c r="F1462" t="s" s="17">
        <v>130</v>
      </c>
      <c r="G1462" s="16"/>
      <c r="H1462" t="s" s="17">
        <v>163</v>
      </c>
      <c r="I1462" t="s" s="17">
        <v>19</v>
      </c>
      <c r="J1462" t="s" s="17">
        <v>418</v>
      </c>
      <c r="K1462" t="s" s="17">
        <v>23</v>
      </c>
      <c r="L1462" s="15">
        <f>IF(O1462,P1462/O1462,0)</f>
        <v>3.95</v>
      </c>
      <c r="M1462" s="15">
        <v>3.95</v>
      </c>
      <c r="N1462" s="15">
        <f>A1462</f>
        <v>1460</v>
      </c>
      <c r="O1462" s="15">
        <v>10</v>
      </c>
      <c r="P1462" s="22">
        <v>39.5</v>
      </c>
      <c r="Q1462" s="16"/>
    </row>
    <row r="1463" ht="20.05" customHeight="1">
      <c r="A1463" s="13">
        <f>A1462+1</f>
        <v>1461</v>
      </c>
      <c r="B1463" s="14">
        <v>2023</v>
      </c>
      <c r="C1463" s="15">
        <v>12</v>
      </c>
      <c r="D1463" s="15">
        <v>28</v>
      </c>
      <c r="E1463" s="16"/>
      <c r="F1463" t="s" s="17">
        <v>130</v>
      </c>
      <c r="G1463" s="16"/>
      <c r="H1463" t="s" s="17">
        <v>163</v>
      </c>
      <c r="I1463" t="s" s="17">
        <v>187</v>
      </c>
      <c r="J1463" t="s" s="17">
        <v>185</v>
      </c>
      <c r="K1463" t="s" s="17">
        <v>23</v>
      </c>
      <c r="L1463" s="15">
        <f>IF(O1463,P1463/O1463,0)</f>
        <v>35</v>
      </c>
      <c r="M1463" s="15">
        <v>35</v>
      </c>
      <c r="N1463" s="15">
        <f>A1463</f>
        <v>1461</v>
      </c>
      <c r="O1463" s="15">
        <v>1</v>
      </c>
      <c r="P1463" s="15">
        <v>35</v>
      </c>
      <c r="Q1463" s="16"/>
    </row>
    <row r="1464" ht="20.05" customHeight="1">
      <c r="A1464" s="13">
        <f>A1463+1</f>
        <v>1462</v>
      </c>
      <c r="B1464" s="14">
        <v>2023</v>
      </c>
      <c r="C1464" s="15">
        <v>12</v>
      </c>
      <c r="D1464" s="15">
        <v>28</v>
      </c>
      <c r="E1464" s="16"/>
      <c r="F1464" t="s" s="17">
        <v>130</v>
      </c>
      <c r="G1464" s="16"/>
      <c r="H1464" t="s" s="17">
        <v>163</v>
      </c>
      <c r="I1464" t="s" s="17">
        <v>187</v>
      </c>
      <c r="J1464" t="s" s="17">
        <v>167</v>
      </c>
      <c r="K1464" t="s" s="17">
        <v>23</v>
      </c>
      <c r="L1464" s="15">
        <f>IF(O1464,P1464/O1464,0)</f>
        <v>1.329</v>
      </c>
      <c r="M1464" s="15">
        <v>1.329</v>
      </c>
      <c r="N1464" s="15">
        <f>A1464</f>
        <v>1462</v>
      </c>
      <c r="O1464" s="15">
        <v>100</v>
      </c>
      <c r="P1464" s="15">
        <v>132.9</v>
      </c>
      <c r="Q1464" s="16"/>
    </row>
    <row r="1465" ht="20.05" customHeight="1">
      <c r="A1465" s="13">
        <f>A1464+1</f>
        <v>1463</v>
      </c>
      <c r="B1465" s="14">
        <v>2023</v>
      </c>
      <c r="C1465" s="15">
        <v>12</v>
      </c>
      <c r="D1465" s="15">
        <v>28</v>
      </c>
      <c r="E1465" s="16"/>
      <c r="F1465" t="s" s="17">
        <v>122</v>
      </c>
      <c r="G1465" s="16"/>
      <c r="H1465" t="s" s="17">
        <v>163</v>
      </c>
      <c r="I1465" t="s" s="17">
        <v>187</v>
      </c>
      <c r="J1465" t="s" s="17">
        <v>161</v>
      </c>
      <c r="K1465" t="s" s="17">
        <v>23</v>
      </c>
      <c r="L1465" s="15">
        <f>IF(O1465,P1465/O1465,0)</f>
        <v>11.5460833333333</v>
      </c>
      <c r="M1465" s="15">
        <v>11.5460833333333</v>
      </c>
      <c r="N1465" s="15">
        <f>A1465</f>
        <v>1463</v>
      </c>
      <c r="O1465" s="15">
        <f t="shared" si="4968"/>
        <v>48</v>
      </c>
      <c r="P1465" s="42">
        <f>458.01+481.01*20%</f>
        <v>554.212</v>
      </c>
      <c r="Q1465" s="16"/>
    </row>
    <row r="1466" ht="32.05" customHeight="1">
      <c r="A1466" s="13">
        <f>A1465+1</f>
        <v>1464</v>
      </c>
      <c r="B1466" s="14">
        <v>2023</v>
      </c>
      <c r="C1466" s="15">
        <v>12</v>
      </c>
      <c r="D1466" s="15">
        <v>28</v>
      </c>
      <c r="E1466" s="16"/>
      <c r="F1466" t="s" s="17">
        <v>122</v>
      </c>
      <c r="G1466" s="16"/>
      <c r="H1466" t="s" s="17">
        <v>163</v>
      </c>
      <c r="I1466" t="s" s="17">
        <v>187</v>
      </c>
      <c r="J1466" t="s" s="17">
        <v>129</v>
      </c>
      <c r="K1466" t="s" s="17">
        <v>23</v>
      </c>
      <c r="L1466" s="15">
        <f>IF(O1466,P1466/O1466,0)</f>
        <v>0.3375</v>
      </c>
      <c r="M1466" s="15">
        <v>0.3375</v>
      </c>
      <c r="N1466" s="15">
        <f>A1466</f>
        <v>1464</v>
      </c>
      <c r="O1466" s="15">
        <f>40*40</f>
        <v>1600</v>
      </c>
      <c r="P1466" s="41">
        <f>450+450*20%</f>
        <v>540</v>
      </c>
      <c r="Q1466" s="16"/>
    </row>
    <row r="1467" ht="32.05" customHeight="1">
      <c r="A1467" s="13">
        <f>A1466+1</f>
        <v>1465</v>
      </c>
      <c r="B1467" s="14">
        <v>2023</v>
      </c>
      <c r="C1467" s="15">
        <v>12</v>
      </c>
      <c r="D1467" s="15">
        <v>28</v>
      </c>
      <c r="E1467" s="16"/>
      <c r="F1467" t="s" s="17">
        <v>122</v>
      </c>
      <c r="G1467" s="16"/>
      <c r="H1467" t="s" s="17">
        <v>163</v>
      </c>
      <c r="I1467" t="s" s="17">
        <v>187</v>
      </c>
      <c r="J1467" t="s" s="17">
        <v>136</v>
      </c>
      <c r="K1467" t="s" s="17">
        <v>23</v>
      </c>
      <c r="L1467" s="15">
        <f>IF(O1467,P1467/O1467,0)</f>
        <v>0.1755</v>
      </c>
      <c r="M1467" s="15">
        <v>0.1755</v>
      </c>
      <c r="N1467" s="15">
        <f>A1467</f>
        <v>1465</v>
      </c>
      <c r="O1467" s="15">
        <f t="shared" si="4700"/>
        <v>4800</v>
      </c>
      <c r="P1467" s="42">
        <f t="shared" si="4701"/>
        <v>842.4</v>
      </c>
      <c r="Q1467" s="16"/>
    </row>
    <row r="1468" ht="32.05" customHeight="1">
      <c r="A1468" s="13">
        <f>A1467+1</f>
        <v>1466</v>
      </c>
      <c r="B1468" s="14">
        <v>2023</v>
      </c>
      <c r="C1468" s="15">
        <v>12</v>
      </c>
      <c r="D1468" s="15">
        <v>28</v>
      </c>
      <c r="E1468" s="16"/>
      <c r="F1468" t="s" s="17">
        <v>122</v>
      </c>
      <c r="G1468" s="16"/>
      <c r="H1468" t="s" s="17">
        <v>163</v>
      </c>
      <c r="I1468" t="s" s="17">
        <v>187</v>
      </c>
      <c r="J1468" t="s" s="17">
        <v>137</v>
      </c>
      <c r="K1468" t="s" s="17">
        <v>41</v>
      </c>
      <c r="L1468" s="15">
        <f>IF(O1468,P1468/O1468,0)</f>
        <v>0.023808</v>
      </c>
      <c r="M1468" s="15">
        <v>0.023808</v>
      </c>
      <c r="N1468" s="15">
        <f>A1468</f>
        <v>1466</v>
      </c>
      <c r="O1468" s="15">
        <v>5000</v>
      </c>
      <c r="P1468" s="41">
        <f t="shared" si="5359" ref="P1468:P1525">99.2+99.2*20%</f>
        <v>119.04</v>
      </c>
      <c r="Q1468" s="16"/>
    </row>
    <row r="1469" ht="20.05" customHeight="1">
      <c r="A1469" s="13">
        <f>A1468+1</f>
        <v>1467</v>
      </c>
      <c r="B1469" s="14">
        <v>2023</v>
      </c>
      <c r="C1469" s="15">
        <v>12</v>
      </c>
      <c r="D1469" s="15">
        <v>28</v>
      </c>
      <c r="E1469" s="16"/>
      <c r="F1469" t="s" s="17">
        <v>150</v>
      </c>
      <c r="G1469" s="16"/>
      <c r="H1469" t="s" s="17">
        <v>163</v>
      </c>
      <c r="I1469" t="s" s="17">
        <v>19</v>
      </c>
      <c r="J1469" t="s" s="17">
        <v>102</v>
      </c>
      <c r="K1469" t="s" s="17">
        <v>16</v>
      </c>
      <c r="L1469" s="15">
        <f>IF(O1469,P1469/O1469,0)</f>
        <v>0.65145</v>
      </c>
      <c r="M1469" s="15">
        <v>0.65145</v>
      </c>
      <c r="N1469" s="15">
        <f>A1469</f>
        <v>1467</v>
      </c>
      <c r="O1469" s="15">
        <f t="shared" si="4257"/>
        <v>500</v>
      </c>
      <c r="P1469" s="42">
        <f>322.5+322.5*1%</f>
        <v>325.725</v>
      </c>
      <c r="Q1469" s="16"/>
    </row>
    <row r="1470" ht="20.05" customHeight="1">
      <c r="A1470" s="13">
        <f>A1469+1</f>
        <v>1468</v>
      </c>
      <c r="B1470" s="14">
        <v>2023</v>
      </c>
      <c r="C1470" s="15">
        <v>12</v>
      </c>
      <c r="D1470" s="15">
        <v>1</v>
      </c>
      <c r="E1470" s="16"/>
      <c r="F1470" t="s" s="17">
        <v>258</v>
      </c>
      <c r="G1470" t="s" s="17">
        <v>370</v>
      </c>
      <c r="H1470" t="s" s="17">
        <v>253</v>
      </c>
      <c r="I1470" t="s" s="17">
        <v>187</v>
      </c>
      <c r="J1470" t="s" s="17">
        <v>342</v>
      </c>
      <c r="K1470" t="s" s="17">
        <v>16</v>
      </c>
      <c r="L1470" s="15">
        <f>IF(O1470,P1470/O1470,0)</f>
        <v>0.0249</v>
      </c>
      <c r="M1470" s="15">
        <v>0.0249</v>
      </c>
      <c r="N1470" s="15">
        <f>A1470</f>
        <v>1468</v>
      </c>
      <c r="O1470" s="15">
        <v>1200</v>
      </c>
      <c r="P1470" s="15">
        <f>46.68-16.8</f>
        <v>29.88</v>
      </c>
      <c r="Q1470" s="16"/>
    </row>
    <row r="1471" ht="20.05" customHeight="1">
      <c r="A1471" s="13">
        <f>A1470+1</f>
        <v>1469</v>
      </c>
      <c r="B1471" s="14">
        <v>2023</v>
      </c>
      <c r="C1471" s="15">
        <v>12</v>
      </c>
      <c r="D1471" s="15">
        <v>1</v>
      </c>
      <c r="E1471" s="16"/>
      <c r="F1471" t="s" s="17">
        <v>258</v>
      </c>
      <c r="G1471" t="s" s="17">
        <v>370</v>
      </c>
      <c r="H1471" t="s" s="17">
        <v>253</v>
      </c>
      <c r="I1471" t="s" s="17">
        <v>187</v>
      </c>
      <c r="J1471" t="s" s="17">
        <v>365</v>
      </c>
      <c r="K1471" t="s" s="17">
        <v>23</v>
      </c>
      <c r="L1471" s="15">
        <f>IF(O1471,P1471/O1471,0)</f>
        <v>0.0169023779724656</v>
      </c>
      <c r="M1471" s="15">
        <v>0.0169023779724656</v>
      </c>
      <c r="N1471" s="15">
        <f>A1471</f>
        <v>1469</v>
      </c>
      <c r="O1471" s="15">
        <v>1598</v>
      </c>
      <c r="P1471" s="15">
        <f>31.8-4.79</f>
        <v>27.01</v>
      </c>
      <c r="Q1471" s="16"/>
    </row>
    <row r="1472" ht="20.05" customHeight="1">
      <c r="A1472" s="13">
        <f>A1471+1</f>
        <v>1470</v>
      </c>
      <c r="B1472" s="14">
        <v>2023</v>
      </c>
      <c r="C1472" s="15">
        <v>12</v>
      </c>
      <c r="D1472" s="15">
        <v>2</v>
      </c>
      <c r="E1472" s="16"/>
      <c r="F1472" t="s" s="17">
        <v>141</v>
      </c>
      <c r="G1472" s="16"/>
      <c r="H1472" t="s" s="17">
        <v>253</v>
      </c>
      <c r="I1472" t="s" s="17">
        <v>19</v>
      </c>
      <c r="J1472" t="s" s="17">
        <v>142</v>
      </c>
      <c r="K1472" t="s" s="17">
        <v>23</v>
      </c>
      <c r="L1472" s="15">
        <f>IF(O1472,P1472/O1472,0)</f>
        <v>13.8527083333333</v>
      </c>
      <c r="M1472" s="15">
        <v>13.8527083333333</v>
      </c>
      <c r="N1472" s="15">
        <f>A1472</f>
        <v>1470</v>
      </c>
      <c r="O1472" s="15">
        <v>24</v>
      </c>
      <c r="P1472" s="15">
        <v>332.465</v>
      </c>
      <c r="Q1472" s="16"/>
    </row>
    <row r="1473" ht="20.05" customHeight="1">
      <c r="A1473" s="13">
        <f>A1472+1</f>
        <v>1471</v>
      </c>
      <c r="B1473" s="14">
        <v>2023</v>
      </c>
      <c r="C1473" s="15">
        <v>12</v>
      </c>
      <c r="D1473" s="15">
        <v>2</v>
      </c>
      <c r="E1473" s="16"/>
      <c r="F1473" t="s" s="17">
        <v>141</v>
      </c>
      <c r="G1473" s="16"/>
      <c r="H1473" t="s" s="17">
        <v>253</v>
      </c>
      <c r="I1473" t="s" s="17">
        <v>19</v>
      </c>
      <c r="J1473" t="s" s="17">
        <v>159</v>
      </c>
      <c r="K1473" t="s" s="17">
        <v>23</v>
      </c>
      <c r="L1473" s="15">
        <f>IF(O1473,P1473/O1473,0)</f>
        <v>2.48</v>
      </c>
      <c r="M1473" s="15">
        <v>2.48</v>
      </c>
      <c r="N1473" s="15">
        <f>A1473</f>
        <v>1471</v>
      </c>
      <c r="O1473" s="15">
        <f t="shared" si="4968"/>
        <v>48</v>
      </c>
      <c r="P1473" s="15">
        <v>119.04</v>
      </c>
      <c r="Q1473" s="16"/>
    </row>
    <row r="1474" ht="20.05" customHeight="1">
      <c r="A1474" s="13">
        <f>A1473+1</f>
        <v>1472</v>
      </c>
      <c r="B1474" s="14">
        <v>2023</v>
      </c>
      <c r="C1474" s="15">
        <v>12</v>
      </c>
      <c r="D1474" s="15">
        <v>2</v>
      </c>
      <c r="E1474" s="16"/>
      <c r="F1474" t="s" s="17">
        <v>293</v>
      </c>
      <c r="G1474" s="16"/>
      <c r="H1474" t="s" s="17">
        <v>253</v>
      </c>
      <c r="I1474" t="s" s="17">
        <v>19</v>
      </c>
      <c r="J1474" t="s" s="17">
        <v>157</v>
      </c>
      <c r="K1474" t="s" s="17">
        <v>16</v>
      </c>
      <c r="L1474" s="15">
        <f>IF(O1474,P1474/O1474,0)</f>
        <v>0.0147490039840637</v>
      </c>
      <c r="M1474" s="15">
        <v>0.0147490039840637</v>
      </c>
      <c r="N1474" s="15">
        <f>A1474</f>
        <v>1472</v>
      </c>
      <c r="O1474" s="15">
        <v>2510</v>
      </c>
      <c r="P1474" s="15">
        <v>37.02</v>
      </c>
      <c r="Q1474" s="16"/>
    </row>
    <row r="1475" ht="32.05" customHeight="1">
      <c r="A1475" s="13">
        <f>A1474+1</f>
        <v>1473</v>
      </c>
      <c r="B1475" s="14">
        <v>2023</v>
      </c>
      <c r="C1475" s="15">
        <v>12</v>
      </c>
      <c r="D1475" s="15">
        <v>2</v>
      </c>
      <c r="E1475" s="16"/>
      <c r="F1475" t="s" s="17">
        <v>287</v>
      </c>
      <c r="G1475" s="16"/>
      <c r="H1475" t="s" s="17">
        <v>253</v>
      </c>
      <c r="I1475" t="s" s="17">
        <v>14</v>
      </c>
      <c r="J1475" t="s" s="17">
        <v>283</v>
      </c>
      <c r="K1475" t="s" s="17">
        <v>23</v>
      </c>
      <c r="L1475" s="15">
        <f>IF(O1475,P1475/O1475,0)</f>
        <v>35.8045</v>
      </c>
      <c r="M1475" s="15">
        <v>35.8045</v>
      </c>
      <c r="N1475" s="15">
        <f>A1475</f>
        <v>1473</v>
      </c>
      <c r="O1475" s="15">
        <v>10</v>
      </c>
      <c r="P1475" s="42">
        <f t="shared" si="4996"/>
        <v>358.045</v>
      </c>
      <c r="Q1475" s="16"/>
    </row>
    <row r="1476" ht="20.05" customHeight="1">
      <c r="A1476" s="13">
        <f>A1475+1</f>
        <v>1474</v>
      </c>
      <c r="B1476" s="14">
        <v>2023</v>
      </c>
      <c r="C1476" s="15">
        <v>12</v>
      </c>
      <c r="D1476" s="15">
        <v>2</v>
      </c>
      <c r="E1476" s="16"/>
      <c r="F1476" t="s" s="17">
        <v>287</v>
      </c>
      <c r="G1476" s="16"/>
      <c r="H1476" t="s" s="17">
        <v>253</v>
      </c>
      <c r="I1476" t="s" s="17">
        <v>14</v>
      </c>
      <c r="J1476" t="s" s="17">
        <v>282</v>
      </c>
      <c r="K1476" t="s" s="17">
        <v>23</v>
      </c>
      <c r="L1476" s="15">
        <f>IF(O1476,P1476/O1476,0)</f>
        <v>27.4215</v>
      </c>
      <c r="M1476" s="15">
        <v>27.4215</v>
      </c>
      <c r="N1476" s="15">
        <f>A1476</f>
        <v>1474</v>
      </c>
      <c r="O1476" s="15">
        <v>10</v>
      </c>
      <c r="P1476" s="42">
        <f t="shared" si="5000"/>
        <v>274.215</v>
      </c>
      <c r="Q1476" s="16"/>
    </row>
    <row r="1477" ht="20.05" customHeight="1">
      <c r="A1477" s="13">
        <f>A1476+1</f>
        <v>1475</v>
      </c>
      <c r="B1477" s="14">
        <v>2023</v>
      </c>
      <c r="C1477" s="15">
        <v>12</v>
      </c>
      <c r="D1477" s="15">
        <v>2</v>
      </c>
      <c r="E1477" s="16"/>
      <c r="F1477" t="s" s="17">
        <v>287</v>
      </c>
      <c r="G1477" s="16"/>
      <c r="H1477" t="s" s="17">
        <v>253</v>
      </c>
      <c r="I1477" t="s" s="17">
        <v>17</v>
      </c>
      <c r="J1477" t="s" s="17">
        <v>363</v>
      </c>
      <c r="K1477" t="s" s="17">
        <v>23</v>
      </c>
      <c r="L1477" s="15">
        <f>IF(O1477,P1477/O1477,0)</f>
        <v>27.8962</v>
      </c>
      <c r="M1477" s="15">
        <v>27.8962</v>
      </c>
      <c r="N1477" s="15">
        <f>A1477</f>
        <v>1475</v>
      </c>
      <c r="O1477" s="15">
        <v>24</v>
      </c>
      <c r="P1477" s="43">
        <f>662.88+662.88*1%</f>
        <v>669.5088</v>
      </c>
      <c r="Q1477" s="16"/>
    </row>
    <row r="1478" ht="32.05" customHeight="1">
      <c r="A1478" s="13">
        <f>A1477+1</f>
        <v>1476</v>
      </c>
      <c r="B1478" s="14">
        <v>2023</v>
      </c>
      <c r="C1478" s="15">
        <v>12</v>
      </c>
      <c r="D1478" s="15">
        <v>6</v>
      </c>
      <c r="E1478" s="16"/>
      <c r="F1478" t="s" s="17">
        <v>287</v>
      </c>
      <c r="G1478" s="16"/>
      <c r="H1478" t="s" s="17">
        <v>253</v>
      </c>
      <c r="I1478" t="s" s="17">
        <v>14</v>
      </c>
      <c r="J1478" t="s" s="17">
        <v>283</v>
      </c>
      <c r="K1478" t="s" s="17">
        <v>23</v>
      </c>
      <c r="L1478" s="15">
        <f>IF(O1478,P1478/O1478,0)</f>
        <v>35.8045</v>
      </c>
      <c r="M1478" s="15">
        <v>35.8045</v>
      </c>
      <c r="N1478" s="15">
        <f>A1478</f>
        <v>1476</v>
      </c>
      <c r="O1478" s="15">
        <v>10</v>
      </c>
      <c r="P1478" s="42">
        <f t="shared" si="4996"/>
        <v>358.045</v>
      </c>
      <c r="Q1478" s="16"/>
    </row>
    <row r="1479" ht="20.05" customHeight="1">
      <c r="A1479" s="13">
        <f>A1478+1</f>
        <v>1477</v>
      </c>
      <c r="B1479" s="14">
        <v>2023</v>
      </c>
      <c r="C1479" s="15">
        <v>12</v>
      </c>
      <c r="D1479" s="15">
        <v>6</v>
      </c>
      <c r="E1479" s="16"/>
      <c r="F1479" t="s" s="17">
        <v>287</v>
      </c>
      <c r="G1479" s="16"/>
      <c r="H1479" t="s" s="17">
        <v>253</v>
      </c>
      <c r="I1479" t="s" s="17">
        <v>14</v>
      </c>
      <c r="J1479" t="s" s="17">
        <v>288</v>
      </c>
      <c r="K1479" t="s" s="17">
        <v>23</v>
      </c>
      <c r="L1479" s="15">
        <f>IF(O1479,P1479/O1479,0)</f>
        <v>37.5383333333333</v>
      </c>
      <c r="M1479" s="15">
        <v>37.5383333333333</v>
      </c>
      <c r="N1479" s="15">
        <f>A1479</f>
        <v>1477</v>
      </c>
      <c r="O1479" s="15">
        <v>9</v>
      </c>
      <c r="P1479" s="42">
        <f t="shared" si="5402" ref="P1479:P1562">334.5+334.5*1%</f>
        <v>337.845</v>
      </c>
      <c r="Q1479" s="16"/>
    </row>
    <row r="1480" ht="20.05" customHeight="1">
      <c r="A1480" s="13">
        <f>A1479+1</f>
        <v>1478</v>
      </c>
      <c r="B1480" s="14">
        <v>2023</v>
      </c>
      <c r="C1480" s="15">
        <v>12</v>
      </c>
      <c r="D1480" s="15">
        <v>6</v>
      </c>
      <c r="E1480" s="16"/>
      <c r="F1480" t="s" s="17">
        <v>287</v>
      </c>
      <c r="G1480" s="16"/>
      <c r="H1480" t="s" s="17">
        <v>253</v>
      </c>
      <c r="I1480" t="s" s="17">
        <v>14</v>
      </c>
      <c r="J1480" t="s" s="17">
        <v>279</v>
      </c>
      <c r="K1480" t="s" s="17">
        <v>23</v>
      </c>
      <c r="L1480" s="15">
        <f>IF(O1480,P1480/O1480,0)</f>
        <v>34.3905</v>
      </c>
      <c r="M1480" s="15">
        <v>34.3905</v>
      </c>
      <c r="N1480" s="15">
        <f>A1480</f>
        <v>1478</v>
      </c>
      <c r="O1480" s="15">
        <v>10</v>
      </c>
      <c r="P1480" s="42">
        <f t="shared" si="5406" ref="P1480:P1564">340.5+340.5*1%</f>
        <v>343.905</v>
      </c>
      <c r="Q1480" s="16"/>
    </row>
    <row r="1481" ht="32.05" customHeight="1">
      <c r="A1481" s="13">
        <f>A1480+1</f>
        <v>1479</v>
      </c>
      <c r="B1481" s="14">
        <v>2023</v>
      </c>
      <c r="C1481" s="15">
        <v>12</v>
      </c>
      <c r="D1481" s="15">
        <v>6</v>
      </c>
      <c r="E1481" s="16"/>
      <c r="F1481" t="s" s="17">
        <v>287</v>
      </c>
      <c r="G1481" s="16"/>
      <c r="H1481" t="s" s="17">
        <v>253</v>
      </c>
      <c r="I1481" t="s" s="17">
        <v>17</v>
      </c>
      <c r="J1481" t="s" s="17">
        <v>299</v>
      </c>
      <c r="K1481" t="s" s="17">
        <v>23</v>
      </c>
      <c r="L1481" s="15">
        <f>IF(O1481,P1481/O1481,0)</f>
        <v>40.9959</v>
      </c>
      <c r="M1481" s="15">
        <v>40.9959</v>
      </c>
      <c r="N1481" s="15">
        <f>A1481</f>
        <v>1479</v>
      </c>
      <c r="O1481" s="15">
        <v>24</v>
      </c>
      <c r="P1481" s="43">
        <f t="shared" si="4691"/>
        <v>983.9016</v>
      </c>
      <c r="Q1481" s="16"/>
    </row>
    <row r="1482" ht="32.05" customHeight="1">
      <c r="A1482" s="13">
        <f>A1481+1</f>
        <v>1480</v>
      </c>
      <c r="B1482" s="14">
        <v>2023</v>
      </c>
      <c r="C1482" s="15">
        <v>12</v>
      </c>
      <c r="D1482" s="15">
        <v>6</v>
      </c>
      <c r="E1482" s="16"/>
      <c r="F1482" t="s" s="17">
        <v>287</v>
      </c>
      <c r="G1482" s="16"/>
      <c r="H1482" t="s" s="17">
        <v>253</v>
      </c>
      <c r="I1482" s="16"/>
      <c r="J1482" t="s" s="17">
        <v>376</v>
      </c>
      <c r="K1482" t="s" s="17">
        <v>23</v>
      </c>
      <c r="L1482" s="15">
        <f>IF(O1482,P1482/O1482,0)</f>
        <v>-1469.73</v>
      </c>
      <c r="M1482" s="15">
        <v>-1469.73</v>
      </c>
      <c r="N1482" s="15">
        <f>A1482</f>
        <v>1480</v>
      </c>
      <c r="O1482" s="15">
        <v>1</v>
      </c>
      <c r="P1482" s="15">
        <v>-1469.73</v>
      </c>
      <c r="Q1482" s="16"/>
    </row>
    <row r="1483" ht="20.05" customHeight="1">
      <c r="A1483" s="13">
        <f>A1482+1</f>
        <v>1481</v>
      </c>
      <c r="B1483" s="14">
        <v>2023</v>
      </c>
      <c r="C1483" s="15">
        <v>12</v>
      </c>
      <c r="D1483" s="15">
        <v>6</v>
      </c>
      <c r="E1483" s="16"/>
      <c r="F1483" t="s" s="17">
        <v>258</v>
      </c>
      <c r="G1483" s="16"/>
      <c r="H1483" t="s" s="17">
        <v>253</v>
      </c>
      <c r="I1483" t="s" s="17">
        <v>19</v>
      </c>
      <c r="J1483" t="s" s="17">
        <v>157</v>
      </c>
      <c r="K1483" t="s" s="17">
        <v>16</v>
      </c>
      <c r="L1483" s="15">
        <f>IF(O1483,P1483/O1483,0)</f>
        <v>0.00990327380952381</v>
      </c>
      <c r="M1483" s="15">
        <v>0.00990327380952381</v>
      </c>
      <c r="N1483" s="15">
        <f>A1483</f>
        <v>1481</v>
      </c>
      <c r="O1483" s="15">
        <v>1344</v>
      </c>
      <c r="P1483" s="15">
        <f>22.71-9.4</f>
        <v>13.31</v>
      </c>
      <c r="Q1483" s="16"/>
    </row>
    <row r="1484" ht="20.05" customHeight="1">
      <c r="A1484" s="13">
        <f>A1483+1</f>
        <v>1482</v>
      </c>
      <c r="B1484" s="14">
        <v>2023</v>
      </c>
      <c r="C1484" s="15">
        <v>12</v>
      </c>
      <c r="D1484" s="15">
        <v>7</v>
      </c>
      <c r="E1484" s="16"/>
      <c r="F1484" t="s" s="17">
        <v>150</v>
      </c>
      <c r="G1484" s="16"/>
      <c r="H1484" t="s" s="17">
        <v>253</v>
      </c>
      <c r="I1484" t="s" s="17">
        <v>19</v>
      </c>
      <c r="J1484" t="s" s="17">
        <v>151</v>
      </c>
      <c r="K1484" t="s" s="17">
        <v>41</v>
      </c>
      <c r="L1484" s="15">
        <f>IF(O1484,P1484/O1484,0)</f>
        <v>0.490571428571429</v>
      </c>
      <c r="M1484" s="15">
        <v>0.490571428571429</v>
      </c>
      <c r="N1484" s="15">
        <f>A1484</f>
        <v>1482</v>
      </c>
      <c r="O1484" s="15">
        <v>700</v>
      </c>
      <c r="P1484" s="42">
        <f t="shared" si="5421" ref="P1484:P1591">340+340*1%</f>
        <v>343.4</v>
      </c>
      <c r="Q1484" s="16"/>
    </row>
    <row r="1485" ht="20.05" customHeight="1">
      <c r="A1485" s="13">
        <f>A1484+1</f>
        <v>1483</v>
      </c>
      <c r="B1485" s="14">
        <v>2023</v>
      </c>
      <c r="C1485" s="15">
        <v>12</v>
      </c>
      <c r="D1485" s="15">
        <v>7</v>
      </c>
      <c r="E1485" s="16"/>
      <c r="F1485" t="s" s="17">
        <v>150</v>
      </c>
      <c r="G1485" s="16"/>
      <c r="H1485" t="s" s="17">
        <v>253</v>
      </c>
      <c r="I1485" t="s" s="17">
        <v>19</v>
      </c>
      <c r="J1485" t="s" s="17">
        <v>64</v>
      </c>
      <c r="K1485" t="s" s="17">
        <v>16</v>
      </c>
      <c r="L1485" s="15">
        <f>IF(O1485,P1485/O1485,0)</f>
        <v>1.90486</v>
      </c>
      <c r="M1485" s="15">
        <v>1.90486</v>
      </c>
      <c r="N1485" s="15">
        <f>A1485</f>
        <v>1483</v>
      </c>
      <c r="O1485" s="15">
        <v>250</v>
      </c>
      <c r="P1485" s="42">
        <f>471.5+471.5*1%</f>
        <v>476.215</v>
      </c>
      <c r="Q1485" s="16"/>
    </row>
    <row r="1486" ht="20.05" customHeight="1">
      <c r="A1486" s="13">
        <f>A1485+1</f>
        <v>1484</v>
      </c>
      <c r="B1486" s="14">
        <v>2023</v>
      </c>
      <c r="C1486" s="15">
        <v>12</v>
      </c>
      <c r="D1486" s="15">
        <v>7</v>
      </c>
      <c r="E1486" s="16"/>
      <c r="F1486" t="s" s="17">
        <v>150</v>
      </c>
      <c r="G1486" s="16"/>
      <c r="H1486" t="s" s="17">
        <v>253</v>
      </c>
      <c r="I1486" t="s" s="17">
        <v>19</v>
      </c>
      <c r="J1486" t="s" s="17">
        <v>65</v>
      </c>
      <c r="K1486" t="s" s="17">
        <v>16</v>
      </c>
      <c r="L1486" s="15">
        <f>IF(O1486,P1486/O1486,0)</f>
        <v>0.4646</v>
      </c>
      <c r="M1486" s="15">
        <v>0.4646</v>
      </c>
      <c r="N1486" s="15">
        <f>A1486</f>
        <v>1484</v>
      </c>
      <c r="O1486" s="15">
        <v>200</v>
      </c>
      <c r="P1486" s="41">
        <f>92+92*1%</f>
        <v>92.92</v>
      </c>
      <c r="Q1486" s="16"/>
    </row>
    <row r="1487" ht="32.05" customHeight="1">
      <c r="A1487" s="13">
        <f>A1486+1</f>
        <v>1485</v>
      </c>
      <c r="B1487" s="14">
        <v>2023</v>
      </c>
      <c r="C1487" s="15">
        <v>12</v>
      </c>
      <c r="D1487" s="15">
        <v>7</v>
      </c>
      <c r="E1487" s="16"/>
      <c r="F1487" t="s" s="17">
        <v>111</v>
      </c>
      <c r="G1487" s="16"/>
      <c r="H1487" t="s" s="17">
        <v>253</v>
      </c>
      <c r="I1487" t="s" s="17">
        <v>187</v>
      </c>
      <c r="J1487" t="s" s="17">
        <v>129</v>
      </c>
      <c r="K1487" t="s" s="17">
        <v>23</v>
      </c>
      <c r="L1487" s="15">
        <f>IF(O1487,P1487/O1487,0)</f>
        <v>0.236116666666667</v>
      </c>
      <c r="M1487" s="15">
        <v>0.236116666666667</v>
      </c>
      <c r="N1487" s="15">
        <f>A1487</f>
        <v>1485</v>
      </c>
      <c r="O1487" s="15">
        <f t="shared" si="4145"/>
        <v>2400</v>
      </c>
      <c r="P1487" s="15">
        <v>566.6799999999999</v>
      </c>
      <c r="Q1487" s="16"/>
    </row>
    <row r="1488" ht="20.05" customHeight="1">
      <c r="A1488" s="13">
        <f>A1487+1</f>
        <v>1486</v>
      </c>
      <c r="B1488" s="14">
        <v>2023</v>
      </c>
      <c r="C1488" s="15">
        <v>12</v>
      </c>
      <c r="D1488" s="15">
        <v>7</v>
      </c>
      <c r="E1488" s="16"/>
      <c r="F1488" t="s" s="17">
        <v>111</v>
      </c>
      <c r="G1488" s="16"/>
      <c r="H1488" t="s" s="17">
        <v>253</v>
      </c>
      <c r="I1488" t="s" s="17">
        <v>19</v>
      </c>
      <c r="J1488" t="s" s="17">
        <v>138</v>
      </c>
      <c r="K1488" t="s" s="17">
        <v>41</v>
      </c>
      <c r="L1488" s="15">
        <f>IF(O1488,P1488/O1488,0)</f>
        <v>0.0307575</v>
      </c>
      <c r="M1488" s="15">
        <v>0.0307575</v>
      </c>
      <c r="N1488" s="15">
        <f>A1488</f>
        <v>1486</v>
      </c>
      <c r="O1488" s="15">
        <f t="shared" si="4522"/>
        <v>12000</v>
      </c>
      <c r="P1488" s="15">
        <v>369.09</v>
      </c>
      <c r="Q1488" s="16"/>
    </row>
    <row r="1489" ht="20.05" customHeight="1">
      <c r="A1489" s="13">
        <f>A1488+1</f>
        <v>1487</v>
      </c>
      <c r="B1489" s="14">
        <v>2023</v>
      </c>
      <c r="C1489" s="15">
        <v>12</v>
      </c>
      <c r="D1489" s="15">
        <v>7</v>
      </c>
      <c r="E1489" s="16"/>
      <c r="F1489" t="s" s="17">
        <v>111</v>
      </c>
      <c r="G1489" s="16"/>
      <c r="H1489" t="s" s="17">
        <v>253</v>
      </c>
      <c r="I1489" t="s" s="17">
        <v>19</v>
      </c>
      <c r="J1489" t="s" s="17">
        <v>112</v>
      </c>
      <c r="K1489" t="s" s="17">
        <v>41</v>
      </c>
      <c r="L1489" s="15">
        <f>IF(O1489,P1489/O1489,0)</f>
        <v>0.0330666666666667</v>
      </c>
      <c r="M1489" s="15">
        <v>0.0330666666666667</v>
      </c>
      <c r="N1489" s="15">
        <f>A1489</f>
        <v>1487</v>
      </c>
      <c r="O1489" s="15">
        <f t="shared" si="4502"/>
        <v>3000</v>
      </c>
      <c r="P1489" s="15">
        <v>99.2</v>
      </c>
      <c r="Q1489" s="16"/>
    </row>
    <row r="1490" ht="20.05" customHeight="1">
      <c r="A1490" s="13">
        <f>A1489+1</f>
        <v>1488</v>
      </c>
      <c r="B1490" s="14">
        <v>2023</v>
      </c>
      <c r="C1490" s="15">
        <v>12</v>
      </c>
      <c r="D1490" s="15">
        <v>7</v>
      </c>
      <c r="E1490" s="16"/>
      <c r="F1490" t="s" s="17">
        <v>111</v>
      </c>
      <c r="G1490" s="16"/>
      <c r="H1490" t="s" s="17">
        <v>253</v>
      </c>
      <c r="I1490" t="s" s="17">
        <v>26</v>
      </c>
      <c r="J1490" t="s" s="17">
        <v>117</v>
      </c>
      <c r="K1490" t="s" s="17">
        <v>23</v>
      </c>
      <c r="L1490" s="15">
        <f>IF(O1490,P1490/O1490,0)</f>
        <v>33.33</v>
      </c>
      <c r="M1490" s="15">
        <v>33.33</v>
      </c>
      <c r="N1490" s="15">
        <f>A1490</f>
        <v>1488</v>
      </c>
      <c r="O1490" s="15">
        <v>5</v>
      </c>
      <c r="P1490" s="15">
        <v>166.65</v>
      </c>
      <c r="Q1490" s="16"/>
    </row>
    <row r="1491" ht="20.05" customHeight="1">
      <c r="A1491" s="13">
        <f>A1490+1</f>
        <v>1489</v>
      </c>
      <c r="B1491" s="14">
        <v>2023</v>
      </c>
      <c r="C1491" s="15">
        <v>12</v>
      </c>
      <c r="D1491" s="15">
        <v>7</v>
      </c>
      <c r="E1491" s="16"/>
      <c r="F1491" t="s" s="17">
        <v>111</v>
      </c>
      <c r="G1491" s="16"/>
      <c r="H1491" t="s" s="17">
        <v>253</v>
      </c>
      <c r="I1491" t="s" s="17">
        <v>26</v>
      </c>
      <c r="J1491" t="s" s="17">
        <v>134</v>
      </c>
      <c r="K1491" t="s" s="17">
        <v>23</v>
      </c>
      <c r="L1491" s="15">
        <f>IF(O1491,P1491/O1491,0)</f>
        <v>34.218</v>
      </c>
      <c r="M1491" s="15">
        <v>34.218</v>
      </c>
      <c r="N1491" s="15">
        <f>A1491</f>
        <v>1489</v>
      </c>
      <c r="O1491" s="15">
        <v>5</v>
      </c>
      <c r="P1491" s="15">
        <v>171.09</v>
      </c>
      <c r="Q1491" s="16"/>
    </row>
    <row r="1492" ht="20.05" customHeight="1">
      <c r="A1492" s="13">
        <f>A1491+1</f>
        <v>1490</v>
      </c>
      <c r="B1492" s="14">
        <v>2023</v>
      </c>
      <c r="C1492" s="15">
        <v>12</v>
      </c>
      <c r="D1492" s="15">
        <v>7</v>
      </c>
      <c r="E1492" s="16"/>
      <c r="F1492" t="s" s="17">
        <v>111</v>
      </c>
      <c r="G1492" s="16"/>
      <c r="H1492" t="s" s="17">
        <v>253</v>
      </c>
      <c r="I1492" t="s" s="17">
        <v>26</v>
      </c>
      <c r="J1492" t="s" s="17">
        <v>118</v>
      </c>
      <c r="K1492" t="s" s="17">
        <v>23</v>
      </c>
      <c r="L1492" s="15">
        <f>IF(O1492,P1492/O1492,0)</f>
        <v>34.218</v>
      </c>
      <c r="M1492" s="15">
        <v>34.218</v>
      </c>
      <c r="N1492" s="15">
        <f>A1492</f>
        <v>1490</v>
      </c>
      <c r="O1492" s="15">
        <v>5</v>
      </c>
      <c r="P1492" s="15">
        <v>171.09</v>
      </c>
      <c r="Q1492" s="16"/>
    </row>
    <row r="1493" ht="20.05" customHeight="1">
      <c r="A1493" s="13">
        <f>A1492+1</f>
        <v>1491</v>
      </c>
      <c r="B1493" s="14">
        <v>2023</v>
      </c>
      <c r="C1493" s="15">
        <v>12</v>
      </c>
      <c r="D1493" s="15">
        <v>7</v>
      </c>
      <c r="E1493" s="16"/>
      <c r="F1493" t="s" s="17">
        <v>111</v>
      </c>
      <c r="G1493" s="16"/>
      <c r="H1493" t="s" s="17">
        <v>253</v>
      </c>
      <c r="I1493" t="s" s="17">
        <v>19</v>
      </c>
      <c r="J1493" t="s" s="17">
        <v>81</v>
      </c>
      <c r="K1493" t="s" s="17">
        <v>23</v>
      </c>
      <c r="L1493" s="15">
        <f>IF(O1493,P1493/O1493,0)</f>
        <v>1.10185185185185</v>
      </c>
      <c r="M1493" s="15">
        <v>1.10185185185185</v>
      </c>
      <c r="N1493" s="15">
        <f>A1493</f>
        <v>1491</v>
      </c>
      <c r="O1493" s="15">
        <f t="shared" si="4663"/>
        <v>216</v>
      </c>
      <c r="P1493" s="15">
        <v>238</v>
      </c>
      <c r="Q1493" s="16"/>
    </row>
    <row r="1494" ht="20.05" customHeight="1">
      <c r="A1494" s="13">
        <f>A1493+1</f>
        <v>1492</v>
      </c>
      <c r="B1494" s="14">
        <v>2023</v>
      </c>
      <c r="C1494" s="15">
        <v>12</v>
      </c>
      <c r="D1494" s="15">
        <v>7</v>
      </c>
      <c r="E1494" s="16"/>
      <c r="F1494" t="s" s="17">
        <v>111</v>
      </c>
      <c r="G1494" s="16"/>
      <c r="H1494" t="s" s="17">
        <v>253</v>
      </c>
      <c r="I1494" t="s" s="17">
        <v>19</v>
      </c>
      <c r="J1494" t="s" s="17">
        <v>63</v>
      </c>
      <c r="K1494" t="s" s="17">
        <v>16</v>
      </c>
      <c r="L1494" s="15">
        <f>IF(O1494,P1494/O1494,0)</f>
        <v>0.6392</v>
      </c>
      <c r="M1494" s="15">
        <v>0.6392</v>
      </c>
      <c r="N1494" s="15">
        <f>A1494</f>
        <v>1492</v>
      </c>
      <c r="O1494" s="15">
        <v>250</v>
      </c>
      <c r="P1494" s="15">
        <v>159.8</v>
      </c>
      <c r="Q1494" s="16"/>
    </row>
    <row r="1495" ht="20.05" customHeight="1">
      <c r="A1495" s="13">
        <f>A1494+1</f>
        <v>1493</v>
      </c>
      <c r="B1495" s="14">
        <v>2023</v>
      </c>
      <c r="C1495" s="15">
        <v>12</v>
      </c>
      <c r="D1495" s="15">
        <v>8</v>
      </c>
      <c r="E1495" s="16"/>
      <c r="F1495" t="s" s="17">
        <v>141</v>
      </c>
      <c r="G1495" s="16"/>
      <c r="H1495" t="s" s="17">
        <v>253</v>
      </c>
      <c r="I1495" t="s" s="17">
        <v>19</v>
      </c>
      <c r="J1495" t="s" s="17">
        <v>142</v>
      </c>
      <c r="K1495" t="s" s="17">
        <v>23</v>
      </c>
      <c r="L1495" s="15">
        <f>IF(O1495,P1495/O1495,0)</f>
        <v>13.8515208333333</v>
      </c>
      <c r="M1495" s="15">
        <v>13.8515208333333</v>
      </c>
      <c r="N1495" s="15">
        <f>A1495</f>
        <v>1493</v>
      </c>
      <c r="O1495" s="15">
        <f t="shared" si="4968"/>
        <v>48</v>
      </c>
      <c r="P1495" s="15">
        <v>664.873</v>
      </c>
      <c r="Q1495" s="16"/>
    </row>
    <row r="1496" ht="20.05" customHeight="1">
      <c r="A1496" s="13">
        <f>A1495+1</f>
        <v>1494</v>
      </c>
      <c r="B1496" s="14">
        <v>2023</v>
      </c>
      <c r="C1496" s="15">
        <v>12</v>
      </c>
      <c r="D1496" s="15">
        <v>8</v>
      </c>
      <c r="E1496" s="16"/>
      <c r="F1496" t="s" s="17">
        <v>141</v>
      </c>
      <c r="G1496" s="16"/>
      <c r="H1496" t="s" s="17">
        <v>253</v>
      </c>
      <c r="I1496" t="s" s="17">
        <v>19</v>
      </c>
      <c r="J1496" t="s" s="17">
        <v>143</v>
      </c>
      <c r="K1496" t="s" s="17">
        <v>23</v>
      </c>
      <c r="L1496" s="15">
        <f>IF(O1496,P1496/O1496,0)</f>
        <v>13.8527083333333</v>
      </c>
      <c r="M1496" s="15">
        <v>13.8527083333333</v>
      </c>
      <c r="N1496" s="15">
        <f>A1496</f>
        <v>1494</v>
      </c>
      <c r="O1496" s="15">
        <v>24</v>
      </c>
      <c r="P1496" s="15">
        <v>332.465</v>
      </c>
      <c r="Q1496" s="16"/>
    </row>
    <row r="1497" ht="20.05" customHeight="1">
      <c r="A1497" s="13">
        <f>A1496+1</f>
        <v>1495</v>
      </c>
      <c r="B1497" s="14">
        <v>2023</v>
      </c>
      <c r="C1497" s="15">
        <v>12</v>
      </c>
      <c r="D1497" s="15">
        <v>8</v>
      </c>
      <c r="E1497" s="16"/>
      <c r="F1497" t="s" s="17">
        <v>141</v>
      </c>
      <c r="G1497" s="16"/>
      <c r="H1497" t="s" s="17">
        <v>253</v>
      </c>
      <c r="I1497" t="s" s="17">
        <v>19</v>
      </c>
      <c r="J1497" t="s" s="17">
        <v>144</v>
      </c>
      <c r="K1497" t="s" s="17">
        <v>23</v>
      </c>
      <c r="L1497" s="15">
        <f>IF(O1497,P1497/O1497,0)</f>
        <v>13.8527083333333</v>
      </c>
      <c r="M1497" s="15">
        <v>13.8527083333333</v>
      </c>
      <c r="N1497" s="15">
        <f>A1497</f>
        <v>1495</v>
      </c>
      <c r="O1497" s="15">
        <v>24</v>
      </c>
      <c r="P1497" s="15">
        <v>332.465</v>
      </c>
      <c r="Q1497" s="16"/>
    </row>
    <row r="1498" ht="20.35" customHeight="1">
      <c r="A1498" s="13">
        <f>A1497+1</f>
        <v>1496</v>
      </c>
      <c r="B1498" s="14">
        <v>2023</v>
      </c>
      <c r="C1498" s="15">
        <v>12</v>
      </c>
      <c r="D1498" s="15">
        <v>8</v>
      </c>
      <c r="E1498" s="16"/>
      <c r="F1498" t="s" s="17">
        <v>141</v>
      </c>
      <c r="G1498" s="16"/>
      <c r="H1498" t="s" s="17">
        <v>253</v>
      </c>
      <c r="I1498" t="s" s="17">
        <v>19</v>
      </c>
      <c r="J1498" t="s" s="17">
        <v>144</v>
      </c>
      <c r="K1498" t="s" s="17">
        <v>23</v>
      </c>
      <c r="L1498" s="15">
        <f>IF(O1498,P1498/O1498,0)</f>
        <v>114</v>
      </c>
      <c r="M1498" s="15">
        <v>114</v>
      </c>
      <c r="N1498" s="15">
        <f>A1498</f>
        <v>1496</v>
      </c>
      <c r="O1498" s="15">
        <v>2</v>
      </c>
      <c r="P1498" s="18">
        <f t="shared" si="5471" ref="P1498:P1802">2*114</f>
        <v>228</v>
      </c>
      <c r="Q1498" s="16"/>
    </row>
    <row r="1499" ht="20.7" customHeight="1">
      <c r="A1499" s="13">
        <f>A1498+1</f>
        <v>1497</v>
      </c>
      <c r="B1499" s="14">
        <v>2023</v>
      </c>
      <c r="C1499" s="15">
        <v>12</v>
      </c>
      <c r="D1499" s="15">
        <v>8</v>
      </c>
      <c r="E1499" s="16"/>
      <c r="F1499" t="s" s="17">
        <v>428</v>
      </c>
      <c r="G1499" s="16"/>
      <c r="H1499" t="s" s="17">
        <v>253</v>
      </c>
      <c r="I1499" t="s" s="17">
        <v>19</v>
      </c>
      <c r="J1499" t="s" s="17">
        <v>139</v>
      </c>
      <c r="K1499" t="s" s="17">
        <v>23</v>
      </c>
      <c r="L1499" s="15">
        <f>IF(O1499,P1499/O1499,0)</f>
        <v>3.62505833333333</v>
      </c>
      <c r="M1499" s="15">
        <v>3.62505833333333</v>
      </c>
      <c r="N1499" s="15">
        <f>A1499</f>
        <v>1497</v>
      </c>
      <c r="O1499" s="19">
        <f t="shared" si="4968"/>
        <v>48</v>
      </c>
      <c r="P1499" s="47">
        <f t="shared" si="5476" ref="P1499:P1600">172.28+172.28*1%</f>
        <v>174.0028</v>
      </c>
      <c r="Q1499" s="21"/>
    </row>
    <row r="1500" ht="20.7" customHeight="1">
      <c r="A1500" s="13">
        <f>A1499+1</f>
        <v>1498</v>
      </c>
      <c r="B1500" s="14">
        <v>2023</v>
      </c>
      <c r="C1500" s="15">
        <v>12</v>
      </c>
      <c r="D1500" s="15">
        <v>8</v>
      </c>
      <c r="E1500" s="16"/>
      <c r="F1500" t="s" s="17">
        <v>428</v>
      </c>
      <c r="G1500" s="16"/>
      <c r="H1500" t="s" s="17">
        <v>253</v>
      </c>
      <c r="I1500" t="s" s="17">
        <v>19</v>
      </c>
      <c r="J1500" t="s" s="17">
        <v>101</v>
      </c>
      <c r="K1500" t="s" s="17">
        <v>23</v>
      </c>
      <c r="L1500" s="15">
        <f>IF(O1500,P1500/O1500,0)</f>
        <v>7.291625</v>
      </c>
      <c r="M1500" s="15">
        <v>7.291625</v>
      </c>
      <c r="N1500" s="15">
        <f>A1500</f>
        <v>1498</v>
      </c>
      <c r="O1500" s="19">
        <v>24</v>
      </c>
      <c r="P1500" s="46">
        <f t="shared" si="4726"/>
        <v>174.999</v>
      </c>
      <c r="Q1500" s="21"/>
    </row>
    <row r="1501" ht="20.35" customHeight="1">
      <c r="A1501" s="13">
        <f>A1500+1</f>
        <v>1499</v>
      </c>
      <c r="B1501" s="14">
        <v>2023</v>
      </c>
      <c r="C1501" s="15">
        <v>12</v>
      </c>
      <c r="D1501" s="15">
        <v>8</v>
      </c>
      <c r="E1501" s="16"/>
      <c r="F1501" t="s" s="17">
        <v>258</v>
      </c>
      <c r="G1501" s="16"/>
      <c r="H1501" t="s" s="17">
        <v>253</v>
      </c>
      <c r="I1501" t="s" s="17">
        <v>26</v>
      </c>
      <c r="J1501" t="s" s="17">
        <v>113</v>
      </c>
      <c r="K1501" t="s" s="17">
        <v>41</v>
      </c>
      <c r="L1501" s="15">
        <f>IF(O1501,P1501/O1501,0)</f>
        <v>0.034975</v>
      </c>
      <c r="M1501" s="15">
        <v>0.034975</v>
      </c>
      <c r="N1501" s="15">
        <f>A1501</f>
        <v>1499</v>
      </c>
      <c r="O1501" s="15">
        <v>2000</v>
      </c>
      <c r="P1501" s="22">
        <f>84.95-9.45-5.55</f>
        <v>69.95</v>
      </c>
      <c r="Q1501" s="16"/>
    </row>
    <row r="1502" ht="20.05" customHeight="1">
      <c r="A1502" s="13">
        <f>A1501+1</f>
        <v>1500</v>
      </c>
      <c r="B1502" s="14">
        <v>2023</v>
      </c>
      <c r="C1502" s="15">
        <v>12</v>
      </c>
      <c r="D1502" s="15">
        <v>8</v>
      </c>
      <c r="E1502" s="16"/>
      <c r="F1502" t="s" s="17">
        <v>258</v>
      </c>
      <c r="G1502" t="s" s="17">
        <v>370</v>
      </c>
      <c r="H1502" t="s" s="17">
        <v>253</v>
      </c>
      <c r="I1502" t="s" s="17">
        <v>187</v>
      </c>
      <c r="J1502" t="s" s="17">
        <v>21</v>
      </c>
      <c r="K1502" t="s" s="17">
        <v>16</v>
      </c>
      <c r="L1502" s="15">
        <f>IF(O1502,P1502/O1502,0)</f>
        <v>0.0188957597173145</v>
      </c>
      <c r="M1502" s="15">
        <v>0.0188957597173145</v>
      </c>
      <c r="N1502" s="15">
        <f>A1502</f>
        <v>1500</v>
      </c>
      <c r="O1502" s="15">
        <v>1132</v>
      </c>
      <c r="P1502" s="15">
        <f>25.92-4.53</f>
        <v>21.39</v>
      </c>
      <c r="Q1502" s="16"/>
    </row>
    <row r="1503" ht="20.05" customHeight="1">
      <c r="A1503" s="13">
        <f>A1502+1</f>
        <v>1501</v>
      </c>
      <c r="B1503" s="14">
        <v>2023</v>
      </c>
      <c r="C1503" s="15">
        <v>12</v>
      </c>
      <c r="D1503" s="15">
        <v>8</v>
      </c>
      <c r="E1503" s="16"/>
      <c r="F1503" t="s" s="17">
        <v>258</v>
      </c>
      <c r="G1503" t="s" s="17">
        <v>370</v>
      </c>
      <c r="H1503" t="s" s="17">
        <v>253</v>
      </c>
      <c r="I1503" t="s" s="17">
        <v>187</v>
      </c>
      <c r="J1503" t="s" s="17">
        <v>365</v>
      </c>
      <c r="K1503" t="s" s="17">
        <v>23</v>
      </c>
      <c r="L1503" s="15">
        <f>IF(O1503,P1503/O1503,0)</f>
        <v>0.0198977272727273</v>
      </c>
      <c r="M1503" s="15">
        <v>0.0198977272727273</v>
      </c>
      <c r="N1503" s="15">
        <f>A1503</f>
        <v>1501</v>
      </c>
      <c r="O1503" s="15">
        <v>880</v>
      </c>
      <c r="P1503" s="15">
        <f>17.51</f>
        <v>17.51</v>
      </c>
      <c r="Q1503" s="16"/>
    </row>
    <row r="1504" ht="20.05" customHeight="1">
      <c r="A1504" s="13">
        <f>A1503+1</f>
        <v>1502</v>
      </c>
      <c r="B1504" s="14">
        <v>2023</v>
      </c>
      <c r="C1504" s="15">
        <v>12</v>
      </c>
      <c r="D1504" s="15">
        <v>12</v>
      </c>
      <c r="E1504" s="16"/>
      <c r="F1504" t="s" s="17">
        <v>258</v>
      </c>
      <c r="G1504" t="s" s="17">
        <v>370</v>
      </c>
      <c r="H1504" t="s" s="17">
        <v>253</v>
      </c>
      <c r="I1504" t="s" s="17">
        <v>187</v>
      </c>
      <c r="J1504" t="s" s="17">
        <v>74</v>
      </c>
      <c r="K1504" t="s" s="17">
        <v>23</v>
      </c>
      <c r="L1504" s="15">
        <f>IF(O1504,P1504/O1504,0)</f>
        <v>0.0279032258064516</v>
      </c>
      <c r="M1504" s="15">
        <v>0.0279032258064516</v>
      </c>
      <c r="N1504" s="15">
        <f>A1504</f>
        <v>1502</v>
      </c>
      <c r="O1504" s="15">
        <v>992</v>
      </c>
      <c r="P1504" s="15">
        <f>27.68</f>
        <v>27.68</v>
      </c>
      <c r="Q1504" s="16"/>
    </row>
    <row r="1505" ht="20.05" customHeight="1">
      <c r="A1505" s="13">
        <f>A1504+1</f>
        <v>1503</v>
      </c>
      <c r="B1505" s="14">
        <v>2023</v>
      </c>
      <c r="C1505" s="15">
        <v>12</v>
      </c>
      <c r="D1505" s="15">
        <v>12</v>
      </c>
      <c r="E1505" s="16"/>
      <c r="F1505" t="s" s="17">
        <v>258</v>
      </c>
      <c r="G1505" s="16"/>
      <c r="H1505" t="s" s="17">
        <v>253</v>
      </c>
      <c r="I1505" t="s" s="17">
        <v>19</v>
      </c>
      <c r="J1505" t="s" s="17">
        <v>157</v>
      </c>
      <c r="K1505" t="s" s="17">
        <v>16</v>
      </c>
      <c r="L1505" s="15">
        <f>IF(O1505,P1505/O1505,0)</f>
        <v>0.0168996960486322</v>
      </c>
      <c r="M1505" s="15">
        <v>0.0168996960486322</v>
      </c>
      <c r="N1505" s="15">
        <f>A1505</f>
        <v>1503</v>
      </c>
      <c r="O1505" s="15">
        <v>1316</v>
      </c>
      <c r="P1505" s="15">
        <v>22.24</v>
      </c>
      <c r="Q1505" s="16"/>
    </row>
    <row r="1506" ht="32.35" customHeight="1">
      <c r="A1506" s="13">
        <f>A1505+1</f>
        <v>1504</v>
      </c>
      <c r="B1506" s="14">
        <v>2023</v>
      </c>
      <c r="C1506" s="15">
        <v>12</v>
      </c>
      <c r="D1506" s="15">
        <v>13</v>
      </c>
      <c r="E1506" s="16"/>
      <c r="F1506" t="s" s="17">
        <v>258</v>
      </c>
      <c r="G1506" s="16"/>
      <c r="H1506" t="s" s="17">
        <v>253</v>
      </c>
      <c r="I1506" t="s" s="17">
        <v>187</v>
      </c>
      <c r="J1506" t="s" s="17">
        <v>198</v>
      </c>
      <c r="K1506" t="s" s="17">
        <v>23</v>
      </c>
      <c r="L1506" s="15">
        <f>IF(O1506,P1506/O1506,0)</f>
        <v>1.85</v>
      </c>
      <c r="M1506" s="15">
        <v>1.85</v>
      </c>
      <c r="N1506" s="15">
        <f>A1506</f>
        <v>1504</v>
      </c>
      <c r="O1506" s="15">
        <v>50</v>
      </c>
      <c r="P1506" s="18">
        <v>92.5</v>
      </c>
      <c r="Q1506" s="16"/>
    </row>
    <row r="1507" ht="20.7" customHeight="1">
      <c r="A1507" s="13">
        <f>A1506+1</f>
        <v>1505</v>
      </c>
      <c r="B1507" s="14">
        <v>2023</v>
      </c>
      <c r="C1507" s="15">
        <v>12</v>
      </c>
      <c r="D1507" s="15">
        <v>13</v>
      </c>
      <c r="E1507" s="16"/>
      <c r="F1507" t="s" s="17">
        <v>428</v>
      </c>
      <c r="G1507" s="16"/>
      <c r="H1507" t="s" s="17">
        <v>253</v>
      </c>
      <c r="I1507" t="s" s="17">
        <v>19</v>
      </c>
      <c r="J1507" t="s" s="17">
        <v>139</v>
      </c>
      <c r="K1507" t="s" s="17">
        <v>23</v>
      </c>
      <c r="L1507" s="15">
        <f>IF(O1507,P1507/O1507,0)</f>
        <v>3.62505833333333</v>
      </c>
      <c r="M1507" s="15">
        <v>3.62505833333333</v>
      </c>
      <c r="N1507" s="15">
        <f>A1507</f>
        <v>1505</v>
      </c>
      <c r="O1507" s="19">
        <f t="shared" si="4968"/>
        <v>48</v>
      </c>
      <c r="P1507" s="47">
        <f t="shared" si="5476"/>
        <v>174.0028</v>
      </c>
      <c r="Q1507" s="21"/>
    </row>
    <row r="1508" ht="20.35" customHeight="1">
      <c r="A1508" s="13">
        <f>A1507+1</f>
        <v>1506</v>
      </c>
      <c r="B1508" s="14">
        <v>2023</v>
      </c>
      <c r="C1508" s="15">
        <v>12</v>
      </c>
      <c r="D1508" s="15">
        <v>14</v>
      </c>
      <c r="E1508" s="16"/>
      <c r="F1508" t="s" s="17">
        <v>287</v>
      </c>
      <c r="G1508" s="16"/>
      <c r="H1508" t="s" s="17">
        <v>253</v>
      </c>
      <c r="I1508" t="s" s="17">
        <v>14</v>
      </c>
      <c r="J1508" t="s" s="17">
        <v>288</v>
      </c>
      <c r="K1508" t="s" s="17">
        <v>23</v>
      </c>
      <c r="L1508" s="15">
        <f>IF(O1508,P1508/O1508,0)</f>
        <v>37.5383333333333</v>
      </c>
      <c r="M1508" s="15">
        <v>37.5383333333333</v>
      </c>
      <c r="N1508" s="15">
        <f>A1508</f>
        <v>1506</v>
      </c>
      <c r="O1508" s="15">
        <v>9</v>
      </c>
      <c r="P1508" s="53">
        <f t="shared" si="5402"/>
        <v>337.845</v>
      </c>
      <c r="Q1508" s="16"/>
    </row>
    <row r="1509" ht="32.05" customHeight="1">
      <c r="A1509" s="13">
        <f>A1508+1</f>
        <v>1507</v>
      </c>
      <c r="B1509" s="14">
        <v>2023</v>
      </c>
      <c r="C1509" s="15">
        <v>12</v>
      </c>
      <c r="D1509" s="15">
        <v>14</v>
      </c>
      <c r="E1509" s="16"/>
      <c r="F1509" t="s" s="17">
        <v>287</v>
      </c>
      <c r="G1509" s="16"/>
      <c r="H1509" t="s" s="17">
        <v>253</v>
      </c>
      <c r="I1509" t="s" s="17">
        <v>17</v>
      </c>
      <c r="J1509" t="s" s="17">
        <v>300</v>
      </c>
      <c r="K1509" t="s" s="17">
        <v>23</v>
      </c>
      <c r="L1509" s="15">
        <f>IF(O1509,P1509/O1509,0)</f>
        <v>35.2995</v>
      </c>
      <c r="M1509" s="15">
        <v>35.2995</v>
      </c>
      <c r="N1509" s="15">
        <f>A1509</f>
        <v>1507</v>
      </c>
      <c r="O1509" s="15">
        <v>24</v>
      </c>
      <c r="P1509" s="42">
        <f t="shared" si="4741"/>
        <v>847.188</v>
      </c>
      <c r="Q1509" s="16"/>
    </row>
    <row r="1510" ht="20.05" customHeight="1">
      <c r="A1510" s="13">
        <f>A1509+1</f>
        <v>1508</v>
      </c>
      <c r="B1510" s="14">
        <v>2023</v>
      </c>
      <c r="C1510" s="15">
        <v>12</v>
      </c>
      <c r="D1510" s="15">
        <v>14</v>
      </c>
      <c r="E1510" s="16"/>
      <c r="F1510" t="s" s="17">
        <v>258</v>
      </c>
      <c r="G1510" s="16"/>
      <c r="H1510" t="s" s="17">
        <v>253</v>
      </c>
      <c r="I1510" t="s" s="17">
        <v>187</v>
      </c>
      <c r="J1510" t="s" s="17">
        <v>167</v>
      </c>
      <c r="K1510" t="s" s="17">
        <v>23</v>
      </c>
      <c r="L1510" s="15">
        <f>IF(O1510,P1510/O1510,0)</f>
        <v>0.645</v>
      </c>
      <c r="M1510" s="15">
        <v>0.645</v>
      </c>
      <c r="N1510" s="15">
        <f>A1510</f>
        <v>1508</v>
      </c>
      <c r="O1510" s="15">
        <v>100</v>
      </c>
      <c r="P1510" s="15">
        <v>64.5</v>
      </c>
      <c r="Q1510" s="16"/>
    </row>
    <row r="1511" ht="20.05" customHeight="1">
      <c r="A1511" s="13">
        <f>A1510+1</f>
        <v>1509</v>
      </c>
      <c r="B1511" s="14">
        <v>2023</v>
      </c>
      <c r="C1511" s="15">
        <v>12</v>
      </c>
      <c r="D1511" s="15">
        <v>15</v>
      </c>
      <c r="E1511" s="16"/>
      <c r="F1511" t="s" s="17">
        <v>453</v>
      </c>
      <c r="G1511" t="s" s="17">
        <v>454</v>
      </c>
      <c r="H1511" t="s" s="17">
        <v>253</v>
      </c>
      <c r="I1511" t="s" s="17">
        <v>26</v>
      </c>
      <c r="J1511" t="s" s="17">
        <v>455</v>
      </c>
      <c r="K1511" t="s" s="17">
        <v>23</v>
      </c>
      <c r="L1511" s="15">
        <f>IF(O1511,P1511/O1511,0)</f>
        <v>0.64034</v>
      </c>
      <c r="M1511" s="15">
        <v>0.64034</v>
      </c>
      <c r="N1511" s="15">
        <f>A1511</f>
        <v>1509</v>
      </c>
      <c r="O1511" s="15">
        <f>28*100</f>
        <v>2800</v>
      </c>
      <c r="P1511" s="42">
        <f>1775.2+1775.2*1%</f>
        <v>1792.952</v>
      </c>
      <c r="Q1511" s="16"/>
    </row>
    <row r="1512" ht="20.05" customHeight="1">
      <c r="A1512" s="13">
        <f>A1511+1</f>
        <v>1510</v>
      </c>
      <c r="B1512" s="14">
        <v>2023</v>
      </c>
      <c r="C1512" s="15">
        <v>12</v>
      </c>
      <c r="D1512" s="15">
        <v>16</v>
      </c>
      <c r="E1512" s="16"/>
      <c r="F1512" t="s" s="17">
        <v>287</v>
      </c>
      <c r="G1512" s="16"/>
      <c r="H1512" t="s" s="17">
        <v>253</v>
      </c>
      <c r="I1512" t="s" s="17">
        <v>14</v>
      </c>
      <c r="J1512" t="s" s="17">
        <v>289</v>
      </c>
      <c r="K1512" t="s" s="17">
        <v>23</v>
      </c>
      <c r="L1512" s="15">
        <f>IF(O1512,P1512/O1512,0)</f>
        <v>32.724</v>
      </c>
      <c r="M1512" s="15">
        <v>32.724</v>
      </c>
      <c r="N1512" s="15">
        <f>A1512</f>
        <v>1510</v>
      </c>
      <c r="O1512" s="15">
        <v>10</v>
      </c>
      <c r="P1512" s="41">
        <f t="shared" si="4784"/>
        <v>327.24</v>
      </c>
      <c r="Q1512" s="16"/>
    </row>
    <row r="1513" ht="20.05" customHeight="1">
      <c r="A1513" s="13">
        <f>A1512+1</f>
        <v>1511</v>
      </c>
      <c r="B1513" s="14">
        <v>2023</v>
      </c>
      <c r="C1513" s="15">
        <v>12</v>
      </c>
      <c r="D1513" s="15">
        <v>16</v>
      </c>
      <c r="E1513" s="16"/>
      <c r="F1513" t="s" s="17">
        <v>287</v>
      </c>
      <c r="G1513" s="16"/>
      <c r="H1513" t="s" s="17">
        <v>253</v>
      </c>
      <c r="I1513" t="s" s="17">
        <v>14</v>
      </c>
      <c r="J1513" t="s" s="17">
        <v>288</v>
      </c>
      <c r="K1513" t="s" s="17">
        <v>23</v>
      </c>
      <c r="L1513" s="15">
        <f>IF(O1513,P1513/O1513,0)</f>
        <v>37.5383333333333</v>
      </c>
      <c r="M1513" s="15">
        <v>37.5383333333333</v>
      </c>
      <c r="N1513" s="15">
        <f>A1513</f>
        <v>1511</v>
      </c>
      <c r="O1513" s="15">
        <v>9</v>
      </c>
      <c r="P1513" s="42">
        <f t="shared" si="5402"/>
        <v>337.845</v>
      </c>
      <c r="Q1513" s="16"/>
    </row>
    <row r="1514" ht="32.05" customHeight="1">
      <c r="A1514" s="13">
        <f>A1513+1</f>
        <v>1512</v>
      </c>
      <c r="B1514" s="14">
        <v>2023</v>
      </c>
      <c r="C1514" s="15">
        <v>12</v>
      </c>
      <c r="D1514" s="15">
        <v>16</v>
      </c>
      <c r="E1514" s="16"/>
      <c r="F1514" t="s" s="17">
        <v>287</v>
      </c>
      <c r="G1514" s="16"/>
      <c r="H1514" t="s" s="17">
        <v>253</v>
      </c>
      <c r="I1514" t="s" s="17">
        <v>17</v>
      </c>
      <c r="J1514" t="s" s="17">
        <v>300</v>
      </c>
      <c r="K1514" t="s" s="17">
        <v>23</v>
      </c>
      <c r="L1514" s="15">
        <f>IF(O1514,P1514/O1514,0)</f>
        <v>35.2995</v>
      </c>
      <c r="M1514" s="15">
        <v>35.2995</v>
      </c>
      <c r="N1514" s="15">
        <f>A1514</f>
        <v>1512</v>
      </c>
      <c r="O1514" s="15">
        <v>24</v>
      </c>
      <c r="P1514" s="42">
        <f t="shared" si="4741"/>
        <v>847.188</v>
      </c>
      <c r="Q1514" s="16"/>
    </row>
    <row r="1515" ht="20.05" customHeight="1">
      <c r="A1515" s="13">
        <f>A1514+1</f>
        <v>1513</v>
      </c>
      <c r="B1515" s="14">
        <v>2023</v>
      </c>
      <c r="C1515" s="15">
        <v>12</v>
      </c>
      <c r="D1515" s="15">
        <v>17</v>
      </c>
      <c r="E1515" s="16"/>
      <c r="F1515" t="s" s="17">
        <v>258</v>
      </c>
      <c r="G1515" s="16"/>
      <c r="H1515" t="s" s="17">
        <v>253</v>
      </c>
      <c r="I1515" t="s" s="17">
        <v>19</v>
      </c>
      <c r="J1515" t="s" s="17">
        <v>157</v>
      </c>
      <c r="K1515" t="s" s="17">
        <v>16</v>
      </c>
      <c r="L1515" s="15">
        <f>IF(O1515,P1515/O1515,0)</f>
        <v>0.00989986648865154</v>
      </c>
      <c r="M1515" s="15">
        <v>0.00989986648865154</v>
      </c>
      <c r="N1515" s="15">
        <f>A1515</f>
        <v>1513</v>
      </c>
      <c r="O1515" s="15">
        <v>1498</v>
      </c>
      <c r="P1515" s="15">
        <f>25.32-10.49</f>
        <v>14.83</v>
      </c>
      <c r="Q1515" s="16"/>
    </row>
    <row r="1516" ht="20.05" customHeight="1">
      <c r="A1516" s="13">
        <f>A1515+1</f>
        <v>1514</v>
      </c>
      <c r="B1516" s="14">
        <v>2023</v>
      </c>
      <c r="C1516" s="15">
        <v>12</v>
      </c>
      <c r="D1516" s="15">
        <v>19</v>
      </c>
      <c r="E1516" s="16"/>
      <c r="F1516" t="s" s="17">
        <v>262</v>
      </c>
      <c r="G1516" s="16"/>
      <c r="H1516" t="s" s="17">
        <v>253</v>
      </c>
      <c r="I1516" t="s" s="17">
        <v>187</v>
      </c>
      <c r="J1516" t="s" s="17">
        <v>263</v>
      </c>
      <c r="K1516" t="s" s="17">
        <v>23</v>
      </c>
      <c r="L1516" s="15">
        <f>IF(O1516,P1516/O1516,0)</f>
        <v>420</v>
      </c>
      <c r="M1516" s="15">
        <v>420</v>
      </c>
      <c r="N1516" s="15">
        <f>A1516</f>
        <v>1514</v>
      </c>
      <c r="O1516" s="15">
        <v>1</v>
      </c>
      <c r="P1516" s="41">
        <f t="shared" si="3038"/>
        <v>420</v>
      </c>
      <c r="Q1516" s="16"/>
    </row>
    <row r="1517" ht="20.05" customHeight="1">
      <c r="A1517" s="13">
        <f>A1516+1</f>
        <v>1515</v>
      </c>
      <c r="B1517" s="14">
        <v>2023</v>
      </c>
      <c r="C1517" s="15">
        <v>12</v>
      </c>
      <c r="D1517" s="15">
        <v>20</v>
      </c>
      <c r="E1517" s="16"/>
      <c r="F1517" t="s" s="17">
        <v>150</v>
      </c>
      <c r="G1517" s="16"/>
      <c r="H1517" t="s" s="17">
        <v>253</v>
      </c>
      <c r="I1517" t="s" s="17">
        <v>19</v>
      </c>
      <c r="J1517" t="s" s="17">
        <v>89</v>
      </c>
      <c r="K1517" t="s" s="17">
        <v>41</v>
      </c>
      <c r="L1517" s="15">
        <f>IF(O1517,P1517/O1517,0)</f>
        <v>0.490571428571429</v>
      </c>
      <c r="M1517" s="15">
        <v>0.490571428571429</v>
      </c>
      <c r="N1517" s="15">
        <f>A1517</f>
        <v>1515</v>
      </c>
      <c r="O1517" s="15">
        <v>700</v>
      </c>
      <c r="P1517" s="42">
        <f t="shared" si="5421"/>
        <v>343.4</v>
      </c>
      <c r="Q1517" s="16"/>
    </row>
    <row r="1518" ht="20.05" customHeight="1">
      <c r="A1518" s="13">
        <f>A1517+1</f>
        <v>1516</v>
      </c>
      <c r="B1518" s="14">
        <v>2023</v>
      </c>
      <c r="C1518" s="15">
        <v>12</v>
      </c>
      <c r="D1518" s="15">
        <v>20</v>
      </c>
      <c r="E1518" s="16"/>
      <c r="F1518" t="s" s="17">
        <v>122</v>
      </c>
      <c r="G1518" s="16"/>
      <c r="H1518" t="s" s="17">
        <v>253</v>
      </c>
      <c r="I1518" t="s" s="17">
        <v>19</v>
      </c>
      <c r="J1518" t="s" s="17">
        <v>67</v>
      </c>
      <c r="K1518" t="s" s="17">
        <v>23</v>
      </c>
      <c r="L1518" s="15">
        <f>IF(O1518,P1518/O1518,0)</f>
        <v>1.2358865</v>
      </c>
      <c r="M1518" s="15">
        <v>1.2358865</v>
      </c>
      <c r="N1518" s="15">
        <f>A1518</f>
        <v>1516</v>
      </c>
      <c r="O1518" s="15">
        <f t="shared" si="5298"/>
        <v>400</v>
      </c>
      <c r="P1518" s="43">
        <f>489.46+489.46*1%</f>
        <v>494.3546</v>
      </c>
      <c r="Q1518" s="16"/>
    </row>
    <row r="1519" ht="20.05" customHeight="1">
      <c r="A1519" s="13">
        <f>A1518+1</f>
        <v>1517</v>
      </c>
      <c r="B1519" s="14">
        <v>2023</v>
      </c>
      <c r="C1519" s="15">
        <v>12</v>
      </c>
      <c r="D1519" s="15">
        <v>20</v>
      </c>
      <c r="E1519" s="16"/>
      <c r="F1519" t="s" s="17">
        <v>122</v>
      </c>
      <c r="G1519" s="16"/>
      <c r="H1519" t="s" s="17">
        <v>253</v>
      </c>
      <c r="I1519" t="s" s="17">
        <v>19</v>
      </c>
      <c r="J1519" t="s" s="17">
        <v>138</v>
      </c>
      <c r="K1519" t="s" s="17">
        <v>41</v>
      </c>
      <c r="L1519" s="15">
        <f>IF(O1519,P1519/O1519,0)</f>
        <v>0.0391375</v>
      </c>
      <c r="M1519" s="15">
        <v>0.0391375</v>
      </c>
      <c r="N1519" s="15">
        <f>A1519</f>
        <v>1517</v>
      </c>
      <c r="O1519" s="15">
        <f t="shared" si="5556" ref="O1519:O1761">12*1000</f>
        <v>12000</v>
      </c>
      <c r="P1519" s="41">
        <f t="shared" si="5557" ref="P1519:P1636">465+465*1%</f>
        <v>469.65</v>
      </c>
      <c r="Q1519" s="16"/>
    </row>
    <row r="1520" ht="20.05" customHeight="1">
      <c r="A1520" s="13">
        <f>A1519+1</f>
        <v>1518</v>
      </c>
      <c r="B1520" s="14">
        <v>2023</v>
      </c>
      <c r="C1520" s="15">
        <v>12</v>
      </c>
      <c r="D1520" s="15">
        <v>20</v>
      </c>
      <c r="E1520" s="16"/>
      <c r="F1520" t="s" s="17">
        <v>122</v>
      </c>
      <c r="G1520" s="16"/>
      <c r="H1520" t="s" s="17">
        <v>253</v>
      </c>
      <c r="I1520" t="s" s="17">
        <v>26</v>
      </c>
      <c r="J1520" t="s" s="17">
        <v>117</v>
      </c>
      <c r="K1520" t="s" s="17">
        <v>23</v>
      </c>
      <c r="L1520" s="15">
        <f>IF(O1520,P1520/O1520,0)</f>
        <v>35.35</v>
      </c>
      <c r="M1520" s="15">
        <v>35.35</v>
      </c>
      <c r="N1520" s="15">
        <f>A1520</f>
        <v>1518</v>
      </c>
      <c r="O1520" s="15">
        <v>14</v>
      </c>
      <c r="P1520" s="42">
        <f t="shared" si="5309"/>
        <v>494.9</v>
      </c>
      <c r="Q1520" s="16"/>
    </row>
    <row r="1521" ht="20.05" customHeight="1">
      <c r="A1521" s="13">
        <f>A1520+1</f>
        <v>1519</v>
      </c>
      <c r="B1521" s="14">
        <v>2023</v>
      </c>
      <c r="C1521" s="15">
        <v>12</v>
      </c>
      <c r="D1521" s="15">
        <v>20</v>
      </c>
      <c r="E1521" s="16"/>
      <c r="F1521" t="s" s="17">
        <v>122</v>
      </c>
      <c r="G1521" s="16"/>
      <c r="H1521" t="s" s="17">
        <v>253</v>
      </c>
      <c r="I1521" t="s" s="17">
        <v>26</v>
      </c>
      <c r="J1521" t="s" s="17">
        <v>118</v>
      </c>
      <c r="K1521" t="s" s="17">
        <v>23</v>
      </c>
      <c r="L1521" s="15">
        <f>IF(O1521,P1521/O1521,0)</f>
        <v>37.1535714285714</v>
      </c>
      <c r="M1521" s="15">
        <v>37.1535714285714</v>
      </c>
      <c r="N1521" s="15">
        <f>A1521</f>
        <v>1519</v>
      </c>
      <c r="O1521" s="15">
        <v>14</v>
      </c>
      <c r="P1521" s="41">
        <f t="shared" si="5128"/>
        <v>520.15</v>
      </c>
      <c r="Q1521" s="16"/>
    </row>
    <row r="1522" ht="20.05" customHeight="1">
      <c r="A1522" s="13">
        <f>A1521+1</f>
        <v>1520</v>
      </c>
      <c r="B1522" s="14">
        <v>2023</v>
      </c>
      <c r="C1522" s="15">
        <v>12</v>
      </c>
      <c r="D1522" s="15">
        <v>20</v>
      </c>
      <c r="E1522" s="16"/>
      <c r="F1522" t="s" s="17">
        <v>122</v>
      </c>
      <c r="G1522" s="16"/>
      <c r="H1522" t="s" s="17">
        <v>253</v>
      </c>
      <c r="I1522" t="s" s="17">
        <v>187</v>
      </c>
      <c r="J1522" t="s" s="17">
        <v>237</v>
      </c>
      <c r="K1522" t="s" s="17">
        <v>41</v>
      </c>
      <c r="L1522" s="15">
        <f>IF(O1522,P1522/O1522,0)</f>
        <v>0.1188</v>
      </c>
      <c r="M1522" s="15">
        <v>0.1188</v>
      </c>
      <c r="N1522" s="15">
        <f>A1522</f>
        <v>1520</v>
      </c>
      <c r="O1522" s="15">
        <f t="shared" si="5569" ref="O1522:O2007">1000</f>
        <v>1000</v>
      </c>
      <c r="P1522" s="42">
        <f t="shared" si="5146"/>
        <v>118.8</v>
      </c>
      <c r="Q1522" s="16"/>
    </row>
    <row r="1523" ht="32.05" customHeight="1">
      <c r="A1523" s="13">
        <f>A1522+1</f>
        <v>1521</v>
      </c>
      <c r="B1523" s="14">
        <v>2023</v>
      </c>
      <c r="C1523" s="15">
        <v>12</v>
      </c>
      <c r="D1523" s="15">
        <v>20</v>
      </c>
      <c r="E1523" s="16"/>
      <c r="F1523" t="s" s="17">
        <v>122</v>
      </c>
      <c r="G1523" s="16"/>
      <c r="H1523" t="s" s="17">
        <v>253</v>
      </c>
      <c r="I1523" t="s" s="17">
        <v>187</v>
      </c>
      <c r="J1523" t="s" s="17">
        <v>136</v>
      </c>
      <c r="K1523" t="s" s="17">
        <v>23</v>
      </c>
      <c r="L1523" s="15">
        <f>IF(O1523,P1523/O1523,0)</f>
        <v>0.2106</v>
      </c>
      <c r="M1523" s="15">
        <v>0.2106</v>
      </c>
      <c r="N1523" s="15">
        <f>A1523</f>
        <v>1521</v>
      </c>
      <c r="O1523" s="15">
        <f>3*200*10</f>
        <v>6000</v>
      </c>
      <c r="P1523" s="42">
        <f t="shared" si="4813"/>
        <v>1263.6</v>
      </c>
      <c r="Q1523" s="16"/>
    </row>
    <row r="1524" ht="20.05" customHeight="1">
      <c r="A1524" s="13">
        <f>A1523+1</f>
        <v>1522</v>
      </c>
      <c r="B1524" s="14">
        <v>2023</v>
      </c>
      <c r="C1524" s="15">
        <v>12</v>
      </c>
      <c r="D1524" s="15">
        <v>20</v>
      </c>
      <c r="E1524" s="16"/>
      <c r="F1524" t="s" s="17">
        <v>122</v>
      </c>
      <c r="G1524" s="16"/>
      <c r="H1524" t="s" s="17">
        <v>253</v>
      </c>
      <c r="I1524" t="s" s="17">
        <v>187</v>
      </c>
      <c r="J1524" t="s" s="17">
        <v>167</v>
      </c>
      <c r="K1524" t="s" s="17">
        <v>23</v>
      </c>
      <c r="L1524" s="15">
        <f>IF(O1524,P1524/O1524,0)</f>
        <v>0.77</v>
      </c>
      <c r="M1524" s="15">
        <v>0.77</v>
      </c>
      <c r="N1524" s="15">
        <f>A1524</f>
        <v>1522</v>
      </c>
      <c r="O1524" s="15">
        <f t="shared" si="5579" ref="O1524:O2046">3*100</f>
        <v>300</v>
      </c>
      <c r="P1524" s="41">
        <f>210+210*10%</f>
        <v>231</v>
      </c>
      <c r="Q1524" s="16"/>
    </row>
    <row r="1525" ht="32.05" customHeight="1">
      <c r="A1525" s="13">
        <f>A1524+1</f>
        <v>1523</v>
      </c>
      <c r="B1525" s="14">
        <v>2023</v>
      </c>
      <c r="C1525" s="15">
        <v>12</v>
      </c>
      <c r="D1525" s="15">
        <v>20</v>
      </c>
      <c r="E1525" s="16"/>
      <c r="F1525" t="s" s="17">
        <v>122</v>
      </c>
      <c r="G1525" s="16"/>
      <c r="H1525" t="s" s="17">
        <v>253</v>
      </c>
      <c r="I1525" t="s" s="17">
        <v>187</v>
      </c>
      <c r="J1525" t="s" s="17">
        <v>137</v>
      </c>
      <c r="K1525" t="s" s="17">
        <v>41</v>
      </c>
      <c r="L1525" s="15">
        <f>IF(O1525,P1525/O1525,0)</f>
        <v>0.023808</v>
      </c>
      <c r="M1525" s="15">
        <v>0.023808</v>
      </c>
      <c r="N1525" s="15">
        <f>A1525</f>
        <v>1523</v>
      </c>
      <c r="O1525" s="15">
        <v>5000</v>
      </c>
      <c r="P1525" s="41">
        <f t="shared" si="5359"/>
        <v>119.04</v>
      </c>
      <c r="Q1525" s="16"/>
    </row>
    <row r="1526" ht="20.05" customHeight="1">
      <c r="A1526" s="13">
        <f>A1525+1</f>
        <v>1524</v>
      </c>
      <c r="B1526" s="14">
        <v>2023</v>
      </c>
      <c r="C1526" s="15">
        <v>12</v>
      </c>
      <c r="D1526" s="15">
        <v>20</v>
      </c>
      <c r="E1526" s="16"/>
      <c r="F1526" t="s" s="17">
        <v>111</v>
      </c>
      <c r="G1526" s="16"/>
      <c r="H1526" t="s" s="17">
        <v>253</v>
      </c>
      <c r="I1526" t="s" s="17">
        <v>19</v>
      </c>
      <c r="J1526" t="s" s="17">
        <v>112</v>
      </c>
      <c r="K1526" t="s" s="17">
        <v>41</v>
      </c>
      <c r="L1526" s="15">
        <f>IF(O1526,P1526/O1526,0)</f>
        <v>0.0330666666666667</v>
      </c>
      <c r="M1526" s="15">
        <v>0.0330666666666667</v>
      </c>
      <c r="N1526" s="15">
        <f>A1526</f>
        <v>1524</v>
      </c>
      <c r="O1526" s="15">
        <f t="shared" si="5588" ref="O1526:O1742">3*1000</f>
        <v>3000</v>
      </c>
      <c r="P1526" s="15">
        <v>99.2</v>
      </c>
      <c r="Q1526" s="16"/>
    </row>
    <row r="1527" ht="20.05" customHeight="1">
      <c r="A1527" s="13">
        <f>A1526+1</f>
        <v>1525</v>
      </c>
      <c r="B1527" s="14">
        <v>2023</v>
      </c>
      <c r="C1527" s="15">
        <v>12</v>
      </c>
      <c r="D1527" s="15">
        <v>20</v>
      </c>
      <c r="E1527" s="16"/>
      <c r="F1527" t="s" s="17">
        <v>111</v>
      </c>
      <c r="G1527" s="16"/>
      <c r="H1527" t="s" s="17">
        <v>253</v>
      </c>
      <c r="I1527" t="s" s="17">
        <v>26</v>
      </c>
      <c r="J1527" t="s" s="17">
        <v>134</v>
      </c>
      <c r="K1527" t="s" s="17">
        <v>23</v>
      </c>
      <c r="L1527" s="15">
        <f>IF(O1527,P1527/O1527,0)</f>
        <v>33.755</v>
      </c>
      <c r="M1527" s="15">
        <v>33.755</v>
      </c>
      <c r="N1527" s="15">
        <f>A1527</f>
        <v>1525</v>
      </c>
      <c r="O1527" s="15">
        <v>4</v>
      </c>
      <c r="P1527" s="15">
        <v>135.02</v>
      </c>
      <c r="Q1527" s="16"/>
    </row>
    <row r="1528" ht="20.05" customHeight="1">
      <c r="A1528" s="13">
        <f>A1527+1</f>
        <v>1526</v>
      </c>
      <c r="B1528" s="14">
        <v>2023</v>
      </c>
      <c r="C1528" s="15">
        <v>12</v>
      </c>
      <c r="D1528" s="15">
        <v>20</v>
      </c>
      <c r="E1528" s="16"/>
      <c r="F1528" t="s" s="17">
        <v>111</v>
      </c>
      <c r="G1528" s="16"/>
      <c r="H1528" t="s" s="17">
        <v>253</v>
      </c>
      <c r="I1528" t="s" s="17">
        <v>19</v>
      </c>
      <c r="J1528" t="s" s="17">
        <v>81</v>
      </c>
      <c r="K1528" t="s" s="17">
        <v>23</v>
      </c>
      <c r="L1528" s="15">
        <f>IF(O1528,P1528/O1528,0)</f>
        <v>1.10185185185185</v>
      </c>
      <c r="M1528" s="15">
        <v>1.10185185185185</v>
      </c>
      <c r="N1528" s="15">
        <f>A1528</f>
        <v>1526</v>
      </c>
      <c r="O1528" s="15">
        <f t="shared" si="4663"/>
        <v>216</v>
      </c>
      <c r="P1528" s="15">
        <v>238</v>
      </c>
      <c r="Q1528" s="16"/>
    </row>
    <row r="1529" ht="20.05" customHeight="1">
      <c r="A1529" s="13">
        <f>A1528+1</f>
        <v>1527</v>
      </c>
      <c r="B1529" s="14">
        <v>2023</v>
      </c>
      <c r="C1529" s="15">
        <v>12</v>
      </c>
      <c r="D1529" s="15">
        <v>20</v>
      </c>
      <c r="E1529" s="16"/>
      <c r="F1529" t="s" s="17">
        <v>111</v>
      </c>
      <c r="G1529" s="16"/>
      <c r="H1529" t="s" s="17">
        <v>253</v>
      </c>
      <c r="I1529" t="s" s="17">
        <v>19</v>
      </c>
      <c r="J1529" t="s" s="17">
        <v>135</v>
      </c>
      <c r="K1529" t="s" s="17">
        <v>23</v>
      </c>
      <c r="L1529" s="15">
        <f>IF(O1529,P1529/O1529,0)</f>
        <v>0.36</v>
      </c>
      <c r="M1529" s="15">
        <v>0.36</v>
      </c>
      <c r="N1529" s="15">
        <f>A1529</f>
        <v>1527</v>
      </c>
      <c r="O1529" s="15">
        <f t="shared" si="5599" ref="O1529:O1590">5*50</f>
        <v>250</v>
      </c>
      <c r="P1529" s="15">
        <v>90</v>
      </c>
      <c r="Q1529" s="16"/>
    </row>
    <row r="1530" ht="20.05" customHeight="1">
      <c r="A1530" s="13">
        <f>A1529+1</f>
        <v>1528</v>
      </c>
      <c r="B1530" s="14">
        <v>2023</v>
      </c>
      <c r="C1530" s="15">
        <v>12</v>
      </c>
      <c r="D1530" s="15">
        <v>21</v>
      </c>
      <c r="E1530" s="16"/>
      <c r="F1530" t="s" s="17">
        <v>258</v>
      </c>
      <c r="G1530" s="16"/>
      <c r="H1530" t="s" s="17">
        <v>253</v>
      </c>
      <c r="I1530" t="s" s="17">
        <v>26</v>
      </c>
      <c r="J1530" t="s" s="17">
        <v>113</v>
      </c>
      <c r="K1530" t="s" s="17">
        <v>41</v>
      </c>
      <c r="L1530" s="15">
        <f>IF(O1530,P1530/O1530,0)</f>
        <v>0.03263</v>
      </c>
      <c r="M1530" s="15">
        <v>0.03263</v>
      </c>
      <c r="N1530" s="15">
        <f>A1530</f>
        <v>1528</v>
      </c>
      <c r="O1530" s="15">
        <v>1000</v>
      </c>
      <c r="P1530" s="15">
        <f>43.5-10.87</f>
        <v>32.63</v>
      </c>
      <c r="Q1530" s="16"/>
    </row>
    <row r="1531" ht="20.05" customHeight="1">
      <c r="A1531" s="13">
        <f>A1530+1</f>
        <v>1529</v>
      </c>
      <c r="B1531" s="14">
        <v>2023</v>
      </c>
      <c r="C1531" s="15">
        <v>12</v>
      </c>
      <c r="D1531" s="15">
        <v>21</v>
      </c>
      <c r="E1531" s="16"/>
      <c r="F1531" t="s" s="17">
        <v>293</v>
      </c>
      <c r="G1531" s="16"/>
      <c r="H1531" t="s" s="17">
        <v>253</v>
      </c>
      <c r="I1531" t="s" s="17">
        <v>19</v>
      </c>
      <c r="J1531" t="s" s="17">
        <v>157</v>
      </c>
      <c r="K1531" t="s" s="17">
        <v>16</v>
      </c>
      <c r="L1531" s="15">
        <f>IF(O1531,P1531/O1531,0)</f>
        <v>0.0109509658246657</v>
      </c>
      <c r="M1531" s="15">
        <v>0.0109509658246657</v>
      </c>
      <c r="N1531" s="15">
        <f>A1531</f>
        <v>1529</v>
      </c>
      <c r="O1531" s="15">
        <v>3365</v>
      </c>
      <c r="P1531" s="15">
        <v>36.85</v>
      </c>
      <c r="Q1531" s="16"/>
    </row>
    <row r="1532" ht="32.05" customHeight="1">
      <c r="A1532" s="13">
        <f>A1531+1</f>
        <v>1530</v>
      </c>
      <c r="B1532" s="14">
        <v>2023</v>
      </c>
      <c r="C1532" s="15">
        <v>12</v>
      </c>
      <c r="D1532" s="15">
        <v>23</v>
      </c>
      <c r="E1532" s="16"/>
      <c r="F1532" t="s" s="17">
        <v>287</v>
      </c>
      <c r="G1532" s="16"/>
      <c r="H1532" t="s" s="17">
        <v>253</v>
      </c>
      <c r="I1532" t="s" s="17">
        <v>14</v>
      </c>
      <c r="J1532" t="s" s="17">
        <v>283</v>
      </c>
      <c r="K1532" t="s" s="17">
        <v>23</v>
      </c>
      <c r="L1532" s="15">
        <f>IF(O1532,P1532/O1532,0)</f>
        <v>35.8045</v>
      </c>
      <c r="M1532" s="15">
        <v>35.8045</v>
      </c>
      <c r="N1532" s="15">
        <f>A1532</f>
        <v>1530</v>
      </c>
      <c r="O1532" s="15">
        <v>10</v>
      </c>
      <c r="P1532" s="42">
        <f t="shared" si="4996"/>
        <v>358.045</v>
      </c>
      <c r="Q1532" s="16"/>
    </row>
    <row r="1533" ht="20.05" customHeight="1">
      <c r="A1533" s="13">
        <f>A1532+1</f>
        <v>1531</v>
      </c>
      <c r="B1533" s="14">
        <v>2023</v>
      </c>
      <c r="C1533" s="15">
        <v>12</v>
      </c>
      <c r="D1533" s="15">
        <v>23</v>
      </c>
      <c r="E1533" s="16"/>
      <c r="F1533" t="s" s="17">
        <v>287</v>
      </c>
      <c r="G1533" s="16"/>
      <c r="H1533" t="s" s="17">
        <v>253</v>
      </c>
      <c r="I1533" t="s" s="17">
        <v>14</v>
      </c>
      <c r="J1533" t="s" s="17">
        <v>433</v>
      </c>
      <c r="K1533" t="s" s="17">
        <v>23</v>
      </c>
      <c r="L1533" s="15">
        <f>IF(O1533,P1533/O1533,0)</f>
        <v>39.289</v>
      </c>
      <c r="M1533" s="15">
        <v>39.289</v>
      </c>
      <c r="N1533" s="15">
        <f>A1533</f>
        <v>1531</v>
      </c>
      <c r="O1533" s="15">
        <v>10</v>
      </c>
      <c r="P1533" s="41">
        <f t="shared" si="4792"/>
        <v>392.89</v>
      </c>
      <c r="Q1533" s="16"/>
    </row>
    <row r="1534" ht="20.05" customHeight="1">
      <c r="A1534" s="13">
        <f>A1533+1</f>
        <v>1532</v>
      </c>
      <c r="B1534" s="14">
        <v>2023</v>
      </c>
      <c r="C1534" s="15">
        <v>12</v>
      </c>
      <c r="D1534" s="15">
        <v>23</v>
      </c>
      <c r="E1534" s="16"/>
      <c r="F1534" t="s" s="17">
        <v>287</v>
      </c>
      <c r="G1534" s="16"/>
      <c r="H1534" t="s" s="17">
        <v>253</v>
      </c>
      <c r="I1534" t="s" s="17">
        <v>14</v>
      </c>
      <c r="J1534" t="s" s="17">
        <v>282</v>
      </c>
      <c r="K1534" t="s" s="17">
        <v>23</v>
      </c>
      <c r="L1534" s="15">
        <f>IF(O1534,P1534/O1534,0)</f>
        <v>27.4215</v>
      </c>
      <c r="M1534" s="15">
        <v>27.4215</v>
      </c>
      <c r="N1534" s="15">
        <f>A1534</f>
        <v>1532</v>
      </c>
      <c r="O1534" s="15">
        <v>10</v>
      </c>
      <c r="P1534" s="42">
        <f t="shared" si="5000"/>
        <v>274.215</v>
      </c>
      <c r="Q1534" s="16"/>
    </row>
    <row r="1535" ht="32.05" customHeight="1">
      <c r="A1535" s="13">
        <f>A1534+1</f>
        <v>1533</v>
      </c>
      <c r="B1535" s="14">
        <v>2023</v>
      </c>
      <c r="C1535" s="15">
        <v>12</v>
      </c>
      <c r="D1535" s="15">
        <v>23</v>
      </c>
      <c r="E1535" s="16"/>
      <c r="F1535" t="s" s="17">
        <v>287</v>
      </c>
      <c r="G1535" s="16"/>
      <c r="H1535" t="s" s="17">
        <v>253</v>
      </c>
      <c r="I1535" t="s" s="17">
        <v>17</v>
      </c>
      <c r="J1535" t="s" s="17">
        <v>299</v>
      </c>
      <c r="K1535" t="s" s="17">
        <v>23</v>
      </c>
      <c r="L1535" s="15">
        <f>IF(O1535,P1535/O1535,0)</f>
        <v>40.9959</v>
      </c>
      <c r="M1535" s="15">
        <v>40.9959</v>
      </c>
      <c r="N1535" s="15">
        <f>A1535</f>
        <v>1533</v>
      </c>
      <c r="O1535" s="15">
        <v>24</v>
      </c>
      <c r="P1535" s="43">
        <f t="shared" si="4691"/>
        <v>983.9016</v>
      </c>
      <c r="Q1535" s="16"/>
    </row>
    <row r="1536" ht="20.05" customHeight="1">
      <c r="A1536" s="13">
        <f>A1535+1</f>
        <v>1534</v>
      </c>
      <c r="B1536" s="14">
        <v>2023</v>
      </c>
      <c r="C1536" s="15">
        <v>12</v>
      </c>
      <c r="D1536" s="15">
        <v>24</v>
      </c>
      <c r="E1536" s="16"/>
      <c r="F1536" t="s" s="17">
        <v>456</v>
      </c>
      <c r="G1536" s="16"/>
      <c r="H1536" t="s" s="17">
        <v>253</v>
      </c>
      <c r="I1536" t="s" s="17">
        <v>187</v>
      </c>
      <c r="J1536" t="s" s="17">
        <v>456</v>
      </c>
      <c r="K1536" t="s" s="17">
        <v>23</v>
      </c>
      <c r="L1536" s="15">
        <f>IF(O1536,P1536/O1536,0)</f>
        <v>94.95</v>
      </c>
      <c r="M1536" s="15">
        <v>94.95</v>
      </c>
      <c r="N1536" s="15">
        <f>A1536</f>
        <v>1534</v>
      </c>
      <c r="O1536" s="15">
        <v>1</v>
      </c>
      <c r="P1536" s="15">
        <v>94.95</v>
      </c>
      <c r="Q1536" s="16"/>
    </row>
    <row r="1537" ht="20.05" customHeight="1">
      <c r="A1537" s="13">
        <f>A1536+1</f>
        <v>1535</v>
      </c>
      <c r="B1537" s="14">
        <v>2023</v>
      </c>
      <c r="C1537" s="15">
        <v>12</v>
      </c>
      <c r="D1537" s="15">
        <v>26</v>
      </c>
      <c r="E1537" s="16"/>
      <c r="F1537" t="s" s="17">
        <v>258</v>
      </c>
      <c r="G1537" s="16"/>
      <c r="H1537" t="s" s="17">
        <v>253</v>
      </c>
      <c r="I1537" t="s" s="17">
        <v>26</v>
      </c>
      <c r="J1537" t="s" s="17">
        <v>113</v>
      </c>
      <c r="K1537" t="s" s="17">
        <v>41</v>
      </c>
      <c r="L1537" s="15">
        <f>IF(O1537,P1537/O1537,0)</f>
        <v>0.0426666666666667</v>
      </c>
      <c r="M1537" s="15">
        <v>0.0426666666666667</v>
      </c>
      <c r="N1537" s="15">
        <f>A1537</f>
        <v>1535</v>
      </c>
      <c r="O1537" s="15">
        <v>750</v>
      </c>
      <c r="P1537" s="15">
        <f>39.5-7.5</f>
        <v>32</v>
      </c>
      <c r="Q1537" s="16"/>
    </row>
    <row r="1538" ht="20.05" customHeight="1">
      <c r="A1538" s="13">
        <f>A1537+1</f>
        <v>1536</v>
      </c>
      <c r="B1538" s="14">
        <v>2023</v>
      </c>
      <c r="C1538" s="15">
        <v>12</v>
      </c>
      <c r="D1538" s="15">
        <v>27</v>
      </c>
      <c r="E1538" s="16"/>
      <c r="F1538" t="s" s="17">
        <v>150</v>
      </c>
      <c r="G1538" s="16"/>
      <c r="H1538" t="s" s="17">
        <v>253</v>
      </c>
      <c r="I1538" t="s" s="17">
        <v>19</v>
      </c>
      <c r="J1538" t="s" s="17">
        <v>56</v>
      </c>
      <c r="K1538" t="s" s="17">
        <v>41</v>
      </c>
      <c r="L1538" s="15">
        <f>IF(O1538,P1538/O1538,0)</f>
        <v>0.360906666666667</v>
      </c>
      <c r="M1538" s="15">
        <v>0.360906666666667</v>
      </c>
      <c r="N1538" s="15">
        <f>A1538</f>
        <v>1536</v>
      </c>
      <c r="O1538" s="15">
        <v>750</v>
      </c>
      <c r="P1538" s="41">
        <f t="shared" si="5159"/>
        <v>270.68</v>
      </c>
      <c r="Q1538" s="16"/>
    </row>
    <row r="1539" ht="20.05" customHeight="1">
      <c r="A1539" s="13">
        <f>A1538+1</f>
        <v>1537</v>
      </c>
      <c r="B1539" s="14">
        <v>2023</v>
      </c>
      <c r="C1539" s="15">
        <v>12</v>
      </c>
      <c r="D1539" s="15">
        <v>27</v>
      </c>
      <c r="E1539" s="16"/>
      <c r="F1539" t="s" s="17">
        <v>150</v>
      </c>
      <c r="G1539" s="16"/>
      <c r="H1539" t="s" s="17">
        <v>253</v>
      </c>
      <c r="I1539" t="s" s="17">
        <v>19</v>
      </c>
      <c r="J1539" t="s" s="17">
        <v>105</v>
      </c>
      <c r="K1539" t="s" s="17">
        <v>41</v>
      </c>
      <c r="L1539" s="15">
        <f>IF(O1539,P1539/O1539,0)</f>
        <v>0.360906666666667</v>
      </c>
      <c r="M1539" s="15">
        <v>0.360906666666667</v>
      </c>
      <c r="N1539" s="15">
        <f>A1539</f>
        <v>1537</v>
      </c>
      <c r="O1539" s="15">
        <v>750</v>
      </c>
      <c r="P1539" s="41">
        <f t="shared" si="5159"/>
        <v>270.68</v>
      </c>
      <c r="Q1539" s="16"/>
    </row>
    <row r="1540" ht="20.35" customHeight="1">
      <c r="A1540" s="13">
        <f>A1539+1</f>
        <v>1538</v>
      </c>
      <c r="B1540" s="14">
        <v>2023</v>
      </c>
      <c r="C1540" s="15">
        <v>12</v>
      </c>
      <c r="D1540" s="15">
        <v>27</v>
      </c>
      <c r="E1540" s="16"/>
      <c r="F1540" t="s" s="17">
        <v>150</v>
      </c>
      <c r="G1540" s="16"/>
      <c r="H1540" t="s" s="17">
        <v>253</v>
      </c>
      <c r="I1540" t="s" s="17">
        <v>19</v>
      </c>
      <c r="J1540" t="s" s="17">
        <v>71</v>
      </c>
      <c r="K1540" t="s" s="17">
        <v>16</v>
      </c>
      <c r="L1540" s="15">
        <f>IF(O1540,P1540/O1540,0)</f>
        <v>0.40198</v>
      </c>
      <c r="M1540" s="15">
        <v>0.40198</v>
      </c>
      <c r="N1540" s="15">
        <f>A1540</f>
        <v>1538</v>
      </c>
      <c r="O1540" s="15">
        <v>1000</v>
      </c>
      <c r="P1540" s="49">
        <f>398+398*1%</f>
        <v>401.98</v>
      </c>
      <c r="Q1540" s="16"/>
    </row>
    <row r="1541" ht="32.7" customHeight="1">
      <c r="A1541" s="13">
        <f>A1540+1</f>
        <v>1539</v>
      </c>
      <c r="B1541" s="14">
        <v>2023</v>
      </c>
      <c r="C1541" s="15">
        <v>12</v>
      </c>
      <c r="D1541" s="15">
        <v>27</v>
      </c>
      <c r="E1541" s="16"/>
      <c r="F1541" t="s" s="17">
        <v>428</v>
      </c>
      <c r="G1541" s="16"/>
      <c r="H1541" t="s" s="17">
        <v>253</v>
      </c>
      <c r="I1541" t="s" s="17">
        <v>19</v>
      </c>
      <c r="J1541" t="s" s="17">
        <v>437</v>
      </c>
      <c r="K1541" t="s" s="17">
        <v>16</v>
      </c>
      <c r="L1541" s="15">
        <f>IF(O1541,P1541/O1541,0)</f>
        <v>0.389961</v>
      </c>
      <c r="M1541" s="15">
        <v>0.389961</v>
      </c>
      <c r="N1541" s="15">
        <f>A1541</f>
        <v>1539</v>
      </c>
      <c r="O1541" s="19">
        <f t="shared" si="5645" ref="O1541:O1717">2*1000</f>
        <v>2000</v>
      </c>
      <c r="P1541" s="46">
        <f t="shared" si="4912"/>
        <v>779.922</v>
      </c>
      <c r="Q1541" s="21"/>
    </row>
    <row r="1542" ht="20.7" customHeight="1">
      <c r="A1542" s="13">
        <f>A1541+1</f>
        <v>1540</v>
      </c>
      <c r="B1542" s="14">
        <v>2023</v>
      </c>
      <c r="C1542" s="15">
        <v>12</v>
      </c>
      <c r="D1542" s="15">
        <v>27</v>
      </c>
      <c r="E1542" s="16"/>
      <c r="F1542" t="s" s="17">
        <v>428</v>
      </c>
      <c r="G1542" s="16"/>
      <c r="H1542" t="s" s="17">
        <v>253</v>
      </c>
      <c r="I1542" t="s" s="17">
        <v>19</v>
      </c>
      <c r="J1542" t="s" s="17">
        <v>139</v>
      </c>
      <c r="K1542" t="s" s="17">
        <v>23</v>
      </c>
      <c r="L1542" s="15">
        <f>IF(O1542,P1542/O1542,0)</f>
        <v>3.62505833333333</v>
      </c>
      <c r="M1542" s="15">
        <v>3.62505833333333</v>
      </c>
      <c r="N1542" s="15">
        <f>A1542</f>
        <v>1540</v>
      </c>
      <c r="O1542" s="19">
        <v>24</v>
      </c>
      <c r="P1542" s="47">
        <f t="shared" si="5650" ref="P1542:P1765">86.14+86.14*1%</f>
        <v>87.0014</v>
      </c>
      <c r="Q1542" s="21"/>
    </row>
    <row r="1543" ht="20.35" customHeight="1">
      <c r="A1543" s="13">
        <f>A1542+1</f>
        <v>1541</v>
      </c>
      <c r="B1543" s="14">
        <v>2023</v>
      </c>
      <c r="C1543" s="15">
        <v>12</v>
      </c>
      <c r="D1543" s="15">
        <v>27</v>
      </c>
      <c r="E1543" s="16"/>
      <c r="F1543" t="s" s="17">
        <v>258</v>
      </c>
      <c r="G1543" s="16"/>
      <c r="H1543" t="s" s="17">
        <v>253</v>
      </c>
      <c r="I1543" t="s" s="17">
        <v>19</v>
      </c>
      <c r="J1543" t="s" s="17">
        <v>157</v>
      </c>
      <c r="K1543" t="s" s="17">
        <v>16</v>
      </c>
      <c r="L1543" s="15">
        <f>IF(O1543,P1543/O1543,0)</f>
        <v>0.0168988549618321</v>
      </c>
      <c r="M1543" s="15">
        <v>0.0168988549618321</v>
      </c>
      <c r="N1543" s="15">
        <f>A1543</f>
        <v>1541</v>
      </c>
      <c r="O1543" s="15">
        <v>1048</v>
      </c>
      <c r="P1543" s="22">
        <v>17.71</v>
      </c>
      <c r="Q1543" s="16"/>
    </row>
    <row r="1544" ht="20.05" customHeight="1">
      <c r="A1544" s="13">
        <f>A1543+1</f>
        <v>1542</v>
      </c>
      <c r="B1544" s="14">
        <v>2023</v>
      </c>
      <c r="C1544" s="15">
        <v>12</v>
      </c>
      <c r="D1544" s="15">
        <v>27</v>
      </c>
      <c r="E1544" s="16"/>
      <c r="F1544" t="s" s="17">
        <v>258</v>
      </c>
      <c r="G1544" s="16"/>
      <c r="H1544" t="s" s="17">
        <v>253</v>
      </c>
      <c r="I1544" t="s" s="17">
        <v>26</v>
      </c>
      <c r="J1544" t="s" s="17">
        <v>113</v>
      </c>
      <c r="K1544" t="s" s="17">
        <v>41</v>
      </c>
      <c r="L1544" s="15">
        <f>IF(O1544,P1544/O1544,0)</f>
        <v>0.037475</v>
      </c>
      <c r="M1544" s="15">
        <v>0.037475</v>
      </c>
      <c r="N1544" s="15">
        <f>A1544</f>
        <v>1542</v>
      </c>
      <c r="O1544" s="15">
        <v>2000</v>
      </c>
      <c r="P1544" s="15">
        <f>84.95-10</f>
        <v>74.95</v>
      </c>
      <c r="Q1544" s="16"/>
    </row>
    <row r="1545" ht="20.05" customHeight="1">
      <c r="A1545" s="13">
        <f>A1544+1</f>
        <v>1543</v>
      </c>
      <c r="B1545" s="14">
        <v>2023</v>
      </c>
      <c r="C1545" s="15">
        <v>12</v>
      </c>
      <c r="D1545" s="15">
        <v>30</v>
      </c>
      <c r="E1545" s="16"/>
      <c r="F1545" t="s" s="17">
        <v>287</v>
      </c>
      <c r="G1545" s="16"/>
      <c r="H1545" t="s" s="17">
        <v>253</v>
      </c>
      <c r="I1545" t="s" s="17">
        <v>14</v>
      </c>
      <c r="J1545" t="s" s="17">
        <v>289</v>
      </c>
      <c r="K1545" t="s" s="17">
        <v>23</v>
      </c>
      <c r="L1545" s="15">
        <f>IF(O1545,P1545/O1545,0)</f>
        <v>32.724</v>
      </c>
      <c r="M1545" s="15">
        <v>32.724</v>
      </c>
      <c r="N1545" s="15">
        <f>A1545</f>
        <v>1543</v>
      </c>
      <c r="O1545" s="15">
        <f t="shared" si="5234"/>
        <v>20</v>
      </c>
      <c r="P1545" s="41">
        <f>648+(648*1%)</f>
        <v>654.48</v>
      </c>
      <c r="Q1545" s="16"/>
    </row>
    <row r="1546" ht="32.05" customHeight="1">
      <c r="A1546" s="13">
        <f>A1545+1</f>
        <v>1544</v>
      </c>
      <c r="B1546" s="14">
        <v>2023</v>
      </c>
      <c r="C1546" s="15">
        <v>12</v>
      </c>
      <c r="D1546" s="15">
        <v>30</v>
      </c>
      <c r="E1546" s="16"/>
      <c r="F1546" t="s" s="17">
        <v>287</v>
      </c>
      <c r="G1546" s="16"/>
      <c r="H1546" t="s" s="17">
        <v>253</v>
      </c>
      <c r="I1546" t="s" s="17">
        <v>14</v>
      </c>
      <c r="J1546" t="s" s="17">
        <v>283</v>
      </c>
      <c r="K1546" t="s" s="17">
        <v>23</v>
      </c>
      <c r="L1546" s="15">
        <f>IF(O1546,P1546/O1546,0)</f>
        <v>35.8045</v>
      </c>
      <c r="M1546" s="15">
        <v>35.8045</v>
      </c>
      <c r="N1546" s="15">
        <f>A1546</f>
        <v>1544</v>
      </c>
      <c r="O1546" s="15">
        <f t="shared" si="5234"/>
        <v>20</v>
      </c>
      <c r="P1546" s="41">
        <f t="shared" si="5667" ref="P1546:P1605">709+709*1%</f>
        <v>716.09</v>
      </c>
      <c r="Q1546" s="16"/>
    </row>
    <row r="1547" ht="20.05" customHeight="1">
      <c r="A1547" s="13">
        <f>A1546+1</f>
        <v>1545</v>
      </c>
      <c r="B1547" s="14">
        <v>2023</v>
      </c>
      <c r="C1547" s="15">
        <v>12</v>
      </c>
      <c r="D1547" s="15">
        <v>30</v>
      </c>
      <c r="E1547" s="16"/>
      <c r="F1547" t="s" s="17">
        <v>287</v>
      </c>
      <c r="G1547" s="16"/>
      <c r="H1547" t="s" s="17">
        <v>253</v>
      </c>
      <c r="I1547" t="s" s="17">
        <v>14</v>
      </c>
      <c r="J1547" t="s" s="17">
        <v>288</v>
      </c>
      <c r="K1547" t="s" s="17">
        <v>23</v>
      </c>
      <c r="L1547" s="15">
        <f>IF(O1547,P1547/O1547,0)</f>
        <v>37.5383333333333</v>
      </c>
      <c r="M1547" s="15">
        <v>37.5383333333333</v>
      </c>
      <c r="N1547" s="15">
        <f>A1547</f>
        <v>1545</v>
      </c>
      <c r="O1547" s="15">
        <f t="shared" si="5671" ref="O1547:O1615">2*9</f>
        <v>18</v>
      </c>
      <c r="P1547" s="41">
        <f t="shared" si="4737"/>
        <v>675.6900000000001</v>
      </c>
      <c r="Q1547" s="16"/>
    </row>
    <row r="1548" ht="20.05" customHeight="1">
      <c r="A1548" s="13">
        <f>A1547+1</f>
        <v>1546</v>
      </c>
      <c r="B1548" s="14">
        <v>2023</v>
      </c>
      <c r="C1548" s="15">
        <v>12</v>
      </c>
      <c r="D1548" s="15">
        <v>30</v>
      </c>
      <c r="E1548" s="16"/>
      <c r="F1548" t="s" s="17">
        <v>287</v>
      </c>
      <c r="G1548" s="16"/>
      <c r="H1548" t="s" s="17">
        <v>253</v>
      </c>
      <c r="I1548" t="s" s="17">
        <v>14</v>
      </c>
      <c r="J1548" t="s" s="17">
        <v>282</v>
      </c>
      <c r="K1548" t="s" s="17">
        <v>23</v>
      </c>
      <c r="L1548" s="15">
        <f>IF(O1548,P1548/O1548,0)</f>
        <v>27.4215</v>
      </c>
      <c r="M1548" s="15">
        <v>27.4215</v>
      </c>
      <c r="N1548" s="15">
        <f>A1548</f>
        <v>1546</v>
      </c>
      <c r="O1548" s="15">
        <f t="shared" si="5234"/>
        <v>20</v>
      </c>
      <c r="P1548" s="41">
        <f t="shared" si="5244"/>
        <v>548.4299999999999</v>
      </c>
      <c r="Q1548" s="16"/>
    </row>
    <row r="1549" ht="20.05" customHeight="1">
      <c r="A1549" s="13">
        <f>A1548+1</f>
        <v>1547</v>
      </c>
      <c r="B1549" s="14">
        <v>2023</v>
      </c>
      <c r="C1549" s="15">
        <v>12</v>
      </c>
      <c r="D1549" s="15">
        <v>30</v>
      </c>
      <c r="E1549" s="16"/>
      <c r="F1549" t="s" s="17">
        <v>287</v>
      </c>
      <c r="G1549" s="16"/>
      <c r="H1549" t="s" s="17">
        <v>253</v>
      </c>
      <c r="I1549" t="s" s="17">
        <v>14</v>
      </c>
      <c r="J1549" t="s" s="17">
        <v>279</v>
      </c>
      <c r="K1549" t="s" s="17">
        <v>23</v>
      </c>
      <c r="L1549" s="15">
        <f>IF(O1549,P1549/O1549,0)</f>
        <v>34.3905</v>
      </c>
      <c r="M1549" s="15">
        <v>34.3905</v>
      </c>
      <c r="N1549" s="15">
        <f>A1549</f>
        <v>1547</v>
      </c>
      <c r="O1549" s="15">
        <f t="shared" si="5234"/>
        <v>20</v>
      </c>
      <c r="P1549" s="41">
        <f>681+681*1%</f>
        <v>687.8099999999999</v>
      </c>
      <c r="Q1549" s="16"/>
    </row>
    <row r="1550" ht="20.05" customHeight="1">
      <c r="A1550" s="13">
        <f>A1549+1</f>
        <v>1548</v>
      </c>
      <c r="B1550" s="14">
        <v>2023</v>
      </c>
      <c r="C1550" s="15">
        <v>12</v>
      </c>
      <c r="D1550" s="15">
        <v>30</v>
      </c>
      <c r="E1550" s="16"/>
      <c r="F1550" t="s" s="17">
        <v>287</v>
      </c>
      <c r="G1550" s="16"/>
      <c r="H1550" t="s" s="17">
        <v>253</v>
      </c>
      <c r="I1550" t="s" s="17">
        <v>14</v>
      </c>
      <c r="J1550" t="s" s="17">
        <v>433</v>
      </c>
      <c r="K1550" t="s" s="17">
        <v>23</v>
      </c>
      <c r="L1550" s="15">
        <f>IF(O1550,P1550/O1550,0)</f>
        <v>39.289</v>
      </c>
      <c r="M1550" s="15">
        <v>39.289</v>
      </c>
      <c r="N1550" s="15">
        <f>A1550</f>
        <v>1548</v>
      </c>
      <c r="O1550" s="15">
        <v>10</v>
      </c>
      <c r="P1550" s="41">
        <f t="shared" si="4792"/>
        <v>392.89</v>
      </c>
      <c r="Q1550" s="16"/>
    </row>
    <row r="1551" ht="32.05" customHeight="1">
      <c r="A1551" s="13">
        <f>A1550+1</f>
        <v>1549</v>
      </c>
      <c r="B1551" s="14">
        <v>2023</v>
      </c>
      <c r="C1551" s="15">
        <v>12</v>
      </c>
      <c r="D1551" s="15">
        <v>30</v>
      </c>
      <c r="E1551" s="16"/>
      <c r="F1551" t="s" s="17">
        <v>287</v>
      </c>
      <c r="G1551" s="16"/>
      <c r="H1551" t="s" s="17">
        <v>253</v>
      </c>
      <c r="I1551" t="s" s="17">
        <v>17</v>
      </c>
      <c r="J1551" t="s" s="17">
        <v>300</v>
      </c>
      <c r="K1551" t="s" s="17">
        <v>23</v>
      </c>
      <c r="L1551" s="15">
        <f>IF(O1551,P1551/O1551,0)</f>
        <v>35.2995</v>
      </c>
      <c r="M1551" s="15">
        <v>35.2995</v>
      </c>
      <c r="N1551" s="15">
        <f>A1551</f>
        <v>1549</v>
      </c>
      <c r="O1551" s="15">
        <v>24</v>
      </c>
      <c r="P1551" s="42">
        <f t="shared" si="4741"/>
        <v>847.188</v>
      </c>
      <c r="Q1551" s="16"/>
    </row>
    <row r="1552" ht="32.05" customHeight="1">
      <c r="A1552" s="13">
        <f>A1551+1</f>
        <v>1550</v>
      </c>
      <c r="B1552" s="14">
        <v>2023</v>
      </c>
      <c r="C1552" s="15">
        <v>12</v>
      </c>
      <c r="D1552" s="15">
        <v>30</v>
      </c>
      <c r="E1552" s="16"/>
      <c r="F1552" t="s" s="17">
        <v>287</v>
      </c>
      <c r="G1552" s="16"/>
      <c r="H1552" t="s" s="17">
        <v>253</v>
      </c>
      <c r="I1552" t="s" s="17">
        <v>17</v>
      </c>
      <c r="J1552" t="s" s="17">
        <v>434</v>
      </c>
      <c r="K1552" t="s" s="17">
        <v>23</v>
      </c>
      <c r="L1552" s="15">
        <f>IF(O1552,P1552/O1552,0)</f>
        <v>47.6215</v>
      </c>
      <c r="M1552" s="15">
        <v>47.6215</v>
      </c>
      <c r="N1552" s="15">
        <f>A1552</f>
        <v>1550</v>
      </c>
      <c r="O1552" s="15">
        <v>24</v>
      </c>
      <c r="P1552" s="42">
        <f t="shared" si="4800"/>
        <v>1142.916</v>
      </c>
      <c r="Q1552" s="16"/>
    </row>
    <row r="1553" ht="20.05" customHeight="1">
      <c r="A1553" s="13">
        <f>A1552+1</f>
        <v>1551</v>
      </c>
      <c r="B1553" s="14">
        <v>2023</v>
      </c>
      <c r="C1553" s="15">
        <v>12</v>
      </c>
      <c r="D1553" s="15">
        <v>30</v>
      </c>
      <c r="E1553" s="16"/>
      <c r="F1553" t="s" s="17">
        <v>258</v>
      </c>
      <c r="G1553" s="16"/>
      <c r="H1553" t="s" s="17">
        <v>253</v>
      </c>
      <c r="I1553" t="s" s="17">
        <v>19</v>
      </c>
      <c r="J1553" t="s" s="17">
        <v>157</v>
      </c>
      <c r="K1553" t="s" s="17">
        <v>16</v>
      </c>
      <c r="L1553" s="15">
        <f>IF(O1553,P1553/O1553,0)</f>
        <v>0.0198949579831933</v>
      </c>
      <c r="M1553" s="15">
        <v>0.0198949579831933</v>
      </c>
      <c r="N1553" s="15">
        <f>A1553</f>
        <v>1551</v>
      </c>
      <c r="O1553" s="15">
        <v>952</v>
      </c>
      <c r="P1553" s="15">
        <v>18.94</v>
      </c>
      <c r="Q1553" s="16"/>
    </row>
    <row r="1554" ht="20.05" customHeight="1">
      <c r="A1554" s="13">
        <f>A1553+1</f>
        <v>1552</v>
      </c>
      <c r="B1554" s="14">
        <v>2023</v>
      </c>
      <c r="C1554" s="15">
        <v>12</v>
      </c>
      <c r="D1554" s="15">
        <v>31</v>
      </c>
      <c r="E1554" s="16"/>
      <c r="F1554" t="s" s="17">
        <v>302</v>
      </c>
      <c r="G1554" s="16"/>
      <c r="H1554" t="s" s="17">
        <v>253</v>
      </c>
      <c r="I1554" t="s" s="17">
        <v>187</v>
      </c>
      <c r="J1554" t="s" s="17">
        <v>303</v>
      </c>
      <c r="K1554" t="s" s="17">
        <v>23</v>
      </c>
      <c r="L1554" s="15">
        <f>IF(O1554,P1554/O1554,0)</f>
        <v>855.4</v>
      </c>
      <c r="M1554" s="15">
        <v>855.4</v>
      </c>
      <c r="N1554" s="15">
        <f>A1554</f>
        <v>1552</v>
      </c>
      <c r="O1554" s="15">
        <v>1</v>
      </c>
      <c r="P1554" s="15">
        <v>855.4</v>
      </c>
      <c r="Q1554" s="16"/>
    </row>
    <row r="1555" ht="32.05" customHeight="1">
      <c r="A1555" s="13">
        <f>A1554+1</f>
        <v>1553</v>
      </c>
      <c r="B1555" s="14">
        <v>2023</v>
      </c>
      <c r="C1555" s="15">
        <v>12</v>
      </c>
      <c r="D1555" s="15">
        <v>14</v>
      </c>
      <c r="E1555" s="16"/>
      <c r="F1555" t="s" s="17">
        <v>457</v>
      </c>
      <c r="G1555" t="s" s="17">
        <v>458</v>
      </c>
      <c r="H1555" t="s" s="17">
        <v>163</v>
      </c>
      <c r="I1555" t="s" s="17">
        <v>187</v>
      </c>
      <c r="J1555" t="s" s="17">
        <v>378</v>
      </c>
      <c r="K1555" t="s" s="17">
        <v>23</v>
      </c>
      <c r="L1555" s="15">
        <f>IF(O1555,P1555/O1555,0)</f>
        <v>3163.8</v>
      </c>
      <c r="M1555" s="15">
        <v>3163.8</v>
      </c>
      <c r="N1555" s="15">
        <f>A1555</f>
        <v>1553</v>
      </c>
      <c r="O1555" s="15">
        <v>1</v>
      </c>
      <c r="P1555" s="15">
        <v>3163.8</v>
      </c>
      <c r="Q1555" s="16"/>
    </row>
    <row r="1556" ht="32.05" customHeight="1">
      <c r="A1556" s="13">
        <f>A1555+1</f>
        <v>1554</v>
      </c>
      <c r="B1556" s="14">
        <v>2023</v>
      </c>
      <c r="C1556" s="15">
        <v>12</v>
      </c>
      <c r="D1556" s="15">
        <v>26</v>
      </c>
      <c r="E1556" s="16"/>
      <c r="F1556" t="s" s="17">
        <v>377</v>
      </c>
      <c r="G1556" t="s" s="17">
        <v>459</v>
      </c>
      <c r="H1556" t="s" s="17">
        <v>163</v>
      </c>
      <c r="I1556" t="s" s="17">
        <v>187</v>
      </c>
      <c r="J1556" t="s" s="17">
        <v>378</v>
      </c>
      <c r="K1556" t="s" s="17">
        <v>23</v>
      </c>
      <c r="L1556" s="15">
        <f>IF(O1556,P1556/O1556,0)</f>
        <v>166.6</v>
      </c>
      <c r="M1556" s="15">
        <v>166.6</v>
      </c>
      <c r="N1556" s="15">
        <f>A1556</f>
        <v>1554</v>
      </c>
      <c r="O1556" s="15">
        <v>1</v>
      </c>
      <c r="P1556" s="15">
        <v>166.6</v>
      </c>
      <c r="Q1556" s="16"/>
    </row>
    <row r="1557" ht="20.05" customHeight="1">
      <c r="A1557" s="13">
        <f>A1556+1</f>
        <v>1555</v>
      </c>
      <c r="B1557" s="14">
        <v>2023</v>
      </c>
      <c r="C1557" s="15">
        <v>12</v>
      </c>
      <c r="D1557" s="15">
        <v>28</v>
      </c>
      <c r="E1557" s="16"/>
      <c r="F1557" t="s" s="17">
        <v>130</v>
      </c>
      <c r="G1557" s="16"/>
      <c r="H1557" t="s" s="17">
        <v>163</v>
      </c>
      <c r="I1557" t="s" s="17">
        <v>19</v>
      </c>
      <c r="J1557" t="s" s="17">
        <v>157</v>
      </c>
      <c r="K1557" t="s" s="17">
        <v>16</v>
      </c>
      <c r="L1557" s="15">
        <f>IF(O1557,P1557/O1557,0)</f>
        <v>0.0199478804725504</v>
      </c>
      <c r="M1557" s="15">
        <v>0.0199478804725504</v>
      </c>
      <c r="N1557" s="15">
        <f>A1557</f>
        <v>1555</v>
      </c>
      <c r="O1557" s="15">
        <f>990+948+940</f>
        <v>2878</v>
      </c>
      <c r="P1557" s="15">
        <f>57.41</f>
        <v>57.41</v>
      </c>
      <c r="Q1557" s="16"/>
    </row>
    <row r="1558" ht="20.05" customHeight="1">
      <c r="A1558" s="13">
        <f>A1557+1</f>
        <v>1556</v>
      </c>
      <c r="B1558" s="14">
        <v>2023</v>
      </c>
      <c r="C1558" s="15">
        <v>12</v>
      </c>
      <c r="D1558" s="15">
        <v>29</v>
      </c>
      <c r="E1558" s="16"/>
      <c r="F1558" t="s" s="17">
        <v>231</v>
      </c>
      <c r="G1558" s="16"/>
      <c r="H1558" t="s" s="17">
        <v>163</v>
      </c>
      <c r="I1558" t="s" s="17">
        <v>19</v>
      </c>
      <c r="J1558" t="s" s="17">
        <v>460</v>
      </c>
      <c r="K1558" t="s" s="17">
        <v>23</v>
      </c>
      <c r="L1558" s="15">
        <f>IF(O1558,P1558/O1558,0)</f>
        <v>429</v>
      </c>
      <c r="M1558" s="15">
        <v>429</v>
      </c>
      <c r="N1558" s="15">
        <f>A1558</f>
        <v>1556</v>
      </c>
      <c r="O1558" s="15">
        <v>1</v>
      </c>
      <c r="P1558" s="15">
        <v>429</v>
      </c>
      <c r="Q1558" s="16"/>
    </row>
    <row r="1559" ht="20.05" customHeight="1">
      <c r="A1559" s="13">
        <f>A1558+1</f>
        <v>1557</v>
      </c>
      <c r="B1559" s="14">
        <v>2023</v>
      </c>
      <c r="C1559" s="15">
        <v>12</v>
      </c>
      <c r="D1559" s="15">
        <v>30</v>
      </c>
      <c r="E1559" s="16"/>
      <c r="F1559" t="s" s="17">
        <v>184</v>
      </c>
      <c r="G1559" s="16"/>
      <c r="H1559" t="s" s="17">
        <v>163</v>
      </c>
      <c r="I1559" t="s" s="17">
        <v>187</v>
      </c>
      <c r="J1559" t="s" s="17">
        <v>185</v>
      </c>
      <c r="K1559" t="s" s="17">
        <v>23</v>
      </c>
      <c r="L1559" s="15">
        <f>IF(O1559,P1559/O1559,0)</f>
        <v>25</v>
      </c>
      <c r="M1559" s="15">
        <v>25</v>
      </c>
      <c r="N1559" s="15">
        <f>A1559</f>
        <v>1557</v>
      </c>
      <c r="O1559" s="15">
        <v>1</v>
      </c>
      <c r="P1559" s="15">
        <v>25</v>
      </c>
      <c r="Q1559" s="16"/>
    </row>
    <row r="1560" ht="20.05" customHeight="1">
      <c r="A1560" s="13">
        <f>A1559+1</f>
        <v>1558</v>
      </c>
      <c r="B1560" s="14">
        <v>2023</v>
      </c>
      <c r="C1560" s="15">
        <v>12</v>
      </c>
      <c r="D1560" s="15">
        <v>30</v>
      </c>
      <c r="E1560" s="16"/>
      <c r="F1560" t="s" s="17">
        <v>184</v>
      </c>
      <c r="G1560" s="16"/>
      <c r="H1560" t="s" s="17">
        <v>163</v>
      </c>
      <c r="I1560" t="s" s="17">
        <v>187</v>
      </c>
      <c r="J1560" t="s" s="17">
        <v>185</v>
      </c>
      <c r="K1560" t="s" s="17">
        <v>23</v>
      </c>
      <c r="L1560" s="15">
        <f>IF(O1560,P1560/O1560,0)</f>
        <v>100</v>
      </c>
      <c r="M1560" s="15">
        <v>100</v>
      </c>
      <c r="N1560" s="15">
        <f>A1560</f>
        <v>1558</v>
      </c>
      <c r="O1560" s="15">
        <v>1</v>
      </c>
      <c r="P1560" s="15">
        <v>100</v>
      </c>
      <c r="Q1560" s="16"/>
    </row>
    <row r="1561" ht="20.05" customHeight="1">
      <c r="A1561" s="13">
        <f>A1560+1</f>
        <v>1559</v>
      </c>
      <c r="B1561" s="14">
        <v>2023</v>
      </c>
      <c r="C1561" s="15">
        <v>12</v>
      </c>
      <c r="D1561" s="15">
        <v>30</v>
      </c>
      <c r="E1561" s="16"/>
      <c r="F1561" t="s" s="17">
        <v>287</v>
      </c>
      <c r="G1561" s="16"/>
      <c r="H1561" t="s" s="17">
        <v>163</v>
      </c>
      <c r="I1561" t="s" s="17">
        <v>14</v>
      </c>
      <c r="J1561" t="s" s="17">
        <v>289</v>
      </c>
      <c r="K1561" t="s" s="17">
        <v>23</v>
      </c>
      <c r="L1561" s="15">
        <f>IF(O1561,P1561/O1561,0)</f>
        <v>32.724</v>
      </c>
      <c r="M1561" s="15">
        <v>32.724</v>
      </c>
      <c r="N1561" s="15">
        <f>A1561</f>
        <v>1559</v>
      </c>
      <c r="O1561" s="15">
        <v>10</v>
      </c>
      <c r="P1561" s="41">
        <f t="shared" si="4784"/>
        <v>327.24</v>
      </c>
      <c r="Q1561" s="16"/>
    </row>
    <row r="1562" ht="20.05" customHeight="1">
      <c r="A1562" s="13">
        <f>A1561+1</f>
        <v>1560</v>
      </c>
      <c r="B1562" s="14">
        <v>2023</v>
      </c>
      <c r="C1562" s="15">
        <v>12</v>
      </c>
      <c r="D1562" s="15">
        <v>30</v>
      </c>
      <c r="E1562" s="16"/>
      <c r="F1562" t="s" s="17">
        <v>287</v>
      </c>
      <c r="G1562" s="16"/>
      <c r="H1562" t="s" s="17">
        <v>163</v>
      </c>
      <c r="I1562" t="s" s="17">
        <v>14</v>
      </c>
      <c r="J1562" t="s" s="17">
        <v>288</v>
      </c>
      <c r="K1562" t="s" s="17">
        <v>23</v>
      </c>
      <c r="L1562" s="15">
        <f>IF(O1562,P1562/O1562,0)</f>
        <v>37.5383333333333</v>
      </c>
      <c r="M1562" s="15">
        <v>37.5383333333333</v>
      </c>
      <c r="N1562" s="15">
        <f>A1562</f>
        <v>1560</v>
      </c>
      <c r="O1562" s="15">
        <v>9</v>
      </c>
      <c r="P1562" s="42">
        <f t="shared" si="5402"/>
        <v>337.845</v>
      </c>
      <c r="Q1562" s="16"/>
    </row>
    <row r="1563" ht="20.05" customHeight="1">
      <c r="A1563" s="13">
        <f>A1562+1</f>
        <v>1561</v>
      </c>
      <c r="B1563" s="14">
        <v>2023</v>
      </c>
      <c r="C1563" s="15">
        <v>12</v>
      </c>
      <c r="D1563" s="15">
        <v>30</v>
      </c>
      <c r="E1563" s="16"/>
      <c r="F1563" t="s" s="17">
        <v>287</v>
      </c>
      <c r="G1563" s="16"/>
      <c r="H1563" t="s" s="17">
        <v>163</v>
      </c>
      <c r="I1563" t="s" s="17">
        <v>14</v>
      </c>
      <c r="J1563" t="s" s="17">
        <v>282</v>
      </c>
      <c r="K1563" t="s" s="17">
        <v>23</v>
      </c>
      <c r="L1563" s="15">
        <f>IF(O1563,P1563/O1563,0)</f>
        <v>27.4215</v>
      </c>
      <c r="M1563" s="15">
        <v>27.4215</v>
      </c>
      <c r="N1563" s="15">
        <f>A1563</f>
        <v>1561</v>
      </c>
      <c r="O1563" s="15">
        <v>10</v>
      </c>
      <c r="P1563" s="42">
        <f t="shared" si="5000"/>
        <v>274.215</v>
      </c>
      <c r="Q1563" s="16"/>
    </row>
    <row r="1564" ht="20.05" customHeight="1">
      <c r="A1564" s="13">
        <f>A1563+1</f>
        <v>1562</v>
      </c>
      <c r="B1564" s="14">
        <v>2023</v>
      </c>
      <c r="C1564" s="15">
        <v>12</v>
      </c>
      <c r="D1564" s="15">
        <v>30</v>
      </c>
      <c r="E1564" s="16"/>
      <c r="F1564" t="s" s="17">
        <v>287</v>
      </c>
      <c r="G1564" s="16"/>
      <c r="H1564" t="s" s="17">
        <v>163</v>
      </c>
      <c r="I1564" t="s" s="17">
        <v>14</v>
      </c>
      <c r="J1564" t="s" s="17">
        <v>279</v>
      </c>
      <c r="K1564" t="s" s="17">
        <v>23</v>
      </c>
      <c r="L1564" s="15">
        <f>IF(O1564,P1564/O1564,0)</f>
        <v>34.3905</v>
      </c>
      <c r="M1564" s="15">
        <v>34.3905</v>
      </c>
      <c r="N1564" s="15">
        <f>A1564</f>
        <v>1562</v>
      </c>
      <c r="O1564" s="15">
        <v>10</v>
      </c>
      <c r="P1564" s="42">
        <f t="shared" si="5406"/>
        <v>343.905</v>
      </c>
      <c r="Q1564" s="16"/>
    </row>
    <row r="1565" ht="20.05" customHeight="1">
      <c r="A1565" s="13">
        <f>A1564+1</f>
        <v>1563</v>
      </c>
      <c r="B1565" s="14">
        <v>2023</v>
      </c>
      <c r="C1565" s="15">
        <v>12</v>
      </c>
      <c r="D1565" s="15">
        <v>30</v>
      </c>
      <c r="E1565" s="16"/>
      <c r="F1565" t="s" s="17">
        <v>141</v>
      </c>
      <c r="G1565" s="16"/>
      <c r="H1565" t="s" s="17">
        <v>163</v>
      </c>
      <c r="I1565" t="s" s="17">
        <v>19</v>
      </c>
      <c r="J1565" t="s" s="17">
        <v>142</v>
      </c>
      <c r="K1565" t="s" s="17">
        <v>23</v>
      </c>
      <c r="L1565" s="15">
        <f>IF(O1565,P1565/O1565,0)</f>
        <v>13.8515208333333</v>
      </c>
      <c r="M1565" s="15">
        <v>13.8515208333333</v>
      </c>
      <c r="N1565" s="15">
        <f>A1565</f>
        <v>1563</v>
      </c>
      <c r="O1565" s="15">
        <f t="shared" si="4968"/>
        <v>48</v>
      </c>
      <c r="P1565" s="42">
        <f t="shared" si="5222"/>
        <v>664.873</v>
      </c>
      <c r="Q1565" s="16"/>
    </row>
    <row r="1566" ht="20.05" customHeight="1">
      <c r="A1566" s="13">
        <f>A1565+1</f>
        <v>1564</v>
      </c>
      <c r="B1566" s="14">
        <v>2023</v>
      </c>
      <c r="C1566" s="15">
        <v>12</v>
      </c>
      <c r="D1566" s="15">
        <v>30</v>
      </c>
      <c r="E1566" s="16"/>
      <c r="F1566" t="s" s="17">
        <v>141</v>
      </c>
      <c r="G1566" s="16"/>
      <c r="H1566" t="s" s="17">
        <v>163</v>
      </c>
      <c r="I1566" t="s" s="17">
        <v>19</v>
      </c>
      <c r="J1566" t="s" s="17">
        <v>144</v>
      </c>
      <c r="K1566" t="s" s="17">
        <v>23</v>
      </c>
      <c r="L1566" s="15">
        <f>IF(O1566,P1566/O1566,0)</f>
        <v>13.85175</v>
      </c>
      <c r="M1566" s="15">
        <v>13.85175</v>
      </c>
      <c r="N1566" s="15">
        <f>A1566</f>
        <v>1564</v>
      </c>
      <c r="O1566" s="15">
        <v>24</v>
      </c>
      <c r="P1566" s="42">
        <f t="shared" si="4750"/>
        <v>332.442</v>
      </c>
      <c r="Q1566" s="16"/>
    </row>
    <row r="1567" ht="20.05" customHeight="1">
      <c r="A1567" s="13">
        <f>A1566+1</f>
        <v>1565</v>
      </c>
      <c r="B1567" s="14">
        <v>2023</v>
      </c>
      <c r="C1567" s="15">
        <v>12</v>
      </c>
      <c r="D1567" s="15">
        <v>30</v>
      </c>
      <c r="E1567" s="16"/>
      <c r="F1567" t="s" s="17">
        <v>141</v>
      </c>
      <c r="G1567" s="16"/>
      <c r="H1567" t="s" s="17">
        <v>163</v>
      </c>
      <c r="I1567" t="s" s="17">
        <v>19</v>
      </c>
      <c r="J1567" t="s" s="17">
        <v>159</v>
      </c>
      <c r="K1567" t="s" s="17">
        <v>23</v>
      </c>
      <c r="L1567" s="15">
        <f>IF(O1567,P1567/O1567,0)</f>
        <v>2.07525541666667</v>
      </c>
      <c r="M1567" s="15">
        <v>2.07525541666667</v>
      </c>
      <c r="N1567" s="15">
        <f>A1567</f>
        <v>1565</v>
      </c>
      <c r="O1567" s="15">
        <f t="shared" si="4601"/>
        <v>240</v>
      </c>
      <c r="P1567" s="43">
        <f>493.13+493.13*1%</f>
        <v>498.0613</v>
      </c>
      <c r="Q1567" s="16"/>
    </row>
    <row r="1568" ht="20.05" customHeight="1">
      <c r="A1568" s="13">
        <f>A1567+1</f>
        <v>1566</v>
      </c>
      <c r="B1568" s="14">
        <v>2023</v>
      </c>
      <c r="C1568" s="15">
        <v>12</v>
      </c>
      <c r="D1568" s="15">
        <v>30</v>
      </c>
      <c r="E1568" s="16"/>
      <c r="F1568" t="s" s="17">
        <v>130</v>
      </c>
      <c r="G1568" s="16"/>
      <c r="H1568" t="s" s="17">
        <v>163</v>
      </c>
      <c r="I1568" t="s" s="17">
        <v>19</v>
      </c>
      <c r="J1568" t="s" s="17">
        <v>157</v>
      </c>
      <c r="K1568" t="s" s="17">
        <v>16</v>
      </c>
      <c r="L1568" s="15">
        <f>IF(O1568,P1568/O1568,0)</f>
        <v>0.0199501661129568</v>
      </c>
      <c r="M1568" s="15">
        <v>0.0199501661129568</v>
      </c>
      <c r="N1568" s="15">
        <f>A1568</f>
        <v>1566</v>
      </c>
      <c r="O1568" s="15">
        <v>3010</v>
      </c>
      <c r="P1568" s="15">
        <v>60.05</v>
      </c>
      <c r="Q1568" s="16"/>
    </row>
    <row r="1569" ht="20.05" customHeight="1">
      <c r="A1569" s="13">
        <f>A1568+1</f>
        <v>1567</v>
      </c>
      <c r="B1569" s="14">
        <v>2023</v>
      </c>
      <c r="C1569" s="15">
        <v>12</v>
      </c>
      <c r="D1569" s="15">
        <v>30</v>
      </c>
      <c r="E1569" s="16"/>
      <c r="F1569" t="s" s="17">
        <v>461</v>
      </c>
      <c r="G1569" s="16"/>
      <c r="H1569" t="s" s="17">
        <v>163</v>
      </c>
      <c r="I1569" t="s" s="17">
        <v>187</v>
      </c>
      <c r="J1569" t="s" s="17">
        <v>251</v>
      </c>
      <c r="K1569" t="s" s="17">
        <v>23</v>
      </c>
      <c r="L1569" s="15">
        <f>IF(O1569,P1569/O1569,0)</f>
        <v>93.5</v>
      </c>
      <c r="M1569" s="15">
        <v>93.5</v>
      </c>
      <c r="N1569" s="15">
        <f>A1569</f>
        <v>1567</v>
      </c>
      <c r="O1569" s="15">
        <v>368</v>
      </c>
      <c r="P1569" s="41">
        <f>31280+31280*10%</f>
        <v>34408</v>
      </c>
      <c r="Q1569" s="16"/>
    </row>
    <row r="1570" ht="32.05" customHeight="1">
      <c r="A1570" s="13">
        <f>A1569+1</f>
        <v>1568</v>
      </c>
      <c r="B1570" s="14">
        <v>2023</v>
      </c>
      <c r="C1570" s="15">
        <v>12</v>
      </c>
      <c r="D1570" s="15">
        <v>31</v>
      </c>
      <c r="E1570" s="16"/>
      <c r="F1570" t="s" s="17">
        <v>406</v>
      </c>
      <c r="G1570" s="16"/>
      <c r="H1570" t="s" s="17">
        <v>253</v>
      </c>
      <c r="I1570" t="s" s="17">
        <v>187</v>
      </c>
      <c r="J1570" t="s" s="17">
        <v>407</v>
      </c>
      <c r="K1570" t="s" s="17">
        <v>23</v>
      </c>
      <c r="L1570" s="15">
        <f>IF(O1570,P1570/O1570,0)</f>
        <v>193.86</v>
      </c>
      <c r="M1570" s="15">
        <v>193.86</v>
      </c>
      <c r="N1570" s="15">
        <f>A1570</f>
        <v>1568</v>
      </c>
      <c r="O1570" s="15">
        <v>1</v>
      </c>
      <c r="P1570" s="41">
        <f>161.55+161.55*20%</f>
        <v>193.86</v>
      </c>
      <c r="Q1570" s="16"/>
    </row>
    <row r="1571" ht="20.05" customHeight="1">
      <c r="A1571" s="13">
        <f>A1570+1</f>
        <v>1569</v>
      </c>
      <c r="B1571" s="14">
        <v>2023</v>
      </c>
      <c r="C1571" s="15">
        <v>12</v>
      </c>
      <c r="D1571" s="15">
        <v>27</v>
      </c>
      <c r="E1571" s="16"/>
      <c r="F1571" t="s" s="17">
        <v>445</v>
      </c>
      <c r="G1571" s="16"/>
      <c r="H1571" t="s" s="17">
        <v>163</v>
      </c>
      <c r="I1571" t="s" s="17">
        <v>443</v>
      </c>
      <c r="J1571" t="s" s="17">
        <v>446</v>
      </c>
      <c r="K1571" t="s" s="17">
        <v>23</v>
      </c>
      <c r="L1571" s="15">
        <f>IF(O1571,P1571/O1571,0)</f>
        <v>181.571063829787</v>
      </c>
      <c r="M1571" s="15">
        <v>181.571063829787</v>
      </c>
      <c r="N1571" s="15">
        <f>A1571</f>
        <v>1569</v>
      </c>
      <c r="O1571" s="15">
        <v>47</v>
      </c>
      <c r="P1571" s="15">
        <v>8533.84</v>
      </c>
      <c r="Q1571" s="16"/>
    </row>
    <row r="1572" ht="20.05" customHeight="1">
      <c r="A1572" s="13">
        <f>A1571+1</f>
        <v>1570</v>
      </c>
      <c r="B1572" s="14">
        <v>2024</v>
      </c>
      <c r="C1572" s="15">
        <v>1</v>
      </c>
      <c r="D1572" s="15">
        <v>5</v>
      </c>
      <c r="E1572" s="16"/>
      <c r="F1572" t="s" s="17">
        <v>445</v>
      </c>
      <c r="G1572" t="s" s="17">
        <v>462</v>
      </c>
      <c r="H1572" t="s" s="17">
        <v>253</v>
      </c>
      <c r="I1572" t="s" s="17">
        <v>443</v>
      </c>
      <c r="J1572" t="s" s="17">
        <v>446</v>
      </c>
      <c r="K1572" t="s" s="17">
        <v>23</v>
      </c>
      <c r="L1572" s="15">
        <f>IF(O1572,P1572/O1572,0)</f>
        <v>174.404166666667</v>
      </c>
      <c r="M1572" s="15">
        <v>174.404166666667</v>
      </c>
      <c r="N1572" s="15">
        <f>A1572</f>
        <v>1570</v>
      </c>
      <c r="O1572" s="15">
        <v>24</v>
      </c>
      <c r="P1572" s="15">
        <v>4185.7</v>
      </c>
      <c r="Q1572" s="16"/>
    </row>
    <row r="1573" ht="20.05" customHeight="1">
      <c r="A1573" s="13">
        <f>A1572+1</f>
        <v>1571</v>
      </c>
      <c r="B1573" s="14">
        <v>2024</v>
      </c>
      <c r="C1573" s="15">
        <v>1</v>
      </c>
      <c r="D1573" s="15">
        <v>9</v>
      </c>
      <c r="E1573" s="16"/>
      <c r="F1573" t="s" s="17">
        <v>445</v>
      </c>
      <c r="G1573" t="s" s="17">
        <v>462</v>
      </c>
      <c r="H1573" t="s" s="17">
        <v>253</v>
      </c>
      <c r="I1573" t="s" s="17">
        <v>443</v>
      </c>
      <c r="J1573" t="s" s="17">
        <v>446</v>
      </c>
      <c r="K1573" t="s" s="17">
        <v>23</v>
      </c>
      <c r="L1573" s="15">
        <f>IF(O1573,P1573/O1573,0)</f>
        <v>146.785555555556</v>
      </c>
      <c r="M1573" s="15">
        <v>146.785555555556</v>
      </c>
      <c r="N1573" s="15">
        <f>A1573</f>
        <v>1571</v>
      </c>
      <c r="O1573" s="15">
        <v>45</v>
      </c>
      <c r="P1573" s="15">
        <v>6605.35</v>
      </c>
      <c r="Q1573" s="16"/>
    </row>
    <row r="1574" ht="32.05" customHeight="1">
      <c r="A1574" s="13">
        <f>A1573+1</f>
        <v>1572</v>
      </c>
      <c r="B1574" s="14">
        <v>2024</v>
      </c>
      <c r="C1574" s="15">
        <v>1</v>
      </c>
      <c r="D1574" s="15">
        <v>9</v>
      </c>
      <c r="E1574" s="16"/>
      <c r="F1574" t="s" s="17">
        <v>463</v>
      </c>
      <c r="G1574" t="s" s="17">
        <v>462</v>
      </c>
      <c r="H1574" t="s" s="17">
        <v>253</v>
      </c>
      <c r="I1574" t="s" s="17">
        <v>187</v>
      </c>
      <c r="J1574" t="s" s="17">
        <v>464</v>
      </c>
      <c r="K1574" t="s" s="17">
        <v>23</v>
      </c>
      <c r="L1574" s="15">
        <f>IF(O1574,P1574/O1574,0)</f>
        <v>110</v>
      </c>
      <c r="M1574" s="15">
        <v>110</v>
      </c>
      <c r="N1574" s="15">
        <f>A1574</f>
        <v>1572</v>
      </c>
      <c r="O1574" s="15">
        <v>7</v>
      </c>
      <c r="P1574" s="41">
        <f t="shared" si="2547"/>
        <v>770</v>
      </c>
      <c r="Q1574" s="16"/>
    </row>
    <row r="1575" ht="20.05" customHeight="1">
      <c r="A1575" s="13">
        <f>A1574+1</f>
        <v>1573</v>
      </c>
      <c r="B1575" s="14">
        <v>2024</v>
      </c>
      <c r="C1575" s="15">
        <v>1</v>
      </c>
      <c r="D1575" s="15">
        <v>1</v>
      </c>
      <c r="E1575" s="16"/>
      <c r="F1575" t="s" s="17">
        <v>130</v>
      </c>
      <c r="G1575" s="16"/>
      <c r="H1575" t="s" s="17">
        <v>163</v>
      </c>
      <c r="I1575" t="s" s="17">
        <v>26</v>
      </c>
      <c r="J1575" t="s" s="17">
        <v>113</v>
      </c>
      <c r="K1575" t="s" s="17">
        <v>41</v>
      </c>
      <c r="L1575" s="15">
        <f>IF(O1575,P1575/O1575,0)</f>
        <v>0.03475</v>
      </c>
      <c r="M1575" s="15">
        <v>0.03475</v>
      </c>
      <c r="N1575" s="15">
        <f>A1575</f>
        <v>1573</v>
      </c>
      <c r="O1575" s="15">
        <v>2000</v>
      </c>
      <c r="P1575" s="15">
        <v>69.5</v>
      </c>
      <c r="Q1575" s="16"/>
    </row>
    <row r="1576" ht="20.05" customHeight="1">
      <c r="A1576" s="13">
        <f>A1575+1</f>
        <v>1574</v>
      </c>
      <c r="B1576" s="14">
        <v>2024</v>
      </c>
      <c r="C1576" s="15">
        <v>1</v>
      </c>
      <c r="D1576" s="15">
        <v>1</v>
      </c>
      <c r="E1576" s="16"/>
      <c r="F1576" t="s" s="17">
        <v>130</v>
      </c>
      <c r="G1576" s="16"/>
      <c r="H1576" t="s" s="17">
        <v>163</v>
      </c>
      <c r="I1576" t="s" s="17">
        <v>19</v>
      </c>
      <c r="J1576" t="s" s="17">
        <v>157</v>
      </c>
      <c r="K1576" t="s" s="17">
        <v>16</v>
      </c>
      <c r="L1576" s="15">
        <f>IF(O1576,P1576/O1576,0)</f>
        <v>0.01995</v>
      </c>
      <c r="M1576" s="15">
        <v>0.01995</v>
      </c>
      <c r="N1576" s="15">
        <f>A1576</f>
        <v>1574</v>
      </c>
      <c r="O1576" s="15">
        <v>2000</v>
      </c>
      <c r="P1576" s="15">
        <f>2*19.95</f>
        <v>39.9</v>
      </c>
      <c r="Q1576" s="16"/>
    </row>
    <row r="1577" ht="20.05" customHeight="1">
      <c r="A1577" s="13">
        <f>A1576+1</f>
        <v>1575</v>
      </c>
      <c r="B1577" s="14">
        <v>2024</v>
      </c>
      <c r="C1577" s="15">
        <v>1</v>
      </c>
      <c r="D1577" s="15">
        <v>2</v>
      </c>
      <c r="E1577" s="16"/>
      <c r="F1577" t="s" s="17">
        <v>465</v>
      </c>
      <c r="G1577" s="16"/>
      <c r="H1577" t="s" s="17">
        <v>163</v>
      </c>
      <c r="I1577" t="s" s="17">
        <v>357</v>
      </c>
      <c r="J1577" t="s" s="17">
        <v>466</v>
      </c>
      <c r="K1577" t="s" s="17">
        <v>23</v>
      </c>
      <c r="L1577" s="15">
        <f>IF(O1577,P1577/O1577,0)</f>
        <v>975</v>
      </c>
      <c r="M1577" s="15">
        <v>975</v>
      </c>
      <c r="N1577" s="15">
        <f>A1577</f>
        <v>1575</v>
      </c>
      <c r="O1577" s="15">
        <v>6</v>
      </c>
      <c r="P1577" s="41">
        <f>(7500+7500*20%)-9000*35%</f>
        <v>5850</v>
      </c>
      <c r="Q1577" s="16"/>
    </row>
    <row r="1578" ht="20.05" customHeight="1">
      <c r="A1578" s="13">
        <f>A1577+1</f>
        <v>1576</v>
      </c>
      <c r="B1578" s="14">
        <v>2024</v>
      </c>
      <c r="C1578" s="15">
        <v>1</v>
      </c>
      <c r="D1578" s="15">
        <v>2</v>
      </c>
      <c r="E1578" s="16"/>
      <c r="F1578" t="s" s="17">
        <v>465</v>
      </c>
      <c r="G1578" s="16"/>
      <c r="H1578" t="s" s="17">
        <v>163</v>
      </c>
      <c r="I1578" t="s" s="17">
        <v>357</v>
      </c>
      <c r="J1578" t="s" s="17">
        <v>467</v>
      </c>
      <c r="K1578" t="s" s="17">
        <v>23</v>
      </c>
      <c r="L1578" s="15">
        <f>IF(O1578,P1578/O1578,0)</f>
        <v>1137.5</v>
      </c>
      <c r="M1578" s="15">
        <v>1137.5</v>
      </c>
      <c r="N1578" s="15">
        <f>A1578</f>
        <v>1576</v>
      </c>
      <c r="O1578" s="15">
        <v>6</v>
      </c>
      <c r="P1578" s="41">
        <f>8750+8750*20%-10500*35%</f>
        <v>6825</v>
      </c>
      <c r="Q1578" s="16"/>
    </row>
    <row r="1579" ht="20.05" customHeight="1">
      <c r="A1579" s="13">
        <f>A1578+1</f>
        <v>1577</v>
      </c>
      <c r="B1579" s="14">
        <v>2024</v>
      </c>
      <c r="C1579" s="15">
        <v>1</v>
      </c>
      <c r="D1579" s="15">
        <v>2</v>
      </c>
      <c r="E1579" s="16"/>
      <c r="F1579" t="s" s="17">
        <v>465</v>
      </c>
      <c r="G1579" s="16"/>
      <c r="H1579" t="s" s="17">
        <v>163</v>
      </c>
      <c r="I1579" t="s" s="17">
        <v>357</v>
      </c>
      <c r="J1579" t="s" s="17">
        <v>468</v>
      </c>
      <c r="K1579" t="s" s="17">
        <v>23</v>
      </c>
      <c r="L1579" s="15">
        <f>IF(O1579,P1579/O1579,0)</f>
        <v>390</v>
      </c>
      <c r="M1579" s="15">
        <v>390</v>
      </c>
      <c r="N1579" s="15">
        <f>A1579</f>
        <v>1577</v>
      </c>
      <c r="O1579" s="15">
        <v>19</v>
      </c>
      <c r="P1579" s="41">
        <f>9500+9500*20%-11400*35%</f>
        <v>7410</v>
      </c>
      <c r="Q1579" s="16"/>
    </row>
    <row r="1580" ht="20.05" customHeight="1">
      <c r="A1580" s="13">
        <f>A1579+1</f>
        <v>1578</v>
      </c>
      <c r="B1580" s="14">
        <v>2024</v>
      </c>
      <c r="C1580" s="15">
        <v>1</v>
      </c>
      <c r="D1580" s="15">
        <v>2</v>
      </c>
      <c r="E1580" s="16"/>
      <c r="F1580" t="s" s="17">
        <v>324</v>
      </c>
      <c r="G1580" t="s" s="17">
        <v>469</v>
      </c>
      <c r="H1580" t="s" s="17">
        <v>163</v>
      </c>
      <c r="I1580" t="s" s="17">
        <v>187</v>
      </c>
      <c r="J1580" t="s" s="17">
        <v>185</v>
      </c>
      <c r="K1580" t="s" s="17">
        <v>23</v>
      </c>
      <c r="L1580" s="15">
        <f>IF(O1580,P1580/O1580,0)</f>
        <v>450</v>
      </c>
      <c r="M1580" s="15">
        <v>450</v>
      </c>
      <c r="N1580" s="15">
        <f>A1580</f>
        <v>1578</v>
      </c>
      <c r="O1580" s="15">
        <v>1</v>
      </c>
      <c r="P1580" s="15">
        <v>450</v>
      </c>
      <c r="Q1580" s="16"/>
    </row>
    <row r="1581" ht="20.05" customHeight="1">
      <c r="A1581" s="13">
        <f>A1580+1</f>
        <v>1579</v>
      </c>
      <c r="B1581" s="14">
        <v>2024</v>
      </c>
      <c r="C1581" s="15">
        <v>1</v>
      </c>
      <c r="D1581" s="15">
        <v>2</v>
      </c>
      <c r="E1581" s="16"/>
      <c r="F1581" t="s" s="17">
        <v>324</v>
      </c>
      <c r="G1581" s="16"/>
      <c r="H1581" t="s" s="17">
        <v>163</v>
      </c>
      <c r="I1581" t="s" s="17">
        <v>187</v>
      </c>
      <c r="J1581" t="s" s="17">
        <v>185</v>
      </c>
      <c r="K1581" t="s" s="17">
        <v>23</v>
      </c>
      <c r="L1581" s="15">
        <f>IF(O1581,P1581/O1581,0)</f>
        <v>80</v>
      </c>
      <c r="M1581" s="15">
        <v>80</v>
      </c>
      <c r="N1581" s="15">
        <f>A1581</f>
        <v>1579</v>
      </c>
      <c r="O1581" s="15">
        <v>1</v>
      </c>
      <c r="P1581" s="15">
        <v>80</v>
      </c>
      <c r="Q1581" s="16"/>
    </row>
    <row r="1582" ht="20.05" customHeight="1">
      <c r="A1582" s="13">
        <f>A1581+1</f>
        <v>1580</v>
      </c>
      <c r="B1582" s="14">
        <v>2024</v>
      </c>
      <c r="C1582" s="15">
        <v>1</v>
      </c>
      <c r="D1582" s="15">
        <v>4</v>
      </c>
      <c r="E1582" s="16"/>
      <c r="F1582" t="s" s="17">
        <v>130</v>
      </c>
      <c r="G1582" s="16"/>
      <c r="H1582" t="s" s="17">
        <v>163</v>
      </c>
      <c r="I1582" t="s" s="17">
        <v>19</v>
      </c>
      <c r="J1582" t="s" s="17">
        <v>157</v>
      </c>
      <c r="K1582" t="s" s="17">
        <v>16</v>
      </c>
      <c r="L1582" s="15">
        <f>IF(O1582,P1582/O1582,0)</f>
        <v>0.0199495967741935</v>
      </c>
      <c r="M1582" s="15">
        <v>0.0199495967741935</v>
      </c>
      <c r="N1582" s="15">
        <f>A1582</f>
        <v>1580</v>
      </c>
      <c r="O1582" s="15">
        <v>1984</v>
      </c>
      <c r="P1582" s="15">
        <v>39.58</v>
      </c>
      <c r="Q1582" s="16"/>
    </row>
    <row r="1583" ht="20.05" customHeight="1">
      <c r="A1583" s="13">
        <f>A1582+1</f>
        <v>1581</v>
      </c>
      <c r="B1583" s="14">
        <v>2024</v>
      </c>
      <c r="C1583" s="15">
        <v>1</v>
      </c>
      <c r="D1583" s="15">
        <v>4</v>
      </c>
      <c r="E1583" s="16"/>
      <c r="F1583" t="s" s="17">
        <v>111</v>
      </c>
      <c r="G1583" s="16"/>
      <c r="H1583" t="s" s="17">
        <v>163</v>
      </c>
      <c r="I1583" t="s" s="17">
        <v>19</v>
      </c>
      <c r="J1583" t="s" s="17">
        <v>112</v>
      </c>
      <c r="K1583" t="s" s="17">
        <v>41</v>
      </c>
      <c r="L1583" s="15">
        <f>IF(O1583,P1583/O1583,0)</f>
        <v>0.035148</v>
      </c>
      <c r="M1583" s="15">
        <v>0.035148</v>
      </c>
      <c r="N1583" s="15">
        <f>A1583</f>
        <v>1581</v>
      </c>
      <c r="O1583" s="15">
        <f t="shared" si="4869"/>
        <v>5000</v>
      </c>
      <c r="P1583" s="15">
        <v>175.74</v>
      </c>
      <c r="Q1583" s="16"/>
    </row>
    <row r="1584" ht="20.05" customHeight="1">
      <c r="A1584" s="13">
        <f>A1583+1</f>
        <v>1582</v>
      </c>
      <c r="B1584" s="14">
        <v>2024</v>
      </c>
      <c r="C1584" s="15">
        <v>1</v>
      </c>
      <c r="D1584" s="15">
        <v>4</v>
      </c>
      <c r="E1584" s="16"/>
      <c r="F1584" t="s" s="17">
        <v>111</v>
      </c>
      <c r="G1584" s="16"/>
      <c r="H1584" t="s" s="17">
        <v>163</v>
      </c>
      <c r="I1584" t="s" s="17">
        <v>26</v>
      </c>
      <c r="J1584" t="s" s="17">
        <v>113</v>
      </c>
      <c r="K1584" t="s" s="17">
        <v>41</v>
      </c>
      <c r="L1584" s="15">
        <f>IF(O1584,P1584/O1584,0)</f>
        <v>0.0316933333333333</v>
      </c>
      <c r="M1584" s="15">
        <v>0.0316933333333333</v>
      </c>
      <c r="N1584" s="15">
        <f>A1584</f>
        <v>1582</v>
      </c>
      <c r="O1584" s="15">
        <v>3000</v>
      </c>
      <c r="P1584" s="15">
        <v>95.08</v>
      </c>
      <c r="Q1584" s="16"/>
    </row>
    <row r="1585" ht="20.05" customHeight="1">
      <c r="A1585" s="13">
        <f>A1584+1</f>
        <v>1583</v>
      </c>
      <c r="B1585" s="14">
        <v>2024</v>
      </c>
      <c r="C1585" s="15">
        <v>1</v>
      </c>
      <c r="D1585" s="15">
        <v>4</v>
      </c>
      <c r="E1585" s="16"/>
      <c r="F1585" t="s" s="17">
        <v>111</v>
      </c>
      <c r="G1585" s="16"/>
      <c r="H1585" t="s" s="17">
        <v>163</v>
      </c>
      <c r="I1585" t="s" s="17">
        <v>19</v>
      </c>
      <c r="J1585" t="s" s="17">
        <v>72</v>
      </c>
      <c r="K1585" t="s" s="17">
        <v>41</v>
      </c>
      <c r="L1585" s="15">
        <f>IF(O1585,P1585/O1585,0)</f>
        <v>0.24858</v>
      </c>
      <c r="M1585" s="15">
        <v>0.24858</v>
      </c>
      <c r="N1585" s="15">
        <f>A1585</f>
        <v>1583</v>
      </c>
      <c r="O1585" s="15">
        <f t="shared" si="1525"/>
        <v>1000</v>
      </c>
      <c r="P1585" s="15">
        <v>248.58</v>
      </c>
      <c r="Q1585" s="16"/>
    </row>
    <row r="1586" ht="20.05" customHeight="1">
      <c r="A1586" s="13">
        <f>A1585+1</f>
        <v>1584</v>
      </c>
      <c r="B1586" s="14">
        <v>2024</v>
      </c>
      <c r="C1586" s="15">
        <v>1</v>
      </c>
      <c r="D1586" s="15">
        <v>4</v>
      </c>
      <c r="E1586" s="16"/>
      <c r="F1586" t="s" s="17">
        <v>111</v>
      </c>
      <c r="G1586" s="16"/>
      <c r="H1586" t="s" s="17">
        <v>163</v>
      </c>
      <c r="I1586" t="s" s="17">
        <v>26</v>
      </c>
      <c r="J1586" t="s" s="17">
        <v>117</v>
      </c>
      <c r="K1586" t="s" s="17">
        <v>23</v>
      </c>
      <c r="L1586" s="15">
        <f>IF(O1586,P1586/O1586,0)</f>
        <v>36.684</v>
      </c>
      <c r="M1586" s="15">
        <v>36.684</v>
      </c>
      <c r="N1586" s="15">
        <f>A1586</f>
        <v>1584</v>
      </c>
      <c r="O1586" s="15">
        <v>5</v>
      </c>
      <c r="P1586" s="15">
        <v>183.42</v>
      </c>
      <c r="Q1586" s="16"/>
    </row>
    <row r="1587" ht="20.05" customHeight="1">
      <c r="A1587" s="13">
        <f>A1586+1</f>
        <v>1585</v>
      </c>
      <c r="B1587" s="14">
        <v>2024</v>
      </c>
      <c r="C1587" s="15">
        <v>1</v>
      </c>
      <c r="D1587" s="15">
        <v>4</v>
      </c>
      <c r="E1587" s="16"/>
      <c r="F1587" t="s" s="17">
        <v>111</v>
      </c>
      <c r="G1587" s="16"/>
      <c r="H1587" t="s" s="17">
        <v>163</v>
      </c>
      <c r="I1587" t="s" s="17">
        <v>26</v>
      </c>
      <c r="J1587" t="s" s="17">
        <v>134</v>
      </c>
      <c r="K1587" t="s" s="17">
        <v>23</v>
      </c>
      <c r="L1587" s="15">
        <f>IF(O1587,P1587/O1587,0)</f>
        <v>36.684</v>
      </c>
      <c r="M1587" s="15">
        <v>36.684</v>
      </c>
      <c r="N1587" s="15">
        <f>A1587</f>
        <v>1585</v>
      </c>
      <c r="O1587" s="15">
        <v>5</v>
      </c>
      <c r="P1587" s="15">
        <v>183.42</v>
      </c>
      <c r="Q1587" s="16"/>
    </row>
    <row r="1588" ht="20.05" customHeight="1">
      <c r="A1588" s="13">
        <f>A1587+1</f>
        <v>1586</v>
      </c>
      <c r="B1588" s="14">
        <v>2024</v>
      </c>
      <c r="C1588" s="15">
        <v>1</v>
      </c>
      <c r="D1588" s="15">
        <v>4</v>
      </c>
      <c r="E1588" s="16"/>
      <c r="F1588" t="s" s="17">
        <v>111</v>
      </c>
      <c r="G1588" s="16"/>
      <c r="H1588" t="s" s="17">
        <v>163</v>
      </c>
      <c r="I1588" t="s" s="17">
        <v>26</v>
      </c>
      <c r="J1588" t="s" s="17">
        <v>118</v>
      </c>
      <c r="K1588" t="s" s="17">
        <v>23</v>
      </c>
      <c r="L1588" s="15">
        <f>IF(O1588,P1588/O1588,0)</f>
        <v>36.684</v>
      </c>
      <c r="M1588" s="15">
        <v>36.684</v>
      </c>
      <c r="N1588" s="15">
        <f>A1588</f>
        <v>1586</v>
      </c>
      <c r="O1588" s="15">
        <v>5</v>
      </c>
      <c r="P1588" s="15">
        <v>183.42</v>
      </c>
      <c r="Q1588" s="16"/>
    </row>
    <row r="1589" ht="20.05" customHeight="1">
      <c r="A1589" s="13">
        <f>A1588+1</f>
        <v>1587</v>
      </c>
      <c r="B1589" s="14">
        <v>2024</v>
      </c>
      <c r="C1589" s="15">
        <v>1</v>
      </c>
      <c r="D1589" s="15">
        <v>4</v>
      </c>
      <c r="E1589" s="16"/>
      <c r="F1589" t="s" s="17">
        <v>111</v>
      </c>
      <c r="G1589" s="16"/>
      <c r="H1589" t="s" s="17">
        <v>163</v>
      </c>
      <c r="I1589" t="s" s="17">
        <v>19</v>
      </c>
      <c r="J1589" t="s" s="17">
        <v>63</v>
      </c>
      <c r="K1589" t="s" s="17">
        <v>16</v>
      </c>
      <c r="L1589" s="15">
        <f>IF(O1589,P1589/O1589,0)</f>
        <v>0.72356</v>
      </c>
      <c r="M1589" s="15">
        <v>0.72356</v>
      </c>
      <c r="N1589" s="15">
        <f>A1589</f>
        <v>1587</v>
      </c>
      <c r="O1589" s="15">
        <v>250</v>
      </c>
      <c r="P1589" s="15">
        <v>180.89</v>
      </c>
      <c r="Q1589" s="16"/>
    </row>
    <row r="1590" ht="20.05" customHeight="1">
      <c r="A1590" s="13">
        <f>A1589+1</f>
        <v>1588</v>
      </c>
      <c r="B1590" s="14">
        <v>2024</v>
      </c>
      <c r="C1590" s="15">
        <v>1</v>
      </c>
      <c r="D1590" s="15">
        <v>4</v>
      </c>
      <c r="E1590" s="16"/>
      <c r="F1590" t="s" s="17">
        <v>111</v>
      </c>
      <c r="G1590" s="16"/>
      <c r="H1590" t="s" s="17">
        <v>163</v>
      </c>
      <c r="I1590" t="s" s="17">
        <v>19</v>
      </c>
      <c r="J1590" t="s" s="17">
        <v>135</v>
      </c>
      <c r="K1590" t="s" s="17">
        <v>23</v>
      </c>
      <c r="L1590" s="15">
        <f>IF(O1590,P1590/O1590,0)</f>
        <v>0.4776</v>
      </c>
      <c r="M1590" s="15">
        <v>0.4776</v>
      </c>
      <c r="N1590" s="15">
        <f>A1590</f>
        <v>1588</v>
      </c>
      <c r="O1590" s="15">
        <f t="shared" si="5599"/>
        <v>250</v>
      </c>
      <c r="P1590" s="15">
        <v>119.4</v>
      </c>
      <c r="Q1590" s="16"/>
    </row>
    <row r="1591" ht="20.05" customHeight="1">
      <c r="A1591" s="13">
        <f>A1590+1</f>
        <v>1589</v>
      </c>
      <c r="B1591" s="14">
        <v>2024</v>
      </c>
      <c r="C1591" s="15">
        <v>1</v>
      </c>
      <c r="D1591" s="15">
        <v>4</v>
      </c>
      <c r="E1591" s="16"/>
      <c r="F1591" t="s" s="17">
        <v>150</v>
      </c>
      <c r="G1591" s="16"/>
      <c r="H1591" t="s" s="17">
        <v>163</v>
      </c>
      <c r="I1591" t="s" s="17">
        <v>19</v>
      </c>
      <c r="J1591" t="s" s="17">
        <v>89</v>
      </c>
      <c r="K1591" t="s" s="17">
        <v>41</v>
      </c>
      <c r="L1591" s="15">
        <f>IF(O1591,P1591/O1591,0)</f>
        <v>0.457866666666667</v>
      </c>
      <c r="M1591" s="15">
        <v>0.457866666666667</v>
      </c>
      <c r="N1591" s="15">
        <f>A1591</f>
        <v>1589</v>
      </c>
      <c r="O1591" s="15">
        <v>750</v>
      </c>
      <c r="P1591" s="42">
        <f t="shared" si="5421"/>
        <v>343.4</v>
      </c>
      <c r="Q1591" s="16"/>
    </row>
    <row r="1592" ht="20.05" customHeight="1">
      <c r="A1592" s="13">
        <f>A1591+1</f>
        <v>1590</v>
      </c>
      <c r="B1592" s="14">
        <v>2024</v>
      </c>
      <c r="C1592" s="15">
        <v>1</v>
      </c>
      <c r="D1592" s="15">
        <v>4</v>
      </c>
      <c r="E1592" s="16"/>
      <c r="F1592" t="s" s="17">
        <v>150</v>
      </c>
      <c r="G1592" s="16"/>
      <c r="H1592" t="s" s="17">
        <v>163</v>
      </c>
      <c r="I1592" t="s" s="17">
        <v>19</v>
      </c>
      <c r="J1592" t="s" s="17">
        <v>91</v>
      </c>
      <c r="K1592" t="s" s="17">
        <v>41</v>
      </c>
      <c r="L1592" s="15">
        <f>IF(O1592,P1592/O1592,0)</f>
        <v>0.36158</v>
      </c>
      <c r="M1592" s="15">
        <v>0.36158</v>
      </c>
      <c r="N1592" s="15">
        <f>A1592</f>
        <v>1590</v>
      </c>
      <c r="O1592" s="15">
        <f>2*2000</f>
        <v>4000</v>
      </c>
      <c r="P1592" s="41">
        <f>1432+1432*1%</f>
        <v>1446.32</v>
      </c>
      <c r="Q1592" s="16"/>
    </row>
    <row r="1593" ht="32.05" customHeight="1">
      <c r="A1593" s="13">
        <f>A1592+1</f>
        <v>1591</v>
      </c>
      <c r="B1593" s="14">
        <v>2024</v>
      </c>
      <c r="C1593" s="15">
        <v>1</v>
      </c>
      <c r="D1593" s="15">
        <v>4</v>
      </c>
      <c r="E1593" s="16"/>
      <c r="F1593" t="s" s="17">
        <v>122</v>
      </c>
      <c r="G1593" s="16"/>
      <c r="H1593" t="s" s="17">
        <v>163</v>
      </c>
      <c r="I1593" t="s" s="17">
        <v>187</v>
      </c>
      <c r="J1593" t="s" s="17">
        <v>286</v>
      </c>
      <c r="K1593" t="s" s="17">
        <v>41</v>
      </c>
      <c r="L1593" s="15">
        <f>IF(O1593,P1593/O1593,0)</f>
        <v>0.052488</v>
      </c>
      <c r="M1593" s="15">
        <v>0.052488</v>
      </c>
      <c r="N1593" s="15">
        <f>A1593</f>
        <v>1591</v>
      </c>
      <c r="O1593" s="15">
        <v>20000</v>
      </c>
      <c r="P1593" s="41">
        <f>874.8+874.8*20%</f>
        <v>1049.76</v>
      </c>
      <c r="Q1593" s="42">
        <f>1944-1944*55%</f>
        <v>874.8</v>
      </c>
    </row>
    <row r="1594" ht="32.05" customHeight="1">
      <c r="A1594" s="13">
        <f>A1593+1</f>
        <v>1592</v>
      </c>
      <c r="B1594" s="14">
        <v>2024</v>
      </c>
      <c r="C1594" s="15">
        <v>1</v>
      </c>
      <c r="D1594" s="15">
        <v>4</v>
      </c>
      <c r="E1594" s="16"/>
      <c r="F1594" t="s" s="17">
        <v>122</v>
      </c>
      <c r="G1594" s="16"/>
      <c r="H1594" t="s" s="17">
        <v>163</v>
      </c>
      <c r="I1594" t="s" s="17">
        <v>187</v>
      </c>
      <c r="J1594" t="s" s="17">
        <v>285</v>
      </c>
      <c r="K1594" t="s" s="17">
        <v>41</v>
      </c>
      <c r="L1594" s="15">
        <f>IF(O1594,P1594/O1594,0)</f>
        <v>0.046224</v>
      </c>
      <c r="M1594" s="15">
        <v>0.046224</v>
      </c>
      <c r="N1594" s="15">
        <f>A1594</f>
        <v>1592</v>
      </c>
      <c r="O1594" s="15">
        <v>20000</v>
      </c>
      <c r="P1594" s="41">
        <f>770.4+770.4*20%</f>
        <v>924.48</v>
      </c>
      <c r="Q1594" s="42">
        <f>1712-1712*55%</f>
        <v>770.4</v>
      </c>
    </row>
    <row r="1595" ht="20.05" customHeight="1">
      <c r="A1595" s="13">
        <f>A1594+1</f>
        <v>1593</v>
      </c>
      <c r="B1595" s="14">
        <v>2024</v>
      </c>
      <c r="C1595" s="15">
        <v>1</v>
      </c>
      <c r="D1595" s="15">
        <v>4</v>
      </c>
      <c r="E1595" s="16"/>
      <c r="F1595" t="s" s="17">
        <v>122</v>
      </c>
      <c r="G1595" s="16"/>
      <c r="H1595" t="s" s="17">
        <v>163</v>
      </c>
      <c r="I1595" t="s" s="17">
        <v>19</v>
      </c>
      <c r="J1595" t="s" s="17">
        <v>67</v>
      </c>
      <c r="K1595" t="s" s="17">
        <v>23</v>
      </c>
      <c r="L1595" s="15">
        <f>IF(O1595,P1595/O1595,0)</f>
        <v>1.2361491</v>
      </c>
      <c r="M1595" s="15">
        <v>1.2361491</v>
      </c>
      <c r="N1595" s="15">
        <f>A1595</f>
        <v>1593</v>
      </c>
      <c r="O1595" s="15">
        <f>6*100</f>
        <v>600</v>
      </c>
      <c r="P1595" s="40">
        <f>734.346+734.346*1%</f>
        <v>741.6894600000001</v>
      </c>
      <c r="Q1595" s="42">
        <f>815.94-815.94*10%</f>
        <v>734.346</v>
      </c>
    </row>
    <row r="1596" ht="20.05" customHeight="1">
      <c r="A1596" s="13">
        <f>A1595+1</f>
        <v>1594</v>
      </c>
      <c r="B1596" s="14">
        <v>2024</v>
      </c>
      <c r="C1596" s="15">
        <v>1</v>
      </c>
      <c r="D1596" s="15">
        <v>4</v>
      </c>
      <c r="E1596" s="16"/>
      <c r="F1596" t="s" s="17">
        <v>122</v>
      </c>
      <c r="G1596" s="16"/>
      <c r="H1596" t="s" s="17">
        <v>163</v>
      </c>
      <c r="I1596" t="s" s="17">
        <v>19</v>
      </c>
      <c r="J1596" t="s" s="17">
        <v>138</v>
      </c>
      <c r="K1596" t="s" s="17">
        <v>41</v>
      </c>
      <c r="L1596" s="15">
        <f>IF(O1596,P1596/O1596,0)</f>
        <v>0.0391375</v>
      </c>
      <c r="M1596" s="15">
        <v>0.0391375</v>
      </c>
      <c r="N1596" s="15">
        <f>A1596</f>
        <v>1594</v>
      </c>
      <c r="O1596" s="15">
        <f t="shared" si="5858" ref="O1596:O1940">4*12*1000</f>
        <v>48000</v>
      </c>
      <c r="P1596" s="42">
        <f t="shared" si="5120"/>
        <v>1878.6</v>
      </c>
      <c r="Q1596" s="16"/>
    </row>
    <row r="1597" ht="20.05" customHeight="1">
      <c r="A1597" s="13">
        <f>A1596+1</f>
        <v>1595</v>
      </c>
      <c r="B1597" s="14">
        <v>2024</v>
      </c>
      <c r="C1597" s="15">
        <v>1</v>
      </c>
      <c r="D1597" s="15">
        <v>4</v>
      </c>
      <c r="E1597" s="16"/>
      <c r="F1597" t="s" s="17">
        <v>122</v>
      </c>
      <c r="G1597" s="16"/>
      <c r="H1597" t="s" s="17">
        <v>163</v>
      </c>
      <c r="I1597" t="s" s="17">
        <v>19</v>
      </c>
      <c r="J1597" t="s" s="17">
        <v>470</v>
      </c>
      <c r="K1597" t="s" s="17">
        <v>23</v>
      </c>
      <c r="L1597" s="15">
        <f>IF(O1597,P1597/O1597,0)</f>
        <v>42</v>
      </c>
      <c r="M1597" s="15">
        <v>42</v>
      </c>
      <c r="N1597" s="15">
        <f>A1597</f>
        <v>1595</v>
      </c>
      <c r="O1597" s="15">
        <v>1</v>
      </c>
      <c r="P1597" s="41">
        <f>35+35*20%</f>
        <v>42</v>
      </c>
      <c r="Q1597" s="16"/>
    </row>
    <row r="1598" ht="20.05" customHeight="1">
      <c r="A1598" s="13">
        <f>A1597+1</f>
        <v>1596</v>
      </c>
      <c r="B1598" s="14">
        <v>2024</v>
      </c>
      <c r="C1598" s="15">
        <v>1</v>
      </c>
      <c r="D1598" s="15">
        <v>4</v>
      </c>
      <c r="E1598" s="16"/>
      <c r="F1598" t="s" s="17">
        <v>122</v>
      </c>
      <c r="G1598" s="16"/>
      <c r="H1598" t="s" s="17">
        <v>163</v>
      </c>
      <c r="I1598" t="s" s="17">
        <v>187</v>
      </c>
      <c r="J1598" t="s" s="17">
        <v>167</v>
      </c>
      <c r="K1598" t="s" s="17">
        <v>23</v>
      </c>
      <c r="L1598" s="15">
        <f>IF(O1598,P1598/O1598,0)</f>
        <v>0.96</v>
      </c>
      <c r="M1598" s="15">
        <v>0.96</v>
      </c>
      <c r="N1598" s="15">
        <f>A1598</f>
        <v>1596</v>
      </c>
      <c r="O1598" s="15">
        <f t="shared" si="5298"/>
        <v>400</v>
      </c>
      <c r="P1598" s="41">
        <f>320+320*20%</f>
        <v>384</v>
      </c>
      <c r="Q1598" s="16"/>
    </row>
    <row r="1599" ht="20.35" customHeight="1">
      <c r="A1599" s="13">
        <f>A1598+1</f>
        <v>1597</v>
      </c>
      <c r="B1599" s="14">
        <v>2024</v>
      </c>
      <c r="C1599" s="15">
        <v>1</v>
      </c>
      <c r="D1599" s="15">
        <v>4</v>
      </c>
      <c r="E1599" s="16"/>
      <c r="F1599" t="s" s="17">
        <v>324</v>
      </c>
      <c r="G1599" s="16"/>
      <c r="H1599" t="s" s="17">
        <v>163</v>
      </c>
      <c r="I1599" t="s" s="17">
        <v>187</v>
      </c>
      <c r="J1599" t="s" s="17">
        <v>277</v>
      </c>
      <c r="K1599" t="s" s="17">
        <v>23</v>
      </c>
      <c r="L1599" s="15">
        <f>IF(O1599,P1599/O1599,0)</f>
        <v>140</v>
      </c>
      <c r="M1599" s="15">
        <v>140</v>
      </c>
      <c r="N1599" s="15">
        <f>A1599</f>
        <v>1597</v>
      </c>
      <c r="O1599" s="15">
        <v>1</v>
      </c>
      <c r="P1599" s="18">
        <v>140</v>
      </c>
      <c r="Q1599" s="16"/>
    </row>
    <row r="1600" ht="20.7" customHeight="1">
      <c r="A1600" s="13">
        <f>A1599+1</f>
        <v>1598</v>
      </c>
      <c r="B1600" s="14">
        <v>2024</v>
      </c>
      <c r="C1600" s="15">
        <v>1</v>
      </c>
      <c r="D1600" s="15">
        <v>4</v>
      </c>
      <c r="E1600" s="16"/>
      <c r="F1600" t="s" s="17">
        <v>428</v>
      </c>
      <c r="G1600" s="16"/>
      <c r="H1600" t="s" s="17">
        <v>163</v>
      </c>
      <c r="I1600" t="s" s="17">
        <v>19</v>
      </c>
      <c r="J1600" t="s" s="17">
        <v>139</v>
      </c>
      <c r="K1600" t="s" s="17">
        <v>23</v>
      </c>
      <c r="L1600" s="15">
        <f>IF(O1600,P1600/O1600,0)</f>
        <v>3.62505833333333</v>
      </c>
      <c r="M1600" s="15">
        <v>3.62505833333333</v>
      </c>
      <c r="N1600" s="15">
        <f>A1600</f>
        <v>1598</v>
      </c>
      <c r="O1600" s="19">
        <f t="shared" si="4968"/>
        <v>48</v>
      </c>
      <c r="P1600" s="47">
        <f t="shared" si="5476"/>
        <v>174.0028</v>
      </c>
      <c r="Q1600" s="21"/>
    </row>
    <row r="1601" ht="32.7" customHeight="1">
      <c r="A1601" s="13">
        <f>A1600+1</f>
        <v>1599</v>
      </c>
      <c r="B1601" s="14">
        <v>2024</v>
      </c>
      <c r="C1601" s="15">
        <v>1</v>
      </c>
      <c r="D1601" s="15">
        <v>4</v>
      </c>
      <c r="E1601" s="16"/>
      <c r="F1601" t="s" s="17">
        <v>428</v>
      </c>
      <c r="G1601" s="16"/>
      <c r="H1601" t="s" s="17">
        <v>163</v>
      </c>
      <c r="I1601" t="s" s="17">
        <v>19</v>
      </c>
      <c r="J1601" t="s" s="17">
        <v>448</v>
      </c>
      <c r="K1601" t="s" s="17">
        <v>16</v>
      </c>
      <c r="L1601" s="15">
        <f>IF(O1601,P1601/O1601,0)</f>
        <v>0.3372895</v>
      </c>
      <c r="M1601" s="15">
        <v>0.3372895</v>
      </c>
      <c r="N1601" s="15">
        <f>A1601</f>
        <v>1599</v>
      </c>
      <c r="O1601" s="19">
        <f t="shared" si="2770"/>
        <v>1000</v>
      </c>
      <c r="P1601" s="47">
        <f t="shared" si="5881" ref="P1601:P1891">333.95+333.95*1%</f>
        <v>337.2895</v>
      </c>
      <c r="Q1601" s="21"/>
    </row>
    <row r="1602" ht="32.7" customHeight="1">
      <c r="A1602" s="13">
        <f>A1601+1</f>
        <v>1600</v>
      </c>
      <c r="B1602" s="14">
        <v>2024</v>
      </c>
      <c r="C1602" s="15">
        <v>1</v>
      </c>
      <c r="D1602" s="15">
        <v>4</v>
      </c>
      <c r="E1602" s="16"/>
      <c r="F1602" t="s" s="17">
        <v>428</v>
      </c>
      <c r="G1602" s="16"/>
      <c r="H1602" t="s" s="17">
        <v>163</v>
      </c>
      <c r="I1602" t="s" s="17">
        <v>19</v>
      </c>
      <c r="J1602" t="s" s="17">
        <v>437</v>
      </c>
      <c r="K1602" t="s" s="17">
        <v>16</v>
      </c>
      <c r="L1602" s="15">
        <f>IF(O1602,P1602/O1602,0)</f>
        <v>0.389961</v>
      </c>
      <c r="M1602" s="15">
        <v>0.389961</v>
      </c>
      <c r="N1602" s="15">
        <f>A1602</f>
        <v>1600</v>
      </c>
      <c r="O1602" s="19">
        <f>4*1000</f>
        <v>4000</v>
      </c>
      <c r="P1602" s="46">
        <f t="shared" si="5177"/>
        <v>1559.844</v>
      </c>
      <c r="Q1602" s="21"/>
    </row>
    <row r="1603" ht="32.35" customHeight="1">
      <c r="A1603" s="13">
        <f>A1602+1</f>
        <v>1601</v>
      </c>
      <c r="B1603" s="14">
        <v>2024</v>
      </c>
      <c r="C1603" s="15">
        <v>1</v>
      </c>
      <c r="D1603" s="15">
        <v>4</v>
      </c>
      <c r="E1603" s="16"/>
      <c r="F1603" t="s" s="17">
        <v>471</v>
      </c>
      <c r="G1603" s="16"/>
      <c r="H1603" t="s" s="17">
        <v>163</v>
      </c>
      <c r="I1603" t="s" s="17">
        <v>187</v>
      </c>
      <c r="J1603" t="s" s="17">
        <v>355</v>
      </c>
      <c r="K1603" t="s" s="17">
        <v>23</v>
      </c>
      <c r="L1603" s="15">
        <f>IF(O1603,P1603/O1603,0)</f>
        <v>349</v>
      </c>
      <c r="M1603" s="15">
        <v>349</v>
      </c>
      <c r="N1603" s="15">
        <f>A1603</f>
        <v>1601</v>
      </c>
      <c r="O1603" s="15">
        <v>1</v>
      </c>
      <c r="P1603" s="22">
        <v>349</v>
      </c>
      <c r="Q1603" s="16"/>
    </row>
    <row r="1604" ht="32.05" customHeight="1">
      <c r="A1604" s="13">
        <f>A1603+1</f>
        <v>1602</v>
      </c>
      <c r="B1604" s="14">
        <v>2024</v>
      </c>
      <c r="C1604" s="15">
        <v>1</v>
      </c>
      <c r="D1604" s="15">
        <v>4</v>
      </c>
      <c r="E1604" s="16"/>
      <c r="F1604" t="s" s="17">
        <v>348</v>
      </c>
      <c r="G1604" s="16"/>
      <c r="H1604" t="s" s="17">
        <v>163</v>
      </c>
      <c r="I1604" t="s" s="17">
        <v>187</v>
      </c>
      <c r="J1604" t="s" s="17">
        <v>350</v>
      </c>
      <c r="K1604" t="s" s="17">
        <v>23</v>
      </c>
      <c r="L1604" s="15">
        <f>IF(O1604,P1604/O1604,0)</f>
        <v>5.17675</v>
      </c>
      <c r="M1604" s="15">
        <v>5.17675</v>
      </c>
      <c r="N1604" s="15">
        <f>A1604</f>
        <v>1602</v>
      </c>
      <c r="O1604" s="15">
        <f t="shared" si="5893" ref="O1604:O1708">2*40</f>
        <v>80</v>
      </c>
      <c r="P1604" s="15">
        <v>414.14</v>
      </c>
      <c r="Q1604" s="16"/>
    </row>
    <row r="1605" ht="32.05" customHeight="1">
      <c r="A1605" s="13">
        <f>A1604+1</f>
        <v>1603</v>
      </c>
      <c r="B1605" s="14">
        <v>2024</v>
      </c>
      <c r="C1605" s="15">
        <v>1</v>
      </c>
      <c r="D1605" s="15">
        <v>4</v>
      </c>
      <c r="E1605" s="16"/>
      <c r="F1605" t="s" s="17">
        <v>287</v>
      </c>
      <c r="G1605" s="16"/>
      <c r="H1605" t="s" s="17">
        <v>163</v>
      </c>
      <c r="I1605" t="s" s="17">
        <v>14</v>
      </c>
      <c r="J1605" t="s" s="17">
        <v>283</v>
      </c>
      <c r="K1605" t="s" s="17">
        <v>23</v>
      </c>
      <c r="L1605" s="15">
        <f>IF(O1605,P1605/O1605,0)</f>
        <v>35.8045</v>
      </c>
      <c r="M1605" s="15">
        <v>35.8045</v>
      </c>
      <c r="N1605" s="15">
        <f>A1605</f>
        <v>1603</v>
      </c>
      <c r="O1605" s="15">
        <f t="shared" si="5234"/>
        <v>20</v>
      </c>
      <c r="P1605" s="41">
        <f t="shared" si="5667"/>
        <v>716.09</v>
      </c>
      <c r="Q1605" s="16"/>
    </row>
    <row r="1606" ht="20.05" customHeight="1">
      <c r="A1606" s="13">
        <f>A1605+1</f>
        <v>1604</v>
      </c>
      <c r="B1606" s="14">
        <v>2024</v>
      </c>
      <c r="C1606" s="15">
        <v>1</v>
      </c>
      <c r="D1606" s="15">
        <v>4</v>
      </c>
      <c r="E1606" s="16"/>
      <c r="F1606" t="s" s="17">
        <v>287</v>
      </c>
      <c r="G1606" s="16"/>
      <c r="H1606" t="s" s="17">
        <v>163</v>
      </c>
      <c r="I1606" t="s" s="17">
        <v>14</v>
      </c>
      <c r="J1606" t="s" s="17">
        <v>289</v>
      </c>
      <c r="K1606" t="s" s="17">
        <v>23</v>
      </c>
      <c r="L1606" s="15">
        <f>IF(O1606,P1606/O1606,0)</f>
        <v>32.724</v>
      </c>
      <c r="M1606" s="15">
        <v>32.724</v>
      </c>
      <c r="N1606" s="15">
        <f>A1606</f>
        <v>1604</v>
      </c>
      <c r="O1606" s="15">
        <v>10</v>
      </c>
      <c r="P1606" s="41">
        <f>324+(324*1%)</f>
        <v>327.24</v>
      </c>
      <c r="Q1606" s="16"/>
    </row>
    <row r="1607" ht="32.05" customHeight="1">
      <c r="A1607" s="13">
        <f>A1606+1</f>
        <v>1605</v>
      </c>
      <c r="B1607" s="14">
        <v>2024</v>
      </c>
      <c r="C1607" s="15">
        <v>1</v>
      </c>
      <c r="D1607" s="15">
        <v>4</v>
      </c>
      <c r="E1607" s="16"/>
      <c r="F1607" t="s" s="17">
        <v>287</v>
      </c>
      <c r="G1607" s="16"/>
      <c r="H1607" t="s" s="17">
        <v>163</v>
      </c>
      <c r="I1607" s="16"/>
      <c r="J1607" t="s" s="17">
        <v>376</v>
      </c>
      <c r="K1607" t="s" s="17">
        <v>23</v>
      </c>
      <c r="L1607" s="15">
        <f>IF(O1607,P1607/O1607,0)</f>
        <v>-425.44</v>
      </c>
      <c r="M1607" s="15">
        <v>-425.44</v>
      </c>
      <c r="N1607" s="15">
        <f>A1607</f>
        <v>1605</v>
      </c>
      <c r="O1607" s="15">
        <v>1</v>
      </c>
      <c r="P1607" s="15">
        <v>-425.44</v>
      </c>
      <c r="Q1607" s="16"/>
    </row>
    <row r="1608" ht="20.05" customHeight="1">
      <c r="A1608" s="13">
        <f>A1607+1</f>
        <v>1606</v>
      </c>
      <c r="B1608" s="14">
        <v>2024</v>
      </c>
      <c r="C1608" s="15">
        <v>1</v>
      </c>
      <c r="D1608" s="15">
        <v>4</v>
      </c>
      <c r="E1608" s="16"/>
      <c r="F1608" t="s" s="17">
        <v>130</v>
      </c>
      <c r="G1608" s="16"/>
      <c r="H1608" t="s" s="17">
        <v>163</v>
      </c>
      <c r="I1608" t="s" s="17">
        <v>19</v>
      </c>
      <c r="J1608" t="s" s="17">
        <v>157</v>
      </c>
      <c r="K1608" t="s" s="17">
        <v>16</v>
      </c>
      <c r="L1608" s="15">
        <f>IF(O1608,P1608/O1608,0)</f>
        <v>0.019951690821256</v>
      </c>
      <c r="M1608" s="15">
        <v>0.019951690821256</v>
      </c>
      <c r="N1608" s="15">
        <f>A1608</f>
        <v>1606</v>
      </c>
      <c r="O1608" s="15">
        <v>2070</v>
      </c>
      <c r="P1608" s="15">
        <v>41.3</v>
      </c>
      <c r="Q1608" s="16"/>
    </row>
    <row r="1609" ht="20.05" customHeight="1">
      <c r="A1609" s="13">
        <f>A1608+1</f>
        <v>1607</v>
      </c>
      <c r="B1609" s="14">
        <v>2024</v>
      </c>
      <c r="C1609" s="15">
        <v>1</v>
      </c>
      <c r="D1609" s="15">
        <v>4</v>
      </c>
      <c r="E1609" s="16"/>
      <c r="F1609" t="s" s="17">
        <v>356</v>
      </c>
      <c r="G1609" s="16"/>
      <c r="H1609" t="s" s="17">
        <v>163</v>
      </c>
      <c r="I1609" t="s" s="17">
        <v>357</v>
      </c>
      <c r="J1609" t="s" s="17">
        <v>358</v>
      </c>
      <c r="K1609" t="s" s="17">
        <v>23</v>
      </c>
      <c r="L1609" s="15">
        <f>IF(O1609,P1609/O1609,0)</f>
        <v>2.37474</v>
      </c>
      <c r="M1609" s="15">
        <v>2.37474</v>
      </c>
      <c r="N1609" s="15">
        <f>A1609</f>
        <v>1607</v>
      </c>
      <c r="O1609" s="15">
        <v>400</v>
      </c>
      <c r="P1609" s="42">
        <f>791.58+791.58*20%</f>
        <v>949.896</v>
      </c>
      <c r="Q1609" s="16"/>
    </row>
    <row r="1610" ht="20.05" customHeight="1">
      <c r="A1610" s="13">
        <f>A1609+1</f>
        <v>1608</v>
      </c>
      <c r="B1610" s="14">
        <v>2024</v>
      </c>
      <c r="C1610" s="15">
        <v>1</v>
      </c>
      <c r="D1610" s="15">
        <v>5</v>
      </c>
      <c r="E1610" s="16"/>
      <c r="F1610" t="s" s="17">
        <v>324</v>
      </c>
      <c r="G1610" s="16"/>
      <c r="H1610" t="s" s="17">
        <v>163</v>
      </c>
      <c r="I1610" t="s" s="17">
        <v>357</v>
      </c>
      <c r="J1610" t="s" s="17">
        <v>472</v>
      </c>
      <c r="K1610" t="s" s="17">
        <v>23</v>
      </c>
      <c r="L1610" s="15">
        <f>IF(O1610,P1610/O1610,0)</f>
        <v>30</v>
      </c>
      <c r="M1610" s="15">
        <v>30</v>
      </c>
      <c r="N1610" s="15">
        <f>A1610</f>
        <v>1608</v>
      </c>
      <c r="O1610" s="15">
        <v>5</v>
      </c>
      <c r="P1610" s="15">
        <v>150</v>
      </c>
      <c r="Q1610" s="16"/>
    </row>
    <row r="1611" ht="20.05" customHeight="1">
      <c r="A1611" s="13">
        <f>A1610+1</f>
        <v>1609</v>
      </c>
      <c r="B1611" s="14">
        <v>2024</v>
      </c>
      <c r="C1611" s="15">
        <v>1</v>
      </c>
      <c r="D1611" s="15">
        <v>6</v>
      </c>
      <c r="E1611" s="16"/>
      <c r="F1611" t="s" s="17">
        <v>141</v>
      </c>
      <c r="G1611" s="16"/>
      <c r="H1611" t="s" s="17">
        <v>163</v>
      </c>
      <c r="I1611" t="s" s="17">
        <v>19</v>
      </c>
      <c r="J1611" t="s" s="17">
        <v>142</v>
      </c>
      <c r="K1611" t="s" s="17">
        <v>23</v>
      </c>
      <c r="L1611" s="15">
        <f>IF(O1611,P1611/O1611,0)</f>
        <v>13.85175</v>
      </c>
      <c r="M1611" s="15">
        <v>13.85175</v>
      </c>
      <c r="N1611" s="15">
        <f>A1611</f>
        <v>1609</v>
      </c>
      <c r="O1611" s="15">
        <v>24</v>
      </c>
      <c r="P1611" s="42">
        <f t="shared" si="5919" ref="P1611:P1727">302.22+302.22*10%</f>
        <v>332.442</v>
      </c>
      <c r="Q1611" s="16"/>
    </row>
    <row r="1612" ht="20.05" customHeight="1">
      <c r="A1612" s="13">
        <f>A1611+1</f>
        <v>1610</v>
      </c>
      <c r="B1612" s="14">
        <v>2024</v>
      </c>
      <c r="C1612" s="15">
        <v>1</v>
      </c>
      <c r="D1612" s="15">
        <v>6</v>
      </c>
      <c r="E1612" s="16"/>
      <c r="F1612" t="s" s="17">
        <v>141</v>
      </c>
      <c r="G1612" s="16"/>
      <c r="H1612" t="s" s="17">
        <v>163</v>
      </c>
      <c r="I1612" t="s" s="17">
        <v>19</v>
      </c>
      <c r="J1612" t="s" s="17">
        <v>159</v>
      </c>
      <c r="K1612" t="s" s="17">
        <v>23</v>
      </c>
      <c r="L1612" s="15">
        <f>IF(O1612,P1612/O1612,0)</f>
        <v>2.60011875</v>
      </c>
      <c r="M1612" s="15">
        <v>2.60011875</v>
      </c>
      <c r="N1612" s="15">
        <f>A1612</f>
        <v>1610</v>
      </c>
      <c r="O1612" s="15">
        <f t="shared" si="3537"/>
        <v>96</v>
      </c>
      <c r="P1612" s="43">
        <f>247.14+247.14*1%</f>
        <v>249.6114</v>
      </c>
      <c r="Q1612" s="16"/>
    </row>
    <row r="1613" ht="20.05" customHeight="1">
      <c r="A1613" s="13">
        <f>A1612+1</f>
        <v>1611</v>
      </c>
      <c r="B1613" s="14">
        <v>2024</v>
      </c>
      <c r="C1613" s="15">
        <v>1</v>
      </c>
      <c r="D1613" s="15">
        <v>6</v>
      </c>
      <c r="E1613" s="16"/>
      <c r="F1613" t="s" s="17">
        <v>141</v>
      </c>
      <c r="G1613" s="16"/>
      <c r="H1613" t="s" s="17">
        <v>163</v>
      </c>
      <c r="I1613" t="s" s="17">
        <v>19</v>
      </c>
      <c r="J1613" t="s" s="17">
        <v>337</v>
      </c>
      <c r="K1613" t="s" s="17">
        <v>23</v>
      </c>
      <c r="L1613" s="15">
        <f>IF(O1613,P1613/O1613,0)</f>
        <v>-114</v>
      </c>
      <c r="M1613" s="15">
        <v>-114</v>
      </c>
      <c r="N1613" s="15">
        <f>A1613</f>
        <v>1611</v>
      </c>
      <c r="O1613" s="15">
        <v>1</v>
      </c>
      <c r="P1613" s="15">
        <v>-114</v>
      </c>
      <c r="Q1613" s="16"/>
    </row>
    <row r="1614" ht="20.05" customHeight="1">
      <c r="A1614" s="13">
        <f>A1613+1</f>
        <v>1612</v>
      </c>
      <c r="B1614" s="14">
        <v>2024</v>
      </c>
      <c r="C1614" s="15">
        <v>1</v>
      </c>
      <c r="D1614" s="15">
        <v>6</v>
      </c>
      <c r="E1614" s="16"/>
      <c r="F1614" t="s" s="17">
        <v>287</v>
      </c>
      <c r="G1614" s="16"/>
      <c r="H1614" t="s" s="17">
        <v>163</v>
      </c>
      <c r="I1614" t="s" s="17">
        <v>14</v>
      </c>
      <c r="J1614" t="s" s="17">
        <v>289</v>
      </c>
      <c r="K1614" t="s" s="17">
        <v>23</v>
      </c>
      <c r="L1614" s="15">
        <f>IF(O1614,P1614/O1614,0)</f>
        <v>44.9955</v>
      </c>
      <c r="M1614" s="15">
        <v>44.9955</v>
      </c>
      <c r="N1614" s="15">
        <f>A1614</f>
        <v>1612</v>
      </c>
      <c r="O1614" s="15">
        <v>10</v>
      </c>
      <c r="P1614" s="42">
        <f t="shared" si="5931" ref="P1614:P1838">445.5+445.5*1%</f>
        <v>449.955</v>
      </c>
      <c r="Q1614" s="16"/>
    </row>
    <row r="1615" ht="20.05" customHeight="1">
      <c r="A1615" s="13">
        <f>A1614+1</f>
        <v>1613</v>
      </c>
      <c r="B1615" s="14">
        <v>2024</v>
      </c>
      <c r="C1615" s="15">
        <v>1</v>
      </c>
      <c r="D1615" s="15">
        <v>6</v>
      </c>
      <c r="E1615" s="16"/>
      <c r="F1615" t="s" s="17">
        <v>287</v>
      </c>
      <c r="G1615" s="16"/>
      <c r="H1615" t="s" s="17">
        <v>163</v>
      </c>
      <c r="I1615" t="s" s="17">
        <v>14</v>
      </c>
      <c r="J1615" t="s" s="17">
        <v>288</v>
      </c>
      <c r="K1615" t="s" s="17">
        <v>23</v>
      </c>
      <c r="L1615" s="15">
        <f>IF(O1615,P1615/O1615,0)</f>
        <v>55.9427777777778</v>
      </c>
      <c r="M1615" s="15">
        <v>55.9427777777778</v>
      </c>
      <c r="N1615" s="15">
        <f>A1615</f>
        <v>1613</v>
      </c>
      <c r="O1615" s="15">
        <f t="shared" si="5671"/>
        <v>18</v>
      </c>
      <c r="P1615" s="41">
        <f t="shared" si="5936" ref="P1615:P2069">997+997*1%</f>
        <v>1006.97</v>
      </c>
      <c r="Q1615" s="16"/>
    </row>
    <row r="1616" ht="32.05" customHeight="1">
      <c r="A1616" s="13">
        <f>A1615+1</f>
        <v>1614</v>
      </c>
      <c r="B1616" s="14">
        <v>2024</v>
      </c>
      <c r="C1616" s="15">
        <v>1</v>
      </c>
      <c r="D1616" s="15">
        <v>6</v>
      </c>
      <c r="E1616" s="16"/>
      <c r="F1616" t="s" s="17">
        <v>287</v>
      </c>
      <c r="G1616" s="16"/>
      <c r="H1616" t="s" s="17">
        <v>163</v>
      </c>
      <c r="I1616" t="s" s="17">
        <v>17</v>
      </c>
      <c r="J1616" t="s" s="17">
        <v>300</v>
      </c>
      <c r="K1616" t="s" s="17">
        <v>23</v>
      </c>
      <c r="L1616" s="15">
        <f>IF(O1616,P1616/O1616,0)</f>
        <v>35.2995</v>
      </c>
      <c r="M1616" s="15">
        <v>35.2995</v>
      </c>
      <c r="N1616" s="15">
        <f>A1616</f>
        <v>1614</v>
      </c>
      <c r="O1616" s="15">
        <v>24</v>
      </c>
      <c r="P1616" s="42">
        <f t="shared" si="5940" ref="P1616:P1839">838.8+838.8*1%</f>
        <v>847.188</v>
      </c>
      <c r="Q1616" s="16"/>
    </row>
    <row r="1617" ht="32.05" customHeight="1">
      <c r="A1617" s="13">
        <f>A1616+1</f>
        <v>1615</v>
      </c>
      <c r="B1617" s="14">
        <v>2024</v>
      </c>
      <c r="C1617" s="15">
        <v>1</v>
      </c>
      <c r="D1617" s="15">
        <v>6</v>
      </c>
      <c r="E1617" s="16"/>
      <c r="F1617" t="s" s="17">
        <v>287</v>
      </c>
      <c r="G1617" s="16"/>
      <c r="H1617" t="s" s="17">
        <v>163</v>
      </c>
      <c r="I1617" t="s" s="17">
        <v>17</v>
      </c>
      <c r="J1617" t="s" s="17">
        <v>299</v>
      </c>
      <c r="K1617" t="s" s="17">
        <v>23</v>
      </c>
      <c r="L1617" s="15">
        <f>IF(O1617,P1617/O1617,0)</f>
        <v>40.9959</v>
      </c>
      <c r="M1617" s="15">
        <v>40.9959</v>
      </c>
      <c r="N1617" s="15">
        <f>A1617</f>
        <v>1615</v>
      </c>
      <c r="O1617" s="15">
        <v>24</v>
      </c>
      <c r="P1617" s="43">
        <f t="shared" si="5944" ref="P1617:P1826">974.16+974.16*1%</f>
        <v>983.9016</v>
      </c>
      <c r="Q1617" s="16"/>
    </row>
    <row r="1618" ht="32.05" customHeight="1">
      <c r="A1618" s="13">
        <f>A1617+1</f>
        <v>1616</v>
      </c>
      <c r="B1618" s="14">
        <v>2024</v>
      </c>
      <c r="C1618" s="15">
        <v>1</v>
      </c>
      <c r="D1618" s="15">
        <v>6</v>
      </c>
      <c r="E1618" s="16"/>
      <c r="F1618" t="s" s="17">
        <v>287</v>
      </c>
      <c r="G1618" s="16"/>
      <c r="H1618" t="s" s="17">
        <v>163</v>
      </c>
      <c r="I1618" s="16"/>
      <c r="J1618" t="s" s="17">
        <v>376</v>
      </c>
      <c r="K1618" t="s" s="17">
        <v>23</v>
      </c>
      <c r="L1618" s="15">
        <f>IF(O1618,P1618/O1618,0)</f>
        <v>-2000</v>
      </c>
      <c r="M1618" s="15">
        <v>-2000</v>
      </c>
      <c r="N1618" s="15">
        <f>A1618</f>
        <v>1616</v>
      </c>
      <c r="O1618" s="15">
        <v>1</v>
      </c>
      <c r="P1618" s="15">
        <v>-2000</v>
      </c>
      <c r="Q1618" s="16"/>
    </row>
    <row r="1619" ht="20.05" customHeight="1">
      <c r="A1619" s="13">
        <f>A1618+1</f>
        <v>1617</v>
      </c>
      <c r="B1619" s="14">
        <v>2024</v>
      </c>
      <c r="C1619" s="15">
        <v>1</v>
      </c>
      <c r="D1619" s="15">
        <v>6</v>
      </c>
      <c r="E1619" s="16"/>
      <c r="F1619" t="s" s="17">
        <v>130</v>
      </c>
      <c r="G1619" s="16"/>
      <c r="H1619" t="s" s="17">
        <v>163</v>
      </c>
      <c r="I1619" t="s" s="17">
        <v>26</v>
      </c>
      <c r="J1619" t="s" s="17">
        <v>118</v>
      </c>
      <c r="K1619" t="s" s="17">
        <v>23</v>
      </c>
      <c r="L1619" s="15">
        <f>IF(O1619,P1619/O1619,0)</f>
        <v>39.95</v>
      </c>
      <c r="M1619" s="15">
        <v>39.95</v>
      </c>
      <c r="N1619" s="15">
        <f>A1619</f>
        <v>1617</v>
      </c>
      <c r="O1619" s="15">
        <v>5</v>
      </c>
      <c r="P1619" s="15">
        <v>199.75</v>
      </c>
      <c r="Q1619" s="16"/>
    </row>
    <row r="1620" ht="20.05" customHeight="1">
      <c r="A1620" s="13">
        <f>A1619+1</f>
        <v>1618</v>
      </c>
      <c r="B1620" s="14">
        <v>2024</v>
      </c>
      <c r="C1620" s="15">
        <v>1</v>
      </c>
      <c r="D1620" s="15">
        <v>6</v>
      </c>
      <c r="E1620" s="16"/>
      <c r="F1620" t="s" s="17">
        <v>130</v>
      </c>
      <c r="G1620" s="16"/>
      <c r="H1620" t="s" s="17">
        <v>163</v>
      </c>
      <c r="I1620" t="s" s="17">
        <v>26</v>
      </c>
      <c r="J1620" t="s" s="17">
        <v>117</v>
      </c>
      <c r="K1620" t="s" s="17">
        <v>23</v>
      </c>
      <c r="L1620" s="15">
        <f>IF(O1620,P1620/O1620,0)</f>
        <v>38.95</v>
      </c>
      <c r="M1620" s="15">
        <v>38.95</v>
      </c>
      <c r="N1620" s="15">
        <f>A1620</f>
        <v>1618</v>
      </c>
      <c r="O1620" s="15">
        <v>5</v>
      </c>
      <c r="P1620" s="15">
        <v>194.75</v>
      </c>
      <c r="Q1620" s="16"/>
    </row>
    <row r="1621" ht="20.05" customHeight="1">
      <c r="A1621" s="13">
        <f>A1620+1</f>
        <v>1619</v>
      </c>
      <c r="B1621" s="14">
        <v>2024</v>
      </c>
      <c r="C1621" s="15">
        <v>1</v>
      </c>
      <c r="D1621" s="15">
        <v>6</v>
      </c>
      <c r="E1621" s="16"/>
      <c r="F1621" t="s" s="17">
        <v>130</v>
      </c>
      <c r="G1621" s="16"/>
      <c r="H1621" t="s" s="17">
        <v>163</v>
      </c>
      <c r="I1621" t="s" s="17">
        <v>26</v>
      </c>
      <c r="J1621" t="s" s="17">
        <v>113</v>
      </c>
      <c r="K1621" t="s" s="17">
        <v>41</v>
      </c>
      <c r="L1621" s="15">
        <f>IF(O1621,P1621/O1621,0)</f>
        <v>0.3475</v>
      </c>
      <c r="M1621" s="15">
        <v>0.3475</v>
      </c>
      <c r="N1621" s="15">
        <f>A1621</f>
        <v>1619</v>
      </c>
      <c r="O1621" s="15">
        <v>200</v>
      </c>
      <c r="P1621" s="15">
        <v>69.5</v>
      </c>
      <c r="Q1621" s="16"/>
    </row>
    <row r="1622" ht="20.05" customHeight="1">
      <c r="A1622" s="13">
        <f>A1621+1</f>
        <v>1620</v>
      </c>
      <c r="B1622" s="14">
        <v>2024</v>
      </c>
      <c r="C1622" s="15">
        <v>1</v>
      </c>
      <c r="D1622" s="15">
        <v>6</v>
      </c>
      <c r="E1622" s="16"/>
      <c r="F1622" t="s" s="17">
        <v>130</v>
      </c>
      <c r="G1622" s="16"/>
      <c r="H1622" t="s" s="17">
        <v>163</v>
      </c>
      <c r="I1622" t="s" s="17">
        <v>26</v>
      </c>
      <c r="J1622" t="s" s="17">
        <v>27</v>
      </c>
      <c r="K1622" t="s" s="17">
        <v>16</v>
      </c>
      <c r="L1622" s="15">
        <f>IF(O1622,P1622/O1622,0)</f>
        <v>0.725454545454545</v>
      </c>
      <c r="M1622" s="15">
        <v>0.725454545454545</v>
      </c>
      <c r="N1622" s="15">
        <f>A1622</f>
        <v>1620</v>
      </c>
      <c r="O1622" s="15">
        <v>55</v>
      </c>
      <c r="P1622" s="15">
        <v>39.9</v>
      </c>
      <c r="Q1622" s="16"/>
    </row>
    <row r="1623" ht="20.05" customHeight="1">
      <c r="A1623" s="13">
        <f>A1622+1</f>
        <v>1621</v>
      </c>
      <c r="B1623" s="14">
        <v>2024</v>
      </c>
      <c r="C1623" s="15">
        <v>1</v>
      </c>
      <c r="D1623" s="15">
        <v>6</v>
      </c>
      <c r="E1623" s="16"/>
      <c r="F1623" t="s" s="17">
        <v>130</v>
      </c>
      <c r="G1623" s="16"/>
      <c r="H1623" t="s" s="17">
        <v>163</v>
      </c>
      <c r="I1623" t="s" s="17">
        <v>26</v>
      </c>
      <c r="J1623" t="s" s="17">
        <v>82</v>
      </c>
      <c r="K1623" t="s" s="17">
        <v>16</v>
      </c>
      <c r="L1623" s="15">
        <f>IF(O1623,P1623/O1623,0)</f>
        <v>0.0299</v>
      </c>
      <c r="M1623" s="15">
        <v>0.0299</v>
      </c>
      <c r="N1623" s="15">
        <f>A1623</f>
        <v>1621</v>
      </c>
      <c r="O1623" s="15">
        <v>5000</v>
      </c>
      <c r="P1623" s="15">
        <v>149.5</v>
      </c>
      <c r="Q1623" s="16"/>
    </row>
    <row r="1624" ht="20.05" customHeight="1">
      <c r="A1624" s="13">
        <f>A1623+1</f>
        <v>1622</v>
      </c>
      <c r="B1624" s="14">
        <v>2024</v>
      </c>
      <c r="C1624" s="15">
        <v>1</v>
      </c>
      <c r="D1624" s="15">
        <v>7</v>
      </c>
      <c r="E1624" s="16"/>
      <c r="F1624" t="s" s="17">
        <v>130</v>
      </c>
      <c r="G1624" s="16"/>
      <c r="H1624" t="s" s="17">
        <v>163</v>
      </c>
      <c r="I1624" t="s" s="17">
        <v>19</v>
      </c>
      <c r="J1624" t="s" s="17">
        <v>157</v>
      </c>
      <c r="K1624" t="s" s="17">
        <v>16</v>
      </c>
      <c r="L1624" s="15">
        <f>IF(O1624,P1624/O1624,0)</f>
        <v>0.0199682203389831</v>
      </c>
      <c r="M1624" s="15">
        <v>0.0199682203389831</v>
      </c>
      <c r="N1624" s="15">
        <f>A1624</f>
        <v>1622</v>
      </c>
      <c r="O1624" s="15">
        <v>944</v>
      </c>
      <c r="P1624" s="15">
        <v>18.85</v>
      </c>
      <c r="Q1624" s="16"/>
    </row>
    <row r="1625" ht="20.05" customHeight="1">
      <c r="A1625" s="13">
        <f>A1624+1</f>
        <v>1623</v>
      </c>
      <c r="B1625" s="14">
        <v>2024</v>
      </c>
      <c r="C1625" s="15">
        <v>1</v>
      </c>
      <c r="D1625" s="15">
        <v>7</v>
      </c>
      <c r="E1625" s="16"/>
      <c r="F1625" t="s" s="17">
        <v>130</v>
      </c>
      <c r="G1625" s="16"/>
      <c r="H1625" t="s" s="17">
        <v>163</v>
      </c>
      <c r="I1625" t="s" s="17">
        <v>26</v>
      </c>
      <c r="J1625" t="s" s="17">
        <v>27</v>
      </c>
      <c r="K1625" t="s" s="17">
        <v>16</v>
      </c>
      <c r="L1625" s="15">
        <f>IF(O1625,P1625/O1625,0)</f>
        <v>0.725454545454545</v>
      </c>
      <c r="M1625" s="15">
        <v>0.725454545454545</v>
      </c>
      <c r="N1625" s="15">
        <f>A1625</f>
        <v>1623</v>
      </c>
      <c r="O1625" s="15">
        <v>55</v>
      </c>
      <c r="P1625" s="15">
        <v>39.9</v>
      </c>
      <c r="Q1625" s="16"/>
    </row>
    <row r="1626" ht="20.05" customHeight="1">
      <c r="A1626" s="13">
        <f>A1625+1</f>
        <v>1624</v>
      </c>
      <c r="B1626" s="14">
        <v>2024</v>
      </c>
      <c r="C1626" s="15">
        <v>1</v>
      </c>
      <c r="D1626" s="15">
        <v>7</v>
      </c>
      <c r="E1626" s="16"/>
      <c r="F1626" t="s" s="17">
        <v>130</v>
      </c>
      <c r="G1626" s="16"/>
      <c r="H1626" t="s" s="17">
        <v>163</v>
      </c>
      <c r="I1626" t="s" s="17">
        <v>26</v>
      </c>
      <c r="J1626" t="s" s="17">
        <v>113</v>
      </c>
      <c r="K1626" t="s" s="17">
        <v>41</v>
      </c>
      <c r="L1626" s="15">
        <f>IF(O1626,P1626/O1626,0)</f>
        <v>0.03475</v>
      </c>
      <c r="M1626" s="15">
        <v>0.03475</v>
      </c>
      <c r="N1626" s="15">
        <f>A1626</f>
        <v>1624</v>
      </c>
      <c r="O1626" s="15">
        <v>2000</v>
      </c>
      <c r="P1626" s="15">
        <v>69.5</v>
      </c>
      <c r="Q1626" s="16"/>
    </row>
    <row r="1627" ht="20.05" customHeight="1">
      <c r="A1627" s="13">
        <f>A1626+1</f>
        <v>1625</v>
      </c>
      <c r="B1627" s="14">
        <v>2024</v>
      </c>
      <c r="C1627" s="15">
        <v>1</v>
      </c>
      <c r="D1627" s="15">
        <v>7</v>
      </c>
      <c r="E1627" s="16"/>
      <c r="F1627" t="s" s="17">
        <v>130</v>
      </c>
      <c r="G1627" s="16"/>
      <c r="H1627" t="s" s="17">
        <v>163</v>
      </c>
      <c r="I1627" t="s" s="17">
        <v>26</v>
      </c>
      <c r="J1627" t="s" s="17">
        <v>134</v>
      </c>
      <c r="K1627" t="s" s="17">
        <v>23</v>
      </c>
      <c r="L1627" s="15">
        <f>IF(O1627,P1627/O1627,0)</f>
        <v>39.95</v>
      </c>
      <c r="M1627" s="15">
        <v>39.95</v>
      </c>
      <c r="N1627" s="15">
        <f>A1627</f>
        <v>1625</v>
      </c>
      <c r="O1627" s="15">
        <v>5</v>
      </c>
      <c r="P1627" s="15">
        <v>199.75</v>
      </c>
      <c r="Q1627" s="16"/>
    </row>
    <row r="1628" ht="20.05" customHeight="1">
      <c r="A1628" s="13">
        <f>A1627+1</f>
        <v>1626</v>
      </c>
      <c r="B1628" s="14">
        <v>2024</v>
      </c>
      <c r="C1628" s="15">
        <v>1</v>
      </c>
      <c r="D1628" s="15">
        <v>7</v>
      </c>
      <c r="E1628" s="16"/>
      <c r="F1628" t="s" s="17">
        <v>130</v>
      </c>
      <c r="G1628" s="16"/>
      <c r="H1628" t="s" s="17">
        <v>163</v>
      </c>
      <c r="I1628" t="s" s="17">
        <v>26</v>
      </c>
      <c r="J1628" t="s" s="17">
        <v>118</v>
      </c>
      <c r="K1628" t="s" s="17">
        <v>23</v>
      </c>
      <c r="L1628" s="15">
        <f>IF(O1628,P1628/O1628,0)</f>
        <v>39.95</v>
      </c>
      <c r="M1628" s="15">
        <v>39.95</v>
      </c>
      <c r="N1628" s="15">
        <f>A1628</f>
        <v>1626</v>
      </c>
      <c r="O1628" s="15">
        <v>5</v>
      </c>
      <c r="P1628" s="15">
        <v>199.75</v>
      </c>
      <c r="Q1628" s="16"/>
    </row>
    <row r="1629" ht="20.05" customHeight="1">
      <c r="A1629" s="13">
        <f>A1628+1</f>
        <v>1627</v>
      </c>
      <c r="B1629" s="14">
        <v>2024</v>
      </c>
      <c r="C1629" s="15">
        <v>1</v>
      </c>
      <c r="D1629" s="15">
        <v>7</v>
      </c>
      <c r="E1629" s="16"/>
      <c r="F1629" t="s" s="17">
        <v>130</v>
      </c>
      <c r="G1629" s="16"/>
      <c r="H1629" t="s" s="17">
        <v>163</v>
      </c>
      <c r="I1629" t="s" s="17">
        <v>26</v>
      </c>
      <c r="J1629" t="s" s="17">
        <v>117</v>
      </c>
      <c r="K1629" t="s" s="17">
        <v>23</v>
      </c>
      <c r="L1629" s="15">
        <f>IF(O1629,P1629/O1629,0)</f>
        <v>38.95</v>
      </c>
      <c r="M1629" s="15">
        <v>38.95</v>
      </c>
      <c r="N1629" s="15">
        <f>A1629</f>
        <v>1627</v>
      </c>
      <c r="O1629" s="15">
        <v>5</v>
      </c>
      <c r="P1629" s="15">
        <v>194.75</v>
      </c>
      <c r="Q1629" s="16"/>
    </row>
    <row r="1630" ht="20.05" customHeight="1">
      <c r="A1630" s="13">
        <f>A1629+1</f>
        <v>1628</v>
      </c>
      <c r="B1630" s="14">
        <v>2024</v>
      </c>
      <c r="C1630" s="15">
        <v>1</v>
      </c>
      <c r="D1630" s="15">
        <v>8</v>
      </c>
      <c r="E1630" s="16"/>
      <c r="F1630" t="s" s="17">
        <v>130</v>
      </c>
      <c r="G1630" s="16"/>
      <c r="H1630" t="s" s="17">
        <v>163</v>
      </c>
      <c r="I1630" t="s" s="17">
        <v>26</v>
      </c>
      <c r="J1630" t="s" s="17">
        <v>113</v>
      </c>
      <c r="K1630" t="s" s="17">
        <v>41</v>
      </c>
      <c r="L1630" s="15">
        <f>IF(O1630,P1630/O1630,0)</f>
        <v>0.03475</v>
      </c>
      <c r="M1630" s="15">
        <v>0.03475</v>
      </c>
      <c r="N1630" s="15">
        <f>A1630</f>
        <v>1628</v>
      </c>
      <c r="O1630" s="15">
        <v>2000</v>
      </c>
      <c r="P1630" s="15">
        <v>69.5</v>
      </c>
      <c r="Q1630" s="16"/>
    </row>
    <row r="1631" ht="20.05" customHeight="1">
      <c r="A1631" s="13">
        <f>A1630+1</f>
        <v>1629</v>
      </c>
      <c r="B1631" s="14">
        <v>2024</v>
      </c>
      <c r="C1631" s="15">
        <v>1</v>
      </c>
      <c r="D1631" s="15">
        <v>8</v>
      </c>
      <c r="E1631" s="16"/>
      <c r="F1631" t="s" s="17">
        <v>130</v>
      </c>
      <c r="G1631" s="16"/>
      <c r="H1631" t="s" s="17">
        <v>163</v>
      </c>
      <c r="I1631" t="s" s="17">
        <v>19</v>
      </c>
      <c r="J1631" t="s" s="17">
        <v>418</v>
      </c>
      <c r="K1631" t="s" s="17">
        <v>23</v>
      </c>
      <c r="L1631" s="15">
        <f>IF(O1631,P1631/O1631,0)</f>
        <v>3.95</v>
      </c>
      <c r="M1631" s="15">
        <v>3.95</v>
      </c>
      <c r="N1631" s="15">
        <f>A1631</f>
        <v>1629</v>
      </c>
      <c r="O1631" s="15">
        <v>10</v>
      </c>
      <c r="P1631" s="15">
        <v>39.5</v>
      </c>
      <c r="Q1631" s="16"/>
    </row>
    <row r="1632" ht="20.05" customHeight="1">
      <c r="A1632" s="13">
        <f>A1631+1</f>
        <v>1630</v>
      </c>
      <c r="B1632" s="14">
        <v>2024</v>
      </c>
      <c r="C1632" s="15">
        <v>1</v>
      </c>
      <c r="D1632" s="15">
        <v>10</v>
      </c>
      <c r="E1632" s="16"/>
      <c r="F1632" t="s" s="17">
        <v>111</v>
      </c>
      <c r="G1632" s="16"/>
      <c r="H1632" t="s" s="17">
        <v>163</v>
      </c>
      <c r="I1632" t="s" s="17">
        <v>26</v>
      </c>
      <c r="J1632" t="s" s="17">
        <v>113</v>
      </c>
      <c r="K1632" t="s" s="17">
        <v>41</v>
      </c>
      <c r="L1632" s="15">
        <f>IF(O1632,P1632/O1632,0)</f>
        <v>0.0316933333333333</v>
      </c>
      <c r="M1632" s="15">
        <v>0.0316933333333333</v>
      </c>
      <c r="N1632" s="15">
        <f>A1632</f>
        <v>1630</v>
      </c>
      <c r="O1632" s="15">
        <v>3000</v>
      </c>
      <c r="P1632" s="15">
        <v>95.08</v>
      </c>
      <c r="Q1632" s="16"/>
    </row>
    <row r="1633" ht="20.05" customHeight="1">
      <c r="A1633" s="13">
        <f>A1632+1</f>
        <v>1631</v>
      </c>
      <c r="B1633" s="14">
        <v>2024</v>
      </c>
      <c r="C1633" s="15">
        <v>1</v>
      </c>
      <c r="D1633" s="15">
        <v>10</v>
      </c>
      <c r="E1633" s="16"/>
      <c r="F1633" t="s" s="17">
        <v>111</v>
      </c>
      <c r="G1633" s="16"/>
      <c r="H1633" t="s" s="17">
        <v>163</v>
      </c>
      <c r="I1633" t="s" s="17">
        <v>19</v>
      </c>
      <c r="J1633" t="s" s="17">
        <v>72</v>
      </c>
      <c r="K1633" t="s" s="17">
        <v>41</v>
      </c>
      <c r="L1633" s="15">
        <f>IF(O1633,P1633/O1633,0)</f>
        <v>0.24858</v>
      </c>
      <c r="M1633" s="15">
        <v>0.24858</v>
      </c>
      <c r="N1633" s="15">
        <f>A1633</f>
        <v>1631</v>
      </c>
      <c r="O1633" s="15">
        <f>4*250</f>
        <v>1000</v>
      </c>
      <c r="P1633" s="15">
        <v>248.58</v>
      </c>
      <c r="Q1633" s="16"/>
    </row>
    <row r="1634" ht="20.05" customHeight="1">
      <c r="A1634" s="13">
        <f>A1633+1</f>
        <v>1632</v>
      </c>
      <c r="B1634" s="14">
        <v>2024</v>
      </c>
      <c r="C1634" s="15">
        <v>1</v>
      </c>
      <c r="D1634" s="15">
        <v>10</v>
      </c>
      <c r="E1634" s="16"/>
      <c r="F1634" t="s" s="17">
        <v>111</v>
      </c>
      <c r="G1634" s="16"/>
      <c r="H1634" t="s" s="17">
        <v>163</v>
      </c>
      <c r="I1634" t="s" s="17">
        <v>26</v>
      </c>
      <c r="J1634" t="s" s="17">
        <v>134</v>
      </c>
      <c r="K1634" t="s" s="17">
        <v>23</v>
      </c>
      <c r="L1634" s="15">
        <f>IF(O1634,P1634/O1634,0)</f>
        <v>36.6828571428571</v>
      </c>
      <c r="M1634" s="15">
        <v>36.6828571428571</v>
      </c>
      <c r="N1634" s="15">
        <f>A1634</f>
        <v>1632</v>
      </c>
      <c r="O1634" s="15">
        <v>14</v>
      </c>
      <c r="P1634" s="15">
        <v>513.5599999999999</v>
      </c>
      <c r="Q1634" s="16"/>
    </row>
    <row r="1635" ht="20.05" customHeight="1">
      <c r="A1635" s="13">
        <f>A1634+1</f>
        <v>1633</v>
      </c>
      <c r="B1635" s="14">
        <v>2024</v>
      </c>
      <c r="C1635" s="15">
        <v>1</v>
      </c>
      <c r="D1635" s="15">
        <v>10</v>
      </c>
      <c r="E1635" s="16"/>
      <c r="F1635" t="s" s="17">
        <v>111</v>
      </c>
      <c r="G1635" s="16"/>
      <c r="H1635" t="s" s="17">
        <v>163</v>
      </c>
      <c r="I1635" t="s" s="17">
        <v>19</v>
      </c>
      <c r="J1635" t="s" s="17">
        <v>63</v>
      </c>
      <c r="K1635" t="s" s="17">
        <v>16</v>
      </c>
      <c r="L1635" s="15">
        <f>IF(O1635,P1635/O1635,0)</f>
        <v>0.72356</v>
      </c>
      <c r="M1635" s="15">
        <v>0.72356</v>
      </c>
      <c r="N1635" s="15">
        <f>A1635</f>
        <v>1633</v>
      </c>
      <c r="O1635" s="15">
        <v>250</v>
      </c>
      <c r="P1635" s="15">
        <v>180.89</v>
      </c>
      <c r="Q1635" s="16"/>
    </row>
    <row r="1636" ht="20.05" customHeight="1">
      <c r="A1636" s="13">
        <f>A1635+1</f>
        <v>1634</v>
      </c>
      <c r="B1636" s="14">
        <v>2024</v>
      </c>
      <c r="C1636" s="15">
        <v>1</v>
      </c>
      <c r="D1636" s="15">
        <v>10</v>
      </c>
      <c r="E1636" s="16"/>
      <c r="F1636" t="s" s="17">
        <v>122</v>
      </c>
      <c r="G1636" s="16"/>
      <c r="H1636" t="s" s="17">
        <v>163</v>
      </c>
      <c r="I1636" t="s" s="17">
        <v>19</v>
      </c>
      <c r="J1636" t="s" s="17">
        <v>138</v>
      </c>
      <c r="K1636" t="s" s="17">
        <v>41</v>
      </c>
      <c r="L1636" s="15">
        <f>IF(O1636,P1636/O1636,0)</f>
        <v>0.391375</v>
      </c>
      <c r="M1636" s="15">
        <v>0.391375</v>
      </c>
      <c r="N1636" s="15">
        <f>A1636</f>
        <v>1634</v>
      </c>
      <c r="O1636" s="15">
        <f>12*100</f>
        <v>1200</v>
      </c>
      <c r="P1636" s="41">
        <f t="shared" si="5557"/>
        <v>469.65</v>
      </c>
      <c r="Q1636" s="16"/>
    </row>
    <row r="1637" ht="20.05" customHeight="1">
      <c r="A1637" s="13">
        <f>A1636+1</f>
        <v>1635</v>
      </c>
      <c r="B1637" s="14">
        <v>2024</v>
      </c>
      <c r="C1637" s="15">
        <v>1</v>
      </c>
      <c r="D1637" s="15">
        <v>10</v>
      </c>
      <c r="E1637" s="16"/>
      <c r="F1637" t="s" s="17">
        <v>122</v>
      </c>
      <c r="G1637" s="16"/>
      <c r="H1637" t="s" s="17">
        <v>163</v>
      </c>
      <c r="I1637" t="s" s="17">
        <v>26</v>
      </c>
      <c r="J1637" t="s" s="17">
        <v>117</v>
      </c>
      <c r="K1637" t="s" s="17">
        <v>23</v>
      </c>
      <c r="L1637" s="15">
        <f>IF(O1637,P1637/O1637,0)</f>
        <v>38.885</v>
      </c>
      <c r="M1637" s="15">
        <v>38.885</v>
      </c>
      <c r="N1637" s="15">
        <f>A1637</f>
        <v>1635</v>
      </c>
      <c r="O1637" s="15">
        <v>14</v>
      </c>
      <c r="P1637" s="41">
        <f>539+539*1%</f>
        <v>544.39</v>
      </c>
      <c r="Q1637" s="16"/>
    </row>
    <row r="1638" ht="20.05" customHeight="1">
      <c r="A1638" s="13">
        <f>A1637+1</f>
        <v>1636</v>
      </c>
      <c r="B1638" s="14">
        <v>2024</v>
      </c>
      <c r="C1638" s="15">
        <v>1</v>
      </c>
      <c r="D1638" s="15">
        <v>10</v>
      </c>
      <c r="E1638" s="16"/>
      <c r="F1638" t="s" s="17">
        <v>122</v>
      </c>
      <c r="G1638" s="16"/>
      <c r="H1638" t="s" s="17">
        <v>163</v>
      </c>
      <c r="I1638" t="s" s="17">
        <v>19</v>
      </c>
      <c r="J1638" t="s" s="17">
        <v>67</v>
      </c>
      <c r="K1638" t="s" s="17">
        <v>23</v>
      </c>
      <c r="L1638" s="15">
        <f>IF(O1638,P1638/O1638,0)</f>
        <v>1.2361895</v>
      </c>
      <c r="M1638" s="15">
        <v>1.2361895</v>
      </c>
      <c r="N1638" s="15">
        <f>A1638</f>
        <v>1636</v>
      </c>
      <c r="O1638" s="15">
        <f t="shared" si="6012" ref="O1638:O1776">2*100</f>
        <v>200</v>
      </c>
      <c r="P1638" s="43">
        <f t="shared" si="5115"/>
        <v>247.2379</v>
      </c>
      <c r="Q1638" s="16"/>
    </row>
    <row r="1639" ht="20.05" customHeight="1">
      <c r="A1639" s="13">
        <f>A1638+1</f>
        <v>1637</v>
      </c>
      <c r="B1639" s="14">
        <v>2024</v>
      </c>
      <c r="C1639" s="15">
        <v>1</v>
      </c>
      <c r="D1639" s="15">
        <v>10</v>
      </c>
      <c r="E1639" s="16"/>
      <c r="F1639" t="s" s="17">
        <v>122</v>
      </c>
      <c r="G1639" s="16"/>
      <c r="H1639" t="s" s="17">
        <v>163</v>
      </c>
      <c r="I1639" t="s" s="17">
        <v>187</v>
      </c>
      <c r="J1639" t="s" s="17">
        <v>237</v>
      </c>
      <c r="K1639" t="s" s="17">
        <v>41</v>
      </c>
      <c r="L1639" s="15">
        <f>IF(O1639,P1639/O1639,0)</f>
        <v>0.06672</v>
      </c>
      <c r="M1639" s="15">
        <v>0.06672</v>
      </c>
      <c r="N1639" s="15">
        <f>A1639</f>
        <v>1637</v>
      </c>
      <c r="O1639" s="15">
        <v>1000</v>
      </c>
      <c r="P1639" s="41">
        <f>55.6+55.6*20%</f>
        <v>66.72</v>
      </c>
      <c r="Q1639" s="16"/>
    </row>
    <row r="1640" ht="20.05" customHeight="1">
      <c r="A1640" s="13">
        <f>A1639+1</f>
        <v>1638</v>
      </c>
      <c r="B1640" s="14">
        <v>2024</v>
      </c>
      <c r="C1640" s="15">
        <v>1</v>
      </c>
      <c r="D1640" s="15">
        <v>10</v>
      </c>
      <c r="E1640" s="16"/>
      <c r="F1640" t="s" s="17">
        <v>122</v>
      </c>
      <c r="G1640" s="16"/>
      <c r="H1640" t="s" s="17">
        <v>163</v>
      </c>
      <c r="I1640" t="s" s="17">
        <v>187</v>
      </c>
      <c r="J1640" t="s" s="17">
        <v>128</v>
      </c>
      <c r="K1640" t="s" s="17">
        <v>23</v>
      </c>
      <c r="L1640" s="15">
        <f>IF(O1640,P1640/O1640,0)</f>
        <v>31.175</v>
      </c>
      <c r="M1640" s="15">
        <v>31.175</v>
      </c>
      <c r="N1640" s="15">
        <f>A1640</f>
        <v>1638</v>
      </c>
      <c r="O1640" s="15">
        <f t="shared" si="4818"/>
        <v>24</v>
      </c>
      <c r="P1640" s="42">
        <f t="shared" si="6022" ref="P1640:P1945">623.5+623.5*20%</f>
        <v>748.2</v>
      </c>
      <c r="Q1640" s="16"/>
    </row>
    <row r="1641" ht="20.05" customHeight="1">
      <c r="A1641" s="13">
        <f>A1640+1</f>
        <v>1639</v>
      </c>
      <c r="B1641" s="14">
        <v>2024</v>
      </c>
      <c r="C1641" s="15">
        <v>1</v>
      </c>
      <c r="D1641" s="15">
        <v>10</v>
      </c>
      <c r="E1641" s="16"/>
      <c r="F1641" t="s" s="17">
        <v>122</v>
      </c>
      <c r="G1641" s="16"/>
      <c r="H1641" t="s" s="17">
        <v>163</v>
      </c>
      <c r="I1641" t="s" s="17">
        <v>187</v>
      </c>
      <c r="J1641" t="s" s="17">
        <v>167</v>
      </c>
      <c r="K1641" t="s" s="17">
        <v>23</v>
      </c>
      <c r="L1641" s="15">
        <f>IF(O1641,P1641/O1641,0)</f>
        <v>0.9360000000000001</v>
      </c>
      <c r="M1641" s="15">
        <v>0.9360000000000001</v>
      </c>
      <c r="N1641" s="15">
        <f>A1641</f>
        <v>1639</v>
      </c>
      <c r="O1641" s="15">
        <f t="shared" si="6012"/>
        <v>200</v>
      </c>
      <c r="P1641" s="42">
        <f t="shared" si="6027" ref="P1641:P1776">156+156*20%</f>
        <v>187.2</v>
      </c>
      <c r="Q1641" s="16"/>
    </row>
    <row r="1642" ht="20.05" customHeight="1">
      <c r="A1642" s="13">
        <f>A1641+1</f>
        <v>1640</v>
      </c>
      <c r="B1642" s="14">
        <v>2024</v>
      </c>
      <c r="C1642" s="15">
        <v>1</v>
      </c>
      <c r="D1642" s="15">
        <v>10</v>
      </c>
      <c r="E1642" s="16"/>
      <c r="F1642" t="s" s="17">
        <v>122</v>
      </c>
      <c r="G1642" s="16"/>
      <c r="H1642" t="s" s="17">
        <v>163</v>
      </c>
      <c r="I1642" t="s" s="17">
        <v>187</v>
      </c>
      <c r="J1642" t="s" s="17">
        <v>161</v>
      </c>
      <c r="K1642" t="s" s="17">
        <v>23</v>
      </c>
      <c r="L1642" s="15">
        <f>IF(O1642,P1642/O1642,0)</f>
        <v>14.4495</v>
      </c>
      <c r="M1642" s="15">
        <v>14.4495</v>
      </c>
      <c r="N1642" s="15">
        <f>A1642</f>
        <v>1640</v>
      </c>
      <c r="O1642" s="15">
        <v>24</v>
      </c>
      <c r="P1642" s="42">
        <f t="shared" si="6031" ref="P1642:P2053">288.99+288.99*20%</f>
        <v>346.788</v>
      </c>
      <c r="Q1642" s="16"/>
    </row>
    <row r="1643" ht="32.05" customHeight="1">
      <c r="A1643" s="13">
        <f>A1642+1</f>
        <v>1641</v>
      </c>
      <c r="B1643" s="14">
        <v>2024</v>
      </c>
      <c r="C1643" s="15">
        <v>1</v>
      </c>
      <c r="D1643" s="15">
        <v>10</v>
      </c>
      <c r="E1643" s="16"/>
      <c r="F1643" t="s" s="17">
        <v>130</v>
      </c>
      <c r="G1643" s="16"/>
      <c r="H1643" t="s" s="17">
        <v>163</v>
      </c>
      <c r="I1643" t="s" s="17">
        <v>187</v>
      </c>
      <c r="J1643" t="s" s="17">
        <v>198</v>
      </c>
      <c r="K1643" t="s" s="17">
        <v>23</v>
      </c>
      <c r="L1643" s="15">
        <f>IF(O1643,P1643/O1643,0)</f>
        <v>3.99777777777778</v>
      </c>
      <c r="M1643" s="15">
        <v>3.99777777777778</v>
      </c>
      <c r="N1643" s="15">
        <f>A1643</f>
        <v>1641</v>
      </c>
      <c r="O1643" s="15">
        <v>45</v>
      </c>
      <c r="P1643" s="15">
        <f>179.9</f>
        <v>179.9</v>
      </c>
      <c r="Q1643" s="16"/>
    </row>
    <row r="1644" ht="20.05" customHeight="1">
      <c r="A1644" s="13">
        <f>A1643+1</f>
        <v>1642</v>
      </c>
      <c r="B1644" s="14">
        <v>2024</v>
      </c>
      <c r="C1644" s="15">
        <v>1</v>
      </c>
      <c r="D1644" s="15">
        <v>10</v>
      </c>
      <c r="E1644" s="16"/>
      <c r="F1644" t="s" s="17">
        <v>130</v>
      </c>
      <c r="G1644" s="16"/>
      <c r="H1644" t="s" s="17">
        <v>163</v>
      </c>
      <c r="I1644" t="s" s="17">
        <v>26</v>
      </c>
      <c r="J1644" t="s" s="17">
        <v>27</v>
      </c>
      <c r="K1644" t="s" s="17">
        <v>16</v>
      </c>
      <c r="L1644" s="15">
        <f>IF(O1644,P1644/O1644,0)</f>
        <v>0.299</v>
      </c>
      <c r="M1644" s="15">
        <v>0.299</v>
      </c>
      <c r="N1644" s="15">
        <f>A1644</f>
        <v>1642</v>
      </c>
      <c r="O1644" s="15">
        <f t="shared" si="6012"/>
        <v>200</v>
      </c>
      <c r="P1644" s="15">
        <f>2*29.9</f>
        <v>59.8</v>
      </c>
      <c r="Q1644" s="16"/>
    </row>
    <row r="1645" ht="20.35" customHeight="1">
      <c r="A1645" s="13">
        <f>A1644+1</f>
        <v>1643</v>
      </c>
      <c r="B1645" s="14">
        <v>2024</v>
      </c>
      <c r="C1645" s="15">
        <v>1</v>
      </c>
      <c r="D1645" s="15">
        <v>10</v>
      </c>
      <c r="E1645" s="16"/>
      <c r="F1645" t="s" s="17">
        <v>130</v>
      </c>
      <c r="G1645" s="16"/>
      <c r="H1645" t="s" s="17">
        <v>163</v>
      </c>
      <c r="I1645" t="s" s="17">
        <v>19</v>
      </c>
      <c r="J1645" t="s" s="17">
        <v>59</v>
      </c>
      <c r="K1645" t="s" s="17">
        <v>41</v>
      </c>
      <c r="L1645" s="15">
        <f>IF(O1645,P1645/O1645,0)</f>
        <v>0.314</v>
      </c>
      <c r="M1645" s="15">
        <v>0.314</v>
      </c>
      <c r="N1645" s="15">
        <f>A1645</f>
        <v>1643</v>
      </c>
      <c r="O1645" s="15">
        <v>350</v>
      </c>
      <c r="P1645" s="18">
        <v>109.9</v>
      </c>
      <c r="Q1645" s="16"/>
    </row>
    <row r="1646" ht="20.7" customHeight="1">
      <c r="A1646" s="13">
        <f>A1645+1</f>
        <v>1644</v>
      </c>
      <c r="B1646" s="14">
        <v>2024</v>
      </c>
      <c r="C1646" s="15">
        <v>1</v>
      </c>
      <c r="D1646" s="15">
        <v>10</v>
      </c>
      <c r="E1646" s="16"/>
      <c r="F1646" t="s" s="17">
        <v>428</v>
      </c>
      <c r="G1646" s="16"/>
      <c r="H1646" t="s" s="17">
        <v>163</v>
      </c>
      <c r="I1646" t="s" s="17">
        <v>19</v>
      </c>
      <c r="J1646" t="s" s="17">
        <v>139</v>
      </c>
      <c r="K1646" t="s" s="17">
        <v>23</v>
      </c>
      <c r="L1646" s="15">
        <f>IF(O1646,P1646/O1646,0)</f>
        <v>3.624953125</v>
      </c>
      <c r="M1646" s="15">
        <v>3.624953125</v>
      </c>
      <c r="N1646" s="15">
        <f>A1646</f>
        <v>1644</v>
      </c>
      <c r="O1646" s="19">
        <f t="shared" si="6047" ref="O1646:O1743">4*24</f>
        <v>96</v>
      </c>
      <c r="P1646" s="47">
        <f>344.55+344.55*1%</f>
        <v>347.9955</v>
      </c>
      <c r="Q1646" s="21"/>
    </row>
    <row r="1647" ht="20.35" customHeight="1">
      <c r="A1647" s="13">
        <f>A1646+1</f>
        <v>1645</v>
      </c>
      <c r="B1647" s="14">
        <v>2024</v>
      </c>
      <c r="C1647" s="15">
        <v>1</v>
      </c>
      <c r="D1647" s="15">
        <v>10</v>
      </c>
      <c r="E1647" s="16"/>
      <c r="F1647" t="s" s="17">
        <v>150</v>
      </c>
      <c r="G1647" s="16"/>
      <c r="H1647" t="s" s="17">
        <v>163</v>
      </c>
      <c r="I1647" t="s" s="17">
        <v>19</v>
      </c>
      <c r="J1647" t="s" s="17">
        <v>64</v>
      </c>
      <c r="K1647" t="s" s="17">
        <v>16</v>
      </c>
      <c r="L1647" s="15">
        <f>IF(O1647,P1647/O1647,0)</f>
        <v>1.77962</v>
      </c>
      <c r="M1647" s="15">
        <v>1.77962</v>
      </c>
      <c r="N1647" s="15">
        <f>A1647</f>
        <v>1645</v>
      </c>
      <c r="O1647" s="15">
        <v>250</v>
      </c>
      <c r="P1647" s="53">
        <f>440.5+440.5*1%</f>
        <v>444.905</v>
      </c>
      <c r="Q1647" s="16"/>
    </row>
    <row r="1648" ht="20.05" customHeight="1">
      <c r="A1648" s="13">
        <f>A1647+1</f>
        <v>1646</v>
      </c>
      <c r="B1648" s="14">
        <v>2024</v>
      </c>
      <c r="C1648" s="15">
        <v>1</v>
      </c>
      <c r="D1648" s="15">
        <v>10</v>
      </c>
      <c r="E1648" s="16"/>
      <c r="F1648" t="s" s="17">
        <v>150</v>
      </c>
      <c r="G1648" s="16"/>
      <c r="H1648" t="s" s="17">
        <v>163</v>
      </c>
      <c r="I1648" t="s" s="17">
        <v>19</v>
      </c>
      <c r="J1648" t="s" s="17">
        <v>69</v>
      </c>
      <c r="K1648" t="s" s="17">
        <v>16</v>
      </c>
      <c r="L1648" s="15">
        <f>IF(O1648,P1648/O1648,0)</f>
        <v>0.2525</v>
      </c>
      <c r="M1648" s="15">
        <v>0.2525</v>
      </c>
      <c r="N1648" s="15">
        <f>A1648</f>
        <v>1646</v>
      </c>
      <c r="O1648" s="15">
        <v>1000</v>
      </c>
      <c r="P1648" s="42">
        <f>250+250*1%</f>
        <v>252.5</v>
      </c>
      <c r="Q1648" s="16"/>
    </row>
    <row r="1649" ht="20.05" customHeight="1">
      <c r="A1649" s="13">
        <f>A1648+1</f>
        <v>1647</v>
      </c>
      <c r="B1649" s="14">
        <v>2024</v>
      </c>
      <c r="C1649" s="15">
        <v>1</v>
      </c>
      <c r="D1649" s="15">
        <v>11</v>
      </c>
      <c r="E1649" s="16"/>
      <c r="F1649" t="s" s="17">
        <v>130</v>
      </c>
      <c r="G1649" s="16"/>
      <c r="H1649" t="s" s="17">
        <v>163</v>
      </c>
      <c r="I1649" t="s" s="17">
        <v>26</v>
      </c>
      <c r="J1649" t="s" s="17">
        <v>118</v>
      </c>
      <c r="K1649" t="s" s="17">
        <v>23</v>
      </c>
      <c r="L1649" s="15">
        <f>IF(O1649,P1649/O1649,0)</f>
        <v>39.95</v>
      </c>
      <c r="M1649" s="15">
        <v>39.95</v>
      </c>
      <c r="N1649" s="15">
        <f>A1649</f>
        <v>1647</v>
      </c>
      <c r="O1649" s="15">
        <v>5</v>
      </c>
      <c r="P1649" s="15">
        <v>199.75</v>
      </c>
      <c r="Q1649" s="16"/>
    </row>
    <row r="1650" ht="20.05" customHeight="1">
      <c r="A1650" s="13">
        <f>A1649+1</f>
        <v>1648</v>
      </c>
      <c r="B1650" s="14">
        <v>2024</v>
      </c>
      <c r="C1650" s="15">
        <v>1</v>
      </c>
      <c r="D1650" s="15">
        <v>12</v>
      </c>
      <c r="E1650" s="16"/>
      <c r="F1650" t="s" s="17">
        <v>287</v>
      </c>
      <c r="G1650" s="16"/>
      <c r="H1650" t="s" s="17">
        <v>163</v>
      </c>
      <c r="I1650" t="s" s="17">
        <v>14</v>
      </c>
      <c r="J1650" t="s" s="17">
        <v>289</v>
      </c>
      <c r="K1650" t="s" s="17">
        <v>23</v>
      </c>
      <c r="L1650" s="15">
        <f>IF(O1650,P1650/O1650,0)</f>
        <v>44.9955</v>
      </c>
      <c r="M1650" s="15">
        <v>44.9955</v>
      </c>
      <c r="N1650" s="15">
        <f>A1650</f>
        <v>1648</v>
      </c>
      <c r="O1650" s="15">
        <v>10</v>
      </c>
      <c r="P1650" s="42">
        <f t="shared" si="5931"/>
        <v>449.955</v>
      </c>
      <c r="Q1650" s="16"/>
    </row>
    <row r="1651" ht="32.05" customHeight="1">
      <c r="A1651" s="13">
        <f>A1650+1</f>
        <v>1649</v>
      </c>
      <c r="B1651" s="14">
        <v>2024</v>
      </c>
      <c r="C1651" s="15">
        <v>1</v>
      </c>
      <c r="D1651" s="15">
        <v>12</v>
      </c>
      <c r="E1651" s="16"/>
      <c r="F1651" t="s" s="17">
        <v>287</v>
      </c>
      <c r="G1651" s="16"/>
      <c r="H1651" t="s" s="17">
        <v>163</v>
      </c>
      <c r="I1651" t="s" s="17">
        <v>14</v>
      </c>
      <c r="J1651" t="s" s="17">
        <v>283</v>
      </c>
      <c r="K1651" t="s" s="17">
        <v>23</v>
      </c>
      <c r="L1651" s="15">
        <f>IF(O1651,P1651/O1651,0)</f>
        <v>53.1765</v>
      </c>
      <c r="M1651" s="15">
        <v>53.1765</v>
      </c>
      <c r="N1651" s="15">
        <f>A1651</f>
        <v>1649</v>
      </c>
      <c r="O1651" s="15">
        <v>10</v>
      </c>
      <c r="P1651" s="42">
        <f t="shared" si="6067" ref="P1651:P1902">526.5+526.5*1%</f>
        <v>531.765</v>
      </c>
      <c r="Q1651" s="16"/>
    </row>
    <row r="1652" ht="20.05" customHeight="1">
      <c r="A1652" s="13">
        <f>A1651+1</f>
        <v>1650</v>
      </c>
      <c r="B1652" s="14">
        <v>2024</v>
      </c>
      <c r="C1652" s="15">
        <v>1</v>
      </c>
      <c r="D1652" s="15">
        <v>12</v>
      </c>
      <c r="E1652" s="16"/>
      <c r="F1652" t="s" s="17">
        <v>287</v>
      </c>
      <c r="G1652" s="16"/>
      <c r="H1652" t="s" s="17">
        <v>163</v>
      </c>
      <c r="I1652" t="s" s="17">
        <v>14</v>
      </c>
      <c r="J1652" t="s" s="17">
        <v>288</v>
      </c>
      <c r="K1652" t="s" s="17">
        <v>23</v>
      </c>
      <c r="L1652" s="15">
        <f>IF(O1652,P1652/O1652,0)</f>
        <v>55.9427777777778</v>
      </c>
      <c r="M1652" s="15">
        <v>55.9427777777778</v>
      </c>
      <c r="N1652" s="15">
        <f>A1652</f>
        <v>1650</v>
      </c>
      <c r="O1652" s="15">
        <v>9</v>
      </c>
      <c r="P1652" s="42">
        <f t="shared" si="6071" ref="P1652:P1903">498.5+498.5*1%</f>
        <v>503.485</v>
      </c>
      <c r="Q1652" s="16"/>
    </row>
    <row r="1653" ht="20.05" customHeight="1">
      <c r="A1653" s="13">
        <f>A1652+1</f>
        <v>1651</v>
      </c>
      <c r="B1653" s="14">
        <v>2024</v>
      </c>
      <c r="C1653" s="15">
        <v>1</v>
      </c>
      <c r="D1653" s="15">
        <v>12</v>
      </c>
      <c r="E1653" s="16"/>
      <c r="F1653" t="s" s="17">
        <v>287</v>
      </c>
      <c r="G1653" s="16"/>
      <c r="H1653" t="s" s="17">
        <v>163</v>
      </c>
      <c r="I1653" t="s" s="17">
        <v>14</v>
      </c>
      <c r="J1653" t="s" s="17">
        <v>282</v>
      </c>
      <c r="K1653" t="s" s="17">
        <v>23</v>
      </c>
      <c r="L1653" s="15">
        <f>IF(O1653,P1653/O1653,0)</f>
        <v>40.905</v>
      </c>
      <c r="M1653" s="15">
        <v>40.905</v>
      </c>
      <c r="N1653" s="15">
        <f>A1653</f>
        <v>1651</v>
      </c>
      <c r="O1653" s="15">
        <f t="shared" si="5234"/>
        <v>20</v>
      </c>
      <c r="P1653" s="42">
        <f>810+810*1%</f>
        <v>818.1</v>
      </c>
      <c r="Q1653" s="16"/>
    </row>
    <row r="1654" ht="20.05" customHeight="1">
      <c r="A1654" s="13">
        <f>A1653+1</f>
        <v>1652</v>
      </c>
      <c r="B1654" s="14">
        <v>2024</v>
      </c>
      <c r="C1654" s="15">
        <v>1</v>
      </c>
      <c r="D1654" s="15">
        <v>12</v>
      </c>
      <c r="E1654" s="16"/>
      <c r="F1654" t="s" s="17">
        <v>287</v>
      </c>
      <c r="G1654" s="16"/>
      <c r="H1654" t="s" s="17">
        <v>163</v>
      </c>
      <c r="I1654" t="s" s="17">
        <v>14</v>
      </c>
      <c r="J1654" t="s" s="17">
        <v>279</v>
      </c>
      <c r="K1654" t="s" s="17">
        <v>23</v>
      </c>
      <c r="L1654" s="15">
        <f>IF(O1654,P1654/O1654,0)</f>
        <v>50.7525</v>
      </c>
      <c r="M1654" s="15">
        <v>50.7525</v>
      </c>
      <c r="N1654" s="15">
        <f>A1654</f>
        <v>1652</v>
      </c>
      <c r="O1654" s="15">
        <v>10</v>
      </c>
      <c r="P1654" s="42">
        <f t="shared" si="6080" ref="P1654:P1904">502.5+502.5*1%</f>
        <v>507.525</v>
      </c>
      <c r="Q1654" s="16"/>
    </row>
    <row r="1655" ht="20.05" customHeight="1">
      <c r="A1655" s="13">
        <f>A1654+1</f>
        <v>1653</v>
      </c>
      <c r="B1655" s="14">
        <v>2024</v>
      </c>
      <c r="C1655" s="15">
        <v>1</v>
      </c>
      <c r="D1655" s="15">
        <v>12</v>
      </c>
      <c r="E1655" s="16"/>
      <c r="F1655" t="s" s="17">
        <v>473</v>
      </c>
      <c r="G1655" s="16"/>
      <c r="H1655" t="s" s="17">
        <v>163</v>
      </c>
      <c r="I1655" t="s" s="17">
        <v>187</v>
      </c>
      <c r="J1655" t="s" s="17">
        <v>474</v>
      </c>
      <c r="K1655" t="s" s="17">
        <v>23</v>
      </c>
      <c r="L1655" s="15">
        <f>IF(O1655,P1655/O1655,0)</f>
        <v>679</v>
      </c>
      <c r="M1655" s="15">
        <v>679</v>
      </c>
      <c r="N1655" s="15">
        <f>A1655</f>
        <v>1653</v>
      </c>
      <c r="O1655" s="15">
        <v>1</v>
      </c>
      <c r="P1655" s="15">
        <v>679</v>
      </c>
      <c r="Q1655" s="16"/>
    </row>
    <row r="1656" ht="20.05" customHeight="1">
      <c r="A1656" s="13">
        <f>A1655+1</f>
        <v>1654</v>
      </c>
      <c r="B1656" s="14">
        <v>2024</v>
      </c>
      <c r="C1656" s="15">
        <v>1</v>
      </c>
      <c r="D1656" s="15">
        <v>13</v>
      </c>
      <c r="E1656" s="16"/>
      <c r="F1656" t="s" s="17">
        <v>122</v>
      </c>
      <c r="G1656" s="16"/>
      <c r="H1656" t="s" s="17">
        <v>163</v>
      </c>
      <c r="I1656" t="s" s="17">
        <v>26</v>
      </c>
      <c r="J1656" t="s" s="17">
        <v>118</v>
      </c>
      <c r="K1656" t="s" s="17">
        <v>23</v>
      </c>
      <c r="L1656" s="15">
        <f>IF(O1656,P1656/O1656,0)</f>
        <v>40.2735714285714</v>
      </c>
      <c r="M1656" s="15">
        <v>40.2735714285714</v>
      </c>
      <c r="N1656" s="15">
        <f>A1656</f>
        <v>1654</v>
      </c>
      <c r="O1656" s="15">
        <v>14</v>
      </c>
      <c r="P1656" s="15">
        <v>563.83</v>
      </c>
      <c r="Q1656" s="16"/>
    </row>
    <row r="1657" ht="20.05" customHeight="1">
      <c r="A1657" s="13">
        <f>A1656+1</f>
        <v>1655</v>
      </c>
      <c r="B1657" s="14">
        <v>2024</v>
      </c>
      <c r="C1657" s="15">
        <v>1</v>
      </c>
      <c r="D1657" s="15">
        <v>13</v>
      </c>
      <c r="E1657" s="16"/>
      <c r="F1657" t="s" s="17">
        <v>141</v>
      </c>
      <c r="G1657" s="16"/>
      <c r="H1657" t="s" s="17">
        <v>163</v>
      </c>
      <c r="I1657" t="s" s="17">
        <v>19</v>
      </c>
      <c r="J1657" t="s" s="17">
        <v>142</v>
      </c>
      <c r="K1657" t="s" s="17">
        <v>23</v>
      </c>
      <c r="L1657" s="15">
        <f>IF(O1657,P1657/O1657,0)</f>
        <v>13.8515208333333</v>
      </c>
      <c r="M1657" s="15">
        <v>13.8515208333333</v>
      </c>
      <c r="N1657" s="15">
        <f>A1657</f>
        <v>1655</v>
      </c>
      <c r="O1657" s="15">
        <f t="shared" si="6090" ref="O1657:O1801">2*24</f>
        <v>48</v>
      </c>
      <c r="P1657" s="42">
        <f t="shared" si="5222"/>
        <v>664.873</v>
      </c>
      <c r="Q1657" s="16"/>
    </row>
    <row r="1658" ht="20.05" customHeight="1">
      <c r="A1658" s="13">
        <f>A1657+1</f>
        <v>1656</v>
      </c>
      <c r="B1658" s="14">
        <v>2024</v>
      </c>
      <c r="C1658" s="15">
        <v>1</v>
      </c>
      <c r="D1658" s="15">
        <v>13</v>
      </c>
      <c r="E1658" s="16"/>
      <c r="F1658" t="s" s="17">
        <v>141</v>
      </c>
      <c r="G1658" s="16"/>
      <c r="H1658" t="s" s="17">
        <v>163</v>
      </c>
      <c r="I1658" t="s" s="17">
        <v>19</v>
      </c>
      <c r="J1658" t="s" s="17">
        <v>144</v>
      </c>
      <c r="K1658" t="s" s="17">
        <v>23</v>
      </c>
      <c r="L1658" s="15">
        <f>IF(O1658,P1658/O1658,0)</f>
        <v>13.85175</v>
      </c>
      <c r="M1658" s="15">
        <v>13.85175</v>
      </c>
      <c r="N1658" s="15">
        <f>A1658</f>
        <v>1656</v>
      </c>
      <c r="O1658" s="15">
        <f t="shared" si="6095" ref="O1658:O1818">24</f>
        <v>24</v>
      </c>
      <c r="P1658" s="42">
        <f t="shared" si="5919"/>
        <v>332.442</v>
      </c>
      <c r="Q1658" s="16"/>
    </row>
    <row r="1659" ht="20.05" customHeight="1">
      <c r="A1659" s="13">
        <f>A1658+1</f>
        <v>1657</v>
      </c>
      <c r="B1659" s="14">
        <v>2024</v>
      </c>
      <c r="C1659" s="15">
        <v>1</v>
      </c>
      <c r="D1659" s="15">
        <v>13</v>
      </c>
      <c r="E1659" s="16"/>
      <c r="F1659" t="s" s="17">
        <v>141</v>
      </c>
      <c r="G1659" s="16"/>
      <c r="H1659" t="s" s="17">
        <v>163</v>
      </c>
      <c r="I1659" t="s" s="17">
        <v>19</v>
      </c>
      <c r="J1659" t="s" s="17">
        <v>159</v>
      </c>
      <c r="K1659" t="s" s="17">
        <v>23</v>
      </c>
      <c r="L1659" s="15">
        <f>IF(O1659,P1659/O1659,0)</f>
        <v>2.48001291666667</v>
      </c>
      <c r="M1659" s="15">
        <v>2.48001291666667</v>
      </c>
      <c r="N1659" s="15">
        <f>A1659</f>
        <v>1657</v>
      </c>
      <c r="O1659" s="15">
        <f t="shared" si="6100" ref="O1659:O1879">10*24</f>
        <v>240</v>
      </c>
      <c r="P1659" s="43">
        <f t="shared" si="6101" ref="P1659:P1728">589.31+589.31*1%</f>
        <v>595.2030999999999</v>
      </c>
      <c r="Q1659" s="16"/>
    </row>
    <row r="1660" ht="20.05" customHeight="1">
      <c r="A1660" s="13">
        <f>A1659+1</f>
        <v>1658</v>
      </c>
      <c r="B1660" s="14">
        <v>2024</v>
      </c>
      <c r="C1660" s="15">
        <v>1</v>
      </c>
      <c r="D1660" s="15">
        <v>13</v>
      </c>
      <c r="E1660" s="16"/>
      <c r="F1660" t="s" s="17">
        <v>141</v>
      </c>
      <c r="G1660" s="16"/>
      <c r="H1660" t="s" s="17">
        <v>163</v>
      </c>
      <c r="I1660" s="16"/>
      <c r="J1660" t="s" s="17">
        <v>337</v>
      </c>
      <c r="K1660" t="s" s="17">
        <v>23</v>
      </c>
      <c r="L1660" s="15">
        <f>IF(O1660,P1660/O1660,0)</f>
        <v>-30</v>
      </c>
      <c r="M1660" s="15">
        <v>-30</v>
      </c>
      <c r="N1660" s="15">
        <f>A1660</f>
        <v>1658</v>
      </c>
      <c r="O1660" s="15">
        <v>1</v>
      </c>
      <c r="P1660" s="15">
        <v>-30</v>
      </c>
      <c r="Q1660" s="16"/>
    </row>
    <row r="1661" ht="32.05" customHeight="1">
      <c r="A1661" s="13">
        <f>A1660+1</f>
        <v>1659</v>
      </c>
      <c r="B1661" s="14">
        <v>2024</v>
      </c>
      <c r="C1661" s="15">
        <v>1</v>
      </c>
      <c r="D1661" s="15">
        <v>13</v>
      </c>
      <c r="E1661" s="16"/>
      <c r="F1661" t="s" s="17">
        <v>287</v>
      </c>
      <c r="G1661" s="16"/>
      <c r="H1661" t="s" s="17">
        <v>163</v>
      </c>
      <c r="I1661" t="s" s="17">
        <v>17</v>
      </c>
      <c r="J1661" t="s" s="17">
        <v>300</v>
      </c>
      <c r="K1661" t="s" s="17">
        <v>23</v>
      </c>
      <c r="L1661" s="15">
        <f>IF(O1661,P1661/O1661,0)</f>
        <v>35.2995</v>
      </c>
      <c r="M1661" s="15">
        <v>35.2995</v>
      </c>
      <c r="N1661" s="15">
        <f>A1661</f>
        <v>1659</v>
      </c>
      <c r="O1661" s="15">
        <v>24</v>
      </c>
      <c r="P1661" s="42">
        <f t="shared" si="5940"/>
        <v>847.188</v>
      </c>
      <c r="Q1661" s="16"/>
    </row>
    <row r="1662" ht="20.05" customHeight="1">
      <c r="A1662" s="13">
        <f>A1661+1</f>
        <v>1660</v>
      </c>
      <c r="B1662" s="14">
        <v>2024</v>
      </c>
      <c r="C1662" s="15">
        <v>1</v>
      </c>
      <c r="D1662" s="15">
        <v>13</v>
      </c>
      <c r="E1662" s="16"/>
      <c r="F1662" t="s" s="17">
        <v>130</v>
      </c>
      <c r="G1662" s="16"/>
      <c r="H1662" t="s" s="17">
        <v>163</v>
      </c>
      <c r="I1662" t="s" s="17">
        <v>19</v>
      </c>
      <c r="J1662" t="s" s="17">
        <v>157</v>
      </c>
      <c r="K1662" t="s" s="17">
        <v>16</v>
      </c>
      <c r="L1662" s="15">
        <f>IF(O1662,P1662/O1662,0)</f>
        <v>0.0199475890985325</v>
      </c>
      <c r="M1662" s="15">
        <v>0.0199475890985325</v>
      </c>
      <c r="N1662" s="15">
        <f>A1662</f>
        <v>1660</v>
      </c>
      <c r="O1662" s="15">
        <v>1908</v>
      </c>
      <c r="P1662" s="15">
        <v>38.06</v>
      </c>
      <c r="Q1662" s="16"/>
    </row>
    <row r="1663" ht="20.05" customHeight="1">
      <c r="A1663" s="13">
        <f>A1662+1</f>
        <v>1661</v>
      </c>
      <c r="B1663" s="14">
        <v>2024</v>
      </c>
      <c r="C1663" s="15">
        <v>1</v>
      </c>
      <c r="D1663" s="15">
        <v>13</v>
      </c>
      <c r="E1663" s="16"/>
      <c r="F1663" t="s" s="17">
        <v>130</v>
      </c>
      <c r="G1663" s="16"/>
      <c r="H1663" t="s" s="17">
        <v>163</v>
      </c>
      <c r="I1663" t="s" s="17">
        <v>14</v>
      </c>
      <c r="J1663" t="s" s="17">
        <v>131</v>
      </c>
      <c r="K1663" t="s" s="17">
        <v>41</v>
      </c>
      <c r="L1663" s="15">
        <f>IF(O1663,P1663/O1663,0)</f>
        <v>0.094</v>
      </c>
      <c r="M1663" s="15">
        <v>0.094</v>
      </c>
      <c r="N1663" s="15">
        <f>A1663</f>
        <v>1661</v>
      </c>
      <c r="O1663" s="15">
        <v>850</v>
      </c>
      <c r="P1663" s="15">
        <v>79.90000000000001</v>
      </c>
      <c r="Q1663" s="16"/>
    </row>
    <row r="1664" ht="20.05" customHeight="1">
      <c r="A1664" s="13">
        <f>A1663+1</f>
        <v>1662</v>
      </c>
      <c r="B1664" s="14">
        <v>2024</v>
      </c>
      <c r="C1664" s="15">
        <v>1</v>
      </c>
      <c r="D1664" s="15">
        <v>13</v>
      </c>
      <c r="E1664" s="16"/>
      <c r="F1664" t="s" s="17">
        <v>130</v>
      </c>
      <c r="G1664" s="16"/>
      <c r="H1664" t="s" s="17">
        <v>163</v>
      </c>
      <c r="I1664" t="s" s="17">
        <v>187</v>
      </c>
      <c r="J1664" t="s" s="17">
        <v>426</v>
      </c>
      <c r="K1664" t="s" s="17">
        <v>23</v>
      </c>
      <c r="L1664" s="15">
        <f>IF(O1664,P1664/O1664,0)</f>
        <v>23.9</v>
      </c>
      <c r="M1664" s="15">
        <v>23.9</v>
      </c>
      <c r="N1664" s="15">
        <f>A1664</f>
        <v>1662</v>
      </c>
      <c r="O1664" s="15">
        <v>1</v>
      </c>
      <c r="P1664" s="15">
        <v>23.9</v>
      </c>
      <c r="Q1664" s="16"/>
    </row>
    <row r="1665" ht="20.05" customHeight="1">
      <c r="A1665" s="13">
        <f>A1664+1</f>
        <v>1663</v>
      </c>
      <c r="B1665" s="14">
        <v>2024</v>
      </c>
      <c r="C1665" s="15">
        <v>1</v>
      </c>
      <c r="D1665" s="15">
        <v>13</v>
      </c>
      <c r="E1665" s="16"/>
      <c r="F1665" t="s" s="17">
        <v>130</v>
      </c>
      <c r="G1665" s="16"/>
      <c r="H1665" t="s" s="17">
        <v>163</v>
      </c>
      <c r="I1665" t="s" s="17">
        <v>187</v>
      </c>
      <c r="J1665" t="s" s="17">
        <v>272</v>
      </c>
      <c r="K1665" t="s" s="17">
        <v>23</v>
      </c>
      <c r="L1665" s="15">
        <f>IF(O1665,P1665/O1665,0)</f>
        <v>29.95</v>
      </c>
      <c r="M1665" s="15">
        <v>29.95</v>
      </c>
      <c r="N1665" s="15">
        <f>A1665</f>
        <v>1663</v>
      </c>
      <c r="O1665" s="15">
        <v>2</v>
      </c>
      <c r="P1665" s="15">
        <v>59.9</v>
      </c>
      <c r="Q1665" s="16"/>
    </row>
    <row r="1666" ht="20.05" customHeight="1">
      <c r="A1666" s="13">
        <f>A1665+1</f>
        <v>1664</v>
      </c>
      <c r="B1666" s="14">
        <v>2024</v>
      </c>
      <c r="C1666" s="15">
        <v>1</v>
      </c>
      <c r="D1666" s="15">
        <v>13</v>
      </c>
      <c r="E1666" s="16"/>
      <c r="F1666" t="s" s="17">
        <v>130</v>
      </c>
      <c r="G1666" s="16"/>
      <c r="H1666" t="s" s="17">
        <v>163</v>
      </c>
      <c r="I1666" t="s" s="17">
        <v>19</v>
      </c>
      <c r="J1666" t="s" s="17">
        <v>157</v>
      </c>
      <c r="K1666" t="s" s="17">
        <v>16</v>
      </c>
      <c r="L1666" s="15">
        <f>IF(O1666,P1666/O1666,0)</f>
        <v>0.0199521531100478</v>
      </c>
      <c r="M1666" s="15">
        <v>0.0199521531100478</v>
      </c>
      <c r="N1666" s="15">
        <f>A1666</f>
        <v>1664</v>
      </c>
      <c r="O1666" s="15">
        <v>2090</v>
      </c>
      <c r="P1666" s="15">
        <v>41.7</v>
      </c>
      <c r="Q1666" s="16"/>
    </row>
    <row r="1667" ht="20.05" customHeight="1">
      <c r="A1667" s="13">
        <f>A1666+1</f>
        <v>1665</v>
      </c>
      <c r="B1667" s="14">
        <v>2024</v>
      </c>
      <c r="C1667" s="15">
        <v>1</v>
      </c>
      <c r="D1667" s="15">
        <v>13</v>
      </c>
      <c r="E1667" s="16"/>
      <c r="F1667" t="s" s="17">
        <v>130</v>
      </c>
      <c r="G1667" s="16"/>
      <c r="H1667" t="s" s="17">
        <v>163</v>
      </c>
      <c r="I1667" t="s" s="17">
        <v>187</v>
      </c>
      <c r="J1667" t="s" s="17">
        <v>21</v>
      </c>
      <c r="K1667" t="s" s="17">
        <v>16</v>
      </c>
      <c r="L1667" s="15">
        <f>IF(O1667,P1667/O1667,0)</f>
        <v>0.024949168207024</v>
      </c>
      <c r="M1667" s="15">
        <v>0.024949168207024</v>
      </c>
      <c r="N1667" s="15">
        <f>A1667</f>
        <v>1665</v>
      </c>
      <c r="O1667" s="15">
        <v>2164</v>
      </c>
      <c r="P1667" s="15">
        <f>53.99</f>
        <v>53.99</v>
      </c>
      <c r="Q1667" s="16"/>
    </row>
    <row r="1668" ht="20.05" customHeight="1">
      <c r="A1668" s="13">
        <f>A1667+1</f>
        <v>1666</v>
      </c>
      <c r="B1668" s="14">
        <v>2024</v>
      </c>
      <c r="C1668" s="15">
        <v>1</v>
      </c>
      <c r="D1668" s="15">
        <v>13</v>
      </c>
      <c r="E1668" s="16"/>
      <c r="F1668" t="s" s="17">
        <v>130</v>
      </c>
      <c r="G1668" s="16"/>
      <c r="H1668" t="s" s="17">
        <v>163</v>
      </c>
      <c r="I1668" t="s" s="17">
        <v>187</v>
      </c>
      <c r="J1668" t="s" s="17">
        <v>342</v>
      </c>
      <c r="K1668" t="s" s="17">
        <v>16</v>
      </c>
      <c r="L1668" s="15">
        <f>IF(O1668,P1668/O1668,0)</f>
        <v>0.0399472573839662</v>
      </c>
      <c r="M1668" s="15">
        <v>0.0399472573839662</v>
      </c>
      <c r="N1668" s="15">
        <f>A1668</f>
        <v>1666</v>
      </c>
      <c r="O1668" s="15">
        <v>948</v>
      </c>
      <c r="P1668" s="15">
        <v>37.87</v>
      </c>
      <c r="Q1668" s="16"/>
    </row>
    <row r="1669" ht="20.05" customHeight="1">
      <c r="A1669" s="13">
        <f>A1668+1</f>
        <v>1667</v>
      </c>
      <c r="B1669" s="14">
        <v>2024</v>
      </c>
      <c r="C1669" s="15">
        <v>1</v>
      </c>
      <c r="D1669" s="15">
        <v>15</v>
      </c>
      <c r="E1669" s="16"/>
      <c r="F1669" t="s" s="17">
        <v>324</v>
      </c>
      <c r="G1669" s="16"/>
      <c r="H1669" t="s" s="17">
        <v>163</v>
      </c>
      <c r="I1669" t="s" s="17">
        <v>187</v>
      </c>
      <c r="J1669" t="s" s="17">
        <v>475</v>
      </c>
      <c r="K1669" t="s" s="17">
        <v>23</v>
      </c>
      <c r="L1669" s="15">
        <f>IF(O1669,P1669/O1669,0)</f>
        <v>45</v>
      </c>
      <c r="M1669" s="15">
        <v>45</v>
      </c>
      <c r="N1669" s="15">
        <f>A1669</f>
        <v>1667</v>
      </c>
      <c r="O1669" s="15">
        <v>4</v>
      </c>
      <c r="P1669" s="15">
        <v>180</v>
      </c>
      <c r="Q1669" s="16"/>
    </row>
    <row r="1670" ht="20.05" customHeight="1">
      <c r="A1670" s="13">
        <f>A1669+1</f>
        <v>1668</v>
      </c>
      <c r="B1670" s="14">
        <v>2024</v>
      </c>
      <c r="C1670" s="15">
        <v>1</v>
      </c>
      <c r="D1670" s="15">
        <v>16</v>
      </c>
      <c r="E1670" s="16"/>
      <c r="F1670" t="s" s="17">
        <v>445</v>
      </c>
      <c r="G1670" s="16"/>
      <c r="H1670" t="s" s="17">
        <v>163</v>
      </c>
      <c r="I1670" t="s" s="17">
        <v>187</v>
      </c>
      <c r="J1670" t="s" s="17">
        <v>446</v>
      </c>
      <c r="K1670" t="s" s="17">
        <v>23</v>
      </c>
      <c r="L1670" s="15">
        <f>IF(O1670,P1670/O1670,0)</f>
        <v>233.200677966102</v>
      </c>
      <c r="M1670" s="15">
        <v>233.200677966102</v>
      </c>
      <c r="N1670" s="15">
        <f>A1670</f>
        <v>1668</v>
      </c>
      <c r="O1670" s="15">
        <v>59</v>
      </c>
      <c r="P1670" s="15">
        <v>13758.84</v>
      </c>
      <c r="Q1670" s="16"/>
    </row>
    <row r="1671" ht="20.05" customHeight="1">
      <c r="A1671" s="13">
        <f>A1670+1</f>
        <v>1669</v>
      </c>
      <c r="B1671" s="14">
        <v>2024</v>
      </c>
      <c r="C1671" s="15">
        <v>1</v>
      </c>
      <c r="D1671" s="15">
        <v>17</v>
      </c>
      <c r="E1671" s="16"/>
      <c r="F1671" t="s" s="17">
        <v>341</v>
      </c>
      <c r="G1671" s="16"/>
      <c r="H1671" t="s" s="17">
        <v>163</v>
      </c>
      <c r="I1671" t="s" s="17">
        <v>19</v>
      </c>
      <c r="J1671" t="s" s="17">
        <v>67</v>
      </c>
      <c r="K1671" t="s" s="17">
        <v>23</v>
      </c>
      <c r="L1671" s="15">
        <f>IF(O1671,P1671/O1671,0)</f>
        <v>1.236139</v>
      </c>
      <c r="M1671" s="15">
        <v>1.236139</v>
      </c>
      <c r="N1671" s="15">
        <f>A1671</f>
        <v>1669</v>
      </c>
      <c r="O1671" s="15">
        <f>8*100</f>
        <v>800</v>
      </c>
      <c r="P1671" s="43">
        <f>979.12+979.12*1%</f>
        <v>988.9112</v>
      </c>
      <c r="Q1671" s="16"/>
    </row>
    <row r="1672" ht="20.05" customHeight="1">
      <c r="A1672" s="13">
        <f>A1671+1</f>
        <v>1670</v>
      </c>
      <c r="B1672" s="14">
        <v>2024</v>
      </c>
      <c r="C1672" s="15">
        <v>1</v>
      </c>
      <c r="D1672" s="15">
        <v>17</v>
      </c>
      <c r="E1672" s="16"/>
      <c r="F1672" t="s" s="17">
        <v>341</v>
      </c>
      <c r="G1672" s="16"/>
      <c r="H1672" t="s" s="17">
        <v>163</v>
      </c>
      <c r="I1672" t="s" s="17">
        <v>19</v>
      </c>
      <c r="J1672" t="s" s="17">
        <v>138</v>
      </c>
      <c r="K1672" t="s" s="17">
        <v>41</v>
      </c>
      <c r="L1672" s="15">
        <f>IF(O1672,P1672/O1672,0)</f>
        <v>0.0391375</v>
      </c>
      <c r="M1672" s="15">
        <v>0.0391375</v>
      </c>
      <c r="N1672" s="15">
        <f>A1672</f>
        <v>1670</v>
      </c>
      <c r="O1672" s="15">
        <f t="shared" si="1188"/>
        <v>72000</v>
      </c>
      <c r="P1672" s="42">
        <f>2790+2790*1%</f>
        <v>2817.9</v>
      </c>
      <c r="Q1672" s="16"/>
    </row>
    <row r="1673" ht="20.05" customHeight="1">
      <c r="A1673" s="13">
        <f>A1672+1</f>
        <v>1671</v>
      </c>
      <c r="B1673" s="14">
        <v>2024</v>
      </c>
      <c r="C1673" s="15">
        <v>1</v>
      </c>
      <c r="D1673" s="15">
        <v>17</v>
      </c>
      <c r="E1673" s="16"/>
      <c r="F1673" t="s" s="17">
        <v>341</v>
      </c>
      <c r="G1673" s="16"/>
      <c r="H1673" t="s" s="17">
        <v>163</v>
      </c>
      <c r="I1673" t="s" s="17">
        <v>26</v>
      </c>
      <c r="J1673" t="s" s="17">
        <v>117</v>
      </c>
      <c r="K1673" t="s" s="17">
        <v>23</v>
      </c>
      <c r="L1673" s="15">
        <f>IF(O1673,P1673/O1673,0)</f>
        <v>37.37</v>
      </c>
      <c r="M1673" s="15">
        <v>37.37</v>
      </c>
      <c r="N1673" s="15">
        <f>A1673</f>
        <v>1671</v>
      </c>
      <c r="O1673" s="15">
        <v>14</v>
      </c>
      <c r="P1673" s="41">
        <f t="shared" si="6150" ref="P1673:P1895">518+518*1%</f>
        <v>523.1799999999999</v>
      </c>
      <c r="Q1673" s="16"/>
    </row>
    <row r="1674" ht="20.05" customHeight="1">
      <c r="A1674" s="13">
        <f>A1673+1</f>
        <v>1672</v>
      </c>
      <c r="B1674" s="14">
        <v>2024</v>
      </c>
      <c r="C1674" s="15">
        <v>1</v>
      </c>
      <c r="D1674" s="15">
        <v>17</v>
      </c>
      <c r="E1674" s="16"/>
      <c r="F1674" t="s" s="17">
        <v>111</v>
      </c>
      <c r="G1674" s="16"/>
      <c r="H1674" t="s" s="17">
        <v>163</v>
      </c>
      <c r="I1674" t="s" s="17">
        <v>19</v>
      </c>
      <c r="J1674" t="s" s="17">
        <v>112</v>
      </c>
      <c r="K1674" t="s" s="17">
        <v>41</v>
      </c>
      <c r="L1674" s="15">
        <f>IF(O1674,P1674/O1674,0)</f>
        <v>0.035148</v>
      </c>
      <c r="M1674" s="15">
        <v>0.035148</v>
      </c>
      <c r="N1674" s="15">
        <f>A1674</f>
        <v>1672</v>
      </c>
      <c r="O1674" s="15">
        <f t="shared" si="6154" ref="O1674:O2094">10*1000</f>
        <v>10000</v>
      </c>
      <c r="P1674" s="15">
        <v>351.48</v>
      </c>
      <c r="Q1674" s="16"/>
    </row>
    <row r="1675" ht="20.05" customHeight="1">
      <c r="A1675" s="13">
        <f>A1674+1</f>
        <v>1673</v>
      </c>
      <c r="B1675" s="14">
        <v>2024</v>
      </c>
      <c r="C1675" s="15">
        <v>1</v>
      </c>
      <c r="D1675" s="15">
        <v>17</v>
      </c>
      <c r="E1675" s="16"/>
      <c r="F1675" t="s" s="17">
        <v>111</v>
      </c>
      <c r="G1675" s="16"/>
      <c r="H1675" t="s" s="17">
        <v>163</v>
      </c>
      <c r="I1675" t="s" s="17">
        <v>26</v>
      </c>
      <c r="J1675" t="s" s="17">
        <v>113</v>
      </c>
      <c r="K1675" t="s" s="17">
        <v>41</v>
      </c>
      <c r="L1675" s="15">
        <f>IF(O1675,P1675/O1675,0)</f>
        <v>0.0312133333333333</v>
      </c>
      <c r="M1675" s="15">
        <v>0.0312133333333333</v>
      </c>
      <c r="N1675" s="15">
        <f>A1675</f>
        <v>1673</v>
      </c>
      <c r="O1675" s="15">
        <f t="shared" si="6158" ref="O1675:O1915">3000</f>
        <v>3000</v>
      </c>
      <c r="P1675" s="15">
        <v>93.64</v>
      </c>
      <c r="Q1675" s="16"/>
    </row>
    <row r="1676" ht="20.05" customHeight="1">
      <c r="A1676" s="13">
        <f>A1675+1</f>
        <v>1674</v>
      </c>
      <c r="B1676" s="14">
        <v>2024</v>
      </c>
      <c r="C1676" s="15">
        <v>1</v>
      </c>
      <c r="D1676" s="15">
        <v>17</v>
      </c>
      <c r="E1676" s="16"/>
      <c r="F1676" t="s" s="17">
        <v>111</v>
      </c>
      <c r="G1676" s="16"/>
      <c r="H1676" t="s" s="17">
        <v>163</v>
      </c>
      <c r="I1676" t="s" s="17">
        <v>19</v>
      </c>
      <c r="J1676" t="s" s="17">
        <v>72</v>
      </c>
      <c r="K1676" t="s" s="17">
        <v>41</v>
      </c>
      <c r="L1676" s="15">
        <f>IF(O1676,P1676/O1676,0)</f>
        <v>0.248586666666667</v>
      </c>
      <c r="M1676" s="15">
        <v>0.248586666666667</v>
      </c>
      <c r="N1676" s="15">
        <f>A1676</f>
        <v>1674</v>
      </c>
      <c r="O1676" s="15">
        <f t="shared" si="4455"/>
        <v>750</v>
      </c>
      <c r="P1676" s="15">
        <v>186.44</v>
      </c>
      <c r="Q1676" s="16"/>
    </row>
    <row r="1677" ht="20.05" customHeight="1">
      <c r="A1677" s="13">
        <f>A1676+1</f>
        <v>1675</v>
      </c>
      <c r="B1677" s="14">
        <v>2024</v>
      </c>
      <c r="C1677" s="15">
        <v>1</v>
      </c>
      <c r="D1677" s="15">
        <v>17</v>
      </c>
      <c r="E1677" s="16"/>
      <c r="F1677" t="s" s="17">
        <v>111</v>
      </c>
      <c r="G1677" s="16"/>
      <c r="H1677" t="s" s="17">
        <v>163</v>
      </c>
      <c r="I1677" t="s" s="17">
        <v>26</v>
      </c>
      <c r="J1677" t="s" s="17">
        <v>134</v>
      </c>
      <c r="K1677" t="s" s="17">
        <v>23</v>
      </c>
      <c r="L1677" s="15">
        <f>IF(O1677,P1677/O1677,0)</f>
        <v>42.106</v>
      </c>
      <c r="M1677" s="15">
        <v>42.106</v>
      </c>
      <c r="N1677" s="15">
        <f>A1677</f>
        <v>1675</v>
      </c>
      <c r="O1677" s="15">
        <v>5</v>
      </c>
      <c r="P1677" s="15">
        <v>210.53</v>
      </c>
      <c r="Q1677" s="16"/>
    </row>
    <row r="1678" ht="20.05" customHeight="1">
      <c r="A1678" s="13">
        <f>A1677+1</f>
        <v>1676</v>
      </c>
      <c r="B1678" s="14">
        <v>2024</v>
      </c>
      <c r="C1678" s="15">
        <v>1</v>
      </c>
      <c r="D1678" s="15">
        <v>17</v>
      </c>
      <c r="E1678" s="16"/>
      <c r="F1678" t="s" s="17">
        <v>111</v>
      </c>
      <c r="G1678" s="16"/>
      <c r="H1678" t="s" s="17">
        <v>163</v>
      </c>
      <c r="I1678" t="s" s="17">
        <v>26</v>
      </c>
      <c r="J1678" t="s" s="17">
        <v>118</v>
      </c>
      <c r="K1678" t="s" s="17">
        <v>23</v>
      </c>
      <c r="L1678" s="15">
        <f>IF(O1678,P1678/O1678,0)</f>
        <v>42.1066666666667</v>
      </c>
      <c r="M1678" s="15">
        <v>42.1066666666667</v>
      </c>
      <c r="N1678" s="15">
        <f>A1678</f>
        <v>1676</v>
      </c>
      <c r="O1678" s="15">
        <v>3</v>
      </c>
      <c r="P1678" s="15">
        <v>126.32</v>
      </c>
      <c r="Q1678" s="16"/>
    </row>
    <row r="1679" ht="20.05" customHeight="1">
      <c r="A1679" s="13">
        <f>A1678+1</f>
        <v>1677</v>
      </c>
      <c r="B1679" s="14">
        <v>2024</v>
      </c>
      <c r="C1679" s="15">
        <v>1</v>
      </c>
      <c r="D1679" s="15">
        <v>17</v>
      </c>
      <c r="E1679" s="16"/>
      <c r="F1679" t="s" s="17">
        <v>111</v>
      </c>
      <c r="G1679" s="16"/>
      <c r="H1679" t="s" s="17">
        <v>163</v>
      </c>
      <c r="I1679" t="s" s="17">
        <v>187</v>
      </c>
      <c r="J1679" t="s" s="17">
        <v>276</v>
      </c>
      <c r="K1679" t="s" s="17">
        <v>41</v>
      </c>
      <c r="L1679" s="15">
        <f>IF(O1679,P1679/O1679,0)</f>
        <v>0.07149999999999999</v>
      </c>
      <c r="M1679" s="15">
        <v>0.07149999999999999</v>
      </c>
      <c r="N1679" s="15">
        <f>A1679</f>
        <v>1677</v>
      </c>
      <c r="O1679" s="15">
        <v>1000</v>
      </c>
      <c r="P1679" s="15">
        <v>71.5</v>
      </c>
      <c r="Q1679" s="16"/>
    </row>
    <row r="1680" ht="20.05" customHeight="1">
      <c r="A1680" s="13">
        <f>A1679+1</f>
        <v>1678</v>
      </c>
      <c r="B1680" s="14">
        <v>2024</v>
      </c>
      <c r="C1680" s="15">
        <v>1</v>
      </c>
      <c r="D1680" s="15">
        <v>17</v>
      </c>
      <c r="E1680" s="16"/>
      <c r="F1680" t="s" s="17">
        <v>111</v>
      </c>
      <c r="G1680" s="16"/>
      <c r="H1680" t="s" s="17">
        <v>163</v>
      </c>
      <c r="I1680" t="s" s="17">
        <v>187</v>
      </c>
      <c r="J1680" t="s" s="17">
        <v>166</v>
      </c>
      <c r="K1680" t="s" s="17">
        <v>41</v>
      </c>
      <c r="L1680" s="15">
        <f>IF(O1680,P1680/O1680,0)</f>
        <v>0.0526</v>
      </c>
      <c r="M1680" s="15">
        <v>0.0526</v>
      </c>
      <c r="N1680" s="15">
        <f>A1680</f>
        <v>1678</v>
      </c>
      <c r="O1680" s="15">
        <v>500</v>
      </c>
      <c r="P1680" s="15">
        <v>26.3</v>
      </c>
      <c r="Q1680" s="16"/>
    </row>
    <row r="1681" ht="20.05" customHeight="1">
      <c r="A1681" s="13">
        <f>A1680+1</f>
        <v>1679</v>
      </c>
      <c r="B1681" s="14">
        <v>2024</v>
      </c>
      <c r="C1681" s="15">
        <v>1</v>
      </c>
      <c r="D1681" s="15">
        <v>17</v>
      </c>
      <c r="E1681" s="16"/>
      <c r="F1681" t="s" s="17">
        <v>324</v>
      </c>
      <c r="G1681" s="16"/>
      <c r="H1681" t="s" s="17">
        <v>163</v>
      </c>
      <c r="I1681" t="s" s="17">
        <v>187</v>
      </c>
      <c r="J1681" t="s" s="17">
        <v>472</v>
      </c>
      <c r="K1681" t="s" s="17">
        <v>23</v>
      </c>
      <c r="L1681" s="15">
        <f>IF(O1681,P1681/O1681,0)</f>
        <v>21</v>
      </c>
      <c r="M1681" s="15">
        <v>21</v>
      </c>
      <c r="N1681" s="15">
        <f>A1681</f>
        <v>1679</v>
      </c>
      <c r="O1681" s="15">
        <v>5</v>
      </c>
      <c r="P1681" s="15">
        <v>105</v>
      </c>
      <c r="Q1681" s="16"/>
    </row>
    <row r="1682" ht="32.05" customHeight="1">
      <c r="A1682" s="13">
        <f>A1681+1</f>
        <v>1680</v>
      </c>
      <c r="B1682" s="14">
        <v>2024</v>
      </c>
      <c r="C1682" s="15">
        <v>1</v>
      </c>
      <c r="D1682" s="15">
        <v>17</v>
      </c>
      <c r="E1682" s="16"/>
      <c r="F1682" t="s" s="17">
        <v>287</v>
      </c>
      <c r="G1682" s="16"/>
      <c r="H1682" t="s" s="17">
        <v>163</v>
      </c>
      <c r="I1682" t="s" s="17">
        <v>14</v>
      </c>
      <c r="J1682" t="s" s="17">
        <v>283</v>
      </c>
      <c r="K1682" t="s" s="17">
        <v>23</v>
      </c>
      <c r="L1682" s="15">
        <f>IF(O1682,P1682/O1682,0)</f>
        <v>53.1765</v>
      </c>
      <c r="M1682" s="15">
        <v>53.1765</v>
      </c>
      <c r="N1682" s="15">
        <f>A1682</f>
        <v>1680</v>
      </c>
      <c r="O1682" s="15">
        <v>10</v>
      </c>
      <c r="P1682" s="42">
        <f t="shared" si="6067"/>
        <v>531.765</v>
      </c>
      <c r="Q1682" s="16"/>
    </row>
    <row r="1683" ht="20.05" customHeight="1">
      <c r="A1683" s="13">
        <f>A1682+1</f>
        <v>1681</v>
      </c>
      <c r="B1683" s="14">
        <v>2024</v>
      </c>
      <c r="C1683" s="15">
        <v>1</v>
      </c>
      <c r="D1683" s="15">
        <v>17</v>
      </c>
      <c r="E1683" s="16"/>
      <c r="F1683" t="s" s="17">
        <v>287</v>
      </c>
      <c r="G1683" s="16"/>
      <c r="H1683" t="s" s="17">
        <v>163</v>
      </c>
      <c r="I1683" t="s" s="17">
        <v>14</v>
      </c>
      <c r="J1683" t="s" s="17">
        <v>433</v>
      </c>
      <c r="K1683" t="s" s="17">
        <v>23</v>
      </c>
      <c r="L1683" s="15">
        <f>IF(O1683,P1683/O1683,0)</f>
        <v>57.7215</v>
      </c>
      <c r="M1683" s="15">
        <v>57.7215</v>
      </c>
      <c r="N1683" s="15">
        <f>A1683</f>
        <v>1681</v>
      </c>
      <c r="O1683" s="15">
        <v>10</v>
      </c>
      <c r="P1683" s="42">
        <f t="shared" si="6185" ref="P1683:P1696">571.5+571.5*1%</f>
        <v>577.215</v>
      </c>
      <c r="Q1683" s="16"/>
    </row>
    <row r="1684" ht="20.05" customHeight="1">
      <c r="A1684" s="13">
        <f>A1683+1</f>
        <v>1682</v>
      </c>
      <c r="B1684" s="14">
        <v>2024</v>
      </c>
      <c r="C1684" s="15">
        <v>1</v>
      </c>
      <c r="D1684" s="15">
        <v>17</v>
      </c>
      <c r="E1684" s="16"/>
      <c r="F1684" t="s" s="17">
        <v>287</v>
      </c>
      <c r="G1684" s="16"/>
      <c r="H1684" t="s" s="17">
        <v>163</v>
      </c>
      <c r="I1684" t="s" s="17">
        <v>14</v>
      </c>
      <c r="J1684" t="s" s="17">
        <v>282</v>
      </c>
      <c r="K1684" t="s" s="17">
        <v>23</v>
      </c>
      <c r="L1684" s="15">
        <f>IF(O1684,P1684/O1684,0)</f>
        <v>40.905</v>
      </c>
      <c r="M1684" s="15">
        <v>40.905</v>
      </c>
      <c r="N1684" s="15">
        <f>A1684</f>
        <v>1682</v>
      </c>
      <c r="O1684" s="15">
        <v>10</v>
      </c>
      <c r="P1684" s="41">
        <f t="shared" si="6189" ref="P1684:P1824">405+405*1%</f>
        <v>409.05</v>
      </c>
      <c r="Q1684" s="16"/>
    </row>
    <row r="1685" ht="20.05" customHeight="1">
      <c r="A1685" s="13">
        <f>A1684+1</f>
        <v>1683</v>
      </c>
      <c r="B1685" s="14">
        <v>2024</v>
      </c>
      <c r="C1685" s="15">
        <v>1</v>
      </c>
      <c r="D1685" s="15">
        <v>17</v>
      </c>
      <c r="E1685" s="16"/>
      <c r="F1685" t="s" s="17">
        <v>287</v>
      </c>
      <c r="G1685" s="16"/>
      <c r="H1685" t="s" s="17">
        <v>163</v>
      </c>
      <c r="I1685" t="s" s="17">
        <v>14</v>
      </c>
      <c r="J1685" t="s" s="17">
        <v>289</v>
      </c>
      <c r="K1685" t="s" s="17">
        <v>23</v>
      </c>
      <c r="L1685" s="15">
        <f>IF(O1685,P1685/O1685,0)</f>
        <v>44.9955</v>
      </c>
      <c r="M1685" s="15">
        <v>44.9955</v>
      </c>
      <c r="N1685" s="15">
        <f>A1685</f>
        <v>1683</v>
      </c>
      <c r="O1685" s="15">
        <v>10</v>
      </c>
      <c r="P1685" s="42">
        <f t="shared" si="5931"/>
        <v>449.955</v>
      </c>
      <c r="Q1685" s="16"/>
    </row>
    <row r="1686" ht="20.05" customHeight="1">
      <c r="A1686" s="13">
        <f>A1685+1</f>
        <v>1684</v>
      </c>
      <c r="B1686" s="14">
        <v>2024</v>
      </c>
      <c r="C1686" s="15">
        <v>1</v>
      </c>
      <c r="D1686" s="15">
        <v>17</v>
      </c>
      <c r="E1686" s="16"/>
      <c r="F1686" t="s" s="17">
        <v>287</v>
      </c>
      <c r="G1686" s="16"/>
      <c r="H1686" t="s" s="17">
        <v>163</v>
      </c>
      <c r="I1686" t="s" s="17">
        <v>14</v>
      </c>
      <c r="J1686" t="s" s="17">
        <v>288</v>
      </c>
      <c r="K1686" t="s" s="17">
        <v>23</v>
      </c>
      <c r="L1686" s="15">
        <f>IF(O1686,P1686/O1686,0)</f>
        <v>55.3816666666667</v>
      </c>
      <c r="M1686" s="15">
        <v>55.3816666666667</v>
      </c>
      <c r="N1686" s="15">
        <f>A1686</f>
        <v>1684</v>
      </c>
      <c r="O1686" s="15">
        <v>9</v>
      </c>
      <c r="P1686" s="42">
        <f>493.5+493.5*1%</f>
        <v>498.435</v>
      </c>
      <c r="Q1686" s="16"/>
    </row>
    <row r="1687" ht="20.05" customHeight="1">
      <c r="A1687" s="13">
        <f>A1686+1</f>
        <v>1685</v>
      </c>
      <c r="B1687" s="14">
        <v>2024</v>
      </c>
      <c r="C1687" s="15">
        <v>1</v>
      </c>
      <c r="D1687" s="15">
        <v>17</v>
      </c>
      <c r="E1687" s="16"/>
      <c r="F1687" t="s" s="17">
        <v>150</v>
      </c>
      <c r="G1687" s="16"/>
      <c r="H1687" t="s" s="17">
        <v>163</v>
      </c>
      <c r="I1687" t="s" s="17">
        <v>19</v>
      </c>
      <c r="J1687" t="s" s="17">
        <v>353</v>
      </c>
      <c r="K1687" t="s" s="17">
        <v>23</v>
      </c>
      <c r="L1687" s="15">
        <f>IF(O1687,P1687/O1687,0)</f>
        <v>0.336</v>
      </c>
      <c r="M1687" s="15">
        <v>0.336</v>
      </c>
      <c r="N1687" s="15">
        <f>A1687</f>
        <v>1685</v>
      </c>
      <c r="O1687" s="15">
        <v>1000</v>
      </c>
      <c r="P1687" s="41">
        <f>280+280*20%</f>
        <v>336</v>
      </c>
      <c r="Q1687" s="16"/>
    </row>
    <row r="1688" ht="20.05" customHeight="1">
      <c r="A1688" s="13">
        <f>A1687+1</f>
        <v>1686</v>
      </c>
      <c r="B1688" s="14">
        <v>2024</v>
      </c>
      <c r="C1688" s="15">
        <v>1</v>
      </c>
      <c r="D1688" s="15">
        <v>17</v>
      </c>
      <c r="E1688" s="16"/>
      <c r="F1688" t="s" s="17">
        <v>150</v>
      </c>
      <c r="G1688" s="16"/>
      <c r="H1688" t="s" s="17">
        <v>163</v>
      </c>
      <c r="I1688" t="s" s="17">
        <v>19</v>
      </c>
      <c r="J1688" t="s" s="17">
        <v>68</v>
      </c>
      <c r="K1688" t="s" s="17">
        <v>16</v>
      </c>
      <c r="L1688" s="15">
        <f>IF(O1688,P1688/O1688,0)</f>
        <v>0.24947</v>
      </c>
      <c r="M1688" s="15">
        <v>0.24947</v>
      </c>
      <c r="N1688" s="15">
        <f>A1688</f>
        <v>1686</v>
      </c>
      <c r="O1688" s="15">
        <f t="shared" si="5588"/>
        <v>3000</v>
      </c>
      <c r="P1688" s="41">
        <f>741+741*1%</f>
        <v>748.41</v>
      </c>
      <c r="Q1688" s="16"/>
    </row>
    <row r="1689" ht="20.05" customHeight="1">
      <c r="A1689" s="13">
        <f>A1688+1</f>
        <v>1687</v>
      </c>
      <c r="B1689" s="14">
        <v>2024</v>
      </c>
      <c r="C1689" s="15">
        <v>1</v>
      </c>
      <c r="D1689" s="15">
        <v>17</v>
      </c>
      <c r="E1689" s="16"/>
      <c r="F1689" t="s" s="17">
        <v>150</v>
      </c>
      <c r="G1689" s="16"/>
      <c r="H1689" t="s" s="17">
        <v>163</v>
      </c>
      <c r="I1689" t="s" s="17">
        <v>19</v>
      </c>
      <c r="J1689" t="s" s="17">
        <v>71</v>
      </c>
      <c r="K1689" t="s" s="17">
        <v>16</v>
      </c>
      <c r="L1689" s="15">
        <f>IF(O1689,P1689/O1689,0)</f>
        <v>0.23634</v>
      </c>
      <c r="M1689" s="15">
        <v>0.23634</v>
      </c>
      <c r="N1689" s="15">
        <f>A1689</f>
        <v>1687</v>
      </c>
      <c r="O1689" s="15">
        <f t="shared" si="5645"/>
        <v>2000</v>
      </c>
      <c r="P1689" s="41">
        <f>468+468*1%</f>
        <v>472.68</v>
      </c>
      <c r="Q1689" s="16"/>
    </row>
    <row r="1690" ht="20.05" customHeight="1">
      <c r="A1690" s="13">
        <f>A1689+1</f>
        <v>1688</v>
      </c>
      <c r="B1690" s="14">
        <v>2024</v>
      </c>
      <c r="C1690" s="15">
        <v>1</v>
      </c>
      <c r="D1690" s="15">
        <v>17</v>
      </c>
      <c r="E1690" s="16"/>
      <c r="F1690" t="s" s="17">
        <v>150</v>
      </c>
      <c r="G1690" s="16"/>
      <c r="H1690" t="s" s="17">
        <v>163</v>
      </c>
      <c r="I1690" t="s" s="17">
        <v>19</v>
      </c>
      <c r="J1690" t="s" s="17">
        <v>70</v>
      </c>
      <c r="K1690" t="s" s="17">
        <v>16</v>
      </c>
      <c r="L1690" s="15">
        <f>IF(O1690,P1690/O1690,0)</f>
        <v>0.3636</v>
      </c>
      <c r="M1690" s="15">
        <v>0.3636</v>
      </c>
      <c r="N1690" s="15">
        <f>A1690</f>
        <v>1688</v>
      </c>
      <c r="O1690" s="15">
        <f t="shared" si="5588"/>
        <v>3000</v>
      </c>
      <c r="P1690" s="42">
        <f>1080+1080*1%</f>
        <v>1090.8</v>
      </c>
      <c r="Q1690" s="16"/>
    </row>
    <row r="1691" ht="32.05" customHeight="1">
      <c r="A1691" s="13">
        <f>A1690+1</f>
        <v>1689</v>
      </c>
      <c r="B1691" s="14">
        <v>2024</v>
      </c>
      <c r="C1691" s="15">
        <v>1</v>
      </c>
      <c r="D1691" s="15">
        <v>18</v>
      </c>
      <c r="E1691" s="16"/>
      <c r="F1691" t="s" s="17">
        <v>341</v>
      </c>
      <c r="G1691" s="16"/>
      <c r="H1691" t="s" s="17">
        <v>163</v>
      </c>
      <c r="I1691" t="s" s="17">
        <v>187</v>
      </c>
      <c r="J1691" t="s" s="17">
        <v>136</v>
      </c>
      <c r="K1691" t="s" s="17">
        <v>23</v>
      </c>
      <c r="L1691" s="15">
        <f>IF(O1691,P1691/O1691,0)</f>
        <v>0.2424</v>
      </c>
      <c r="M1691" s="15">
        <v>0.2424</v>
      </c>
      <c r="N1691" s="15">
        <f>A1691</f>
        <v>1689</v>
      </c>
      <c r="O1691" s="15">
        <f t="shared" si="2343"/>
        <v>4000</v>
      </c>
      <c r="P1691" s="42">
        <f t="shared" si="6221" ref="P1691:P1944">808+808*20%</f>
        <v>969.6</v>
      </c>
      <c r="Q1691" s="16"/>
    </row>
    <row r="1692" ht="32.05" customHeight="1">
      <c r="A1692" s="13">
        <f>A1691+1</f>
        <v>1690</v>
      </c>
      <c r="B1692" s="14">
        <v>2024</v>
      </c>
      <c r="C1692" s="15">
        <v>1</v>
      </c>
      <c r="D1692" s="15">
        <v>18</v>
      </c>
      <c r="E1692" s="16"/>
      <c r="F1692" t="s" s="17">
        <v>341</v>
      </c>
      <c r="G1692" s="16"/>
      <c r="H1692" t="s" s="17">
        <v>163</v>
      </c>
      <c r="I1692" t="s" s="17">
        <v>187</v>
      </c>
      <c r="J1692" t="s" s="17">
        <v>137</v>
      </c>
      <c r="K1692" t="s" s="17">
        <v>41</v>
      </c>
      <c r="L1692" s="15">
        <f>IF(O1692,P1692/O1692,0)</f>
        <v>0.028608</v>
      </c>
      <c r="M1692" s="15">
        <v>0.028608</v>
      </c>
      <c r="N1692" s="15">
        <f>A1692</f>
        <v>1690</v>
      </c>
      <c r="O1692" s="15">
        <v>5000</v>
      </c>
      <c r="P1692" s="41">
        <f>119.2+119.2*20%</f>
        <v>143.04</v>
      </c>
      <c r="Q1692" s="16"/>
    </row>
    <row r="1693" ht="20.05" customHeight="1">
      <c r="A1693" s="13">
        <f>A1692+1</f>
        <v>1691</v>
      </c>
      <c r="B1693" s="14">
        <v>2024</v>
      </c>
      <c r="C1693" s="15">
        <v>1</v>
      </c>
      <c r="D1693" s="15">
        <v>17</v>
      </c>
      <c r="E1693" s="16"/>
      <c r="F1693" t="s" s="17">
        <v>428</v>
      </c>
      <c r="G1693" s="16"/>
      <c r="H1693" t="s" s="17">
        <v>163</v>
      </c>
      <c r="I1693" t="s" s="17">
        <v>19</v>
      </c>
      <c r="J1693" t="s" s="17">
        <v>139</v>
      </c>
      <c r="K1693" t="s" s="17">
        <v>23</v>
      </c>
      <c r="L1693" s="15">
        <f>IF(O1693,P1693/O1693,0)</f>
        <v>3.87503333333333</v>
      </c>
      <c r="M1693" s="15">
        <v>3.87503333333333</v>
      </c>
      <c r="N1693" s="15">
        <f>A1693</f>
        <v>1691</v>
      </c>
      <c r="O1693" s="15">
        <f t="shared" si="6090"/>
        <v>48</v>
      </c>
      <c r="P1693" s="43">
        <f t="shared" si="6230" ref="P1693:P1710">184.16+184.16*1%</f>
        <v>186.0016</v>
      </c>
      <c r="Q1693" s="16"/>
    </row>
    <row r="1694" ht="32.05" customHeight="1">
      <c r="A1694" s="13">
        <f>A1693+1</f>
        <v>1692</v>
      </c>
      <c r="B1694" s="14">
        <v>2024</v>
      </c>
      <c r="C1694" s="15">
        <v>1</v>
      </c>
      <c r="D1694" s="15">
        <v>17</v>
      </c>
      <c r="E1694" s="16"/>
      <c r="F1694" t="s" s="17">
        <v>428</v>
      </c>
      <c r="G1694" s="16"/>
      <c r="H1694" t="s" s="17">
        <v>163</v>
      </c>
      <c r="I1694" t="s" s="17">
        <v>19</v>
      </c>
      <c r="J1694" t="s" s="17">
        <v>437</v>
      </c>
      <c r="K1694" t="s" s="17">
        <v>16</v>
      </c>
      <c r="L1694" s="15">
        <f>IF(O1694,P1694/O1694,0)</f>
        <v>0.389961</v>
      </c>
      <c r="M1694" s="15">
        <v>0.389961</v>
      </c>
      <c r="N1694" s="15">
        <f>A1694</f>
        <v>1692</v>
      </c>
      <c r="O1694" s="15">
        <f t="shared" si="5588"/>
        <v>3000</v>
      </c>
      <c r="P1694" s="42">
        <f t="shared" si="6235" ref="P1694:P1742">1158.3+1158.3*1%</f>
        <v>1169.883</v>
      </c>
      <c r="Q1694" s="16"/>
    </row>
    <row r="1695" ht="32.05" customHeight="1">
      <c r="A1695" s="13">
        <f>A1694+1</f>
        <v>1693</v>
      </c>
      <c r="B1695" s="14">
        <v>2024</v>
      </c>
      <c r="C1695" s="15">
        <v>1</v>
      </c>
      <c r="D1695" s="15">
        <v>18</v>
      </c>
      <c r="E1695" s="16"/>
      <c r="F1695" t="s" s="17">
        <v>287</v>
      </c>
      <c r="G1695" s="16"/>
      <c r="H1695" t="s" s="17">
        <v>163</v>
      </c>
      <c r="I1695" t="s" s="17">
        <v>14</v>
      </c>
      <c r="J1695" t="s" s="17">
        <v>283</v>
      </c>
      <c r="K1695" t="s" s="17">
        <v>23</v>
      </c>
      <c r="L1695" s="15">
        <f>IF(O1695,P1695/O1695,0)</f>
        <v>53.1765</v>
      </c>
      <c r="M1695" s="15">
        <v>53.1765</v>
      </c>
      <c r="N1695" s="15">
        <f>A1695</f>
        <v>1693</v>
      </c>
      <c r="O1695" s="15">
        <v>10</v>
      </c>
      <c r="P1695" s="42">
        <f t="shared" si="6067"/>
        <v>531.765</v>
      </c>
      <c r="Q1695" s="16"/>
    </row>
    <row r="1696" ht="20.05" customHeight="1">
      <c r="A1696" s="13">
        <f>A1695+1</f>
        <v>1694</v>
      </c>
      <c r="B1696" s="14">
        <v>2024</v>
      </c>
      <c r="C1696" s="15">
        <v>1</v>
      </c>
      <c r="D1696" s="15">
        <v>18</v>
      </c>
      <c r="E1696" s="16"/>
      <c r="F1696" t="s" s="17">
        <v>287</v>
      </c>
      <c r="G1696" s="16"/>
      <c r="H1696" t="s" s="17">
        <v>163</v>
      </c>
      <c r="I1696" t="s" s="17">
        <v>14</v>
      </c>
      <c r="J1696" t="s" s="17">
        <v>433</v>
      </c>
      <c r="K1696" t="s" s="17">
        <v>23</v>
      </c>
      <c r="L1696" s="15">
        <f>IF(O1696,P1696/O1696,0)</f>
        <v>57.7215</v>
      </c>
      <c r="M1696" s="15">
        <v>57.7215</v>
      </c>
      <c r="N1696" s="15">
        <f>A1696</f>
        <v>1694</v>
      </c>
      <c r="O1696" s="15">
        <v>10</v>
      </c>
      <c r="P1696" s="42">
        <f t="shared" si="6185"/>
        <v>577.215</v>
      </c>
      <c r="Q1696" s="16"/>
    </row>
    <row r="1697" ht="32.05" customHeight="1">
      <c r="A1697" s="13">
        <f>A1696+1</f>
        <v>1695</v>
      </c>
      <c r="B1697" s="14">
        <v>2024</v>
      </c>
      <c r="C1697" s="15">
        <v>1</v>
      </c>
      <c r="D1697" s="15">
        <v>18</v>
      </c>
      <c r="E1697" s="16"/>
      <c r="F1697" t="s" s="17">
        <v>287</v>
      </c>
      <c r="G1697" s="16"/>
      <c r="H1697" t="s" s="17">
        <v>163</v>
      </c>
      <c r="I1697" t="s" s="17">
        <v>17</v>
      </c>
      <c r="J1697" t="s" s="17">
        <v>434</v>
      </c>
      <c r="K1697" t="s" s="17">
        <v>23</v>
      </c>
      <c r="L1697" s="15">
        <f>IF(O1697,P1697/O1697,0)</f>
        <v>47.6215</v>
      </c>
      <c r="M1697" s="15">
        <v>47.6215</v>
      </c>
      <c r="N1697" s="15">
        <f>A1697</f>
        <v>1695</v>
      </c>
      <c r="O1697" s="15">
        <v>24</v>
      </c>
      <c r="P1697" s="42">
        <f t="shared" si="6247" ref="P1697:P1905">1131.6+1131.6*1%</f>
        <v>1142.916</v>
      </c>
      <c r="Q1697" s="16"/>
    </row>
    <row r="1698" ht="20.05" customHeight="1">
      <c r="A1698" s="13">
        <f>A1697+1</f>
        <v>1696</v>
      </c>
      <c r="B1698" s="14">
        <v>2024</v>
      </c>
      <c r="C1698" s="15">
        <v>1</v>
      </c>
      <c r="D1698" s="15">
        <v>18</v>
      </c>
      <c r="E1698" s="16"/>
      <c r="F1698" t="s" s="17">
        <v>130</v>
      </c>
      <c r="G1698" s="16"/>
      <c r="H1698" t="s" s="17">
        <v>163</v>
      </c>
      <c r="I1698" t="s" s="17">
        <v>19</v>
      </c>
      <c r="J1698" t="s" s="17">
        <v>157</v>
      </c>
      <c r="K1698" t="s" s="17">
        <v>16</v>
      </c>
      <c r="L1698" s="15">
        <f>IF(O1698,P1698/O1698,0)</f>
        <v>0.019951871657754</v>
      </c>
      <c r="M1698" s="15">
        <v>0.019951871657754</v>
      </c>
      <c r="N1698" s="15">
        <f>A1698</f>
        <v>1696</v>
      </c>
      <c r="O1698" s="15">
        <v>1870</v>
      </c>
      <c r="P1698" s="15">
        <v>37.31</v>
      </c>
      <c r="Q1698" s="16"/>
    </row>
    <row r="1699" ht="20.05" customHeight="1">
      <c r="A1699" s="13">
        <f>A1698+1</f>
        <v>1697</v>
      </c>
      <c r="B1699" s="14">
        <v>2024</v>
      </c>
      <c r="C1699" s="15">
        <v>1</v>
      </c>
      <c r="D1699" s="15">
        <v>18</v>
      </c>
      <c r="E1699" s="16"/>
      <c r="F1699" t="s" s="17">
        <v>476</v>
      </c>
      <c r="G1699" s="16"/>
      <c r="H1699" t="s" s="17">
        <v>163</v>
      </c>
      <c r="I1699" t="s" s="17">
        <v>19</v>
      </c>
      <c r="J1699" t="s" s="17">
        <v>157</v>
      </c>
      <c r="K1699" t="s" s="17">
        <v>16</v>
      </c>
      <c r="L1699" s="15">
        <f>IF(O1699,P1699/O1699,0)</f>
        <v>0.0159471947194719</v>
      </c>
      <c r="M1699" s="15">
        <v>0.0159471947194719</v>
      </c>
      <c r="N1699" s="15">
        <f>A1699</f>
        <v>1697</v>
      </c>
      <c r="O1699" s="15">
        <v>1515</v>
      </c>
      <c r="P1699" s="15">
        <v>24.16</v>
      </c>
      <c r="Q1699" s="16"/>
    </row>
    <row r="1700" ht="20.05" customHeight="1">
      <c r="A1700" s="13">
        <f>A1699+1</f>
        <v>1698</v>
      </c>
      <c r="B1700" s="14">
        <v>2024</v>
      </c>
      <c r="C1700" s="15">
        <v>1</v>
      </c>
      <c r="D1700" s="15">
        <v>25</v>
      </c>
      <c r="E1700" s="16"/>
      <c r="F1700" t="s" s="17">
        <v>389</v>
      </c>
      <c r="G1700" t="s" s="17">
        <v>477</v>
      </c>
      <c r="H1700" t="s" s="17">
        <v>253</v>
      </c>
      <c r="I1700" t="s" s="17">
        <v>357</v>
      </c>
      <c r="J1700" t="s" s="17">
        <v>412</v>
      </c>
      <c r="K1700" t="s" s="17">
        <v>413</v>
      </c>
      <c r="L1700" s="15">
        <f>IF(O1700,P1700/O1700,0)</f>
        <v>0.0156</v>
      </c>
      <c r="M1700" s="15">
        <v>0.0156</v>
      </c>
      <c r="N1700" s="15">
        <f>A1700</f>
        <v>1698</v>
      </c>
      <c r="O1700" s="15">
        <v>10000</v>
      </c>
      <c r="P1700" s="15">
        <v>156</v>
      </c>
      <c r="Q1700" s="16"/>
    </row>
    <row r="1701" ht="32.05" customHeight="1">
      <c r="A1701" s="13">
        <f>A1700+1</f>
        <v>1699</v>
      </c>
      <c r="B1701" s="14">
        <v>2024</v>
      </c>
      <c r="C1701" s="15">
        <v>1</v>
      </c>
      <c r="D1701" s="15">
        <v>22</v>
      </c>
      <c r="E1701" s="16"/>
      <c r="F1701" t="s" s="17">
        <v>478</v>
      </c>
      <c r="G1701" s="16"/>
      <c r="H1701" t="s" s="17">
        <v>253</v>
      </c>
      <c r="I1701" t="s" s="17">
        <v>14</v>
      </c>
      <c r="J1701" t="s" s="17">
        <v>479</v>
      </c>
      <c r="K1701" t="s" s="17">
        <v>23</v>
      </c>
      <c r="L1701" s="15">
        <f>IF(O1701,P1701/O1701,0)</f>
        <v>59.085</v>
      </c>
      <c r="M1701" s="15">
        <v>59.085</v>
      </c>
      <c r="N1701" s="15">
        <f>A1701</f>
        <v>1699</v>
      </c>
      <c r="O1701" s="15">
        <v>10</v>
      </c>
      <c r="P1701" s="41">
        <f>585+585*1%</f>
        <v>590.85</v>
      </c>
      <c r="Q1701" s="16"/>
    </row>
    <row r="1702" ht="20.05" customHeight="1">
      <c r="A1702" s="13">
        <f>A1701+1</f>
        <v>1700</v>
      </c>
      <c r="B1702" s="14">
        <v>2024</v>
      </c>
      <c r="C1702" s="15">
        <v>1</v>
      </c>
      <c r="D1702" s="15">
        <v>22</v>
      </c>
      <c r="E1702" s="16"/>
      <c r="F1702" t="s" s="17">
        <v>478</v>
      </c>
      <c r="G1702" s="16"/>
      <c r="H1702" t="s" s="17">
        <v>253</v>
      </c>
      <c r="I1702" t="s" s="17">
        <v>19</v>
      </c>
      <c r="J1702" t="s" s="17">
        <v>71</v>
      </c>
      <c r="K1702" t="s" s="17">
        <v>16</v>
      </c>
      <c r="L1702" s="15">
        <f>IF(O1702,P1702/O1702,0)</f>
        <v>0.24745</v>
      </c>
      <c r="M1702" s="15">
        <v>0.24745</v>
      </c>
      <c r="N1702" s="15">
        <f>A1702</f>
        <v>1700</v>
      </c>
      <c r="O1702" s="15">
        <f t="shared" si="5588"/>
        <v>3000</v>
      </c>
      <c r="P1702" s="41">
        <f t="shared" si="6265" ref="P1702:P1703">735+735*1%</f>
        <v>742.35</v>
      </c>
      <c r="Q1702" s="16"/>
    </row>
    <row r="1703" ht="20.05" customHeight="1">
      <c r="A1703" s="13">
        <f>A1702+1</f>
        <v>1701</v>
      </c>
      <c r="B1703" s="14">
        <v>2024</v>
      </c>
      <c r="C1703" s="15">
        <v>1</v>
      </c>
      <c r="D1703" s="15">
        <v>22</v>
      </c>
      <c r="E1703" s="16"/>
      <c r="F1703" t="s" s="17">
        <v>478</v>
      </c>
      <c r="G1703" s="16"/>
      <c r="H1703" t="s" s="17">
        <v>253</v>
      </c>
      <c r="I1703" t="s" s="17">
        <v>19</v>
      </c>
      <c r="J1703" t="s" s="17">
        <v>68</v>
      </c>
      <c r="K1703" t="s" s="17">
        <v>16</v>
      </c>
      <c r="L1703" s="15">
        <f>IF(O1703,P1703/O1703,0)</f>
        <v>0.24745</v>
      </c>
      <c r="M1703" s="15">
        <v>0.24745</v>
      </c>
      <c r="N1703" s="15">
        <f>A1703</f>
        <v>1701</v>
      </c>
      <c r="O1703" s="15">
        <f t="shared" si="5588"/>
        <v>3000</v>
      </c>
      <c r="P1703" s="41">
        <f t="shared" si="6265"/>
        <v>742.35</v>
      </c>
      <c r="Q1703" s="16"/>
    </row>
    <row r="1704" ht="20.05" customHeight="1">
      <c r="A1704" s="13">
        <f>A1703+1</f>
        <v>1702</v>
      </c>
      <c r="B1704" s="14">
        <v>2024</v>
      </c>
      <c r="C1704" s="15">
        <v>1</v>
      </c>
      <c r="D1704" s="15">
        <v>22</v>
      </c>
      <c r="E1704" s="16"/>
      <c r="F1704" t="s" s="17">
        <v>478</v>
      </c>
      <c r="G1704" s="16"/>
      <c r="H1704" t="s" s="17">
        <v>253</v>
      </c>
      <c r="I1704" t="s" s="17">
        <v>19</v>
      </c>
      <c r="J1704" t="s" s="17">
        <v>480</v>
      </c>
      <c r="K1704" t="s" s="17">
        <v>16</v>
      </c>
      <c r="L1704" s="15">
        <f>IF(O1704,P1704/O1704,0)</f>
        <v>1.48975</v>
      </c>
      <c r="M1704" s="15">
        <v>1.48975</v>
      </c>
      <c r="N1704" s="15">
        <f>A1704</f>
        <v>1702</v>
      </c>
      <c r="O1704" s="15">
        <f t="shared" si="6274" ref="O1704:O1794">2*200</f>
        <v>400</v>
      </c>
      <c r="P1704" s="42">
        <f>590+590*1%</f>
        <v>595.9</v>
      </c>
      <c r="Q1704" s="16"/>
    </row>
    <row r="1705" ht="20.05" customHeight="1">
      <c r="A1705" s="13">
        <f>A1704+1</f>
        <v>1703</v>
      </c>
      <c r="B1705" s="14">
        <v>2024</v>
      </c>
      <c r="C1705" s="15">
        <v>1</v>
      </c>
      <c r="D1705" s="15">
        <v>22</v>
      </c>
      <c r="E1705" s="16"/>
      <c r="F1705" t="s" s="17">
        <v>481</v>
      </c>
      <c r="G1705" t="s" s="17">
        <v>482</v>
      </c>
      <c r="H1705" t="s" s="17">
        <v>253</v>
      </c>
      <c r="I1705" t="s" s="17">
        <v>19</v>
      </c>
      <c r="J1705" t="s" s="17">
        <v>483</v>
      </c>
      <c r="K1705" t="s" s="17">
        <v>23</v>
      </c>
      <c r="L1705" s="15">
        <f>IF(O1705,P1705/O1705,0)</f>
        <v>4.2</v>
      </c>
      <c r="M1705" s="15">
        <v>4.2</v>
      </c>
      <c r="N1705" s="15">
        <f>A1705</f>
        <v>1703</v>
      </c>
      <c r="O1705" s="15">
        <v>1000</v>
      </c>
      <c r="P1705" s="41">
        <f t="shared" si="3042"/>
        <v>4200</v>
      </c>
      <c r="Q1705" s="16"/>
    </row>
    <row r="1706" ht="20.05" customHeight="1">
      <c r="A1706" s="13">
        <f>A1705+1</f>
        <v>1704</v>
      </c>
      <c r="B1706" s="14">
        <v>2024</v>
      </c>
      <c r="C1706" s="15">
        <v>1</v>
      </c>
      <c r="D1706" s="15">
        <v>22</v>
      </c>
      <c r="E1706" s="16"/>
      <c r="F1706" t="s" s="17">
        <v>481</v>
      </c>
      <c r="G1706" t="s" s="17">
        <v>482</v>
      </c>
      <c r="H1706" t="s" s="17">
        <v>253</v>
      </c>
      <c r="I1706" t="s" s="17">
        <v>19</v>
      </c>
      <c r="J1706" t="s" s="17">
        <v>484</v>
      </c>
      <c r="K1706" t="s" s="17">
        <v>23</v>
      </c>
      <c r="L1706" s="15">
        <f>IF(O1706,P1706/O1706,0)</f>
        <v>4.44</v>
      </c>
      <c r="M1706" s="15">
        <v>4.44</v>
      </c>
      <c r="N1706" s="15">
        <f>A1706</f>
        <v>1704</v>
      </c>
      <c r="O1706" s="15">
        <v>1000</v>
      </c>
      <c r="P1706" s="41">
        <f>3700+3700*20%</f>
        <v>4440</v>
      </c>
      <c r="Q1706" s="16"/>
    </row>
    <row r="1707" ht="32.05" customHeight="1">
      <c r="A1707" s="13">
        <f>A1706+1</f>
        <v>1705</v>
      </c>
      <c r="B1707" s="14">
        <v>2024</v>
      </c>
      <c r="C1707" s="15">
        <v>1</v>
      </c>
      <c r="D1707" s="15">
        <v>22</v>
      </c>
      <c r="E1707" s="16"/>
      <c r="F1707" t="s" s="17">
        <v>481</v>
      </c>
      <c r="G1707" t="s" s="17">
        <v>482</v>
      </c>
      <c r="H1707" t="s" s="17">
        <v>253</v>
      </c>
      <c r="I1707" t="s" s="17">
        <v>19</v>
      </c>
      <c r="J1707" t="s" s="17">
        <v>485</v>
      </c>
      <c r="K1707" t="s" s="17">
        <v>23</v>
      </c>
      <c r="L1707" s="15">
        <f>IF(O1707,P1707/O1707,0)</f>
        <v>3.96</v>
      </c>
      <c r="M1707" s="15">
        <v>3.96</v>
      </c>
      <c r="N1707" s="15">
        <f>A1707</f>
        <v>1705</v>
      </c>
      <c r="O1707" s="15">
        <v>1000</v>
      </c>
      <c r="P1707" s="41">
        <f>3300+3300*20%</f>
        <v>3960</v>
      </c>
      <c r="Q1707" s="16"/>
    </row>
    <row r="1708" ht="32.05" customHeight="1">
      <c r="A1708" s="13">
        <f>A1707+1</f>
        <v>1706</v>
      </c>
      <c r="B1708" s="14">
        <v>2024</v>
      </c>
      <c r="C1708" s="15">
        <v>1</v>
      </c>
      <c r="D1708" s="15">
        <v>17</v>
      </c>
      <c r="E1708" s="16"/>
      <c r="F1708" t="s" s="17">
        <v>348</v>
      </c>
      <c r="G1708" s="16"/>
      <c r="H1708" t="s" s="17">
        <v>163</v>
      </c>
      <c r="I1708" t="s" s="17">
        <v>187</v>
      </c>
      <c r="J1708" t="s" s="17">
        <v>350</v>
      </c>
      <c r="K1708" t="s" s="17">
        <v>23</v>
      </c>
      <c r="L1708" s="15">
        <f>IF(O1708,P1708/O1708,0)</f>
        <v>2.838375</v>
      </c>
      <c r="M1708" s="15">
        <v>2.838375</v>
      </c>
      <c r="N1708" s="15">
        <f>A1708</f>
        <v>1706</v>
      </c>
      <c r="O1708" s="15">
        <f t="shared" si="5893"/>
        <v>80</v>
      </c>
      <c r="P1708" s="15">
        <v>227.07</v>
      </c>
      <c r="Q1708" s="16"/>
    </row>
    <row r="1709" ht="32.05" customHeight="1">
      <c r="A1709" s="13">
        <f>A1708+1</f>
        <v>1707</v>
      </c>
      <c r="B1709" s="14">
        <v>2024</v>
      </c>
      <c r="C1709" s="15">
        <v>1</v>
      </c>
      <c r="D1709" s="15">
        <v>17</v>
      </c>
      <c r="E1709" s="16"/>
      <c r="F1709" t="s" s="17">
        <v>428</v>
      </c>
      <c r="G1709" s="16"/>
      <c r="H1709" t="s" s="17">
        <v>163</v>
      </c>
      <c r="I1709" t="s" s="17">
        <v>19</v>
      </c>
      <c r="J1709" t="s" s="17">
        <v>437</v>
      </c>
      <c r="K1709" t="s" s="17">
        <v>16</v>
      </c>
      <c r="L1709" s="15">
        <f>IF(O1709,P1709/O1709,0)</f>
        <v>0.389961</v>
      </c>
      <c r="M1709" s="15">
        <v>0.389961</v>
      </c>
      <c r="N1709" s="15">
        <f>A1709</f>
        <v>1707</v>
      </c>
      <c r="O1709" s="15">
        <f t="shared" si="5588"/>
        <v>3000</v>
      </c>
      <c r="P1709" s="42">
        <f t="shared" si="6235"/>
        <v>1169.883</v>
      </c>
      <c r="Q1709" s="16"/>
    </row>
    <row r="1710" ht="20.05" customHeight="1">
      <c r="A1710" s="13">
        <f>A1709+1</f>
        <v>1708</v>
      </c>
      <c r="B1710" s="14">
        <v>2024</v>
      </c>
      <c r="C1710" s="15">
        <v>1</v>
      </c>
      <c r="D1710" s="15">
        <v>17</v>
      </c>
      <c r="E1710" s="16"/>
      <c r="F1710" t="s" s="17">
        <v>122</v>
      </c>
      <c r="G1710" s="16"/>
      <c r="H1710" t="s" s="17">
        <v>163</v>
      </c>
      <c r="I1710" t="s" s="17">
        <v>19</v>
      </c>
      <c r="J1710" t="s" s="17">
        <v>139</v>
      </c>
      <c r="K1710" t="s" s="17">
        <v>23</v>
      </c>
      <c r="L1710" s="15">
        <f>IF(O1710,P1710/O1710,0)</f>
        <v>3.87503333333333</v>
      </c>
      <c r="M1710" s="15">
        <v>3.87503333333333</v>
      </c>
      <c r="N1710" s="15">
        <f>A1710</f>
        <v>1708</v>
      </c>
      <c r="O1710" s="15">
        <f t="shared" si="6090"/>
        <v>48</v>
      </c>
      <c r="P1710" s="43">
        <f t="shared" si="6230"/>
        <v>186.0016</v>
      </c>
      <c r="Q1710" s="16"/>
    </row>
    <row r="1711" ht="20.05" customHeight="1">
      <c r="A1711" s="13">
        <f>A1710+1</f>
        <v>1709</v>
      </c>
      <c r="B1711" s="14">
        <v>2024</v>
      </c>
      <c r="C1711" s="15">
        <v>1</v>
      </c>
      <c r="D1711" s="15">
        <v>17</v>
      </c>
      <c r="E1711" s="16"/>
      <c r="F1711" t="s" s="17">
        <v>122</v>
      </c>
      <c r="G1711" s="16"/>
      <c r="H1711" t="s" s="17">
        <v>163</v>
      </c>
      <c r="I1711" t="s" s="17">
        <v>19</v>
      </c>
      <c r="J1711" t="s" s="17">
        <v>470</v>
      </c>
      <c r="K1711" t="s" s="17">
        <v>23</v>
      </c>
      <c r="L1711" s="15">
        <f>IF(O1711,P1711/O1711,0)</f>
        <v>0.06</v>
      </c>
      <c r="M1711" s="15">
        <v>0.06</v>
      </c>
      <c r="N1711" s="15">
        <f>A1711</f>
        <v>1709</v>
      </c>
      <c r="O1711" s="15">
        <f t="shared" si="3872"/>
        <v>800</v>
      </c>
      <c r="P1711" s="41">
        <f>40+40*20%</f>
        <v>48</v>
      </c>
      <c r="Q1711" s="16"/>
    </row>
    <row r="1712" ht="20.05" customHeight="1">
      <c r="A1712" s="13">
        <f>A1711+1</f>
        <v>1710</v>
      </c>
      <c r="B1712" s="14">
        <v>2024</v>
      </c>
      <c r="C1712" s="15">
        <v>1</v>
      </c>
      <c r="D1712" s="15">
        <v>19</v>
      </c>
      <c r="E1712" s="16"/>
      <c r="F1712" t="s" s="17">
        <v>476</v>
      </c>
      <c r="G1712" s="16"/>
      <c r="H1712" t="s" s="17">
        <v>163</v>
      </c>
      <c r="I1712" t="s" s="17">
        <v>26</v>
      </c>
      <c r="J1712" t="s" s="17">
        <v>82</v>
      </c>
      <c r="K1712" t="s" s="17">
        <v>16</v>
      </c>
      <c r="L1712" s="15">
        <f>IF(O1712,P1712/O1712,0)</f>
        <v>0.025</v>
      </c>
      <c r="M1712" s="15">
        <v>0.025</v>
      </c>
      <c r="N1712" s="15">
        <f>A1712</f>
        <v>1710</v>
      </c>
      <c r="O1712" s="15">
        <f t="shared" si="6310" ref="O1712:O1949">2*500</f>
        <v>1000</v>
      </c>
      <c r="P1712" s="15">
        <v>25</v>
      </c>
      <c r="Q1712" s="16"/>
    </row>
    <row r="1713" ht="20.05" customHeight="1">
      <c r="A1713" s="13">
        <f>A1712+1</f>
        <v>1711</v>
      </c>
      <c r="B1713" s="14">
        <v>2024</v>
      </c>
      <c r="C1713" s="15">
        <v>1</v>
      </c>
      <c r="D1713" s="15">
        <v>19</v>
      </c>
      <c r="E1713" s="16"/>
      <c r="F1713" t="s" s="17">
        <v>476</v>
      </c>
      <c r="G1713" s="16"/>
      <c r="H1713" t="s" s="17">
        <v>163</v>
      </c>
      <c r="I1713" t="s" s="17">
        <v>14</v>
      </c>
      <c r="J1713" t="s" s="17">
        <v>131</v>
      </c>
      <c r="K1713" t="s" s="17">
        <v>41</v>
      </c>
      <c r="L1713" s="15">
        <f>IF(O1713,P1713/O1713,0)</f>
        <v>0.096</v>
      </c>
      <c r="M1713" s="15">
        <v>0.096</v>
      </c>
      <c r="N1713" s="15">
        <f>A1713</f>
        <v>1711</v>
      </c>
      <c r="O1713" s="15">
        <v>1000</v>
      </c>
      <c r="P1713" s="15">
        <v>96</v>
      </c>
      <c r="Q1713" s="16"/>
    </row>
    <row r="1714" ht="20.05" customHeight="1">
      <c r="A1714" s="13">
        <f>A1713+1</f>
        <v>1712</v>
      </c>
      <c r="B1714" s="14">
        <v>2024</v>
      </c>
      <c r="C1714" s="15">
        <v>1</v>
      </c>
      <c r="D1714" s="15">
        <v>19</v>
      </c>
      <c r="E1714" s="16"/>
      <c r="F1714" t="s" s="17">
        <v>476</v>
      </c>
      <c r="G1714" s="16"/>
      <c r="H1714" t="s" s="17">
        <v>163</v>
      </c>
      <c r="I1714" t="s" s="17">
        <v>19</v>
      </c>
      <c r="J1714" t="s" s="17">
        <v>157</v>
      </c>
      <c r="K1714" t="s" s="17">
        <v>16</v>
      </c>
      <c r="L1714" s="15">
        <f>IF(O1714,P1714/O1714,0)</f>
        <v>0.0159511111111111</v>
      </c>
      <c r="M1714" s="15">
        <v>0.0159511111111111</v>
      </c>
      <c r="N1714" s="15">
        <f>A1714</f>
        <v>1712</v>
      </c>
      <c r="O1714" s="15">
        <v>2250</v>
      </c>
      <c r="P1714" s="15">
        <v>35.89</v>
      </c>
      <c r="Q1714" s="16"/>
    </row>
    <row r="1715" ht="20.05" customHeight="1">
      <c r="A1715" s="13">
        <f>A1714+1</f>
        <v>1713</v>
      </c>
      <c r="B1715" s="14">
        <v>2024</v>
      </c>
      <c r="C1715" s="15">
        <v>1</v>
      </c>
      <c r="D1715" s="15">
        <v>19</v>
      </c>
      <c r="E1715" s="16"/>
      <c r="F1715" t="s" s="17">
        <v>476</v>
      </c>
      <c r="G1715" s="16"/>
      <c r="H1715" t="s" s="17">
        <v>163</v>
      </c>
      <c r="I1715" t="s" s="17">
        <v>26</v>
      </c>
      <c r="J1715" t="s" s="17">
        <v>113</v>
      </c>
      <c r="K1715" t="s" s="17">
        <v>41</v>
      </c>
      <c r="L1715" s="15">
        <f>IF(O1715,P1715/O1715,0)</f>
        <v>0.02625</v>
      </c>
      <c r="M1715" s="15">
        <v>0.02625</v>
      </c>
      <c r="N1715" s="15">
        <f>A1715</f>
        <v>1713</v>
      </c>
      <c r="O1715" s="15">
        <v>2000</v>
      </c>
      <c r="P1715" s="15">
        <v>52.5</v>
      </c>
      <c r="Q1715" s="16"/>
    </row>
    <row r="1716" ht="20.05" customHeight="1">
      <c r="A1716" s="13">
        <f>A1715+1</f>
        <v>1714</v>
      </c>
      <c r="B1716" s="14">
        <v>2024</v>
      </c>
      <c r="C1716" s="15">
        <v>1</v>
      </c>
      <c r="D1716" s="15">
        <v>19</v>
      </c>
      <c r="E1716" s="16"/>
      <c r="F1716" t="s" s="17">
        <v>324</v>
      </c>
      <c r="G1716" s="16"/>
      <c r="H1716" t="s" s="17">
        <v>163</v>
      </c>
      <c r="I1716" t="s" s="17">
        <v>357</v>
      </c>
      <c r="J1716" t="s" s="17">
        <v>472</v>
      </c>
      <c r="K1716" t="s" s="17">
        <v>23</v>
      </c>
      <c r="L1716" s="15">
        <f>IF(O1716,P1716/O1716,0)</f>
        <v>130</v>
      </c>
      <c r="M1716" s="15">
        <v>130</v>
      </c>
      <c r="N1716" s="15">
        <f>A1716</f>
        <v>1714</v>
      </c>
      <c r="O1716" s="15">
        <v>1</v>
      </c>
      <c r="P1716" s="15">
        <v>130</v>
      </c>
      <c r="Q1716" s="16"/>
    </row>
    <row r="1717" ht="20.05" customHeight="1">
      <c r="A1717" s="13">
        <f>A1716+1</f>
        <v>1715</v>
      </c>
      <c r="B1717" s="14">
        <v>2024</v>
      </c>
      <c r="C1717" s="15">
        <v>1</v>
      </c>
      <c r="D1717" s="15">
        <v>19</v>
      </c>
      <c r="E1717" s="16"/>
      <c r="F1717" t="s" s="17">
        <v>130</v>
      </c>
      <c r="G1717" s="16"/>
      <c r="H1717" t="s" s="17">
        <v>163</v>
      </c>
      <c r="I1717" t="s" s="17">
        <v>26</v>
      </c>
      <c r="J1717" t="s" s="17">
        <v>82</v>
      </c>
      <c r="K1717" t="s" s="17">
        <v>16</v>
      </c>
      <c r="L1717" s="15">
        <f>IF(O1717,P1717/O1717,0)</f>
        <v>0.0349</v>
      </c>
      <c r="M1717" s="15">
        <v>0.0349</v>
      </c>
      <c r="N1717" s="15">
        <f>A1717</f>
        <v>1715</v>
      </c>
      <c r="O1717" s="15">
        <f t="shared" si="5645"/>
        <v>2000</v>
      </c>
      <c r="P1717" s="15">
        <f t="shared" si="4426"/>
        <v>69.8</v>
      </c>
      <c r="Q1717" s="16"/>
    </row>
    <row r="1718" ht="20.05" customHeight="1">
      <c r="A1718" s="13">
        <f>A1717+1</f>
        <v>1716</v>
      </c>
      <c r="B1718" s="14">
        <v>2024</v>
      </c>
      <c r="C1718" s="15">
        <v>1</v>
      </c>
      <c r="D1718" s="15">
        <v>19</v>
      </c>
      <c r="E1718" s="16"/>
      <c r="F1718" t="s" s="17">
        <v>130</v>
      </c>
      <c r="G1718" s="16"/>
      <c r="H1718" t="s" s="17">
        <v>163</v>
      </c>
      <c r="I1718" t="s" s="17">
        <v>26</v>
      </c>
      <c r="J1718" t="s" s="17">
        <v>27</v>
      </c>
      <c r="K1718" t="s" s="17">
        <v>16</v>
      </c>
      <c r="L1718" s="15">
        <f>IF(O1718,P1718/O1718,0)</f>
        <v>0.598</v>
      </c>
      <c r="M1718" s="15">
        <v>0.598</v>
      </c>
      <c r="N1718" s="15">
        <f>A1718</f>
        <v>1716</v>
      </c>
      <c r="O1718" s="15">
        <v>100</v>
      </c>
      <c r="P1718" s="15">
        <f>59.8</f>
        <v>59.8</v>
      </c>
      <c r="Q1718" s="16"/>
    </row>
    <row r="1719" ht="20.05" customHeight="1">
      <c r="A1719" s="13">
        <f>A1718+1</f>
        <v>1717</v>
      </c>
      <c r="B1719" s="14">
        <v>2024</v>
      </c>
      <c r="C1719" s="15">
        <v>1</v>
      </c>
      <c r="D1719" s="15">
        <v>20</v>
      </c>
      <c r="E1719" s="16"/>
      <c r="F1719" t="s" s="17">
        <v>278</v>
      </c>
      <c r="G1719" s="16"/>
      <c r="H1719" t="s" s="17">
        <v>163</v>
      </c>
      <c r="I1719" t="s" s="17">
        <v>14</v>
      </c>
      <c r="J1719" t="s" s="17">
        <v>289</v>
      </c>
      <c r="K1719" t="s" s="17">
        <v>23</v>
      </c>
      <c r="L1719" s="15">
        <f>IF(O1719,P1719/O1719,0)</f>
        <v>44.9955</v>
      </c>
      <c r="M1719" s="15">
        <v>44.9955</v>
      </c>
      <c r="N1719" s="15">
        <f>A1719</f>
        <v>1717</v>
      </c>
      <c r="O1719" s="15">
        <v>10</v>
      </c>
      <c r="P1719" s="42">
        <f t="shared" si="5931"/>
        <v>449.955</v>
      </c>
      <c r="Q1719" s="16"/>
    </row>
    <row r="1720" ht="20.05" customHeight="1">
      <c r="A1720" s="13">
        <f>A1719+1</f>
        <v>1718</v>
      </c>
      <c r="B1720" s="14">
        <v>2024</v>
      </c>
      <c r="C1720" s="15">
        <v>1</v>
      </c>
      <c r="D1720" s="15">
        <v>20</v>
      </c>
      <c r="E1720" s="16"/>
      <c r="F1720" t="s" s="17">
        <v>278</v>
      </c>
      <c r="G1720" s="16"/>
      <c r="H1720" t="s" s="17">
        <v>163</v>
      </c>
      <c r="I1720" t="s" s="17">
        <v>14</v>
      </c>
      <c r="J1720" t="s" s="17">
        <v>288</v>
      </c>
      <c r="K1720" t="s" s="17">
        <v>23</v>
      </c>
      <c r="L1720" s="15">
        <f>IF(O1720,P1720/O1720,0)</f>
        <v>55.9427777777778</v>
      </c>
      <c r="M1720" s="15">
        <v>55.9427777777778</v>
      </c>
      <c r="N1720" s="15">
        <f>A1720</f>
        <v>1718</v>
      </c>
      <c r="O1720" s="15">
        <v>9</v>
      </c>
      <c r="P1720" s="42">
        <f t="shared" si="6071"/>
        <v>503.485</v>
      </c>
      <c r="Q1720" s="16"/>
    </row>
    <row r="1721" ht="32.05" customHeight="1">
      <c r="A1721" s="13">
        <f>A1720+1</f>
        <v>1719</v>
      </c>
      <c r="B1721" s="14">
        <v>2024</v>
      </c>
      <c r="C1721" s="15">
        <v>1</v>
      </c>
      <c r="D1721" s="15">
        <v>20</v>
      </c>
      <c r="E1721" s="16"/>
      <c r="F1721" t="s" s="17">
        <v>278</v>
      </c>
      <c r="G1721" s="16"/>
      <c r="H1721" t="s" s="17">
        <v>163</v>
      </c>
      <c r="I1721" t="s" s="17">
        <v>14</v>
      </c>
      <c r="J1721" t="s" s="17">
        <v>283</v>
      </c>
      <c r="K1721" t="s" s="17">
        <v>23</v>
      </c>
      <c r="L1721" s="15">
        <f>IF(O1721,P1721/O1721,0)</f>
        <v>53.1765</v>
      </c>
      <c r="M1721" s="15">
        <v>53.1765</v>
      </c>
      <c r="N1721" s="15">
        <f>A1721</f>
        <v>1719</v>
      </c>
      <c r="O1721" s="15">
        <f t="shared" si="6343" ref="O1721:O1881">2*10</f>
        <v>20</v>
      </c>
      <c r="P1721" s="41">
        <f t="shared" si="6344" ref="P1721:P2019">1053+1053*1%</f>
        <v>1063.53</v>
      </c>
      <c r="Q1721" s="16"/>
    </row>
    <row r="1722" ht="20.05" customHeight="1">
      <c r="A1722" s="13">
        <f>A1721+1</f>
        <v>1720</v>
      </c>
      <c r="B1722" s="14">
        <v>2024</v>
      </c>
      <c r="C1722" s="15">
        <v>1</v>
      </c>
      <c r="D1722" s="15">
        <v>20</v>
      </c>
      <c r="E1722" s="16"/>
      <c r="F1722" t="s" s="17">
        <v>278</v>
      </c>
      <c r="G1722" s="16"/>
      <c r="H1722" t="s" s="17">
        <v>163</v>
      </c>
      <c r="I1722" t="s" s="17">
        <v>14</v>
      </c>
      <c r="J1722" t="s" s="17">
        <v>279</v>
      </c>
      <c r="K1722" t="s" s="17">
        <v>23</v>
      </c>
      <c r="L1722" s="15">
        <f>IF(O1722,P1722/O1722,0)</f>
        <v>50.7525</v>
      </c>
      <c r="M1722" s="15">
        <v>50.7525</v>
      </c>
      <c r="N1722" s="15">
        <f>A1722</f>
        <v>1720</v>
      </c>
      <c r="O1722" s="15">
        <f t="shared" si="6343"/>
        <v>20</v>
      </c>
      <c r="P1722" s="41">
        <f t="shared" si="6349" ref="P1722:P1979">1005+1005*1%</f>
        <v>1015.05</v>
      </c>
      <c r="Q1722" s="16"/>
    </row>
    <row r="1723" ht="32.05" customHeight="1">
      <c r="A1723" s="13">
        <f>A1722+1</f>
        <v>1721</v>
      </c>
      <c r="B1723" s="14">
        <v>2024</v>
      </c>
      <c r="C1723" s="15">
        <v>1</v>
      </c>
      <c r="D1723" s="15">
        <v>20</v>
      </c>
      <c r="E1723" s="16"/>
      <c r="F1723" t="s" s="17">
        <v>278</v>
      </c>
      <c r="G1723" s="16"/>
      <c r="H1723" t="s" s="17">
        <v>163</v>
      </c>
      <c r="I1723" t="s" s="17">
        <v>17</v>
      </c>
      <c r="J1723" t="s" s="17">
        <v>300</v>
      </c>
      <c r="K1723" t="s" s="17">
        <v>23</v>
      </c>
      <c r="L1723" s="15">
        <f>IF(O1723,P1723/O1723,0)</f>
        <v>35.2995</v>
      </c>
      <c r="M1723" s="15">
        <v>35.2995</v>
      </c>
      <c r="N1723" s="15">
        <f>A1723</f>
        <v>1721</v>
      </c>
      <c r="O1723" s="15">
        <v>24</v>
      </c>
      <c r="P1723" s="42">
        <f t="shared" si="5940"/>
        <v>847.188</v>
      </c>
      <c r="Q1723" s="16"/>
    </row>
    <row r="1724" ht="20.05" customHeight="1">
      <c r="A1724" s="13">
        <f>A1723+1</f>
        <v>1722</v>
      </c>
      <c r="B1724" s="14">
        <v>2024</v>
      </c>
      <c r="C1724" s="15">
        <v>1</v>
      </c>
      <c r="D1724" s="15">
        <v>20</v>
      </c>
      <c r="E1724" s="16"/>
      <c r="F1724" t="s" s="17">
        <v>324</v>
      </c>
      <c r="G1724" s="16"/>
      <c r="H1724" t="s" s="17">
        <v>163</v>
      </c>
      <c r="I1724" t="s" s="17">
        <v>357</v>
      </c>
      <c r="J1724" t="s" s="17">
        <v>472</v>
      </c>
      <c r="K1724" t="s" s="17">
        <v>23</v>
      </c>
      <c r="L1724" s="15">
        <f>IF(O1724,P1724/O1724,0)</f>
        <v>275</v>
      </c>
      <c r="M1724" s="15">
        <v>275</v>
      </c>
      <c r="N1724" s="15">
        <f>A1724</f>
        <v>1722</v>
      </c>
      <c r="O1724" s="15">
        <v>1</v>
      </c>
      <c r="P1724" s="15">
        <v>275</v>
      </c>
      <c r="Q1724" s="16"/>
    </row>
    <row r="1725" ht="20.05" customHeight="1">
      <c r="A1725" s="13">
        <f>A1724+1</f>
        <v>1723</v>
      </c>
      <c r="B1725" s="14">
        <v>2024</v>
      </c>
      <c r="C1725" s="15">
        <v>1</v>
      </c>
      <c r="D1725" s="15">
        <v>20</v>
      </c>
      <c r="E1725" s="16"/>
      <c r="F1725" t="s" s="17">
        <v>141</v>
      </c>
      <c r="G1725" s="16"/>
      <c r="H1725" t="s" s="17">
        <v>163</v>
      </c>
      <c r="I1725" t="s" s="17">
        <v>19</v>
      </c>
      <c r="J1725" t="s" s="17">
        <v>142</v>
      </c>
      <c r="K1725" t="s" s="17">
        <v>23</v>
      </c>
      <c r="L1725" s="15">
        <f>IF(O1725,P1725/O1725,0)</f>
        <v>13.8515208333333</v>
      </c>
      <c r="M1725" s="15">
        <v>13.8515208333333</v>
      </c>
      <c r="N1725" s="15">
        <f>A1725</f>
        <v>1723</v>
      </c>
      <c r="O1725" s="15">
        <f t="shared" si="6090"/>
        <v>48</v>
      </c>
      <c r="P1725" s="42">
        <f t="shared" si="6361" ref="P1725:P1933">604.43+604.43*10%</f>
        <v>664.873</v>
      </c>
      <c r="Q1725" s="16"/>
    </row>
    <row r="1726" ht="20.05" customHeight="1">
      <c r="A1726" s="13">
        <f>A1725+1</f>
        <v>1724</v>
      </c>
      <c r="B1726" s="14">
        <v>2024</v>
      </c>
      <c r="C1726" s="15">
        <v>1</v>
      </c>
      <c r="D1726" s="15">
        <v>20</v>
      </c>
      <c r="E1726" s="16"/>
      <c r="F1726" t="s" s="17">
        <v>141</v>
      </c>
      <c r="G1726" s="16"/>
      <c r="H1726" t="s" s="17">
        <v>163</v>
      </c>
      <c r="I1726" t="s" s="17">
        <v>19</v>
      </c>
      <c r="J1726" t="s" s="17">
        <v>158</v>
      </c>
      <c r="K1726" t="s" s="17">
        <v>23</v>
      </c>
      <c r="L1726" s="15">
        <f>IF(O1726,P1726/O1726,0)</f>
        <v>13.85175</v>
      </c>
      <c r="M1726" s="15">
        <v>13.85175</v>
      </c>
      <c r="N1726" s="15">
        <f>A1726</f>
        <v>1724</v>
      </c>
      <c r="O1726" s="15">
        <v>24</v>
      </c>
      <c r="P1726" s="42">
        <f t="shared" si="5919"/>
        <v>332.442</v>
      </c>
      <c r="Q1726" s="16"/>
    </row>
    <row r="1727" ht="20.05" customHeight="1">
      <c r="A1727" s="13">
        <f>A1726+1</f>
        <v>1725</v>
      </c>
      <c r="B1727" s="14">
        <v>2024</v>
      </c>
      <c r="C1727" s="15">
        <v>1</v>
      </c>
      <c r="D1727" s="15">
        <v>20</v>
      </c>
      <c r="E1727" s="16"/>
      <c r="F1727" t="s" s="17">
        <v>141</v>
      </c>
      <c r="G1727" s="16"/>
      <c r="H1727" t="s" s="17">
        <v>163</v>
      </c>
      <c r="I1727" t="s" s="17">
        <v>19</v>
      </c>
      <c r="J1727" t="s" s="17">
        <v>144</v>
      </c>
      <c r="K1727" t="s" s="17">
        <v>23</v>
      </c>
      <c r="L1727" s="15">
        <f>IF(O1727,P1727/O1727,0)</f>
        <v>13.85175</v>
      </c>
      <c r="M1727" s="15">
        <v>13.85175</v>
      </c>
      <c r="N1727" s="15">
        <f>A1727</f>
        <v>1725</v>
      </c>
      <c r="O1727" s="15">
        <v>24</v>
      </c>
      <c r="P1727" s="42">
        <f t="shared" si="5919"/>
        <v>332.442</v>
      </c>
      <c r="Q1727" s="16"/>
    </row>
    <row r="1728" ht="20.05" customHeight="1">
      <c r="A1728" s="13">
        <f>A1727+1</f>
        <v>1726</v>
      </c>
      <c r="B1728" s="14">
        <v>2024</v>
      </c>
      <c r="C1728" s="15">
        <v>1</v>
      </c>
      <c r="D1728" s="15">
        <v>20</v>
      </c>
      <c r="E1728" s="16"/>
      <c r="F1728" t="s" s="17">
        <v>141</v>
      </c>
      <c r="G1728" s="16"/>
      <c r="H1728" t="s" s="17">
        <v>163</v>
      </c>
      <c r="I1728" t="s" s="17">
        <v>19</v>
      </c>
      <c r="J1728" t="s" s="17">
        <v>159</v>
      </c>
      <c r="K1728" t="s" s="17">
        <v>23</v>
      </c>
      <c r="L1728" s="15">
        <f>IF(O1728,P1728/O1728,0)</f>
        <v>2.48001291666667</v>
      </c>
      <c r="M1728" s="15">
        <v>2.48001291666667</v>
      </c>
      <c r="N1728" s="15">
        <f>A1728</f>
        <v>1726</v>
      </c>
      <c r="O1728" s="15">
        <f t="shared" si="6100"/>
        <v>240</v>
      </c>
      <c r="P1728" s="43">
        <f t="shared" si="6101"/>
        <v>595.2030999999999</v>
      </c>
      <c r="Q1728" s="16"/>
    </row>
    <row r="1729" ht="20.05" customHeight="1">
      <c r="A1729" s="13">
        <f>A1728+1</f>
        <v>1727</v>
      </c>
      <c r="B1729" s="14">
        <v>2024</v>
      </c>
      <c r="C1729" s="15">
        <v>1</v>
      </c>
      <c r="D1729" s="15">
        <v>20</v>
      </c>
      <c r="E1729" s="16"/>
      <c r="F1729" t="s" s="17">
        <v>486</v>
      </c>
      <c r="G1729" s="16"/>
      <c r="H1729" t="s" s="17">
        <v>163</v>
      </c>
      <c r="I1729" t="s" s="17">
        <v>187</v>
      </c>
      <c r="J1729" t="s" s="17">
        <v>487</v>
      </c>
      <c r="K1729" t="s" s="17">
        <v>23</v>
      </c>
      <c r="L1729" s="15">
        <f>IF(O1729,P1729/O1729,0)</f>
        <v>29.168</v>
      </c>
      <c r="M1729" s="15">
        <v>29.168</v>
      </c>
      <c r="N1729" s="15">
        <f>A1729</f>
        <v>1727</v>
      </c>
      <c r="O1729" s="15">
        <v>3</v>
      </c>
      <c r="P1729" s="42">
        <f>72.92+72.92*20%</f>
        <v>87.504</v>
      </c>
      <c r="Q1729" s="16"/>
    </row>
    <row r="1730" ht="20.05" customHeight="1">
      <c r="A1730" s="13">
        <f>A1729+1</f>
        <v>1728</v>
      </c>
      <c r="B1730" s="14">
        <v>2024</v>
      </c>
      <c r="C1730" s="15">
        <v>1</v>
      </c>
      <c r="D1730" s="15">
        <v>20</v>
      </c>
      <c r="E1730" s="16"/>
      <c r="F1730" t="s" s="17">
        <v>486</v>
      </c>
      <c r="G1730" s="16"/>
      <c r="H1730" t="s" s="17">
        <v>163</v>
      </c>
      <c r="I1730" t="s" s="17">
        <v>187</v>
      </c>
      <c r="J1730" t="s" s="17">
        <v>488</v>
      </c>
      <c r="K1730" t="s" s="17">
        <v>23</v>
      </c>
      <c r="L1730" s="15">
        <f>IF(O1730,P1730/O1730,0)</f>
        <v>73.5</v>
      </c>
      <c r="M1730" s="15">
        <v>73.5</v>
      </c>
      <c r="N1730" s="15">
        <f>A1730</f>
        <v>1728</v>
      </c>
      <c r="O1730" s="15">
        <v>2</v>
      </c>
      <c r="P1730" s="41">
        <f>122.5+122.5*20%</f>
        <v>147</v>
      </c>
      <c r="Q1730" s="16"/>
    </row>
    <row r="1731" ht="20.05" customHeight="1">
      <c r="A1731" s="13">
        <f>A1730+1</f>
        <v>1729</v>
      </c>
      <c r="B1731" s="14">
        <v>2024</v>
      </c>
      <c r="C1731" s="15">
        <v>1</v>
      </c>
      <c r="D1731" s="15">
        <v>20</v>
      </c>
      <c r="E1731" s="16"/>
      <c r="F1731" t="s" s="17">
        <v>476</v>
      </c>
      <c r="G1731" s="16"/>
      <c r="H1731" t="s" s="17">
        <v>163</v>
      </c>
      <c r="I1731" t="s" s="17">
        <v>26</v>
      </c>
      <c r="J1731" t="s" s="17">
        <v>489</v>
      </c>
      <c r="K1731" t="s" s="17">
        <v>23</v>
      </c>
      <c r="L1731" s="15">
        <f>IF(O1731,P1731/O1731,0)</f>
        <v>12.5</v>
      </c>
      <c r="M1731" s="15">
        <v>12.5</v>
      </c>
      <c r="N1731" s="15">
        <f>A1731</f>
        <v>1729</v>
      </c>
      <c r="O1731" s="15">
        <v>11</v>
      </c>
      <c r="P1731" s="15">
        <v>137.5</v>
      </c>
      <c r="Q1731" s="16"/>
    </row>
    <row r="1732" ht="20.05" customHeight="1">
      <c r="A1732" s="13">
        <f>A1731+1</f>
        <v>1730</v>
      </c>
      <c r="B1732" s="14">
        <v>2024</v>
      </c>
      <c r="C1732" s="15">
        <v>1</v>
      </c>
      <c r="D1732" s="15">
        <v>20</v>
      </c>
      <c r="E1732" s="16"/>
      <c r="F1732" t="s" s="17">
        <v>476</v>
      </c>
      <c r="G1732" s="16"/>
      <c r="H1732" t="s" s="17">
        <v>163</v>
      </c>
      <c r="I1732" t="s" s="17">
        <v>26</v>
      </c>
      <c r="J1732" t="s" s="17">
        <v>490</v>
      </c>
      <c r="K1732" t="s" s="17">
        <v>23</v>
      </c>
      <c r="L1732" s="15">
        <f>IF(O1732,P1732/O1732,0)</f>
        <v>9.9</v>
      </c>
      <c r="M1732" s="15">
        <v>9.9</v>
      </c>
      <c r="N1732" s="15">
        <f>A1732</f>
        <v>1730</v>
      </c>
      <c r="O1732" s="15">
        <v>3</v>
      </c>
      <c r="P1732" s="15">
        <v>29.7</v>
      </c>
      <c r="Q1732" s="16"/>
    </row>
    <row r="1733" ht="20.05" customHeight="1">
      <c r="A1733" s="13">
        <f>A1732+1</f>
        <v>1731</v>
      </c>
      <c r="B1733" s="14">
        <v>2024</v>
      </c>
      <c r="C1733" s="15">
        <v>1</v>
      </c>
      <c r="D1733" s="15">
        <v>21</v>
      </c>
      <c r="E1733" s="16"/>
      <c r="F1733" t="s" s="17">
        <v>130</v>
      </c>
      <c r="G1733" s="16"/>
      <c r="H1733" t="s" s="17">
        <v>163</v>
      </c>
      <c r="I1733" t="s" s="17">
        <v>26</v>
      </c>
      <c r="J1733" t="s" s="17">
        <v>82</v>
      </c>
      <c r="K1733" t="s" s="17">
        <v>16</v>
      </c>
      <c r="L1733" s="15">
        <f>IF(O1733,P1733/O1733,0)</f>
        <v>0.0349</v>
      </c>
      <c r="M1733" s="15">
        <v>0.0349</v>
      </c>
      <c r="N1733" s="15">
        <f>A1733</f>
        <v>1731</v>
      </c>
      <c r="O1733" s="15">
        <f t="shared" si="6392" ref="O1733:O1952">5*1000</f>
        <v>5000</v>
      </c>
      <c r="P1733" s="15">
        <v>174.5</v>
      </c>
      <c r="Q1733" s="16"/>
    </row>
    <row r="1734" ht="20.05" customHeight="1">
      <c r="A1734" s="13">
        <f>A1733+1</f>
        <v>1732</v>
      </c>
      <c r="B1734" s="14">
        <v>2024</v>
      </c>
      <c r="C1734" s="15">
        <v>1</v>
      </c>
      <c r="D1734" s="15">
        <v>21</v>
      </c>
      <c r="E1734" s="16"/>
      <c r="F1734" t="s" s="17">
        <v>476</v>
      </c>
      <c r="G1734" s="16"/>
      <c r="H1734" t="s" s="17">
        <v>163</v>
      </c>
      <c r="I1734" t="s" s="17">
        <v>19</v>
      </c>
      <c r="J1734" t="s" s="17">
        <v>157</v>
      </c>
      <c r="K1734" t="s" s="17">
        <v>16</v>
      </c>
      <c r="L1734" s="15">
        <f>IF(O1734,P1734/O1734,0)</f>
        <v>0.0159491193737769</v>
      </c>
      <c r="M1734" s="15">
        <v>0.0159491193737769</v>
      </c>
      <c r="N1734" s="15">
        <f>A1734</f>
        <v>1732</v>
      </c>
      <c r="O1734" s="15">
        <v>2555</v>
      </c>
      <c r="P1734" s="15">
        <v>40.75</v>
      </c>
      <c r="Q1734" s="16"/>
    </row>
    <row r="1735" ht="20.05" customHeight="1">
      <c r="A1735" s="13">
        <f>A1734+1</f>
        <v>1733</v>
      </c>
      <c r="B1735" s="14">
        <v>2024</v>
      </c>
      <c r="C1735" s="15">
        <v>1</v>
      </c>
      <c r="D1735" s="15">
        <v>21</v>
      </c>
      <c r="E1735" s="16"/>
      <c r="F1735" t="s" s="17">
        <v>476</v>
      </c>
      <c r="G1735" s="16"/>
      <c r="H1735" t="s" s="17">
        <v>163</v>
      </c>
      <c r="I1735" t="s" s="17">
        <v>26</v>
      </c>
      <c r="J1735" t="s" s="17">
        <v>113</v>
      </c>
      <c r="K1735" t="s" s="17">
        <v>41</v>
      </c>
      <c r="L1735" s="15">
        <f>IF(O1735,P1735/O1735,0)</f>
        <v>0.02625</v>
      </c>
      <c r="M1735" s="15">
        <v>0.02625</v>
      </c>
      <c r="N1735" s="15">
        <f>A1735</f>
        <v>1733</v>
      </c>
      <c r="O1735" s="15">
        <v>2000</v>
      </c>
      <c r="P1735" s="15">
        <v>52.5</v>
      </c>
      <c r="Q1735" s="16"/>
    </row>
    <row r="1736" ht="20.05" customHeight="1">
      <c r="A1736" s="13">
        <f>A1735+1</f>
        <v>1734</v>
      </c>
      <c r="B1736" s="14">
        <v>2024</v>
      </c>
      <c r="C1736" s="15">
        <v>1</v>
      </c>
      <c r="D1736" s="15">
        <v>22</v>
      </c>
      <c r="E1736" s="16"/>
      <c r="F1736" t="s" s="17">
        <v>130</v>
      </c>
      <c r="G1736" s="16"/>
      <c r="H1736" t="s" s="17">
        <v>163</v>
      </c>
      <c r="I1736" t="s" s="17">
        <v>26</v>
      </c>
      <c r="J1736" t="s" s="17">
        <v>134</v>
      </c>
      <c r="K1736" t="s" s="17">
        <v>23</v>
      </c>
      <c r="L1736" s="15">
        <f>IF(O1736,P1736/O1736,0)</f>
        <v>39.95</v>
      </c>
      <c r="M1736" s="15">
        <v>39.95</v>
      </c>
      <c r="N1736" s="15">
        <f>A1736</f>
        <v>1734</v>
      </c>
      <c r="O1736" s="15">
        <v>4</v>
      </c>
      <c r="P1736" s="15">
        <v>159.8</v>
      </c>
      <c r="Q1736" s="16"/>
    </row>
    <row r="1737" ht="20.05" customHeight="1">
      <c r="A1737" s="13">
        <f>A1736+1</f>
        <v>1735</v>
      </c>
      <c r="B1737" s="14">
        <v>2024</v>
      </c>
      <c r="C1737" s="15">
        <v>1</v>
      </c>
      <c r="D1737" s="15">
        <v>22</v>
      </c>
      <c r="E1737" s="16"/>
      <c r="F1737" t="s" s="17">
        <v>130</v>
      </c>
      <c r="G1737" s="16"/>
      <c r="H1737" t="s" s="17">
        <v>163</v>
      </c>
      <c r="I1737" t="s" s="17">
        <v>26</v>
      </c>
      <c r="J1737" t="s" s="17">
        <v>118</v>
      </c>
      <c r="K1737" t="s" s="17">
        <v>23</v>
      </c>
      <c r="L1737" s="15">
        <f>IF(O1737,P1737/O1737,0)</f>
        <v>39.95</v>
      </c>
      <c r="M1737" s="15">
        <v>39.95</v>
      </c>
      <c r="N1737" s="15">
        <f>A1737</f>
        <v>1735</v>
      </c>
      <c r="O1737" s="15">
        <v>4</v>
      </c>
      <c r="P1737" s="15">
        <v>159.8</v>
      </c>
      <c r="Q1737" s="16"/>
    </row>
    <row r="1738" ht="20.05" customHeight="1">
      <c r="A1738" s="13">
        <f>A1737+1</f>
        <v>1736</v>
      </c>
      <c r="B1738" s="14">
        <v>2024</v>
      </c>
      <c r="C1738" s="15">
        <v>1</v>
      </c>
      <c r="D1738" s="15">
        <v>23</v>
      </c>
      <c r="E1738" s="16"/>
      <c r="F1738" t="s" s="17">
        <v>445</v>
      </c>
      <c r="G1738" s="16"/>
      <c r="H1738" t="s" s="17">
        <v>163</v>
      </c>
      <c r="I1738" t="s" s="17">
        <v>443</v>
      </c>
      <c r="J1738" t="s" s="17">
        <v>446</v>
      </c>
      <c r="K1738" t="s" s="17">
        <v>23</v>
      </c>
      <c r="L1738" s="15">
        <f>IF(O1738,P1738/O1738,0)</f>
        <v>196.823</v>
      </c>
      <c r="M1738" s="15">
        <v>196.823</v>
      </c>
      <c r="N1738" s="15">
        <f>A1738</f>
        <v>1736</v>
      </c>
      <c r="O1738" s="15">
        <v>55</v>
      </c>
      <c r="P1738" s="42">
        <f>9841.15+9841.15*10%</f>
        <v>10825.265</v>
      </c>
      <c r="Q1738" s="16"/>
    </row>
    <row r="1739" ht="20.05" customHeight="1">
      <c r="A1739" s="13">
        <f>A1738+1</f>
        <v>1737</v>
      </c>
      <c r="B1739" s="14">
        <v>2024</v>
      </c>
      <c r="C1739" s="15">
        <v>1</v>
      </c>
      <c r="D1739" s="15">
        <v>22</v>
      </c>
      <c r="E1739" s="16"/>
      <c r="F1739" t="s" s="17">
        <v>130</v>
      </c>
      <c r="G1739" s="16"/>
      <c r="H1739" t="s" s="17">
        <v>163</v>
      </c>
      <c r="I1739" t="s" s="17">
        <v>19</v>
      </c>
      <c r="J1739" t="s" s="17">
        <v>157</v>
      </c>
      <c r="K1739" t="s" s="17">
        <v>16</v>
      </c>
      <c r="L1739" s="15">
        <f>IF(O1739,P1739/O1739,0)</f>
        <v>0.0199505440158259</v>
      </c>
      <c r="M1739" s="15">
        <v>0.0199505440158259</v>
      </c>
      <c r="N1739" s="15">
        <f>A1739</f>
        <v>1737</v>
      </c>
      <c r="O1739" s="15">
        <v>2022</v>
      </c>
      <c r="P1739" s="15">
        <v>40.34</v>
      </c>
      <c r="Q1739" s="16"/>
    </row>
    <row r="1740" ht="20.05" customHeight="1">
      <c r="A1740" s="13">
        <f>A1739+1</f>
        <v>1738</v>
      </c>
      <c r="B1740" s="14">
        <v>2024</v>
      </c>
      <c r="C1740" s="15">
        <v>1</v>
      </c>
      <c r="D1740" s="15">
        <v>23</v>
      </c>
      <c r="E1740" s="16"/>
      <c r="F1740" t="s" s="17">
        <v>324</v>
      </c>
      <c r="G1740" s="16"/>
      <c r="H1740" t="s" s="17">
        <v>163</v>
      </c>
      <c r="I1740" t="s" s="17">
        <v>357</v>
      </c>
      <c r="J1740" t="s" s="17">
        <v>472</v>
      </c>
      <c r="K1740" t="s" s="17">
        <v>23</v>
      </c>
      <c r="L1740" s="15">
        <f>IF(O1740,P1740/O1740,0)</f>
        <v>135</v>
      </c>
      <c r="M1740" s="15">
        <v>135</v>
      </c>
      <c r="N1740" s="15">
        <f>A1740</f>
        <v>1738</v>
      </c>
      <c r="O1740" s="15">
        <v>1</v>
      </c>
      <c r="P1740" s="15">
        <v>135</v>
      </c>
      <c r="Q1740" s="16"/>
    </row>
    <row r="1741" ht="32.05" customHeight="1">
      <c r="A1741" s="13">
        <f>A1740+1</f>
        <v>1739</v>
      </c>
      <c r="B1741" s="14">
        <v>2024</v>
      </c>
      <c r="C1741" s="15">
        <v>1</v>
      </c>
      <c r="D1741" s="15">
        <v>25</v>
      </c>
      <c r="E1741" s="16"/>
      <c r="F1741" t="s" s="17">
        <v>428</v>
      </c>
      <c r="G1741" s="16"/>
      <c r="H1741" t="s" s="17">
        <v>163</v>
      </c>
      <c r="I1741" t="s" s="17">
        <v>19</v>
      </c>
      <c r="J1741" t="s" s="17">
        <v>448</v>
      </c>
      <c r="K1741" t="s" s="17">
        <v>16</v>
      </c>
      <c r="L1741" s="15">
        <f>IF(O1741,P1741/O1741,0)</f>
        <v>0.337286133333333</v>
      </c>
      <c r="M1741" s="15">
        <v>0.337286133333333</v>
      </c>
      <c r="N1741" s="15">
        <f>A1741</f>
        <v>1739</v>
      </c>
      <c r="O1741" s="15">
        <f t="shared" si="6418" ref="O1741:O1821">3*500</f>
        <v>1500</v>
      </c>
      <c r="P1741" s="43">
        <f t="shared" si="5331"/>
        <v>505.9292</v>
      </c>
      <c r="Q1741" s="16"/>
    </row>
    <row r="1742" ht="32.05" customHeight="1">
      <c r="A1742" s="13">
        <f>A1741+1</f>
        <v>1740</v>
      </c>
      <c r="B1742" s="14">
        <v>2024</v>
      </c>
      <c r="C1742" s="15">
        <v>1</v>
      </c>
      <c r="D1742" s="15">
        <v>25</v>
      </c>
      <c r="E1742" s="16"/>
      <c r="F1742" t="s" s="17">
        <v>428</v>
      </c>
      <c r="G1742" s="16"/>
      <c r="H1742" t="s" s="17">
        <v>163</v>
      </c>
      <c r="I1742" t="s" s="17">
        <v>19</v>
      </c>
      <c r="J1742" t="s" s="17">
        <v>437</v>
      </c>
      <c r="K1742" t="s" s="17">
        <v>16</v>
      </c>
      <c r="L1742" s="15">
        <f>IF(O1742,P1742/O1742,0)</f>
        <v>0.389961</v>
      </c>
      <c r="M1742" s="15">
        <v>0.389961</v>
      </c>
      <c r="N1742" s="15">
        <f>A1742</f>
        <v>1740</v>
      </c>
      <c r="O1742" s="15">
        <f t="shared" si="5588"/>
        <v>3000</v>
      </c>
      <c r="P1742" s="42">
        <f t="shared" si="6235"/>
        <v>1169.883</v>
      </c>
      <c r="Q1742" s="16"/>
    </row>
    <row r="1743" ht="20.05" customHeight="1">
      <c r="A1743" s="13">
        <f>A1742+1</f>
        <v>1741</v>
      </c>
      <c r="B1743" s="14">
        <v>2024</v>
      </c>
      <c r="C1743" s="15">
        <v>1</v>
      </c>
      <c r="D1743" s="15">
        <v>25</v>
      </c>
      <c r="E1743" s="16"/>
      <c r="F1743" t="s" s="17">
        <v>428</v>
      </c>
      <c r="G1743" s="16"/>
      <c r="H1743" t="s" s="17">
        <v>163</v>
      </c>
      <c r="I1743" t="s" s="17">
        <v>19</v>
      </c>
      <c r="J1743" t="s" s="17">
        <v>139</v>
      </c>
      <c r="K1743" t="s" s="17">
        <v>23</v>
      </c>
      <c r="L1743" s="15">
        <f>IF(O1743,P1743/O1743,0)</f>
        <v>3.87503333333333</v>
      </c>
      <c r="M1743" s="15">
        <v>3.87503333333333</v>
      </c>
      <c r="N1743" s="15">
        <f>A1743</f>
        <v>1741</v>
      </c>
      <c r="O1743" s="15">
        <f t="shared" si="6047"/>
        <v>96</v>
      </c>
      <c r="P1743" s="43">
        <f t="shared" si="6429" ref="P1743:P2042">368.32+368.32*1%</f>
        <v>372.0032</v>
      </c>
      <c r="Q1743" s="16"/>
    </row>
    <row r="1744" ht="20.05" customHeight="1">
      <c r="A1744" s="13">
        <f>A1743+1</f>
        <v>1742</v>
      </c>
      <c r="B1744" s="14">
        <v>2024</v>
      </c>
      <c r="C1744" s="15">
        <v>1</v>
      </c>
      <c r="D1744" s="15">
        <v>25</v>
      </c>
      <c r="E1744" s="16"/>
      <c r="F1744" t="s" s="17">
        <v>130</v>
      </c>
      <c r="G1744" s="16"/>
      <c r="H1744" t="s" s="17">
        <v>163</v>
      </c>
      <c r="I1744" t="s" s="17">
        <v>19</v>
      </c>
      <c r="J1744" t="s" s="17">
        <v>157</v>
      </c>
      <c r="K1744" t="s" s="17">
        <v>16</v>
      </c>
      <c r="L1744" s="15">
        <f>IF(O1744,P1744/O1744,0)</f>
        <v>0.0199513145082765</v>
      </c>
      <c r="M1744" s="15">
        <v>0.0199513145082765</v>
      </c>
      <c r="N1744" s="15">
        <f>A1744</f>
        <v>1742</v>
      </c>
      <c r="O1744" s="15">
        <v>2054</v>
      </c>
      <c r="P1744" s="15">
        <v>40.98</v>
      </c>
      <c r="Q1744" s="16"/>
    </row>
    <row r="1745" ht="20.05" customHeight="1">
      <c r="A1745" s="13">
        <f>A1744+1</f>
        <v>1743</v>
      </c>
      <c r="B1745" s="14">
        <v>2024</v>
      </c>
      <c r="C1745" s="15">
        <v>1</v>
      </c>
      <c r="D1745" s="15">
        <v>25</v>
      </c>
      <c r="E1745" s="16"/>
      <c r="F1745" t="s" s="17">
        <v>317</v>
      </c>
      <c r="G1745" s="16"/>
      <c r="H1745" t="s" s="17">
        <v>163</v>
      </c>
      <c r="I1745" t="s" s="17">
        <v>14</v>
      </c>
      <c r="J1745" t="s" s="17">
        <v>318</v>
      </c>
      <c r="K1745" t="s" s="17">
        <v>23</v>
      </c>
      <c r="L1745" s="15">
        <f>IF(O1745,P1745/O1745,0)</f>
        <v>7</v>
      </c>
      <c r="M1745" s="15">
        <v>7</v>
      </c>
      <c r="N1745" s="15">
        <f>A1745</f>
        <v>1743</v>
      </c>
      <c r="O1745" s="15">
        <v>6</v>
      </c>
      <c r="P1745" s="15">
        <v>42</v>
      </c>
      <c r="Q1745" s="16"/>
    </row>
    <row r="1746" ht="20.05" customHeight="1">
      <c r="A1746" s="13">
        <f>A1745+1</f>
        <v>1744</v>
      </c>
      <c r="B1746" s="14">
        <v>2024</v>
      </c>
      <c r="C1746" s="15">
        <v>1</v>
      </c>
      <c r="D1746" s="15">
        <v>25</v>
      </c>
      <c r="E1746" s="16"/>
      <c r="F1746" t="s" s="17">
        <v>150</v>
      </c>
      <c r="G1746" s="16"/>
      <c r="H1746" t="s" s="17">
        <v>163</v>
      </c>
      <c r="I1746" t="s" s="17">
        <v>19</v>
      </c>
      <c r="J1746" t="s" s="17">
        <v>56</v>
      </c>
      <c r="K1746" t="s" s="17">
        <v>41</v>
      </c>
      <c r="L1746" s="15">
        <f>IF(O1746,P1746/O1746,0)</f>
        <v>0.45248</v>
      </c>
      <c r="M1746" s="15">
        <v>0.45248</v>
      </c>
      <c r="N1746" s="15">
        <f>A1746</f>
        <v>1744</v>
      </c>
      <c r="O1746" s="15">
        <v>750</v>
      </c>
      <c r="P1746" s="41">
        <f t="shared" si="6439" ref="P1746:P1783">336+336*1%</f>
        <v>339.36</v>
      </c>
      <c r="Q1746" s="16"/>
    </row>
    <row r="1747" ht="20.05" customHeight="1">
      <c r="A1747" s="13">
        <f>A1746+1</f>
        <v>1745</v>
      </c>
      <c r="B1747" s="14">
        <v>2024</v>
      </c>
      <c r="C1747" s="15">
        <v>1</v>
      </c>
      <c r="D1747" s="15">
        <v>25</v>
      </c>
      <c r="E1747" s="16"/>
      <c r="F1747" t="s" s="17">
        <v>150</v>
      </c>
      <c r="G1747" s="16"/>
      <c r="H1747" t="s" s="17">
        <v>163</v>
      </c>
      <c r="I1747" t="s" s="17">
        <v>19</v>
      </c>
      <c r="J1747" t="s" s="17">
        <v>84</v>
      </c>
      <c r="K1747" t="s" s="17">
        <v>41</v>
      </c>
      <c r="L1747" s="15">
        <f>IF(O1747,P1747/O1747,0)</f>
        <v>0.61004</v>
      </c>
      <c r="M1747" s="15">
        <v>0.61004</v>
      </c>
      <c r="N1747" s="15">
        <f>A1747</f>
        <v>1745</v>
      </c>
      <c r="O1747" s="15">
        <v>1000</v>
      </c>
      <c r="P1747" s="41">
        <f t="shared" si="6443" ref="P1747:P1906">604+604*1%</f>
        <v>610.04</v>
      </c>
      <c r="Q1747" s="16"/>
    </row>
    <row r="1748" ht="20.05" customHeight="1">
      <c r="A1748" s="13">
        <f>A1747+1</f>
        <v>1746</v>
      </c>
      <c r="B1748" s="14">
        <v>2024</v>
      </c>
      <c r="C1748" s="15">
        <v>1</v>
      </c>
      <c r="D1748" s="15">
        <v>25</v>
      </c>
      <c r="E1748" s="16"/>
      <c r="F1748" t="s" s="17">
        <v>150</v>
      </c>
      <c r="G1748" s="16"/>
      <c r="H1748" t="s" s="17">
        <v>163</v>
      </c>
      <c r="I1748" t="s" s="17">
        <v>19</v>
      </c>
      <c r="J1748" t="s" s="17">
        <v>154</v>
      </c>
      <c r="K1748" t="s" s="17">
        <v>41</v>
      </c>
      <c r="L1748" s="15">
        <f>IF(O1748,P1748/O1748,0)</f>
        <v>0.36158</v>
      </c>
      <c r="M1748" s="15">
        <v>0.36158</v>
      </c>
      <c r="N1748" s="15">
        <f>A1748</f>
        <v>1746</v>
      </c>
      <c r="O1748" s="15">
        <v>2000</v>
      </c>
      <c r="P1748" s="41">
        <f t="shared" si="6447" ref="P1748:P1907">716+716*1%</f>
        <v>723.16</v>
      </c>
      <c r="Q1748" s="16"/>
    </row>
    <row r="1749" ht="20.05" customHeight="1">
      <c r="A1749" s="13">
        <f>A1748+1</f>
        <v>1747</v>
      </c>
      <c r="B1749" s="14">
        <v>2024</v>
      </c>
      <c r="C1749" s="15">
        <v>1</v>
      </c>
      <c r="D1749" s="15">
        <v>25</v>
      </c>
      <c r="E1749" s="16"/>
      <c r="F1749" t="s" s="17">
        <v>150</v>
      </c>
      <c r="G1749" s="16"/>
      <c r="H1749" t="s" s="17">
        <v>163</v>
      </c>
      <c r="I1749" t="s" s="17">
        <v>19</v>
      </c>
      <c r="J1749" t="s" s="17">
        <v>100</v>
      </c>
      <c r="K1749" t="s" s="17">
        <v>41</v>
      </c>
      <c r="L1749" s="15">
        <f>IF(O1749,P1749/O1749,0)</f>
        <v>0.61004</v>
      </c>
      <c r="M1749" s="15">
        <v>0.61004</v>
      </c>
      <c r="N1749" s="15">
        <f>A1749</f>
        <v>1747</v>
      </c>
      <c r="O1749" s="15">
        <v>1000</v>
      </c>
      <c r="P1749" s="41">
        <f t="shared" si="6443"/>
        <v>610.04</v>
      </c>
      <c r="Q1749" s="16"/>
    </row>
    <row r="1750" ht="20.05" customHeight="1">
      <c r="A1750" s="13">
        <f>A1749+1</f>
        <v>1748</v>
      </c>
      <c r="B1750" s="14">
        <v>2024</v>
      </c>
      <c r="C1750" s="15">
        <v>1</v>
      </c>
      <c r="D1750" s="15">
        <v>25</v>
      </c>
      <c r="E1750" s="16"/>
      <c r="F1750" t="s" s="17">
        <v>150</v>
      </c>
      <c r="G1750" s="16"/>
      <c r="H1750" t="s" s="17">
        <v>163</v>
      </c>
      <c r="I1750" t="s" s="17">
        <v>19</v>
      </c>
      <c r="J1750" t="s" s="17">
        <v>65</v>
      </c>
      <c r="K1750" t="s" s="17">
        <v>16</v>
      </c>
      <c r="L1750" s="15">
        <f>IF(O1750,P1750/O1750,0)</f>
        <v>0.7272</v>
      </c>
      <c r="M1750" s="15">
        <v>0.7272</v>
      </c>
      <c r="N1750" s="15">
        <f>A1750</f>
        <v>1748</v>
      </c>
      <c r="O1750" s="15">
        <v>200</v>
      </c>
      <c r="P1750" s="41">
        <f>144+144*1%</f>
        <v>145.44</v>
      </c>
      <c r="Q1750" s="16"/>
    </row>
    <row r="1751" ht="20.05" customHeight="1">
      <c r="A1751" s="13">
        <f>A1750+1</f>
        <v>1749</v>
      </c>
      <c r="B1751" s="14">
        <v>2024</v>
      </c>
      <c r="C1751" s="15">
        <v>1</v>
      </c>
      <c r="D1751" s="15">
        <v>25</v>
      </c>
      <c r="E1751" s="16"/>
      <c r="F1751" t="s" s="17">
        <v>150</v>
      </c>
      <c r="G1751" s="16"/>
      <c r="H1751" t="s" s="17">
        <v>163</v>
      </c>
      <c r="I1751" t="s" s="17">
        <v>19</v>
      </c>
      <c r="J1751" t="s" s="17">
        <v>151</v>
      </c>
      <c r="K1751" t="s" s="17">
        <v>41</v>
      </c>
      <c r="L1751" s="15">
        <f>IF(O1751,P1751/O1751,0)</f>
        <v>0.5757</v>
      </c>
      <c r="M1751" s="15">
        <v>0.5757</v>
      </c>
      <c r="N1751" s="15">
        <f>A1751</f>
        <v>1749</v>
      </c>
      <c r="O1751" s="15">
        <v>500</v>
      </c>
      <c r="P1751" s="41">
        <f t="shared" si="6459" ref="P1751:P1930">285+285*1%</f>
        <v>287.85</v>
      </c>
      <c r="Q1751" s="16"/>
    </row>
    <row r="1752" ht="20.05" customHeight="1">
      <c r="A1752" s="13">
        <f>A1751+1</f>
        <v>1750</v>
      </c>
      <c r="B1752" s="14">
        <v>2024</v>
      </c>
      <c r="C1752" s="15">
        <v>1</v>
      </c>
      <c r="D1752" s="15">
        <v>25</v>
      </c>
      <c r="E1752" s="16"/>
      <c r="F1752" t="s" s="17">
        <v>150</v>
      </c>
      <c r="G1752" s="16"/>
      <c r="H1752" t="s" s="17">
        <v>163</v>
      </c>
      <c r="I1752" t="s" s="17">
        <v>19</v>
      </c>
      <c r="J1752" t="s" s="17">
        <v>105</v>
      </c>
      <c r="K1752" t="s" s="17">
        <v>41</v>
      </c>
      <c r="L1752" s="15">
        <f>IF(O1752,P1752/O1752,0)</f>
        <v>0.45248</v>
      </c>
      <c r="M1752" s="15">
        <v>0.45248</v>
      </c>
      <c r="N1752" s="15">
        <f>A1752</f>
        <v>1750</v>
      </c>
      <c r="O1752" s="15">
        <v>750</v>
      </c>
      <c r="P1752" s="41">
        <f t="shared" si="6439"/>
        <v>339.36</v>
      </c>
      <c r="Q1752" s="16"/>
    </row>
    <row r="1753" ht="32.05" customHeight="1">
      <c r="A1753" s="13">
        <f>A1752+1</f>
        <v>1751</v>
      </c>
      <c r="B1753" s="14">
        <v>2024</v>
      </c>
      <c r="C1753" s="15">
        <v>1</v>
      </c>
      <c r="D1753" s="15">
        <v>25</v>
      </c>
      <c r="E1753" s="16"/>
      <c r="F1753" t="s" s="17">
        <v>278</v>
      </c>
      <c r="G1753" s="16"/>
      <c r="H1753" t="s" s="17">
        <v>163</v>
      </c>
      <c r="I1753" t="s" s="17">
        <v>14</v>
      </c>
      <c r="J1753" t="s" s="17">
        <v>283</v>
      </c>
      <c r="K1753" t="s" s="17">
        <v>23</v>
      </c>
      <c r="L1753" s="15">
        <f>IF(O1753,P1753/O1753,0)</f>
        <v>53.1765</v>
      </c>
      <c r="M1753" s="15">
        <v>53.1765</v>
      </c>
      <c r="N1753" s="15">
        <f>A1753</f>
        <v>1751</v>
      </c>
      <c r="O1753" s="15">
        <v>10</v>
      </c>
      <c r="P1753" s="42">
        <f t="shared" si="6067"/>
        <v>531.765</v>
      </c>
      <c r="Q1753" s="16"/>
    </row>
    <row r="1754" ht="32.05" customHeight="1">
      <c r="A1754" s="13">
        <f>A1753+1</f>
        <v>1752</v>
      </c>
      <c r="B1754" s="14">
        <v>2024</v>
      </c>
      <c r="C1754" s="15">
        <v>1</v>
      </c>
      <c r="D1754" s="15">
        <v>25</v>
      </c>
      <c r="E1754" s="16"/>
      <c r="F1754" t="s" s="17">
        <v>278</v>
      </c>
      <c r="G1754" s="16"/>
      <c r="H1754" t="s" s="17">
        <v>163</v>
      </c>
      <c r="I1754" t="s" s="17">
        <v>17</v>
      </c>
      <c r="J1754" t="s" s="17">
        <v>299</v>
      </c>
      <c r="K1754" t="s" s="17">
        <v>23</v>
      </c>
      <c r="L1754" s="15">
        <f>IF(O1754,P1754/O1754,0)</f>
        <v>40.9959</v>
      </c>
      <c r="M1754" s="15">
        <v>40.9959</v>
      </c>
      <c r="N1754" s="15">
        <f>A1754</f>
        <v>1752</v>
      </c>
      <c r="O1754" s="15">
        <v>24</v>
      </c>
      <c r="P1754" s="43">
        <f t="shared" si="5944"/>
        <v>983.9016</v>
      </c>
      <c r="Q1754" s="16"/>
    </row>
    <row r="1755" ht="32.05" customHeight="1">
      <c r="A1755" s="13">
        <f>A1754+1</f>
        <v>1753</v>
      </c>
      <c r="B1755" s="14">
        <v>2024</v>
      </c>
      <c r="C1755" s="15">
        <v>1</v>
      </c>
      <c r="D1755" s="15">
        <v>25</v>
      </c>
      <c r="E1755" s="16"/>
      <c r="F1755" t="s" s="17">
        <v>278</v>
      </c>
      <c r="G1755" s="16"/>
      <c r="H1755" t="s" s="17">
        <v>163</v>
      </c>
      <c r="I1755" t="s" s="17">
        <v>17</v>
      </c>
      <c r="J1755" t="s" s="17">
        <v>300</v>
      </c>
      <c r="K1755" t="s" s="17">
        <v>23</v>
      </c>
      <c r="L1755" s="15">
        <f>IF(O1755,P1755/O1755,0)</f>
        <v>35.2995</v>
      </c>
      <c r="M1755" s="15">
        <v>35.2995</v>
      </c>
      <c r="N1755" s="15">
        <f>A1755</f>
        <v>1753</v>
      </c>
      <c r="O1755" s="15">
        <v>24</v>
      </c>
      <c r="P1755" s="42">
        <f t="shared" si="5940"/>
        <v>847.188</v>
      </c>
      <c r="Q1755" s="16"/>
    </row>
    <row r="1756" ht="20.05" customHeight="1">
      <c r="A1756" s="13">
        <f>A1755+1</f>
        <v>1754</v>
      </c>
      <c r="B1756" s="14">
        <v>2024</v>
      </c>
      <c r="C1756" s="15">
        <v>1</v>
      </c>
      <c r="D1756" s="15">
        <v>2</v>
      </c>
      <c r="E1756" s="16"/>
      <c r="F1756" t="s" s="17">
        <v>258</v>
      </c>
      <c r="G1756" s="16"/>
      <c r="H1756" t="s" s="17">
        <v>253</v>
      </c>
      <c r="I1756" t="s" s="17">
        <v>187</v>
      </c>
      <c r="J1756" t="s" s="17">
        <v>491</v>
      </c>
      <c r="K1756" t="s" s="17">
        <v>23</v>
      </c>
      <c r="L1756" s="15">
        <f>IF(O1756,P1756/O1756,0)</f>
        <v>34.975</v>
      </c>
      <c r="M1756" s="15">
        <v>34.975</v>
      </c>
      <c r="N1756" s="15">
        <f>A1756</f>
        <v>1754</v>
      </c>
      <c r="O1756" s="15">
        <v>2</v>
      </c>
      <c r="P1756" s="15">
        <v>69.95</v>
      </c>
      <c r="Q1756" s="16"/>
    </row>
    <row r="1757" ht="20.05" customHeight="1">
      <c r="A1757" s="13">
        <f>A1756+1</f>
        <v>1755</v>
      </c>
      <c r="B1757" s="14">
        <v>2024</v>
      </c>
      <c r="C1757" s="15">
        <v>1</v>
      </c>
      <c r="D1757" s="15">
        <v>2</v>
      </c>
      <c r="E1757" s="16"/>
      <c r="F1757" t="s" s="17">
        <v>258</v>
      </c>
      <c r="G1757" s="16"/>
      <c r="H1757" t="s" s="17">
        <v>253</v>
      </c>
      <c r="I1757" t="s" s="17">
        <v>187</v>
      </c>
      <c r="J1757" t="s" s="17">
        <v>339</v>
      </c>
      <c r="K1757" t="s" s="17">
        <v>23</v>
      </c>
      <c r="L1757" s="15">
        <f>IF(O1757,P1757/O1757,0)</f>
        <v>16.6</v>
      </c>
      <c r="M1757" s="15">
        <v>16.6</v>
      </c>
      <c r="N1757" s="15">
        <f>A1757</f>
        <v>1755</v>
      </c>
      <c r="O1757" s="15">
        <v>5</v>
      </c>
      <c r="P1757" s="15">
        <v>83</v>
      </c>
      <c r="Q1757" s="16"/>
    </row>
    <row r="1758" ht="20.05" customHeight="1">
      <c r="A1758" s="13">
        <f>A1757+1</f>
        <v>1756</v>
      </c>
      <c r="B1758" s="14">
        <v>2024</v>
      </c>
      <c r="C1758" s="15">
        <v>1</v>
      </c>
      <c r="D1758" s="15">
        <v>2</v>
      </c>
      <c r="E1758" s="16"/>
      <c r="F1758" t="s" s="17">
        <v>258</v>
      </c>
      <c r="G1758" s="16"/>
      <c r="H1758" t="s" s="17">
        <v>253</v>
      </c>
      <c r="I1758" t="s" s="17">
        <v>187</v>
      </c>
      <c r="J1758" t="s" s="17">
        <v>432</v>
      </c>
      <c r="K1758" t="s" s="17">
        <v>23</v>
      </c>
      <c r="L1758" s="15">
        <f>IF(O1758,P1758/O1758,0)</f>
        <v>24</v>
      </c>
      <c r="M1758" s="15">
        <v>24</v>
      </c>
      <c r="N1758" s="15">
        <f>A1758</f>
        <v>1756</v>
      </c>
      <c r="O1758" s="15">
        <v>1</v>
      </c>
      <c r="P1758" s="15">
        <v>24</v>
      </c>
      <c r="Q1758" s="16"/>
    </row>
    <row r="1759" ht="20.05" customHeight="1">
      <c r="A1759" s="13">
        <f>A1758+1</f>
        <v>1757</v>
      </c>
      <c r="B1759" s="14">
        <v>2024</v>
      </c>
      <c r="C1759" s="15">
        <v>1</v>
      </c>
      <c r="D1759" s="15">
        <v>2</v>
      </c>
      <c r="E1759" s="16"/>
      <c r="F1759" t="s" s="17">
        <v>258</v>
      </c>
      <c r="G1759" s="16"/>
      <c r="H1759" t="s" s="17">
        <v>253</v>
      </c>
      <c r="I1759" t="s" s="17">
        <v>19</v>
      </c>
      <c r="J1759" t="s" s="17">
        <v>157</v>
      </c>
      <c r="K1759" t="s" s="17">
        <v>16</v>
      </c>
      <c r="L1759" s="15">
        <f>IF(O1759,P1759/O1759,0)</f>
        <v>0.0199010791366906</v>
      </c>
      <c r="M1759" s="15">
        <v>0.0199010791366906</v>
      </c>
      <c r="N1759" s="15">
        <f>A1759</f>
        <v>1757</v>
      </c>
      <c r="O1759" s="15">
        <v>2224</v>
      </c>
      <c r="P1759" s="15">
        <v>44.26</v>
      </c>
      <c r="Q1759" s="16"/>
    </row>
    <row r="1760" ht="20.05" customHeight="1">
      <c r="A1760" s="13">
        <f>A1759+1</f>
        <v>1758</v>
      </c>
      <c r="B1760" s="14">
        <v>2024</v>
      </c>
      <c r="C1760" s="15">
        <v>1</v>
      </c>
      <c r="D1760" s="15">
        <v>2</v>
      </c>
      <c r="E1760" s="16"/>
      <c r="F1760" t="s" s="17">
        <v>150</v>
      </c>
      <c r="G1760" s="16"/>
      <c r="H1760" t="s" s="17">
        <v>253</v>
      </c>
      <c r="I1760" t="s" s="17">
        <v>19</v>
      </c>
      <c r="J1760" t="s" s="17">
        <v>84</v>
      </c>
      <c r="K1760" t="s" s="17">
        <v>41</v>
      </c>
      <c r="L1760" s="15">
        <f>IF(O1760,P1760/O1760,0)</f>
        <v>0.61004</v>
      </c>
      <c r="M1760" s="15">
        <v>0.61004</v>
      </c>
      <c r="N1760" s="15">
        <f>A1760</f>
        <v>1758</v>
      </c>
      <c r="O1760" s="15">
        <v>1000</v>
      </c>
      <c r="P1760" s="41">
        <f t="shared" si="6443"/>
        <v>610.04</v>
      </c>
      <c r="Q1760" s="16"/>
    </row>
    <row r="1761" ht="20.05" customHeight="1">
      <c r="A1761" s="13">
        <f>A1760+1</f>
        <v>1759</v>
      </c>
      <c r="B1761" s="14">
        <v>2024</v>
      </c>
      <c r="C1761" s="15">
        <v>1</v>
      </c>
      <c r="D1761" s="15">
        <v>4</v>
      </c>
      <c r="E1761" s="16"/>
      <c r="F1761" t="s" s="17">
        <v>111</v>
      </c>
      <c r="G1761" s="16"/>
      <c r="H1761" t="s" s="17">
        <v>253</v>
      </c>
      <c r="I1761" t="s" s="17">
        <v>19</v>
      </c>
      <c r="J1761" t="s" s="17">
        <v>138</v>
      </c>
      <c r="K1761" t="s" s="17">
        <v>41</v>
      </c>
      <c r="L1761" s="15">
        <f>IF(O1761,P1761/O1761,0)</f>
        <v>0.0322108333333333</v>
      </c>
      <c r="M1761" s="15">
        <v>0.0322108333333333</v>
      </c>
      <c r="N1761" s="15">
        <f>A1761</f>
        <v>1759</v>
      </c>
      <c r="O1761" s="15">
        <f t="shared" si="5556"/>
        <v>12000</v>
      </c>
      <c r="P1761" s="15">
        <v>386.53</v>
      </c>
      <c r="Q1761" s="16"/>
    </row>
    <row r="1762" ht="20.05" customHeight="1">
      <c r="A1762" s="13">
        <f>A1761+1</f>
        <v>1760</v>
      </c>
      <c r="B1762" s="14">
        <v>2024</v>
      </c>
      <c r="C1762" s="15">
        <v>1</v>
      </c>
      <c r="D1762" s="15">
        <v>4</v>
      </c>
      <c r="E1762" s="16"/>
      <c r="F1762" t="s" s="17">
        <v>111</v>
      </c>
      <c r="G1762" s="16"/>
      <c r="H1762" t="s" s="17">
        <v>253</v>
      </c>
      <c r="I1762" t="s" s="17">
        <v>19</v>
      </c>
      <c r="J1762" t="s" s="17">
        <v>72</v>
      </c>
      <c r="K1762" t="s" s="17">
        <v>41</v>
      </c>
      <c r="L1762" s="15">
        <f>IF(O1762,P1762/O1762,0)</f>
        <v>0.211</v>
      </c>
      <c r="M1762" s="15">
        <v>0.211</v>
      </c>
      <c r="N1762" s="15">
        <f>A1762</f>
        <v>1760</v>
      </c>
      <c r="O1762" s="15">
        <f t="shared" si="6499" ref="O1762:O1778">2*250</f>
        <v>500</v>
      </c>
      <c r="P1762" s="15">
        <v>105.5</v>
      </c>
      <c r="Q1762" s="16"/>
    </row>
    <row r="1763" ht="20.05" customHeight="1">
      <c r="A1763" s="13">
        <f>A1762+1</f>
        <v>1761</v>
      </c>
      <c r="B1763" s="14">
        <v>2024</v>
      </c>
      <c r="C1763" s="15">
        <v>1</v>
      </c>
      <c r="D1763" s="15">
        <v>4</v>
      </c>
      <c r="E1763" s="16"/>
      <c r="F1763" t="s" s="17">
        <v>111</v>
      </c>
      <c r="G1763" s="16"/>
      <c r="H1763" t="s" s="17">
        <v>253</v>
      </c>
      <c r="I1763" t="s" s="17">
        <v>26</v>
      </c>
      <c r="J1763" t="s" s="17">
        <v>134</v>
      </c>
      <c r="K1763" t="s" s="17">
        <v>23</v>
      </c>
      <c r="L1763" s="15">
        <f>IF(O1763,P1763/O1763,0)</f>
        <v>33.754</v>
      </c>
      <c r="M1763" s="15">
        <v>33.754</v>
      </c>
      <c r="N1763" s="15">
        <f>A1763</f>
        <v>1761</v>
      </c>
      <c r="O1763" s="15">
        <v>5</v>
      </c>
      <c r="P1763" s="15">
        <v>168.77</v>
      </c>
      <c r="Q1763" s="16"/>
    </row>
    <row r="1764" ht="20.35" customHeight="1">
      <c r="A1764" s="13">
        <f>A1763+1</f>
        <v>1762</v>
      </c>
      <c r="B1764" s="14">
        <v>2024</v>
      </c>
      <c r="C1764" s="15">
        <v>1</v>
      </c>
      <c r="D1764" s="15">
        <v>4</v>
      </c>
      <c r="E1764" s="16"/>
      <c r="F1764" t="s" s="17">
        <v>111</v>
      </c>
      <c r="G1764" s="16"/>
      <c r="H1764" t="s" s="17">
        <v>253</v>
      </c>
      <c r="I1764" t="s" s="17">
        <v>19</v>
      </c>
      <c r="J1764" t="s" s="17">
        <v>74</v>
      </c>
      <c r="K1764" t="s" s="17">
        <v>23</v>
      </c>
      <c r="L1764" s="15">
        <f>IF(O1764,P1764/O1764,0)</f>
        <v>4.94208333333333</v>
      </c>
      <c r="M1764" s="15">
        <v>4.94208333333333</v>
      </c>
      <c r="N1764" s="15">
        <f>A1764</f>
        <v>1762</v>
      </c>
      <c r="O1764" s="15">
        <f t="shared" si="6095"/>
        <v>24</v>
      </c>
      <c r="P1764" s="18">
        <v>118.61</v>
      </c>
      <c r="Q1764" s="16"/>
    </row>
    <row r="1765" ht="20.7" customHeight="1">
      <c r="A1765" s="13">
        <f>A1764+1</f>
        <v>1763</v>
      </c>
      <c r="B1765" s="14">
        <v>2024</v>
      </c>
      <c r="C1765" s="15">
        <v>1</v>
      </c>
      <c r="D1765" s="15">
        <v>4</v>
      </c>
      <c r="E1765" s="16"/>
      <c r="F1765" t="s" s="17">
        <v>428</v>
      </c>
      <c r="G1765" s="16"/>
      <c r="H1765" t="s" s="17">
        <v>253</v>
      </c>
      <c r="I1765" t="s" s="17">
        <v>19</v>
      </c>
      <c r="J1765" t="s" s="17">
        <v>139</v>
      </c>
      <c r="K1765" t="s" s="17">
        <v>23</v>
      </c>
      <c r="L1765" s="15">
        <f>IF(O1765,P1765/O1765,0)</f>
        <v>3.62505833333333</v>
      </c>
      <c r="M1765" s="15">
        <v>3.62505833333333</v>
      </c>
      <c r="N1765" s="15">
        <f>A1765</f>
        <v>1763</v>
      </c>
      <c r="O1765" s="19">
        <v>24</v>
      </c>
      <c r="P1765" s="47">
        <f t="shared" si="5650"/>
        <v>87.0014</v>
      </c>
      <c r="Q1765" s="21"/>
    </row>
    <row r="1766" ht="20.35" customHeight="1">
      <c r="A1766" s="13">
        <f>A1765+1</f>
        <v>1764</v>
      </c>
      <c r="B1766" s="14">
        <v>2024</v>
      </c>
      <c r="C1766" s="15">
        <v>1</v>
      </c>
      <c r="D1766" s="15">
        <v>5</v>
      </c>
      <c r="E1766" s="16"/>
      <c r="F1766" t="s" s="17">
        <v>492</v>
      </c>
      <c r="G1766" s="16"/>
      <c r="H1766" t="s" s="17">
        <v>253</v>
      </c>
      <c r="I1766" t="s" s="17">
        <v>187</v>
      </c>
      <c r="J1766" t="s" s="17">
        <v>185</v>
      </c>
      <c r="K1766" t="s" s="17">
        <v>23</v>
      </c>
      <c r="L1766" s="15">
        <f>IF(O1766,P1766/O1766,0)</f>
        <v>50</v>
      </c>
      <c r="M1766" s="15">
        <v>50</v>
      </c>
      <c r="N1766" s="15">
        <f>A1766</f>
        <v>1764</v>
      </c>
      <c r="O1766" s="15">
        <v>1</v>
      </c>
      <c r="P1766" s="22">
        <v>50</v>
      </c>
      <c r="Q1766" s="16"/>
    </row>
    <row r="1767" ht="20.05" customHeight="1">
      <c r="A1767" s="13">
        <f>A1766+1</f>
        <v>1765</v>
      </c>
      <c r="B1767" s="14">
        <v>2024</v>
      </c>
      <c r="C1767" s="15">
        <v>1</v>
      </c>
      <c r="D1767" s="15">
        <v>5</v>
      </c>
      <c r="E1767" s="16"/>
      <c r="F1767" t="s" s="17">
        <v>258</v>
      </c>
      <c r="G1767" s="16"/>
      <c r="H1767" t="s" s="17">
        <v>253</v>
      </c>
      <c r="I1767" t="s" s="17">
        <v>19</v>
      </c>
      <c r="J1767" t="s" s="17">
        <v>138</v>
      </c>
      <c r="K1767" t="s" s="17">
        <v>41</v>
      </c>
      <c r="L1767" s="15">
        <f>IF(O1767,P1767/O1767,0)</f>
        <v>0.0445</v>
      </c>
      <c r="M1767" s="15">
        <v>0.0445</v>
      </c>
      <c r="N1767" s="15">
        <f>A1767</f>
        <v>1765</v>
      </c>
      <c r="O1767" s="15">
        <v>1000</v>
      </c>
      <c r="P1767" s="15">
        <v>44.5</v>
      </c>
      <c r="Q1767" s="16"/>
    </row>
    <row r="1768" ht="32.05" customHeight="1">
      <c r="A1768" s="13">
        <f>A1767+1</f>
        <v>1766</v>
      </c>
      <c r="B1768" s="14">
        <v>2024</v>
      </c>
      <c r="C1768" s="15">
        <v>1</v>
      </c>
      <c r="D1768" s="15">
        <v>5</v>
      </c>
      <c r="E1768" s="16"/>
      <c r="F1768" t="s" s="17">
        <v>258</v>
      </c>
      <c r="G1768" s="16"/>
      <c r="H1768" t="s" s="17">
        <v>253</v>
      </c>
      <c r="I1768" t="s" s="17">
        <v>187</v>
      </c>
      <c r="J1768" t="s" s="17">
        <v>198</v>
      </c>
      <c r="K1768" t="s" s="17">
        <v>23</v>
      </c>
      <c r="L1768" s="15">
        <f>IF(O1768,P1768/O1768,0)</f>
        <v>92.5</v>
      </c>
      <c r="M1768" s="15">
        <v>92.5</v>
      </c>
      <c r="N1768" s="15">
        <f>A1768</f>
        <v>1766</v>
      </c>
      <c r="O1768" s="15">
        <v>1</v>
      </c>
      <c r="P1768" s="15">
        <v>92.5</v>
      </c>
      <c r="Q1768" s="16"/>
    </row>
    <row r="1769" ht="20.05" customHeight="1">
      <c r="A1769" s="13">
        <f>A1768+1</f>
        <v>1767</v>
      </c>
      <c r="B1769" s="14">
        <v>2024</v>
      </c>
      <c r="C1769" s="15">
        <v>1</v>
      </c>
      <c r="D1769" s="15">
        <v>5</v>
      </c>
      <c r="E1769" s="16"/>
      <c r="F1769" t="s" s="17">
        <v>141</v>
      </c>
      <c r="G1769" s="16"/>
      <c r="H1769" t="s" s="17">
        <v>253</v>
      </c>
      <c r="I1769" t="s" s="17">
        <v>19</v>
      </c>
      <c r="J1769" t="s" s="17">
        <v>142</v>
      </c>
      <c r="K1769" t="s" s="17">
        <v>23</v>
      </c>
      <c r="L1769" s="15">
        <f>IF(O1769,P1769/O1769,0)</f>
        <v>13.8515208333333</v>
      </c>
      <c r="M1769" s="15">
        <v>13.8515208333333</v>
      </c>
      <c r="N1769" s="15">
        <f>A1769</f>
        <v>1767</v>
      </c>
      <c r="O1769" s="15">
        <f t="shared" si="6090"/>
        <v>48</v>
      </c>
      <c r="P1769" s="15">
        <v>664.873</v>
      </c>
      <c r="Q1769" s="16"/>
    </row>
    <row r="1770" ht="20.05" customHeight="1">
      <c r="A1770" s="13">
        <f>A1769+1</f>
        <v>1768</v>
      </c>
      <c r="B1770" s="14">
        <v>2024</v>
      </c>
      <c r="C1770" s="15">
        <v>1</v>
      </c>
      <c r="D1770" s="15">
        <v>5</v>
      </c>
      <c r="E1770" s="16"/>
      <c r="F1770" t="s" s="17">
        <v>141</v>
      </c>
      <c r="G1770" s="16"/>
      <c r="H1770" t="s" s="17">
        <v>253</v>
      </c>
      <c r="I1770" t="s" s="17">
        <v>19</v>
      </c>
      <c r="J1770" t="s" s="17">
        <v>143</v>
      </c>
      <c r="K1770" t="s" s="17">
        <v>23</v>
      </c>
      <c r="L1770" s="15">
        <f>IF(O1770,P1770/O1770,0)</f>
        <v>13.85175</v>
      </c>
      <c r="M1770" s="15">
        <v>13.85175</v>
      </c>
      <c r="N1770" s="15">
        <f>A1770</f>
        <v>1768</v>
      </c>
      <c r="O1770" s="15">
        <v>24</v>
      </c>
      <c r="P1770" s="15">
        <v>332.442</v>
      </c>
      <c r="Q1770" s="16"/>
    </row>
    <row r="1771" ht="20.05" customHeight="1">
      <c r="A1771" s="13">
        <f>A1770+1</f>
        <v>1769</v>
      </c>
      <c r="B1771" s="14">
        <v>2024</v>
      </c>
      <c r="C1771" s="15">
        <v>1</v>
      </c>
      <c r="D1771" s="15">
        <v>5</v>
      </c>
      <c r="E1771" s="16"/>
      <c r="F1771" t="s" s="17">
        <v>141</v>
      </c>
      <c r="G1771" s="16"/>
      <c r="H1771" t="s" s="17">
        <v>253</v>
      </c>
      <c r="I1771" t="s" s="17">
        <v>19</v>
      </c>
      <c r="J1771" t="s" s="17">
        <v>144</v>
      </c>
      <c r="K1771" t="s" s="17">
        <v>23</v>
      </c>
      <c r="L1771" s="15">
        <f>IF(O1771,P1771/O1771,0)</f>
        <v>13.85175</v>
      </c>
      <c r="M1771" s="15">
        <v>13.85175</v>
      </c>
      <c r="N1771" s="15">
        <f>A1771</f>
        <v>1769</v>
      </c>
      <c r="O1771" s="15">
        <v>24</v>
      </c>
      <c r="P1771" s="15">
        <v>332.442</v>
      </c>
      <c r="Q1771" s="16"/>
    </row>
    <row r="1772" ht="20.05" customHeight="1">
      <c r="A1772" s="13">
        <f>A1771+1</f>
        <v>1770</v>
      </c>
      <c r="B1772" s="14">
        <v>2024</v>
      </c>
      <c r="C1772" s="15">
        <v>1</v>
      </c>
      <c r="D1772" s="15">
        <v>7</v>
      </c>
      <c r="E1772" s="16"/>
      <c r="F1772" t="s" s="17">
        <v>258</v>
      </c>
      <c r="G1772" s="16"/>
      <c r="H1772" t="s" s="17">
        <v>253</v>
      </c>
      <c r="I1772" t="s" s="17">
        <v>19</v>
      </c>
      <c r="J1772" t="s" s="17">
        <v>157</v>
      </c>
      <c r="K1772" t="s" s="17">
        <v>16</v>
      </c>
      <c r="L1772" s="15">
        <f>IF(O1772,P1772/O1772,0)</f>
        <v>0.0198992443324937</v>
      </c>
      <c r="M1772" s="15">
        <v>0.0198992443324937</v>
      </c>
      <c r="N1772" s="15">
        <f>A1772</f>
        <v>1770</v>
      </c>
      <c r="O1772" s="15">
        <v>1588</v>
      </c>
      <c r="P1772" s="15">
        <v>31.6</v>
      </c>
      <c r="Q1772" s="16"/>
    </row>
    <row r="1773" ht="20.05" customHeight="1">
      <c r="A1773" s="13">
        <f>A1772+1</f>
        <v>1771</v>
      </c>
      <c r="B1773" s="14">
        <v>2024</v>
      </c>
      <c r="C1773" s="15">
        <v>1</v>
      </c>
      <c r="D1773" s="15">
        <v>10</v>
      </c>
      <c r="E1773" s="16"/>
      <c r="F1773" t="s" s="17">
        <v>122</v>
      </c>
      <c r="G1773" s="16"/>
      <c r="H1773" t="s" s="17">
        <v>253</v>
      </c>
      <c r="I1773" t="s" s="17">
        <v>19</v>
      </c>
      <c r="J1773" t="s" s="17">
        <v>67</v>
      </c>
      <c r="K1773" t="s" s="17">
        <v>23</v>
      </c>
      <c r="L1773" s="15">
        <f>IF(O1773,P1773/O1773,0)</f>
        <v>1.2361491</v>
      </c>
      <c r="M1773" s="15">
        <v>1.2361491</v>
      </c>
      <c r="N1773" s="15">
        <f>A1773</f>
        <v>1771</v>
      </c>
      <c r="O1773" s="15">
        <f t="shared" si="6536" ref="O1773:O1855">4*100</f>
        <v>400</v>
      </c>
      <c r="P1773" s="40">
        <f>489.564+489.564*1%</f>
        <v>494.45964</v>
      </c>
      <c r="Q1773" s="16"/>
    </row>
    <row r="1774" ht="20.05" customHeight="1">
      <c r="A1774" s="13">
        <f>A1773+1</f>
        <v>1772</v>
      </c>
      <c r="B1774" s="14">
        <v>2024</v>
      </c>
      <c r="C1774" s="15">
        <v>1</v>
      </c>
      <c r="D1774" s="15">
        <v>10</v>
      </c>
      <c r="E1774" s="16"/>
      <c r="F1774" t="s" s="17">
        <v>122</v>
      </c>
      <c r="G1774" s="16"/>
      <c r="H1774" t="s" s="17">
        <v>253</v>
      </c>
      <c r="I1774" t="s" s="17">
        <v>19</v>
      </c>
      <c r="J1774" t="s" s="17">
        <v>138</v>
      </c>
      <c r="K1774" t="s" s="17">
        <v>41</v>
      </c>
      <c r="L1774" s="15">
        <f>IF(O1774,P1774/O1774,0)</f>
        <v>0.0391375</v>
      </c>
      <c r="M1774" s="15">
        <v>0.0391375</v>
      </c>
      <c r="N1774" s="15">
        <f>A1774</f>
        <v>1772</v>
      </c>
      <c r="O1774" s="15">
        <f t="shared" si="6541" ref="O1774:O2123">12*1000</f>
        <v>12000</v>
      </c>
      <c r="P1774" s="41">
        <f>465+465*1%</f>
        <v>469.65</v>
      </c>
      <c r="Q1774" s="16"/>
    </row>
    <row r="1775" ht="32.05" customHeight="1">
      <c r="A1775" s="13">
        <f>A1774+1</f>
        <v>1773</v>
      </c>
      <c r="B1775" s="14">
        <v>2024</v>
      </c>
      <c r="C1775" s="15">
        <v>1</v>
      </c>
      <c r="D1775" s="15">
        <v>10</v>
      </c>
      <c r="E1775" s="16"/>
      <c r="F1775" t="s" s="17">
        <v>122</v>
      </c>
      <c r="G1775" s="16"/>
      <c r="H1775" t="s" s="17">
        <v>253</v>
      </c>
      <c r="I1775" t="s" s="17">
        <v>187</v>
      </c>
      <c r="J1775" t="s" s="17">
        <v>136</v>
      </c>
      <c r="K1775" t="s" s="17">
        <v>23</v>
      </c>
      <c r="L1775" s="15">
        <f>IF(O1775,P1775/O1775,0)</f>
        <v>0.242388</v>
      </c>
      <c r="M1775" s="15">
        <v>0.242388</v>
      </c>
      <c r="N1775" s="15">
        <f>A1775</f>
        <v>1773</v>
      </c>
      <c r="O1775" s="15">
        <f>1*200*10</f>
        <v>2000</v>
      </c>
      <c r="P1775" s="42">
        <f>403.98+403.98*20%</f>
        <v>484.776</v>
      </c>
      <c r="Q1775" s="16"/>
    </row>
    <row r="1776" ht="20.05" customHeight="1">
      <c r="A1776" s="13">
        <f>A1775+1</f>
        <v>1774</v>
      </c>
      <c r="B1776" s="14">
        <v>2024</v>
      </c>
      <c r="C1776" s="15">
        <v>1</v>
      </c>
      <c r="D1776" s="15">
        <v>10</v>
      </c>
      <c r="E1776" s="16"/>
      <c r="F1776" t="s" s="17">
        <v>122</v>
      </c>
      <c r="G1776" s="16"/>
      <c r="H1776" t="s" s="17">
        <v>253</v>
      </c>
      <c r="I1776" t="s" s="17">
        <v>187</v>
      </c>
      <c r="J1776" t="s" s="17">
        <v>167</v>
      </c>
      <c r="K1776" t="s" s="17">
        <v>23</v>
      </c>
      <c r="L1776" s="15">
        <f>IF(O1776,P1776/O1776,0)</f>
        <v>0.9360000000000001</v>
      </c>
      <c r="M1776" s="15">
        <v>0.9360000000000001</v>
      </c>
      <c r="N1776" s="15">
        <f>A1776</f>
        <v>1774</v>
      </c>
      <c r="O1776" s="15">
        <f t="shared" si="6012"/>
        <v>200</v>
      </c>
      <c r="P1776" s="42">
        <f t="shared" si="6027"/>
        <v>187.2</v>
      </c>
      <c r="Q1776" s="16"/>
    </row>
    <row r="1777" ht="20.05" customHeight="1">
      <c r="A1777" s="13">
        <f>A1776+1</f>
        <v>1775</v>
      </c>
      <c r="B1777" s="14">
        <v>2024</v>
      </c>
      <c r="C1777" s="15">
        <v>1</v>
      </c>
      <c r="D1777" s="15">
        <v>10</v>
      </c>
      <c r="E1777" s="16"/>
      <c r="F1777" t="s" s="17">
        <v>111</v>
      </c>
      <c r="G1777" s="16"/>
      <c r="H1777" t="s" s="17">
        <v>253</v>
      </c>
      <c r="I1777" t="s" s="17">
        <v>19</v>
      </c>
      <c r="J1777" t="s" s="17">
        <v>112</v>
      </c>
      <c r="K1777" t="s" s="17">
        <v>41</v>
      </c>
      <c r="L1777" s="15">
        <f>IF(O1777,P1777/O1777,0)</f>
        <v>0.03037</v>
      </c>
      <c r="M1777" s="15">
        <v>0.03037</v>
      </c>
      <c r="N1777" s="15">
        <f>A1777</f>
        <v>1775</v>
      </c>
      <c r="O1777" s="15">
        <f t="shared" si="6392"/>
        <v>5000</v>
      </c>
      <c r="P1777" s="15">
        <v>151.85</v>
      </c>
      <c r="Q1777" s="16"/>
    </row>
    <row r="1778" ht="20.05" customHeight="1">
      <c r="A1778" s="13">
        <f>A1777+1</f>
        <v>1776</v>
      </c>
      <c r="B1778" s="14">
        <v>2024</v>
      </c>
      <c r="C1778" s="15">
        <v>1</v>
      </c>
      <c r="D1778" s="15">
        <v>10</v>
      </c>
      <c r="E1778" s="16"/>
      <c r="F1778" t="s" s="17">
        <v>111</v>
      </c>
      <c r="G1778" s="16"/>
      <c r="H1778" t="s" s="17">
        <v>253</v>
      </c>
      <c r="I1778" t="s" s="17">
        <v>19</v>
      </c>
      <c r="J1778" t="s" s="17">
        <v>72</v>
      </c>
      <c r="K1778" t="s" s="17">
        <v>41</v>
      </c>
      <c r="L1778" s="15">
        <f>IF(O1778,P1778/O1778,0)</f>
        <v>0.211</v>
      </c>
      <c r="M1778" s="15">
        <v>0.211</v>
      </c>
      <c r="N1778" s="15">
        <f>A1778</f>
        <v>1776</v>
      </c>
      <c r="O1778" s="15">
        <f t="shared" si="6499"/>
        <v>500</v>
      </c>
      <c r="P1778" s="15">
        <v>105.5</v>
      </c>
      <c r="Q1778" s="16"/>
    </row>
    <row r="1779" ht="20.05" customHeight="1">
      <c r="A1779" s="13">
        <f>A1778+1</f>
        <v>1777</v>
      </c>
      <c r="B1779" s="14">
        <v>2024</v>
      </c>
      <c r="C1779" s="15">
        <v>1</v>
      </c>
      <c r="D1779" s="15">
        <v>10</v>
      </c>
      <c r="E1779" s="16"/>
      <c r="F1779" t="s" s="17">
        <v>111</v>
      </c>
      <c r="G1779" s="16"/>
      <c r="H1779" t="s" s="17">
        <v>253</v>
      </c>
      <c r="I1779" t="s" s="17">
        <v>19</v>
      </c>
      <c r="J1779" t="s" s="17">
        <v>73</v>
      </c>
      <c r="K1779" t="s" s="17">
        <v>23</v>
      </c>
      <c r="L1779" s="15">
        <f>IF(O1779,P1779/O1779,0)</f>
        <v>4.94208333333333</v>
      </c>
      <c r="M1779" s="15">
        <v>4.94208333333333</v>
      </c>
      <c r="N1779" s="15">
        <f>A1779</f>
        <v>1777</v>
      </c>
      <c r="O1779" s="15">
        <f t="shared" si="6095"/>
        <v>24</v>
      </c>
      <c r="P1779" s="15">
        <v>118.61</v>
      </c>
      <c r="Q1779" s="16"/>
    </row>
    <row r="1780" ht="20.05" customHeight="1">
      <c r="A1780" s="13">
        <f>A1779+1</f>
        <v>1778</v>
      </c>
      <c r="B1780" s="14">
        <v>2024</v>
      </c>
      <c r="C1780" s="15">
        <v>1</v>
      </c>
      <c r="D1780" s="15">
        <v>10</v>
      </c>
      <c r="E1780" s="16"/>
      <c r="F1780" t="s" s="17">
        <v>258</v>
      </c>
      <c r="G1780" s="16"/>
      <c r="H1780" t="s" s="17">
        <v>253</v>
      </c>
      <c r="I1780" t="s" s="17">
        <v>26</v>
      </c>
      <c r="J1780" t="s" s="17">
        <v>27</v>
      </c>
      <c r="K1780" t="s" s="17">
        <v>16</v>
      </c>
      <c r="L1780" s="15">
        <f>IF(O1780,P1780/O1780,0)</f>
        <v>0.1396</v>
      </c>
      <c r="M1780" s="15">
        <v>0.1396</v>
      </c>
      <c r="N1780" s="15">
        <f>A1780</f>
        <v>1778</v>
      </c>
      <c r="O1780" s="15">
        <v>250</v>
      </c>
      <c r="P1780" s="15">
        <v>34.9</v>
      </c>
      <c r="Q1780" s="16"/>
    </row>
    <row r="1781" ht="20.05" customHeight="1">
      <c r="A1781" s="13">
        <f>A1780+1</f>
        <v>1779</v>
      </c>
      <c r="B1781" s="14">
        <v>2024</v>
      </c>
      <c r="C1781" s="15">
        <v>1</v>
      </c>
      <c r="D1781" s="15">
        <v>10</v>
      </c>
      <c r="E1781" s="16"/>
      <c r="F1781" t="s" s="17">
        <v>150</v>
      </c>
      <c r="G1781" s="16"/>
      <c r="H1781" t="s" s="17">
        <v>253</v>
      </c>
      <c r="I1781" t="s" s="17">
        <v>19</v>
      </c>
      <c r="J1781" t="s" s="17">
        <v>151</v>
      </c>
      <c r="K1781" t="s" s="17">
        <v>41</v>
      </c>
      <c r="L1781" s="15">
        <f>IF(O1781,P1781/O1781,0)</f>
        <v>0.255866666666667</v>
      </c>
      <c r="M1781" s="15">
        <v>0.255866666666667</v>
      </c>
      <c r="N1781" s="15">
        <f>A1781</f>
        <v>1779</v>
      </c>
      <c r="O1781" s="15">
        <v>750</v>
      </c>
      <c r="P1781" s="42">
        <f>190+190*1%</f>
        <v>191.9</v>
      </c>
      <c r="Q1781" s="16"/>
    </row>
    <row r="1782" ht="20.05" customHeight="1">
      <c r="A1782" s="13">
        <f>A1781+1</f>
        <v>1780</v>
      </c>
      <c r="B1782" s="14">
        <v>2024</v>
      </c>
      <c r="C1782" s="15">
        <v>1</v>
      </c>
      <c r="D1782" s="15">
        <v>10</v>
      </c>
      <c r="E1782" s="16"/>
      <c r="F1782" t="s" s="17">
        <v>150</v>
      </c>
      <c r="G1782" s="16"/>
      <c r="H1782" t="s" s="17">
        <v>253</v>
      </c>
      <c r="I1782" t="s" s="17">
        <v>19</v>
      </c>
      <c r="J1782" t="s" s="17">
        <v>92</v>
      </c>
      <c r="K1782" t="s" s="17">
        <v>41</v>
      </c>
      <c r="L1782" s="15">
        <f>IF(O1782,P1782/O1782,0)</f>
        <v>0.45248</v>
      </c>
      <c r="M1782" s="15">
        <v>0.45248</v>
      </c>
      <c r="N1782" s="15">
        <f>A1782</f>
        <v>1780</v>
      </c>
      <c r="O1782" s="15">
        <v>750</v>
      </c>
      <c r="P1782" s="41">
        <f t="shared" si="6439"/>
        <v>339.36</v>
      </c>
      <c r="Q1782" s="16"/>
    </row>
    <row r="1783" ht="20.05" customHeight="1">
      <c r="A1783" s="13">
        <f>A1782+1</f>
        <v>1781</v>
      </c>
      <c r="B1783" s="14">
        <v>2024</v>
      </c>
      <c r="C1783" s="15">
        <v>1</v>
      </c>
      <c r="D1783" s="15">
        <v>10</v>
      </c>
      <c r="E1783" s="16"/>
      <c r="F1783" t="s" s="17">
        <v>150</v>
      </c>
      <c r="G1783" s="16"/>
      <c r="H1783" t="s" s="17">
        <v>253</v>
      </c>
      <c r="I1783" t="s" s="17">
        <v>19</v>
      </c>
      <c r="J1783" t="s" s="17">
        <v>94</v>
      </c>
      <c r="K1783" t="s" s="17">
        <v>41</v>
      </c>
      <c r="L1783" s="15">
        <f>IF(O1783,P1783/O1783,0)</f>
        <v>0.45248</v>
      </c>
      <c r="M1783" s="15">
        <v>0.45248</v>
      </c>
      <c r="N1783" s="15">
        <f>A1783</f>
        <v>1781</v>
      </c>
      <c r="O1783" s="15">
        <v>750</v>
      </c>
      <c r="P1783" s="41">
        <f t="shared" si="6439"/>
        <v>339.36</v>
      </c>
      <c r="Q1783" s="16"/>
    </row>
    <row r="1784" ht="20.35" customHeight="1">
      <c r="A1784" s="13">
        <f>A1783+1</f>
        <v>1782</v>
      </c>
      <c r="B1784" s="14">
        <v>2024</v>
      </c>
      <c r="C1784" s="15">
        <v>1</v>
      </c>
      <c r="D1784" s="15">
        <v>10</v>
      </c>
      <c r="E1784" s="16"/>
      <c r="F1784" t="s" s="17">
        <v>150</v>
      </c>
      <c r="G1784" s="16"/>
      <c r="H1784" t="s" s="17">
        <v>253</v>
      </c>
      <c r="I1784" t="s" s="17">
        <v>19</v>
      </c>
      <c r="J1784" t="s" s="17">
        <v>84</v>
      </c>
      <c r="K1784" t="s" s="17">
        <v>41</v>
      </c>
      <c r="L1784" s="15">
        <f>IF(O1784,P1784/O1784,0)</f>
        <v>0.61004</v>
      </c>
      <c r="M1784" s="15">
        <v>0.61004</v>
      </c>
      <c r="N1784" s="15">
        <f>A1784</f>
        <v>1782</v>
      </c>
      <c r="O1784" s="15">
        <v>1000</v>
      </c>
      <c r="P1784" s="49">
        <f t="shared" si="6443"/>
        <v>610.04</v>
      </c>
      <c r="Q1784" s="16"/>
    </row>
    <row r="1785" ht="20.7" customHeight="1">
      <c r="A1785" s="13">
        <f>A1784+1</f>
        <v>1783</v>
      </c>
      <c r="B1785" s="14">
        <v>2024</v>
      </c>
      <c r="C1785" s="15">
        <v>1</v>
      </c>
      <c r="D1785" s="15">
        <v>10</v>
      </c>
      <c r="E1785" s="16"/>
      <c r="F1785" t="s" s="17">
        <v>428</v>
      </c>
      <c r="G1785" s="16"/>
      <c r="H1785" t="s" s="17">
        <v>253</v>
      </c>
      <c r="I1785" t="s" s="17">
        <v>19</v>
      </c>
      <c r="J1785" t="s" s="17">
        <v>139</v>
      </c>
      <c r="K1785" t="s" s="17">
        <v>23</v>
      </c>
      <c r="L1785" s="15">
        <f>IF(O1785,P1785/O1785,0)</f>
        <v>3.62505833333333</v>
      </c>
      <c r="M1785" s="15">
        <v>3.62505833333333</v>
      </c>
      <c r="N1785" s="15">
        <f>A1785</f>
        <v>1783</v>
      </c>
      <c r="O1785" s="19">
        <f t="shared" si="6090"/>
        <v>48</v>
      </c>
      <c r="P1785" s="47">
        <f>172.28+172.28*1%</f>
        <v>174.0028</v>
      </c>
      <c r="Q1785" s="21"/>
    </row>
    <row r="1786" ht="32.7" customHeight="1">
      <c r="A1786" s="13">
        <f>A1785+1</f>
        <v>1784</v>
      </c>
      <c r="B1786" s="14">
        <v>2024</v>
      </c>
      <c r="C1786" s="15">
        <v>1</v>
      </c>
      <c r="D1786" s="15">
        <v>10</v>
      </c>
      <c r="E1786" s="16"/>
      <c r="F1786" t="s" s="17">
        <v>428</v>
      </c>
      <c r="G1786" s="16"/>
      <c r="H1786" t="s" s="17">
        <v>253</v>
      </c>
      <c r="I1786" t="s" s="17">
        <v>19</v>
      </c>
      <c r="J1786" t="s" s="17">
        <v>437</v>
      </c>
      <c r="K1786" t="s" s="17">
        <v>16</v>
      </c>
      <c r="L1786" s="15">
        <f>IF(O1786,P1786/O1786,0)</f>
        <v>0.389961</v>
      </c>
      <c r="M1786" s="15">
        <v>0.389961</v>
      </c>
      <c r="N1786" s="15">
        <f>A1786</f>
        <v>1784</v>
      </c>
      <c r="O1786" s="19">
        <v>1000</v>
      </c>
      <c r="P1786" s="46">
        <f>386.1+386.1*1%</f>
        <v>389.961</v>
      </c>
      <c r="Q1786" s="21"/>
    </row>
    <row r="1787" ht="20.35" customHeight="1">
      <c r="A1787" s="13">
        <f>A1786+1</f>
        <v>1785</v>
      </c>
      <c r="B1787" s="14">
        <v>2024</v>
      </c>
      <c r="C1787" s="15">
        <v>1</v>
      </c>
      <c r="D1787" s="15">
        <v>12</v>
      </c>
      <c r="E1787" s="16"/>
      <c r="F1787" t="s" s="17">
        <v>287</v>
      </c>
      <c r="G1787" s="16"/>
      <c r="H1787" t="s" s="17">
        <v>253</v>
      </c>
      <c r="I1787" t="s" s="17">
        <v>14</v>
      </c>
      <c r="J1787" t="s" s="17">
        <v>433</v>
      </c>
      <c r="K1787" t="s" s="17">
        <v>23</v>
      </c>
      <c r="L1787" s="15">
        <f>IF(O1787,P1787/O1787,0)</f>
        <v>45.349</v>
      </c>
      <c r="M1787" s="15">
        <v>45.349</v>
      </c>
      <c r="N1787" s="15">
        <f>A1787</f>
        <v>1785</v>
      </c>
      <c r="O1787" s="15">
        <v>10</v>
      </c>
      <c r="P1787" s="50">
        <f>449+449*1%</f>
        <v>453.49</v>
      </c>
      <c r="Q1787" s="16"/>
    </row>
    <row r="1788" ht="20.05" customHeight="1">
      <c r="A1788" s="13">
        <f>A1787+1</f>
        <v>1786</v>
      </c>
      <c r="B1788" s="14">
        <v>2024</v>
      </c>
      <c r="C1788" s="15">
        <v>1</v>
      </c>
      <c r="D1788" s="15">
        <v>12</v>
      </c>
      <c r="E1788" s="16"/>
      <c r="F1788" t="s" s="17">
        <v>287</v>
      </c>
      <c r="G1788" s="16"/>
      <c r="H1788" t="s" s="17">
        <v>253</v>
      </c>
      <c r="I1788" t="s" s="17">
        <v>14</v>
      </c>
      <c r="J1788" t="s" s="17">
        <v>282</v>
      </c>
      <c r="K1788" t="s" s="17">
        <v>23</v>
      </c>
      <c r="L1788" s="15">
        <f>IF(O1788,P1788/O1788,0)</f>
        <v>32.118</v>
      </c>
      <c r="M1788" s="15">
        <v>32.118</v>
      </c>
      <c r="N1788" s="15">
        <f>A1788</f>
        <v>1786</v>
      </c>
      <c r="O1788" s="15">
        <v>10</v>
      </c>
      <c r="P1788" s="41">
        <f>318+318*1%</f>
        <v>321.18</v>
      </c>
      <c r="Q1788" s="16"/>
    </row>
    <row r="1789" ht="32.05" customHeight="1">
      <c r="A1789" s="13">
        <f>A1788+1</f>
        <v>1787</v>
      </c>
      <c r="B1789" s="14">
        <v>2024</v>
      </c>
      <c r="C1789" s="15">
        <v>1</v>
      </c>
      <c r="D1789" s="15">
        <v>13</v>
      </c>
      <c r="E1789" s="16"/>
      <c r="F1789" t="s" s="17">
        <v>287</v>
      </c>
      <c r="G1789" s="16"/>
      <c r="H1789" t="s" s="17">
        <v>253</v>
      </c>
      <c r="I1789" t="s" s="17">
        <v>17</v>
      </c>
      <c r="J1789" t="s" s="17">
        <v>299</v>
      </c>
      <c r="K1789" t="s" s="17">
        <v>23</v>
      </c>
      <c r="L1789" s="15">
        <f>IF(O1789,P1789/O1789,0)</f>
        <v>40.9891666666667</v>
      </c>
      <c r="M1789" s="15">
        <v>40.9891666666667</v>
      </c>
      <c r="N1789" s="15">
        <f>A1789</f>
        <v>1787</v>
      </c>
      <c r="O1789" s="15">
        <v>24</v>
      </c>
      <c r="P1789" s="41">
        <f>974+974*1%</f>
        <v>983.74</v>
      </c>
      <c r="Q1789" s="16"/>
    </row>
    <row r="1790" ht="20.05" customHeight="1">
      <c r="A1790" s="13">
        <f>A1789+1</f>
        <v>1788</v>
      </c>
      <c r="B1790" s="14">
        <v>2024</v>
      </c>
      <c r="C1790" s="15">
        <v>1</v>
      </c>
      <c r="D1790" s="15">
        <v>13</v>
      </c>
      <c r="E1790" s="16"/>
      <c r="F1790" t="s" s="17">
        <v>293</v>
      </c>
      <c r="G1790" s="16"/>
      <c r="H1790" t="s" s="17">
        <v>253</v>
      </c>
      <c r="I1790" t="s" s="17">
        <v>19</v>
      </c>
      <c r="J1790" t="s" s="17">
        <v>157</v>
      </c>
      <c r="K1790" t="s" s="17">
        <v>16</v>
      </c>
      <c r="L1790" s="15">
        <f>IF(O1790,P1790/O1790,0)</f>
        <v>0.0167508532423208</v>
      </c>
      <c r="M1790" s="15">
        <v>0.0167508532423208</v>
      </c>
      <c r="N1790" s="15">
        <f>A1790</f>
        <v>1788</v>
      </c>
      <c r="O1790" s="15">
        <v>1465</v>
      </c>
      <c r="P1790" s="15">
        <v>24.54</v>
      </c>
      <c r="Q1790" s="16"/>
    </row>
    <row r="1791" ht="20.05" customHeight="1">
      <c r="A1791" s="13">
        <f>A1790+1</f>
        <v>1789</v>
      </c>
      <c r="B1791" s="14">
        <v>2024</v>
      </c>
      <c r="C1791" s="15">
        <v>1</v>
      </c>
      <c r="D1791" s="15">
        <v>14</v>
      </c>
      <c r="E1791" s="16"/>
      <c r="F1791" t="s" s="17">
        <v>258</v>
      </c>
      <c r="G1791" s="16"/>
      <c r="H1791" t="s" s="17">
        <v>253</v>
      </c>
      <c r="I1791" t="s" s="17">
        <v>26</v>
      </c>
      <c r="J1791" t="s" s="17">
        <v>113</v>
      </c>
      <c r="K1791" t="s" s="17">
        <v>41</v>
      </c>
      <c r="L1791" s="15">
        <f>IF(O1791,P1791/O1791,0)</f>
        <v>0.04795</v>
      </c>
      <c r="M1791" s="15">
        <v>0.04795</v>
      </c>
      <c r="N1791" s="15">
        <f>A1791</f>
        <v>1789</v>
      </c>
      <c r="O1791" s="15">
        <v>1000</v>
      </c>
      <c r="P1791" s="15">
        <v>47.95</v>
      </c>
      <c r="Q1791" s="16"/>
    </row>
    <row r="1792" ht="20.05" customHeight="1">
      <c r="A1792" s="13">
        <f>A1791+1</f>
        <v>1790</v>
      </c>
      <c r="B1792" s="14">
        <v>2024</v>
      </c>
      <c r="C1792" s="15">
        <v>1</v>
      </c>
      <c r="D1792" s="15">
        <v>14</v>
      </c>
      <c r="E1792" s="16"/>
      <c r="F1792" t="s" s="17">
        <v>258</v>
      </c>
      <c r="G1792" s="16"/>
      <c r="H1792" t="s" s="17">
        <v>253</v>
      </c>
      <c r="I1792" t="s" s="17">
        <v>19</v>
      </c>
      <c r="J1792" t="s" s="17">
        <v>157</v>
      </c>
      <c r="K1792" t="s" s="17">
        <v>16</v>
      </c>
      <c r="L1792" s="15">
        <f>IF(O1792,P1792/O1792,0)</f>
        <v>0.0168988549618321</v>
      </c>
      <c r="M1792" s="15">
        <v>0.0168988549618321</v>
      </c>
      <c r="N1792" s="15">
        <f>A1792</f>
        <v>1790</v>
      </c>
      <c r="O1792" s="15">
        <v>2096</v>
      </c>
      <c r="P1792" s="15">
        <f>41.71-6.29</f>
        <v>35.42</v>
      </c>
      <c r="Q1792" s="16"/>
    </row>
    <row r="1793" ht="20.05" customHeight="1">
      <c r="A1793" s="13">
        <f>A1792+1</f>
        <v>1791</v>
      </c>
      <c r="B1793" s="14">
        <v>2024</v>
      </c>
      <c r="C1793" s="15">
        <v>1</v>
      </c>
      <c r="D1793" s="15">
        <v>14</v>
      </c>
      <c r="E1793" s="16"/>
      <c r="F1793" t="s" s="17">
        <v>258</v>
      </c>
      <c r="G1793" s="16"/>
      <c r="H1793" t="s" s="17">
        <v>253</v>
      </c>
      <c r="I1793" t="s" s="17">
        <v>19</v>
      </c>
      <c r="J1793" t="s" s="17">
        <v>123</v>
      </c>
      <c r="K1793" t="s" s="17">
        <v>16</v>
      </c>
      <c r="L1793" s="15">
        <f>IF(O1793,P1793/O1793,0)</f>
        <v>0.0292333333333333</v>
      </c>
      <c r="M1793" s="15">
        <v>0.0292333333333333</v>
      </c>
      <c r="N1793" s="15">
        <f>A1793</f>
        <v>1791</v>
      </c>
      <c r="O1793" s="15">
        <v>3000</v>
      </c>
      <c r="P1793" s="15">
        <v>87.7</v>
      </c>
      <c r="Q1793" s="16"/>
    </row>
    <row r="1794" ht="20.05" customHeight="1">
      <c r="A1794" s="13">
        <f>A1793+1</f>
        <v>1792</v>
      </c>
      <c r="B1794" s="14">
        <v>2024</v>
      </c>
      <c r="C1794" s="15">
        <v>1</v>
      </c>
      <c r="D1794" s="15">
        <v>17</v>
      </c>
      <c r="E1794" s="16"/>
      <c r="F1794" t="s" s="17">
        <v>122</v>
      </c>
      <c r="G1794" s="16"/>
      <c r="H1794" t="s" s="17">
        <v>253</v>
      </c>
      <c r="I1794" t="s" s="17">
        <v>19</v>
      </c>
      <c r="J1794" t="s" s="17">
        <v>470</v>
      </c>
      <c r="K1794" t="s" s="17">
        <v>23</v>
      </c>
      <c r="L1794" s="15">
        <f>IF(O1794,P1794/O1794,0)</f>
        <v>0.225</v>
      </c>
      <c r="M1794" s="15">
        <v>0.225</v>
      </c>
      <c r="N1794" s="15">
        <f>A1794</f>
        <v>1792</v>
      </c>
      <c r="O1794" s="15">
        <f t="shared" si="6274"/>
        <v>400</v>
      </c>
      <c r="P1794" s="41">
        <f>75+75*20%</f>
        <v>90</v>
      </c>
      <c r="Q1794" s="16"/>
    </row>
    <row r="1795" ht="20.05" customHeight="1">
      <c r="A1795" s="13">
        <f>A1794+1</f>
        <v>1793</v>
      </c>
      <c r="B1795" s="14">
        <v>2024</v>
      </c>
      <c r="C1795" s="15">
        <v>1</v>
      </c>
      <c r="D1795" s="15">
        <v>17</v>
      </c>
      <c r="E1795" s="16"/>
      <c r="F1795" t="s" s="17">
        <v>122</v>
      </c>
      <c r="G1795" s="16"/>
      <c r="H1795" t="s" s="17">
        <v>253</v>
      </c>
      <c r="I1795" t="s" s="17">
        <v>19</v>
      </c>
      <c r="J1795" t="s" s="17">
        <v>138</v>
      </c>
      <c r="K1795" t="s" s="17">
        <v>41</v>
      </c>
      <c r="L1795" s="15">
        <f>IF(O1795,P1795/O1795,0)</f>
        <v>0.0391375</v>
      </c>
      <c r="M1795" s="15">
        <v>0.0391375</v>
      </c>
      <c r="N1795" s="15">
        <f>A1795</f>
        <v>1793</v>
      </c>
      <c r="O1795" s="15">
        <f t="shared" si="6626" ref="O1795:O2145">2*12*1000</f>
        <v>24000</v>
      </c>
      <c r="P1795" s="42">
        <f>930+930*1%</f>
        <v>939.3</v>
      </c>
      <c r="Q1795" s="16"/>
    </row>
    <row r="1796" ht="20.05" customHeight="1">
      <c r="A1796" s="13">
        <f>A1795+1</f>
        <v>1794</v>
      </c>
      <c r="B1796" s="14">
        <v>2024</v>
      </c>
      <c r="C1796" s="15">
        <v>1</v>
      </c>
      <c r="D1796" s="15">
        <v>17</v>
      </c>
      <c r="E1796" s="16"/>
      <c r="F1796" t="s" s="17">
        <v>428</v>
      </c>
      <c r="G1796" s="16"/>
      <c r="H1796" t="s" s="17">
        <v>253</v>
      </c>
      <c r="I1796" t="s" s="17">
        <v>19</v>
      </c>
      <c r="J1796" t="s" s="17">
        <v>139</v>
      </c>
      <c r="K1796" t="s" s="17">
        <v>23</v>
      </c>
      <c r="L1796" s="15">
        <f>IF(O1796,P1796/O1796,0)</f>
        <v>3.87503333333333</v>
      </c>
      <c r="M1796" s="15">
        <v>3.87503333333333</v>
      </c>
      <c r="N1796" s="15">
        <f>A1796</f>
        <v>1794</v>
      </c>
      <c r="O1796" s="15">
        <f t="shared" si="6095"/>
        <v>24</v>
      </c>
      <c r="P1796" s="43">
        <f>92.08+92.08*1%</f>
        <v>93.0008</v>
      </c>
      <c r="Q1796" s="16"/>
    </row>
    <row r="1797" ht="20.05" customHeight="1">
      <c r="A1797" s="13">
        <f>A1796+1</f>
        <v>1795</v>
      </c>
      <c r="B1797" s="14">
        <v>2024</v>
      </c>
      <c r="C1797" s="15">
        <v>1</v>
      </c>
      <c r="D1797" s="15">
        <v>18</v>
      </c>
      <c r="E1797" s="16"/>
      <c r="F1797" t="s" s="17">
        <v>122</v>
      </c>
      <c r="G1797" s="16"/>
      <c r="H1797" t="s" s="17">
        <v>253</v>
      </c>
      <c r="I1797" t="s" s="17">
        <v>187</v>
      </c>
      <c r="J1797" t="s" s="17">
        <v>161</v>
      </c>
      <c r="K1797" t="s" s="17">
        <v>23</v>
      </c>
      <c r="L1797" s="15">
        <f>IF(O1797,P1797/O1797,0)</f>
        <v>14.45</v>
      </c>
      <c r="M1797" s="15">
        <v>14.45</v>
      </c>
      <c r="N1797" s="15">
        <f>A1797</f>
        <v>1795</v>
      </c>
      <c r="O1797" s="15">
        <v>24</v>
      </c>
      <c r="P1797" s="42">
        <f>289+289*20%</f>
        <v>346.8</v>
      </c>
      <c r="Q1797" s="16"/>
    </row>
    <row r="1798" ht="20.05" customHeight="1">
      <c r="A1798" s="13">
        <f>A1797+1</f>
        <v>1796</v>
      </c>
      <c r="B1798" s="14">
        <v>2024</v>
      </c>
      <c r="C1798" s="15">
        <v>1</v>
      </c>
      <c r="D1798" s="15">
        <v>19</v>
      </c>
      <c r="E1798" s="16"/>
      <c r="F1798" t="s" s="17">
        <v>150</v>
      </c>
      <c r="G1798" s="16"/>
      <c r="H1798" t="s" s="17">
        <v>253</v>
      </c>
      <c r="I1798" t="s" s="17">
        <v>19</v>
      </c>
      <c r="J1798" t="s" s="17">
        <v>353</v>
      </c>
      <c r="K1798" t="s" s="17">
        <v>23</v>
      </c>
      <c r="L1798" s="15">
        <f>IF(O1798,P1798/O1798,0)</f>
        <v>0.408</v>
      </c>
      <c r="M1798" s="15">
        <v>0.408</v>
      </c>
      <c r="N1798" s="15">
        <f>A1798</f>
        <v>1796</v>
      </c>
      <c r="O1798" s="15">
        <v>1000</v>
      </c>
      <c r="P1798" s="41">
        <f>340+340*20%</f>
        <v>408</v>
      </c>
      <c r="Q1798" s="16"/>
    </row>
    <row r="1799" ht="20.05" customHeight="1">
      <c r="A1799" s="13">
        <f>A1798+1</f>
        <v>1797</v>
      </c>
      <c r="B1799" s="14">
        <v>2024</v>
      </c>
      <c r="C1799" s="15">
        <v>1</v>
      </c>
      <c r="D1799" s="15">
        <v>19</v>
      </c>
      <c r="E1799" s="16"/>
      <c r="F1799" t="s" s="17">
        <v>141</v>
      </c>
      <c r="G1799" s="16"/>
      <c r="H1799" t="s" s="17">
        <v>253</v>
      </c>
      <c r="I1799" t="s" s="17">
        <v>19</v>
      </c>
      <c r="J1799" t="s" s="17">
        <v>142</v>
      </c>
      <c r="K1799" t="s" s="17">
        <v>23</v>
      </c>
      <c r="L1799" s="15">
        <f>IF(O1799,P1799/O1799,0)</f>
        <v>13.8515208333333</v>
      </c>
      <c r="M1799" s="15">
        <v>13.8515208333333</v>
      </c>
      <c r="N1799" s="15">
        <f>A1799</f>
        <v>1797</v>
      </c>
      <c r="O1799" s="15">
        <f t="shared" si="6090"/>
        <v>48</v>
      </c>
      <c r="P1799" s="15">
        <v>664.873</v>
      </c>
      <c r="Q1799" s="16"/>
    </row>
    <row r="1800" ht="20.05" customHeight="1">
      <c r="A1800" s="13">
        <f>A1799+1</f>
        <v>1798</v>
      </c>
      <c r="B1800" s="14">
        <v>2024</v>
      </c>
      <c r="C1800" s="15">
        <v>1</v>
      </c>
      <c r="D1800" s="15">
        <v>19</v>
      </c>
      <c r="E1800" s="16"/>
      <c r="F1800" t="s" s="17">
        <v>141</v>
      </c>
      <c r="G1800" s="16"/>
      <c r="H1800" t="s" s="17">
        <v>253</v>
      </c>
      <c r="I1800" t="s" s="17">
        <v>19</v>
      </c>
      <c r="J1800" t="s" s="17">
        <v>158</v>
      </c>
      <c r="K1800" t="s" s="17">
        <v>23</v>
      </c>
      <c r="L1800" s="15">
        <f>IF(O1800,P1800/O1800,0)</f>
        <v>13.85175</v>
      </c>
      <c r="M1800" s="15">
        <v>13.85175</v>
      </c>
      <c r="N1800" s="15">
        <f>A1800</f>
        <v>1798</v>
      </c>
      <c r="O1800" s="15">
        <v>24</v>
      </c>
      <c r="P1800" s="15">
        <v>332.442</v>
      </c>
      <c r="Q1800" s="16"/>
    </row>
    <row r="1801" ht="20.05" customHeight="1">
      <c r="A1801" s="13">
        <f>A1800+1</f>
        <v>1799</v>
      </c>
      <c r="B1801" s="14">
        <v>2024</v>
      </c>
      <c r="C1801" s="15">
        <v>1</v>
      </c>
      <c r="D1801" s="15">
        <v>19</v>
      </c>
      <c r="E1801" s="16"/>
      <c r="F1801" t="s" s="17">
        <v>141</v>
      </c>
      <c r="G1801" s="16"/>
      <c r="H1801" t="s" s="17">
        <v>253</v>
      </c>
      <c r="I1801" t="s" s="17">
        <v>19</v>
      </c>
      <c r="J1801" t="s" s="17">
        <v>144</v>
      </c>
      <c r="K1801" t="s" s="17">
        <v>23</v>
      </c>
      <c r="L1801" s="15">
        <f>IF(O1801,P1801/O1801,0)</f>
        <v>13.8515208333333</v>
      </c>
      <c r="M1801" s="15">
        <v>13.8515208333333</v>
      </c>
      <c r="N1801" s="15">
        <f>A1801</f>
        <v>1799</v>
      </c>
      <c r="O1801" s="15">
        <f t="shared" si="6090"/>
        <v>48</v>
      </c>
      <c r="P1801" s="15">
        <v>664.873</v>
      </c>
      <c r="Q1801" s="16"/>
    </row>
    <row r="1802" ht="20.05" customHeight="1">
      <c r="A1802" s="13">
        <f>A1801+1</f>
        <v>1800</v>
      </c>
      <c r="B1802" s="14">
        <v>2024</v>
      </c>
      <c r="C1802" s="15">
        <v>1</v>
      </c>
      <c r="D1802" s="15">
        <v>19</v>
      </c>
      <c r="E1802" s="16"/>
      <c r="F1802" t="s" s="17">
        <v>141</v>
      </c>
      <c r="G1802" s="16"/>
      <c r="H1802" t="s" s="17">
        <v>253</v>
      </c>
      <c r="I1802" t="s" s="17">
        <v>19</v>
      </c>
      <c r="J1802" t="s" s="17">
        <v>337</v>
      </c>
      <c r="K1802" t="s" s="17">
        <v>23</v>
      </c>
      <c r="L1802" s="15">
        <f>IF(O1802,P1802/O1802,0)</f>
        <v>114</v>
      </c>
      <c r="M1802" s="15">
        <v>114</v>
      </c>
      <c r="N1802" s="15">
        <f>A1802</f>
        <v>1800</v>
      </c>
      <c r="O1802" s="15">
        <v>2</v>
      </c>
      <c r="P1802" s="15">
        <f t="shared" si="5471"/>
        <v>228</v>
      </c>
      <c r="Q1802" s="16"/>
    </row>
    <row r="1803" ht="20.05" customHeight="1">
      <c r="A1803" s="13">
        <f>A1802+1</f>
        <v>1801</v>
      </c>
      <c r="B1803" s="14">
        <v>2024</v>
      </c>
      <c r="C1803" s="15">
        <v>1</v>
      </c>
      <c r="D1803" s="15">
        <v>20</v>
      </c>
      <c r="E1803" s="16"/>
      <c r="F1803" t="s" s="17">
        <v>258</v>
      </c>
      <c r="G1803" s="16"/>
      <c r="H1803" t="s" s="17">
        <v>253</v>
      </c>
      <c r="I1803" t="s" s="17">
        <v>19</v>
      </c>
      <c r="J1803" t="s" s="17">
        <v>138</v>
      </c>
      <c r="K1803" t="s" s="17">
        <v>41</v>
      </c>
      <c r="L1803" s="15">
        <f>IF(O1803,P1803/O1803,0)</f>
        <v>0.03125</v>
      </c>
      <c r="M1803" s="15">
        <v>0.03125</v>
      </c>
      <c r="N1803" s="15">
        <f>A1803</f>
        <v>1801</v>
      </c>
      <c r="O1803" s="15">
        <f t="shared" si="6659" ref="O1803:O2038">2*1000</f>
        <v>2000</v>
      </c>
      <c r="P1803" s="15">
        <v>62.5</v>
      </c>
      <c r="Q1803" s="16"/>
    </row>
    <row r="1804" ht="20.05" customHeight="1">
      <c r="A1804" s="13">
        <f>A1803+1</f>
        <v>1802</v>
      </c>
      <c r="B1804" s="14">
        <v>2024</v>
      </c>
      <c r="C1804" s="15">
        <v>1</v>
      </c>
      <c r="D1804" s="15">
        <v>20</v>
      </c>
      <c r="E1804" s="16"/>
      <c r="F1804" t="s" s="17">
        <v>258</v>
      </c>
      <c r="G1804" s="16"/>
      <c r="H1804" t="s" s="17">
        <v>253</v>
      </c>
      <c r="I1804" t="s" s="17">
        <v>19</v>
      </c>
      <c r="J1804" t="s" s="17">
        <v>157</v>
      </c>
      <c r="K1804" t="s" s="17">
        <v>16</v>
      </c>
      <c r="L1804" s="15">
        <f>IF(O1804,P1804/O1804,0)</f>
        <v>0.0169</v>
      </c>
      <c r="M1804" s="15">
        <v>0.0169</v>
      </c>
      <c r="N1804" s="15">
        <f>A1804</f>
        <v>1802</v>
      </c>
      <c r="O1804" s="15">
        <v>1800</v>
      </c>
      <c r="P1804" s="15">
        <f>35.82-5.4</f>
        <v>30.42</v>
      </c>
      <c r="Q1804" s="16"/>
    </row>
    <row r="1805" ht="20.05" customHeight="1">
      <c r="A1805" s="13">
        <f>A1804+1</f>
        <v>1803</v>
      </c>
      <c r="B1805" s="14">
        <v>2024</v>
      </c>
      <c r="C1805" s="15">
        <v>1</v>
      </c>
      <c r="D1805" s="15">
        <v>20</v>
      </c>
      <c r="E1805" s="16"/>
      <c r="F1805" t="s" s="17">
        <v>287</v>
      </c>
      <c r="G1805" s="16"/>
      <c r="H1805" t="s" s="17">
        <v>253</v>
      </c>
      <c r="I1805" t="s" s="17">
        <v>14</v>
      </c>
      <c r="J1805" t="s" s="17">
        <v>289</v>
      </c>
      <c r="K1805" t="s" s="17">
        <v>23</v>
      </c>
      <c r="L1805" s="15">
        <f>IF(O1805,P1805/O1805,0)</f>
        <v>27.674</v>
      </c>
      <c r="M1805" s="15">
        <v>27.674</v>
      </c>
      <c r="N1805" s="15">
        <f>A1805</f>
        <v>1803</v>
      </c>
      <c r="O1805" s="15">
        <v>10</v>
      </c>
      <c r="P1805" s="41">
        <f>274+274*1%</f>
        <v>276.74</v>
      </c>
      <c r="Q1805" s="16"/>
    </row>
    <row r="1806" ht="20.05" customHeight="1">
      <c r="A1806" s="13">
        <f>A1805+1</f>
        <v>1804</v>
      </c>
      <c r="B1806" s="14">
        <v>2024</v>
      </c>
      <c r="C1806" s="15">
        <v>1</v>
      </c>
      <c r="D1806" s="15">
        <v>20</v>
      </c>
      <c r="E1806" s="16"/>
      <c r="F1806" t="s" s="17">
        <v>287</v>
      </c>
      <c r="G1806" s="16"/>
      <c r="H1806" t="s" s="17">
        <v>253</v>
      </c>
      <c r="I1806" t="s" s="17">
        <v>14</v>
      </c>
      <c r="J1806" t="s" s="17">
        <v>288</v>
      </c>
      <c r="K1806" t="s" s="17">
        <v>23</v>
      </c>
      <c r="L1806" s="15">
        <f>IF(O1806,P1806/O1806,0)</f>
        <v>34.34</v>
      </c>
      <c r="M1806" s="15">
        <v>34.34</v>
      </c>
      <c r="N1806" s="15">
        <f>A1806</f>
        <v>1804</v>
      </c>
      <c r="O1806" s="15">
        <v>9</v>
      </c>
      <c r="P1806" s="41">
        <f t="shared" si="6671" ref="P1806:P2115">306+306*1%</f>
        <v>309.06</v>
      </c>
      <c r="Q1806" s="16"/>
    </row>
    <row r="1807" ht="20.05" customHeight="1">
      <c r="A1807" s="13">
        <f>A1806+1</f>
        <v>1805</v>
      </c>
      <c r="B1807" s="14">
        <v>2024</v>
      </c>
      <c r="C1807" s="15">
        <v>1</v>
      </c>
      <c r="D1807" s="15">
        <v>20</v>
      </c>
      <c r="E1807" s="16"/>
      <c r="F1807" t="s" s="17">
        <v>287</v>
      </c>
      <c r="G1807" s="16"/>
      <c r="H1807" t="s" s="17">
        <v>253</v>
      </c>
      <c r="I1807" t="s" s="17">
        <v>14</v>
      </c>
      <c r="J1807" t="s" s="17">
        <v>282</v>
      </c>
      <c r="K1807" t="s" s="17">
        <v>23</v>
      </c>
      <c r="L1807" s="15">
        <f>IF(O1807,P1807/O1807,0)</f>
        <v>25.149</v>
      </c>
      <c r="M1807" s="15">
        <v>25.149</v>
      </c>
      <c r="N1807" s="15">
        <f>A1807</f>
        <v>1805</v>
      </c>
      <c r="O1807" s="15">
        <f t="shared" si="6343"/>
        <v>20</v>
      </c>
      <c r="P1807" s="41">
        <f>498+498*1%</f>
        <v>502.98</v>
      </c>
      <c r="Q1807" s="16"/>
    </row>
    <row r="1808" ht="32.05" customHeight="1">
      <c r="A1808" s="13">
        <f>A1807+1</f>
        <v>1806</v>
      </c>
      <c r="B1808" s="14">
        <v>2024</v>
      </c>
      <c r="C1808" s="15">
        <v>1</v>
      </c>
      <c r="D1808" s="15">
        <v>20</v>
      </c>
      <c r="E1808" s="16"/>
      <c r="F1808" t="s" s="17">
        <v>287</v>
      </c>
      <c r="G1808" s="16"/>
      <c r="H1808" t="s" s="17">
        <v>253</v>
      </c>
      <c r="I1808" t="s" s="17">
        <v>17</v>
      </c>
      <c r="J1808" t="s" s="17">
        <v>300</v>
      </c>
      <c r="K1808" t="s" s="17">
        <v>23</v>
      </c>
      <c r="L1808" s="15">
        <f>IF(O1808,P1808/O1808,0)</f>
        <v>21.6729166666667</v>
      </c>
      <c r="M1808" s="15">
        <v>21.6729166666667</v>
      </c>
      <c r="N1808" s="15">
        <f>A1808</f>
        <v>1806</v>
      </c>
      <c r="O1808" s="15">
        <v>24</v>
      </c>
      <c r="P1808" s="41">
        <f>515+515*1%</f>
        <v>520.15</v>
      </c>
      <c r="Q1808" s="16"/>
    </row>
    <row r="1809" ht="20.05" customHeight="1">
      <c r="A1809" s="13">
        <f>A1808+1</f>
        <v>1807</v>
      </c>
      <c r="B1809" s="14">
        <v>2024</v>
      </c>
      <c r="C1809" s="15">
        <v>1</v>
      </c>
      <c r="D1809" s="15">
        <v>21</v>
      </c>
      <c r="E1809" s="16"/>
      <c r="F1809" t="s" s="17">
        <v>366</v>
      </c>
      <c r="G1809" s="16"/>
      <c r="H1809" t="s" s="17">
        <v>253</v>
      </c>
      <c r="I1809" t="s" s="17">
        <v>357</v>
      </c>
      <c r="J1809" t="s" s="17">
        <v>493</v>
      </c>
      <c r="K1809" t="s" s="17">
        <v>23</v>
      </c>
      <c r="L1809" s="15">
        <f>IF(O1809,P1809/O1809,0)</f>
        <v>1438.38</v>
      </c>
      <c r="M1809" s="15">
        <v>1438.38</v>
      </c>
      <c r="N1809" s="15">
        <f>A1809</f>
        <v>1807</v>
      </c>
      <c r="O1809" s="15">
        <v>1</v>
      </c>
      <c r="P1809" s="15">
        <v>1438.38</v>
      </c>
      <c r="Q1809" s="16"/>
    </row>
    <row r="1810" ht="20.05" customHeight="1">
      <c r="A1810" s="13">
        <f>A1809+1</f>
        <v>1808</v>
      </c>
      <c r="B1810" s="14">
        <v>2024</v>
      </c>
      <c r="C1810" s="15">
        <v>1</v>
      </c>
      <c r="D1810" s="15">
        <v>23</v>
      </c>
      <c r="E1810" s="16"/>
      <c r="F1810" t="s" s="17">
        <v>366</v>
      </c>
      <c r="G1810" s="16"/>
      <c r="H1810" t="s" s="17">
        <v>253</v>
      </c>
      <c r="I1810" t="s" s="17">
        <v>357</v>
      </c>
      <c r="J1810" t="s" s="17">
        <v>494</v>
      </c>
      <c r="K1810" t="s" s="17">
        <v>23</v>
      </c>
      <c r="L1810" s="15">
        <f>IF(O1810,P1810/O1810,0)</f>
        <v>0.313333333333333</v>
      </c>
      <c r="M1810" s="15">
        <v>0.313333333333333</v>
      </c>
      <c r="N1810" s="15">
        <f>A1810</f>
        <v>1808</v>
      </c>
      <c r="O1810" s="15">
        <v>150</v>
      </c>
      <c r="P1810" s="15">
        <v>47</v>
      </c>
      <c r="Q1810" s="16"/>
    </row>
    <row r="1811" ht="20.05" customHeight="1">
      <c r="A1811" s="13">
        <f>A1810+1</f>
        <v>1809</v>
      </c>
      <c r="B1811" s="14">
        <v>2024</v>
      </c>
      <c r="C1811" s="15">
        <v>1</v>
      </c>
      <c r="D1811" s="15">
        <v>24</v>
      </c>
      <c r="E1811" s="16"/>
      <c r="F1811" t="s" s="17">
        <v>465</v>
      </c>
      <c r="G1811" s="16"/>
      <c r="H1811" t="s" s="17">
        <v>253</v>
      </c>
      <c r="I1811" t="s" s="17">
        <v>357</v>
      </c>
      <c r="J1811" t="s" s="17">
        <v>468</v>
      </c>
      <c r="K1811" t="s" s="17">
        <v>23</v>
      </c>
      <c r="L1811" s="15">
        <f>IF(O1811,P1811/O1811,0)</f>
        <v>390</v>
      </c>
      <c r="M1811" s="15">
        <v>390</v>
      </c>
      <c r="N1811" s="15">
        <f>A1811</f>
        <v>1809</v>
      </c>
      <c r="O1811" s="15">
        <v>95</v>
      </c>
      <c r="P1811" s="41">
        <f>30875+30875*20%</f>
        <v>37050</v>
      </c>
      <c r="Q1811" s="16"/>
    </row>
    <row r="1812" ht="20.05" customHeight="1">
      <c r="A1812" s="13">
        <f>A1811+1</f>
        <v>1810</v>
      </c>
      <c r="B1812" s="14">
        <v>2024</v>
      </c>
      <c r="C1812" s="15">
        <v>1</v>
      </c>
      <c r="D1812" s="15">
        <v>24</v>
      </c>
      <c r="E1812" s="16"/>
      <c r="F1812" t="s" s="17">
        <v>465</v>
      </c>
      <c r="G1812" s="16"/>
      <c r="H1812" t="s" s="17">
        <v>253</v>
      </c>
      <c r="I1812" t="s" s="17">
        <v>357</v>
      </c>
      <c r="J1812" t="s" s="17">
        <v>466</v>
      </c>
      <c r="K1812" t="s" s="17">
        <v>23</v>
      </c>
      <c r="L1812" s="15">
        <f>IF(O1812,P1812/O1812,0)</f>
        <v>1137.498</v>
      </c>
      <c r="M1812" s="15">
        <v>1137.498</v>
      </c>
      <c r="N1812" s="15">
        <f>A1812</f>
        <v>1810</v>
      </c>
      <c r="O1812" s="15">
        <v>4</v>
      </c>
      <c r="P1812" s="42">
        <f>3791.66+3791.66*20%</f>
        <v>4549.992</v>
      </c>
      <c r="Q1812" s="16"/>
    </row>
    <row r="1813" ht="32.05" customHeight="1">
      <c r="A1813" s="13">
        <f>A1812+1</f>
        <v>1811</v>
      </c>
      <c r="B1813" s="14">
        <v>2024</v>
      </c>
      <c r="C1813" s="15">
        <v>1</v>
      </c>
      <c r="D1813" s="15">
        <v>25</v>
      </c>
      <c r="E1813" s="16"/>
      <c r="F1813" t="s" s="17">
        <v>111</v>
      </c>
      <c r="G1813" s="16"/>
      <c r="H1813" t="s" s="17">
        <v>253</v>
      </c>
      <c r="I1813" t="s" s="17">
        <v>187</v>
      </c>
      <c r="J1813" t="s" s="17">
        <v>136</v>
      </c>
      <c r="K1813" t="s" s="17">
        <v>23</v>
      </c>
      <c r="L1813" s="15">
        <f>IF(O1813,P1813/O1813,0)</f>
        <v>0.109766666666667</v>
      </c>
      <c r="M1813" s="15">
        <v>0.109766666666667</v>
      </c>
      <c r="N1813" s="15">
        <f>A1813</f>
        <v>1811</v>
      </c>
      <c r="O1813" s="15">
        <f t="shared" si="2601"/>
        <v>2400</v>
      </c>
      <c r="P1813" s="15">
        <v>263.44</v>
      </c>
      <c r="Q1813" s="16"/>
    </row>
    <row r="1814" ht="20.05" customHeight="1">
      <c r="A1814" s="13">
        <f>A1813+1</f>
        <v>1812</v>
      </c>
      <c r="B1814" s="14">
        <v>2024</v>
      </c>
      <c r="C1814" s="15">
        <v>1</v>
      </c>
      <c r="D1814" s="15">
        <v>25</v>
      </c>
      <c r="E1814" s="16"/>
      <c r="F1814" t="s" s="17">
        <v>111</v>
      </c>
      <c r="G1814" s="16"/>
      <c r="H1814" t="s" s="17">
        <v>253</v>
      </c>
      <c r="I1814" t="s" s="17">
        <v>19</v>
      </c>
      <c r="J1814" t="s" s="17">
        <v>112</v>
      </c>
      <c r="K1814" t="s" s="17">
        <v>41</v>
      </c>
      <c r="L1814" s="15">
        <f>IF(O1814,P1814/O1814,0)</f>
        <v>0.035148</v>
      </c>
      <c r="M1814" s="15">
        <v>0.035148</v>
      </c>
      <c r="N1814" s="15">
        <f>A1814</f>
        <v>1812</v>
      </c>
      <c r="O1814" s="15">
        <f t="shared" si="6392"/>
        <v>5000</v>
      </c>
      <c r="P1814" s="15">
        <v>175.74</v>
      </c>
      <c r="Q1814" s="16"/>
    </row>
    <row r="1815" ht="20.05" customHeight="1">
      <c r="A1815" s="13">
        <f>A1814+1</f>
        <v>1813</v>
      </c>
      <c r="B1815" s="14">
        <v>2024</v>
      </c>
      <c r="C1815" s="15">
        <v>1</v>
      </c>
      <c r="D1815" s="15">
        <v>25</v>
      </c>
      <c r="E1815" s="16"/>
      <c r="F1815" t="s" s="17">
        <v>111</v>
      </c>
      <c r="G1815" s="16"/>
      <c r="H1815" t="s" s="17">
        <v>253</v>
      </c>
      <c r="I1815" t="s" s="17">
        <v>19</v>
      </c>
      <c r="J1815" t="s" s="17">
        <v>72</v>
      </c>
      <c r="K1815" t="s" s="17">
        <v>41</v>
      </c>
      <c r="L1815" s="15">
        <f>IF(O1815,P1815/O1815,0)</f>
        <v>0.248586666666667</v>
      </c>
      <c r="M1815" s="15">
        <v>0.248586666666667</v>
      </c>
      <c r="N1815" s="15">
        <f>A1815</f>
        <v>1813</v>
      </c>
      <c r="O1815" s="15">
        <f t="shared" si="6706" ref="O1815:O2061">3*250</f>
        <v>750</v>
      </c>
      <c r="P1815" s="15">
        <v>186.44</v>
      </c>
      <c r="Q1815" s="16"/>
    </row>
    <row r="1816" ht="20.05" customHeight="1">
      <c r="A1816" s="13">
        <f>A1815+1</f>
        <v>1814</v>
      </c>
      <c r="B1816" s="14">
        <v>2024</v>
      </c>
      <c r="C1816" s="15">
        <v>1</v>
      </c>
      <c r="D1816" s="15">
        <v>25</v>
      </c>
      <c r="E1816" s="16"/>
      <c r="F1816" t="s" s="17">
        <v>111</v>
      </c>
      <c r="G1816" s="16"/>
      <c r="H1816" t="s" s="17">
        <v>253</v>
      </c>
      <c r="I1816" t="s" s="17">
        <v>26</v>
      </c>
      <c r="J1816" t="s" s="17">
        <v>118</v>
      </c>
      <c r="K1816" t="s" s="17">
        <v>23</v>
      </c>
      <c r="L1816" s="15">
        <f>IF(O1816,P1816/O1816,0)</f>
        <v>42.106</v>
      </c>
      <c r="M1816" s="15">
        <v>42.106</v>
      </c>
      <c r="N1816" s="15">
        <f>A1816</f>
        <v>1814</v>
      </c>
      <c r="O1816" s="15">
        <f t="shared" si="6710" ref="O1816:O2001">5</f>
        <v>5</v>
      </c>
      <c r="P1816" s="15">
        <v>210.53</v>
      </c>
      <c r="Q1816" s="16"/>
    </row>
    <row r="1817" ht="20.05" customHeight="1">
      <c r="A1817" s="13">
        <f>A1816+1</f>
        <v>1815</v>
      </c>
      <c r="B1817" s="14">
        <v>2024</v>
      </c>
      <c r="C1817" s="15">
        <v>1</v>
      </c>
      <c r="D1817" s="15">
        <v>25</v>
      </c>
      <c r="E1817" s="16"/>
      <c r="F1817" t="s" s="17">
        <v>111</v>
      </c>
      <c r="G1817" s="16"/>
      <c r="H1817" t="s" s="17">
        <v>253</v>
      </c>
      <c r="I1817" t="s" s="17">
        <v>19</v>
      </c>
      <c r="J1817" t="s" s="17">
        <v>101</v>
      </c>
      <c r="K1817" t="s" s="17">
        <v>23</v>
      </c>
      <c r="L1817" s="15">
        <f>IF(O1817,P1817/O1817,0)</f>
        <v>8.32625</v>
      </c>
      <c r="M1817" s="15">
        <v>8.32625</v>
      </c>
      <c r="N1817" s="15">
        <f>A1817</f>
        <v>1815</v>
      </c>
      <c r="O1817" s="15">
        <f t="shared" si="6095"/>
        <v>24</v>
      </c>
      <c r="P1817" s="15">
        <v>199.83</v>
      </c>
      <c r="Q1817" s="16"/>
    </row>
    <row r="1818" ht="20.05" customHeight="1">
      <c r="A1818" s="13">
        <f>A1817+1</f>
        <v>1816</v>
      </c>
      <c r="B1818" s="14">
        <v>2024</v>
      </c>
      <c r="C1818" s="15">
        <v>1</v>
      </c>
      <c r="D1818" s="15">
        <v>25</v>
      </c>
      <c r="E1818" s="16"/>
      <c r="F1818" t="s" s="17">
        <v>111</v>
      </c>
      <c r="G1818" s="16"/>
      <c r="H1818" t="s" s="17">
        <v>253</v>
      </c>
      <c r="I1818" t="s" s="17">
        <v>19</v>
      </c>
      <c r="J1818" t="s" s="17">
        <v>74</v>
      </c>
      <c r="K1818" t="s" s="17">
        <v>23</v>
      </c>
      <c r="L1818" s="15">
        <f>IF(O1818,P1818/O1818,0)</f>
        <v>5.09125</v>
      </c>
      <c r="M1818" s="15">
        <v>5.09125</v>
      </c>
      <c r="N1818" s="15">
        <f>A1818</f>
        <v>1816</v>
      </c>
      <c r="O1818" s="15">
        <f t="shared" si="6095"/>
        <v>24</v>
      </c>
      <c r="P1818" s="15">
        <v>122.19</v>
      </c>
      <c r="Q1818" s="16"/>
    </row>
    <row r="1819" ht="20.05" customHeight="1">
      <c r="A1819" s="13">
        <f>A1818+1</f>
        <v>1817</v>
      </c>
      <c r="B1819" s="14">
        <v>2024</v>
      </c>
      <c r="C1819" s="15">
        <v>1</v>
      </c>
      <c r="D1819" s="15">
        <v>25</v>
      </c>
      <c r="E1819" s="16"/>
      <c r="F1819" t="s" s="17">
        <v>111</v>
      </c>
      <c r="G1819" s="16"/>
      <c r="H1819" t="s" s="17">
        <v>253</v>
      </c>
      <c r="I1819" t="s" s="17">
        <v>19</v>
      </c>
      <c r="J1819" t="s" s="17">
        <v>135</v>
      </c>
      <c r="K1819" t="s" s="17">
        <v>23</v>
      </c>
      <c r="L1819" s="15">
        <f>IF(O1819,P1819/O1819,0)</f>
        <v>0.4776</v>
      </c>
      <c r="M1819" s="15">
        <v>0.4776</v>
      </c>
      <c r="N1819" s="15">
        <f>A1819</f>
        <v>1817</v>
      </c>
      <c r="O1819" s="15">
        <f t="shared" si="6722" ref="O1819:O1873">5*50</f>
        <v>250</v>
      </c>
      <c r="P1819" s="15">
        <v>119.4</v>
      </c>
      <c r="Q1819" s="16"/>
    </row>
    <row r="1820" ht="20.05" customHeight="1">
      <c r="A1820" s="13">
        <f>A1819+1</f>
        <v>1818</v>
      </c>
      <c r="B1820" s="14">
        <v>2024</v>
      </c>
      <c r="C1820" s="15">
        <v>1</v>
      </c>
      <c r="D1820" s="15">
        <v>25</v>
      </c>
      <c r="E1820" s="16"/>
      <c r="F1820" t="s" s="17">
        <v>453</v>
      </c>
      <c r="G1820" s="16"/>
      <c r="H1820" t="s" s="17">
        <v>253</v>
      </c>
      <c r="I1820" t="s" s="17">
        <v>187</v>
      </c>
      <c r="J1820" t="s" s="17">
        <v>455</v>
      </c>
      <c r="K1820" t="s" s="17">
        <v>23</v>
      </c>
      <c r="L1820" s="15">
        <f>IF(O1820,P1820/O1820,0)</f>
        <v>64.0340476190476</v>
      </c>
      <c r="M1820" s="15">
        <v>64.0340476190476</v>
      </c>
      <c r="N1820" s="15">
        <f>A1820</f>
        <v>1818</v>
      </c>
      <c r="O1820" s="15">
        <v>42</v>
      </c>
      <c r="P1820" s="15">
        <v>2689.43</v>
      </c>
      <c r="Q1820" s="16"/>
    </row>
    <row r="1821" ht="32.05" customHeight="1">
      <c r="A1821" s="13">
        <f>A1820+1</f>
        <v>1819</v>
      </c>
      <c r="B1821" s="14">
        <v>2024</v>
      </c>
      <c r="C1821" s="15">
        <v>1</v>
      </c>
      <c r="D1821" s="15">
        <v>25</v>
      </c>
      <c r="E1821" s="16"/>
      <c r="F1821" t="s" s="17">
        <v>428</v>
      </c>
      <c r="G1821" s="16"/>
      <c r="H1821" t="s" s="17">
        <v>253</v>
      </c>
      <c r="I1821" t="s" s="17">
        <v>19</v>
      </c>
      <c r="J1821" t="s" s="17">
        <v>448</v>
      </c>
      <c r="K1821" t="s" s="17">
        <v>16</v>
      </c>
      <c r="L1821" s="15">
        <f>IF(O1821,P1821/O1821,0)</f>
        <v>0.337286133333333</v>
      </c>
      <c r="M1821" s="15">
        <v>0.337286133333333</v>
      </c>
      <c r="N1821" s="15">
        <f>A1821</f>
        <v>1819</v>
      </c>
      <c r="O1821" s="15">
        <f t="shared" si="6418"/>
        <v>1500</v>
      </c>
      <c r="P1821" s="43">
        <f t="shared" si="6730" ref="P1821:P2152">500.92+500.92*1%</f>
        <v>505.9292</v>
      </c>
      <c r="Q1821" s="16"/>
    </row>
    <row r="1822" ht="20.05" customHeight="1">
      <c r="A1822" s="13">
        <f>A1821+1</f>
        <v>1820</v>
      </c>
      <c r="B1822" s="14">
        <v>2024</v>
      </c>
      <c r="C1822" s="15">
        <v>1</v>
      </c>
      <c r="D1822" s="15">
        <v>25</v>
      </c>
      <c r="E1822" s="16"/>
      <c r="F1822" t="s" s="17">
        <v>428</v>
      </c>
      <c r="G1822" s="16"/>
      <c r="H1822" t="s" s="17">
        <v>253</v>
      </c>
      <c r="I1822" t="s" s="17">
        <v>19</v>
      </c>
      <c r="J1822" t="s" s="17">
        <v>139</v>
      </c>
      <c r="K1822" t="s" s="17">
        <v>23</v>
      </c>
      <c r="L1822" s="15">
        <f>IF(O1822,P1822/O1822,0)</f>
        <v>3.87503333333333</v>
      </c>
      <c r="M1822" s="15">
        <v>3.87503333333333</v>
      </c>
      <c r="N1822" s="15">
        <f>A1822</f>
        <v>1820</v>
      </c>
      <c r="O1822" s="15">
        <f t="shared" si="6734" ref="O1822:O1835">3*24</f>
        <v>72</v>
      </c>
      <c r="P1822" s="43">
        <f t="shared" si="6735" ref="P1822:P2151">276.24+276.24*1%</f>
        <v>279.0024</v>
      </c>
      <c r="Q1822" s="16"/>
    </row>
    <row r="1823" ht="20.05" customHeight="1">
      <c r="A1823" s="13">
        <f>A1822+1</f>
        <v>1821</v>
      </c>
      <c r="B1823" s="14">
        <v>2024</v>
      </c>
      <c r="C1823" s="15">
        <v>1</v>
      </c>
      <c r="D1823" s="15">
        <v>25</v>
      </c>
      <c r="E1823" s="16"/>
      <c r="F1823" t="s" s="17">
        <v>287</v>
      </c>
      <c r="G1823" s="16"/>
      <c r="H1823" t="s" s="17">
        <v>253</v>
      </c>
      <c r="I1823" t="s" s="17">
        <v>14</v>
      </c>
      <c r="J1823" t="s" s="17">
        <v>288</v>
      </c>
      <c r="K1823" t="s" s="17">
        <v>23</v>
      </c>
      <c r="L1823" s="15">
        <f>IF(O1823,P1823/O1823,0)</f>
        <v>55.9427777777778</v>
      </c>
      <c r="M1823" s="15">
        <v>55.9427777777778</v>
      </c>
      <c r="N1823" s="15">
        <f>A1823</f>
        <v>1821</v>
      </c>
      <c r="O1823" s="15">
        <v>9</v>
      </c>
      <c r="P1823" s="42">
        <f t="shared" si="6071"/>
        <v>503.485</v>
      </c>
      <c r="Q1823" s="16"/>
    </row>
    <row r="1824" ht="20.05" customHeight="1">
      <c r="A1824" s="13">
        <f>A1823+1</f>
        <v>1822</v>
      </c>
      <c r="B1824" s="14">
        <v>2024</v>
      </c>
      <c r="C1824" s="15">
        <v>1</v>
      </c>
      <c r="D1824" s="15">
        <v>25</v>
      </c>
      <c r="E1824" s="16"/>
      <c r="F1824" t="s" s="17">
        <v>287</v>
      </c>
      <c r="G1824" s="16"/>
      <c r="H1824" t="s" s="17">
        <v>253</v>
      </c>
      <c r="I1824" t="s" s="17">
        <v>14</v>
      </c>
      <c r="J1824" t="s" s="17">
        <v>282</v>
      </c>
      <c r="K1824" t="s" s="17">
        <v>23</v>
      </c>
      <c r="L1824" s="15">
        <f>IF(O1824,P1824/O1824,0)</f>
        <v>40.905</v>
      </c>
      <c r="M1824" s="15">
        <v>40.905</v>
      </c>
      <c r="N1824" s="15">
        <f>A1824</f>
        <v>1822</v>
      </c>
      <c r="O1824" s="15">
        <v>10</v>
      </c>
      <c r="P1824" s="41">
        <f t="shared" si="6189"/>
        <v>409.05</v>
      </c>
      <c r="Q1824" s="16"/>
    </row>
    <row r="1825" ht="20.05" customHeight="1">
      <c r="A1825" s="13">
        <f>A1824+1</f>
        <v>1823</v>
      </c>
      <c r="B1825" s="14">
        <v>2024</v>
      </c>
      <c r="C1825" s="15">
        <v>1</v>
      </c>
      <c r="D1825" s="15">
        <v>25</v>
      </c>
      <c r="E1825" s="16"/>
      <c r="F1825" t="s" s="17">
        <v>287</v>
      </c>
      <c r="G1825" s="16"/>
      <c r="H1825" t="s" s="17">
        <v>253</v>
      </c>
      <c r="I1825" t="s" s="17">
        <v>14</v>
      </c>
      <c r="J1825" t="s" s="17">
        <v>289</v>
      </c>
      <c r="K1825" t="s" s="17">
        <v>23</v>
      </c>
      <c r="L1825" s="15">
        <f>IF(O1825,P1825/O1825,0)</f>
        <v>44.9955</v>
      </c>
      <c r="M1825" s="15">
        <v>44.9955</v>
      </c>
      <c r="N1825" s="15">
        <f>A1825</f>
        <v>1823</v>
      </c>
      <c r="O1825" s="15">
        <v>10</v>
      </c>
      <c r="P1825" s="42">
        <f t="shared" si="5931"/>
        <v>449.955</v>
      </c>
      <c r="Q1825" s="16"/>
    </row>
    <row r="1826" ht="32.05" customHeight="1">
      <c r="A1826" s="13">
        <f>A1825+1</f>
        <v>1824</v>
      </c>
      <c r="B1826" s="14">
        <v>2024</v>
      </c>
      <c r="C1826" s="15">
        <v>1</v>
      </c>
      <c r="D1826" s="15">
        <v>25</v>
      </c>
      <c r="E1826" s="16"/>
      <c r="F1826" t="s" s="17">
        <v>287</v>
      </c>
      <c r="G1826" s="16"/>
      <c r="H1826" t="s" s="17">
        <v>253</v>
      </c>
      <c r="I1826" t="s" s="17">
        <v>17</v>
      </c>
      <c r="J1826" t="s" s="17">
        <v>299</v>
      </c>
      <c r="K1826" t="s" s="17">
        <v>23</v>
      </c>
      <c r="L1826" s="15">
        <f>IF(O1826,P1826/O1826,0)</f>
        <v>40.9959</v>
      </c>
      <c r="M1826" s="15">
        <v>40.9959</v>
      </c>
      <c r="N1826" s="15">
        <f>A1826</f>
        <v>1824</v>
      </c>
      <c r="O1826" s="15">
        <v>24</v>
      </c>
      <c r="P1826" s="43">
        <f t="shared" si="5944"/>
        <v>983.9016</v>
      </c>
      <c r="Q1826" s="16"/>
    </row>
    <row r="1827" ht="32.05" customHeight="1">
      <c r="A1827" s="13">
        <f>A1826+1</f>
        <v>1825</v>
      </c>
      <c r="B1827" s="14">
        <v>2024</v>
      </c>
      <c r="C1827" s="15">
        <v>1</v>
      </c>
      <c r="D1827" s="15">
        <v>25</v>
      </c>
      <c r="E1827" s="16"/>
      <c r="F1827" t="s" s="17">
        <v>287</v>
      </c>
      <c r="G1827" s="16"/>
      <c r="H1827" t="s" s="17">
        <v>253</v>
      </c>
      <c r="I1827" t="s" s="17">
        <v>17</v>
      </c>
      <c r="J1827" t="s" s="17">
        <v>434</v>
      </c>
      <c r="K1827" t="s" s="17">
        <v>23</v>
      </c>
      <c r="L1827" s="15">
        <f>IF(O1827,P1827/O1827,0)</f>
        <v>47.6215</v>
      </c>
      <c r="M1827" s="15">
        <v>47.6215</v>
      </c>
      <c r="N1827" s="15">
        <f>A1827</f>
        <v>1825</v>
      </c>
      <c r="O1827" s="15">
        <v>24</v>
      </c>
      <c r="P1827" s="42">
        <f t="shared" si="6247"/>
        <v>1142.916</v>
      </c>
      <c r="Q1827" s="16"/>
    </row>
    <row r="1828" ht="20.05" customHeight="1">
      <c r="A1828" s="13">
        <f>A1827+1</f>
        <v>1826</v>
      </c>
      <c r="B1828" s="14">
        <v>2024</v>
      </c>
      <c r="C1828" s="15">
        <v>1</v>
      </c>
      <c r="D1828" s="15">
        <v>28</v>
      </c>
      <c r="E1828" s="16"/>
      <c r="F1828" t="s" s="17">
        <v>258</v>
      </c>
      <c r="G1828" s="16"/>
      <c r="H1828" t="s" s="17">
        <v>253</v>
      </c>
      <c r="I1828" t="s" s="17">
        <v>26</v>
      </c>
      <c r="J1828" t="s" s="17">
        <v>118</v>
      </c>
      <c r="K1828" t="s" s="17">
        <v>23</v>
      </c>
      <c r="L1828" s="15">
        <f>IF(O1828,P1828/O1828,0)</f>
        <v>29.66</v>
      </c>
      <c r="M1828" s="15">
        <v>29.66</v>
      </c>
      <c r="N1828" s="15">
        <f>A1828</f>
        <v>1826</v>
      </c>
      <c r="O1828" s="15">
        <v>5</v>
      </c>
      <c r="P1828" s="15">
        <f>5*(32.95-3.29)</f>
        <v>148.3</v>
      </c>
      <c r="Q1828" s="16"/>
    </row>
    <row r="1829" ht="20.05" customHeight="1">
      <c r="A1829" s="13">
        <f>A1828+1</f>
        <v>1827</v>
      </c>
      <c r="B1829" s="14">
        <v>2024</v>
      </c>
      <c r="C1829" s="15">
        <v>1</v>
      </c>
      <c r="D1829" s="15">
        <v>28</v>
      </c>
      <c r="E1829" s="16"/>
      <c r="F1829" t="s" s="17">
        <v>258</v>
      </c>
      <c r="G1829" s="16"/>
      <c r="H1829" t="s" s="17">
        <v>253</v>
      </c>
      <c r="I1829" t="s" s="17">
        <v>26</v>
      </c>
      <c r="J1829" t="s" s="17">
        <v>134</v>
      </c>
      <c r="K1829" t="s" s="17">
        <v>23</v>
      </c>
      <c r="L1829" s="15">
        <f>IF(O1829,P1829/O1829,0)</f>
        <v>32.95</v>
      </c>
      <c r="M1829" s="15">
        <v>32.95</v>
      </c>
      <c r="N1829" s="15">
        <f>A1829</f>
        <v>1827</v>
      </c>
      <c r="O1829" s="15">
        <v>4</v>
      </c>
      <c r="P1829" s="15">
        <f>4*32.95</f>
        <v>131.8</v>
      </c>
      <c r="Q1829" s="16"/>
    </row>
    <row r="1830" ht="20.05" customHeight="1">
      <c r="A1830" s="13">
        <f>A1829+1</f>
        <v>1828</v>
      </c>
      <c r="B1830" s="14">
        <v>2024</v>
      </c>
      <c r="C1830" s="15">
        <v>1</v>
      </c>
      <c r="D1830" s="15">
        <v>28</v>
      </c>
      <c r="E1830" s="16"/>
      <c r="F1830" t="s" s="17">
        <v>258</v>
      </c>
      <c r="G1830" s="16"/>
      <c r="H1830" t="s" s="17">
        <v>253</v>
      </c>
      <c r="I1830" t="s" s="17">
        <v>26</v>
      </c>
      <c r="J1830" t="s" s="17">
        <v>117</v>
      </c>
      <c r="K1830" t="s" s="17">
        <v>23</v>
      </c>
      <c r="L1830" s="15">
        <f>IF(O1830,P1830/O1830,0)</f>
        <v>31.95</v>
      </c>
      <c r="M1830" s="15">
        <v>31.95</v>
      </c>
      <c r="N1830" s="15">
        <f>A1830</f>
        <v>1828</v>
      </c>
      <c r="O1830" s="15">
        <v>7</v>
      </c>
      <c r="P1830" s="15">
        <f>7*31.95</f>
        <v>223.65</v>
      </c>
      <c r="Q1830" s="16"/>
    </row>
    <row r="1831" ht="20.05" customHeight="1">
      <c r="A1831" s="13">
        <f>A1830+1</f>
        <v>1829</v>
      </c>
      <c r="B1831" s="14">
        <v>2024</v>
      </c>
      <c r="C1831" s="15">
        <v>1</v>
      </c>
      <c r="D1831" s="15">
        <v>30</v>
      </c>
      <c r="E1831" s="16"/>
      <c r="F1831" t="s" s="17">
        <v>258</v>
      </c>
      <c r="G1831" s="16"/>
      <c r="H1831" t="s" s="17">
        <v>253</v>
      </c>
      <c r="I1831" t="s" s="17">
        <v>19</v>
      </c>
      <c r="J1831" t="s" s="17">
        <v>157</v>
      </c>
      <c r="K1831" t="s" s="17">
        <v>16</v>
      </c>
      <c r="L1831" s="15">
        <f>IF(O1831,P1831/O1831,0)</f>
        <v>0.0168981018981019</v>
      </c>
      <c r="M1831" s="15">
        <v>0.0168981018981019</v>
      </c>
      <c r="N1831" s="15">
        <f>A1831</f>
        <v>1829</v>
      </c>
      <c r="O1831" s="15">
        <v>2002</v>
      </c>
      <c r="P1831" s="15">
        <f>39.84-6.01</f>
        <v>33.83</v>
      </c>
      <c r="Q1831" s="16"/>
    </row>
    <row r="1832" ht="32.05" customHeight="1">
      <c r="A1832" s="13">
        <f>A1831+1</f>
        <v>1830</v>
      </c>
      <c r="B1832" s="14">
        <v>2024</v>
      </c>
      <c r="C1832" s="15">
        <v>1</v>
      </c>
      <c r="D1832" s="15">
        <v>30</v>
      </c>
      <c r="E1832" s="16"/>
      <c r="F1832" t="s" s="17">
        <v>258</v>
      </c>
      <c r="G1832" s="16"/>
      <c r="H1832" t="s" s="17">
        <v>253</v>
      </c>
      <c r="I1832" t="s" s="17">
        <v>187</v>
      </c>
      <c r="J1832" t="s" s="17">
        <v>198</v>
      </c>
      <c r="K1832" t="s" s="17">
        <v>23</v>
      </c>
      <c r="L1832" s="15">
        <f>IF(O1832,P1832/O1832,0)</f>
        <v>105</v>
      </c>
      <c r="M1832" s="15">
        <v>105</v>
      </c>
      <c r="N1832" s="15">
        <f>A1832</f>
        <v>1830</v>
      </c>
      <c r="O1832" s="15">
        <v>1</v>
      </c>
      <c r="P1832" s="15">
        <v>105</v>
      </c>
      <c r="Q1832" s="16"/>
    </row>
    <row r="1833" ht="20.05" customHeight="1">
      <c r="A1833" s="13">
        <f>A1832+1</f>
        <v>1831</v>
      </c>
      <c r="B1833" s="14">
        <v>2024</v>
      </c>
      <c r="C1833" s="15">
        <v>1</v>
      </c>
      <c r="D1833" s="15">
        <v>26</v>
      </c>
      <c r="E1833" s="16"/>
      <c r="F1833" t="s" s="17">
        <v>258</v>
      </c>
      <c r="G1833" s="16"/>
      <c r="H1833" t="s" s="17">
        <v>253</v>
      </c>
      <c r="I1833" t="s" s="17">
        <v>19</v>
      </c>
      <c r="J1833" t="s" s="17">
        <v>157</v>
      </c>
      <c r="K1833" t="s" s="17">
        <v>16</v>
      </c>
      <c r="L1833" s="15">
        <f>IF(O1833,P1833/O1833,0)</f>
        <v>0.0168994974874372</v>
      </c>
      <c r="M1833" s="15">
        <v>0.0168994974874372</v>
      </c>
      <c r="N1833" s="15">
        <f>A1833</f>
        <v>1831</v>
      </c>
      <c r="O1833" s="15">
        <v>1990</v>
      </c>
      <c r="P1833" s="15">
        <f>39.6-5.97</f>
        <v>33.63</v>
      </c>
      <c r="Q1833" s="16"/>
    </row>
    <row r="1834" ht="20.05" customHeight="1">
      <c r="A1834" s="13">
        <f>A1833+1</f>
        <v>1832</v>
      </c>
      <c r="B1834" s="14">
        <v>2024</v>
      </c>
      <c r="C1834" s="15">
        <v>1</v>
      </c>
      <c r="D1834" s="15">
        <v>26</v>
      </c>
      <c r="E1834" s="16"/>
      <c r="F1834" t="s" s="17">
        <v>258</v>
      </c>
      <c r="G1834" s="16"/>
      <c r="H1834" t="s" s="17">
        <v>253</v>
      </c>
      <c r="I1834" t="s" s="17">
        <v>19</v>
      </c>
      <c r="J1834" t="s" s="17">
        <v>138</v>
      </c>
      <c r="K1834" t="s" s="17">
        <v>41</v>
      </c>
      <c r="L1834" s="15">
        <f>IF(O1834,P1834/O1834,0)</f>
        <v>0.0625</v>
      </c>
      <c r="M1834" s="15">
        <v>0.0625</v>
      </c>
      <c r="N1834" s="15">
        <f>A1834</f>
        <v>1832</v>
      </c>
      <c r="O1834" s="15">
        <f>1*1000</f>
        <v>1000</v>
      </c>
      <c r="P1834" s="15">
        <v>62.5</v>
      </c>
      <c r="Q1834" s="16"/>
    </row>
    <row r="1835" ht="20.05" customHeight="1">
      <c r="A1835" s="13">
        <f>A1834+1</f>
        <v>1833</v>
      </c>
      <c r="B1835" s="14">
        <v>2024</v>
      </c>
      <c r="C1835" s="15">
        <v>1</v>
      </c>
      <c r="D1835" s="15">
        <v>27</v>
      </c>
      <c r="E1835" s="16"/>
      <c r="F1835" t="s" s="17">
        <v>141</v>
      </c>
      <c r="G1835" s="16"/>
      <c r="H1835" t="s" s="17">
        <v>253</v>
      </c>
      <c r="I1835" t="s" s="17">
        <v>19</v>
      </c>
      <c r="J1835" t="s" s="17">
        <v>142</v>
      </c>
      <c r="K1835" t="s" s="17">
        <v>23</v>
      </c>
      <c r="L1835" s="15">
        <f>IF(O1835,P1835/O1835,0)</f>
        <v>13.8515972222222</v>
      </c>
      <c r="M1835" s="15">
        <v>13.8515972222222</v>
      </c>
      <c r="N1835" s="15">
        <f>A1835</f>
        <v>1833</v>
      </c>
      <c r="O1835" s="15">
        <f t="shared" si="6734"/>
        <v>72</v>
      </c>
      <c r="P1835" s="15">
        <v>997.3150000000001</v>
      </c>
      <c r="Q1835" s="16"/>
    </row>
    <row r="1836" ht="20.05" customHeight="1">
      <c r="A1836" s="13">
        <f>A1835+1</f>
        <v>1834</v>
      </c>
      <c r="B1836" s="14">
        <v>2024</v>
      </c>
      <c r="C1836" s="15">
        <v>1</v>
      </c>
      <c r="D1836" s="15">
        <v>27</v>
      </c>
      <c r="E1836" s="16"/>
      <c r="F1836" t="s" s="17">
        <v>141</v>
      </c>
      <c r="G1836" s="16"/>
      <c r="H1836" t="s" s="17">
        <v>253</v>
      </c>
      <c r="I1836" t="s" s="17">
        <v>19</v>
      </c>
      <c r="J1836" t="s" s="17">
        <v>337</v>
      </c>
      <c r="K1836" t="s" s="17">
        <v>23</v>
      </c>
      <c r="L1836" s="15">
        <f>IF(O1836,P1836/O1836,0)</f>
        <v>-114</v>
      </c>
      <c r="M1836" s="15">
        <v>-114</v>
      </c>
      <c r="N1836" s="15">
        <f>A1836</f>
        <v>1834</v>
      </c>
      <c r="O1836" s="15">
        <v>1</v>
      </c>
      <c r="P1836" s="15">
        <v>-114</v>
      </c>
      <c r="Q1836" s="16"/>
    </row>
    <row r="1837" ht="20.05" customHeight="1">
      <c r="A1837" s="13">
        <f>A1836+1</f>
        <v>1835</v>
      </c>
      <c r="B1837" s="14">
        <v>2024</v>
      </c>
      <c r="C1837" s="15">
        <v>1</v>
      </c>
      <c r="D1837" s="15">
        <v>27</v>
      </c>
      <c r="E1837" s="16"/>
      <c r="F1837" t="s" s="17">
        <v>287</v>
      </c>
      <c r="G1837" s="16"/>
      <c r="H1837" t="s" s="17">
        <v>253</v>
      </c>
      <c r="I1837" t="s" s="17">
        <v>14</v>
      </c>
      <c r="J1837" t="s" s="17">
        <v>288</v>
      </c>
      <c r="K1837" t="s" s="17">
        <v>23</v>
      </c>
      <c r="L1837" s="15">
        <f>IF(O1837,P1837/O1837,0)</f>
        <v>55.9427777777778</v>
      </c>
      <c r="M1837" s="15">
        <v>55.9427777777778</v>
      </c>
      <c r="N1837" s="15">
        <f>A1837</f>
        <v>1835</v>
      </c>
      <c r="O1837" s="15">
        <v>9</v>
      </c>
      <c r="P1837" s="42">
        <f t="shared" si="6071"/>
        <v>503.485</v>
      </c>
      <c r="Q1837" s="16"/>
    </row>
    <row r="1838" ht="20.05" customHeight="1">
      <c r="A1838" s="13">
        <f>A1837+1</f>
        <v>1836</v>
      </c>
      <c r="B1838" s="14">
        <v>2024</v>
      </c>
      <c r="C1838" s="15">
        <v>1</v>
      </c>
      <c r="D1838" s="15">
        <v>27</v>
      </c>
      <c r="E1838" s="16"/>
      <c r="F1838" t="s" s="17">
        <v>287</v>
      </c>
      <c r="G1838" s="16"/>
      <c r="H1838" t="s" s="17">
        <v>253</v>
      </c>
      <c r="I1838" t="s" s="17">
        <v>14</v>
      </c>
      <c r="J1838" t="s" s="17">
        <v>289</v>
      </c>
      <c r="K1838" t="s" s="17">
        <v>23</v>
      </c>
      <c r="L1838" s="15">
        <f>IF(O1838,P1838/O1838,0)</f>
        <v>44.9955</v>
      </c>
      <c r="M1838" s="15">
        <v>44.9955</v>
      </c>
      <c r="N1838" s="15">
        <f>A1838</f>
        <v>1836</v>
      </c>
      <c r="O1838" s="15">
        <v>10</v>
      </c>
      <c r="P1838" s="42">
        <f t="shared" si="5931"/>
        <v>449.955</v>
      </c>
      <c r="Q1838" s="16"/>
    </row>
    <row r="1839" ht="32.05" customHeight="1">
      <c r="A1839" s="13">
        <f>A1838+1</f>
        <v>1837</v>
      </c>
      <c r="B1839" s="14">
        <v>2024</v>
      </c>
      <c r="C1839" s="15">
        <v>1</v>
      </c>
      <c r="D1839" s="15">
        <v>27</v>
      </c>
      <c r="E1839" s="16"/>
      <c r="F1839" t="s" s="17">
        <v>287</v>
      </c>
      <c r="G1839" s="16"/>
      <c r="H1839" t="s" s="17">
        <v>253</v>
      </c>
      <c r="I1839" t="s" s="17">
        <v>17</v>
      </c>
      <c r="J1839" t="s" s="17">
        <v>300</v>
      </c>
      <c r="K1839" t="s" s="17">
        <v>23</v>
      </c>
      <c r="L1839" s="15">
        <f>IF(O1839,P1839/O1839,0)</f>
        <v>35.2995</v>
      </c>
      <c r="M1839" s="15">
        <v>35.2995</v>
      </c>
      <c r="N1839" s="15">
        <f>A1839</f>
        <v>1837</v>
      </c>
      <c r="O1839" s="15">
        <v>24</v>
      </c>
      <c r="P1839" s="42">
        <f t="shared" si="5940"/>
        <v>847.188</v>
      </c>
      <c r="Q1839" s="16"/>
    </row>
    <row r="1840" ht="20.05" customHeight="1">
      <c r="A1840" s="13">
        <f>A1839+1</f>
        <v>1838</v>
      </c>
      <c r="B1840" s="14">
        <v>2024</v>
      </c>
      <c r="C1840" s="15">
        <v>1</v>
      </c>
      <c r="D1840" s="15">
        <v>27</v>
      </c>
      <c r="E1840" s="16"/>
      <c r="F1840" t="s" s="17">
        <v>366</v>
      </c>
      <c r="G1840" s="16"/>
      <c r="H1840" t="s" s="17">
        <v>253</v>
      </c>
      <c r="I1840" t="s" s="17">
        <v>357</v>
      </c>
      <c r="J1840" t="s" s="17">
        <v>493</v>
      </c>
      <c r="K1840" t="s" s="17">
        <v>23</v>
      </c>
      <c r="L1840" s="15">
        <f>IF(O1840,P1840/O1840,0)</f>
        <v>4973.94</v>
      </c>
      <c r="M1840" s="15">
        <v>4973.94</v>
      </c>
      <c r="N1840" s="15">
        <f>A1840</f>
        <v>1838</v>
      </c>
      <c r="O1840" s="15">
        <v>1</v>
      </c>
      <c r="P1840" s="15">
        <v>4973.94</v>
      </c>
      <c r="Q1840" s="16"/>
    </row>
    <row r="1841" ht="20.05" customHeight="1">
      <c r="A1841" s="13">
        <f>A1840+1</f>
        <v>1839</v>
      </c>
      <c r="B1841" s="14">
        <v>2024</v>
      </c>
      <c r="C1841" s="15">
        <v>1</v>
      </c>
      <c r="D1841" s="15">
        <v>29</v>
      </c>
      <c r="E1841" s="16"/>
      <c r="F1841" t="s" s="17">
        <v>366</v>
      </c>
      <c r="G1841" s="16"/>
      <c r="H1841" t="s" s="17">
        <v>253</v>
      </c>
      <c r="I1841" t="s" s="17">
        <v>357</v>
      </c>
      <c r="J1841" t="s" s="17">
        <v>493</v>
      </c>
      <c r="K1841" t="s" s="17">
        <v>23</v>
      </c>
      <c r="L1841" s="15">
        <f>IF(O1841,P1841/O1841,0)</f>
        <v>4.19</v>
      </c>
      <c r="M1841" s="15">
        <v>4.19</v>
      </c>
      <c r="N1841" s="15">
        <f>A1841</f>
        <v>1839</v>
      </c>
      <c r="O1841" s="15">
        <v>1</v>
      </c>
      <c r="P1841" s="15">
        <v>4.19</v>
      </c>
      <c r="Q1841" s="16"/>
    </row>
    <row r="1842" ht="20.05" customHeight="1">
      <c r="A1842" s="13">
        <f>A1841+1</f>
        <v>1840</v>
      </c>
      <c r="B1842" s="14">
        <v>2024</v>
      </c>
      <c r="C1842" s="15">
        <v>1</v>
      </c>
      <c r="D1842" s="15">
        <v>29</v>
      </c>
      <c r="E1842" s="16"/>
      <c r="F1842" t="s" s="17">
        <v>366</v>
      </c>
      <c r="G1842" s="16"/>
      <c r="H1842" t="s" s="17">
        <v>253</v>
      </c>
      <c r="I1842" t="s" s="17">
        <v>357</v>
      </c>
      <c r="J1842" t="s" s="17">
        <v>495</v>
      </c>
      <c r="K1842" t="s" s="17">
        <v>23</v>
      </c>
      <c r="L1842" s="15">
        <f>IF(O1842,P1842/O1842,0)</f>
        <v>75.98</v>
      </c>
      <c r="M1842" s="15">
        <v>75.98</v>
      </c>
      <c r="N1842" s="15">
        <f>A1842</f>
        <v>1840</v>
      </c>
      <c r="O1842" s="15">
        <v>1</v>
      </c>
      <c r="P1842" s="15">
        <v>75.98</v>
      </c>
      <c r="Q1842" s="16"/>
    </row>
    <row r="1843" ht="20.05" customHeight="1">
      <c r="A1843" s="13">
        <f>A1842+1</f>
        <v>1841</v>
      </c>
      <c r="B1843" s="14">
        <v>2024</v>
      </c>
      <c r="C1843" s="15">
        <v>1</v>
      </c>
      <c r="D1843" s="15">
        <v>29</v>
      </c>
      <c r="E1843" s="16"/>
      <c r="F1843" t="s" s="17">
        <v>496</v>
      </c>
      <c r="G1843" s="16"/>
      <c r="H1843" t="s" s="17">
        <v>253</v>
      </c>
      <c r="I1843" t="s" s="17">
        <v>187</v>
      </c>
      <c r="J1843" t="s" s="17">
        <v>212</v>
      </c>
      <c r="K1843" t="s" s="17">
        <v>23</v>
      </c>
      <c r="L1843" s="15">
        <f>IF(O1843,P1843/O1843,0)</f>
        <v>74</v>
      </c>
      <c r="M1843" s="15">
        <v>74</v>
      </c>
      <c r="N1843" s="15">
        <f>A1843</f>
        <v>1841</v>
      </c>
      <c r="O1843" s="15">
        <v>1</v>
      </c>
      <c r="P1843" s="15">
        <v>74</v>
      </c>
      <c r="Q1843" s="16"/>
    </row>
    <row r="1844" ht="20.05" customHeight="1">
      <c r="A1844" s="13">
        <f>A1843+1</f>
        <v>1842</v>
      </c>
      <c r="B1844" s="14">
        <v>2024</v>
      </c>
      <c r="C1844" s="15">
        <v>1</v>
      </c>
      <c r="D1844" s="15">
        <v>31</v>
      </c>
      <c r="E1844" s="16"/>
      <c r="F1844" t="s" s="17">
        <v>497</v>
      </c>
      <c r="G1844" s="16"/>
      <c r="H1844" t="s" s="17">
        <v>253</v>
      </c>
      <c r="I1844" t="s" s="17">
        <v>187</v>
      </c>
      <c r="J1844" t="s" s="17">
        <v>185</v>
      </c>
      <c r="K1844" t="s" s="17">
        <v>23</v>
      </c>
      <c r="L1844" s="15">
        <f>IF(O1844,P1844/O1844,0)</f>
        <v>95</v>
      </c>
      <c r="M1844" s="15">
        <v>95</v>
      </c>
      <c r="N1844" s="15">
        <f>A1844</f>
        <v>1842</v>
      </c>
      <c r="O1844" s="15">
        <v>1</v>
      </c>
      <c r="P1844" s="15">
        <v>95</v>
      </c>
      <c r="Q1844" s="16"/>
    </row>
    <row r="1845" ht="20.05" customHeight="1">
      <c r="A1845" s="13">
        <f>A1844+1</f>
        <v>1843</v>
      </c>
      <c r="B1845" s="14">
        <v>2024</v>
      </c>
      <c r="C1845" s="15">
        <v>1</v>
      </c>
      <c r="D1845" s="15">
        <v>31</v>
      </c>
      <c r="E1845" s="16"/>
      <c r="F1845" t="s" s="17">
        <v>258</v>
      </c>
      <c r="G1845" s="16"/>
      <c r="H1845" t="s" s="17">
        <v>253</v>
      </c>
      <c r="I1845" t="s" s="17">
        <v>187</v>
      </c>
      <c r="J1845" t="s" s="17">
        <v>447</v>
      </c>
      <c r="K1845" t="s" s="17">
        <v>16</v>
      </c>
      <c r="L1845" s="15">
        <f>IF(O1845,P1845/O1845,0)</f>
        <v>30.29</v>
      </c>
      <c r="M1845" s="15">
        <v>30.29</v>
      </c>
      <c r="N1845" s="15">
        <f>A1845</f>
        <v>1843</v>
      </c>
      <c r="O1845" s="15">
        <v>1</v>
      </c>
      <c r="P1845" s="15">
        <f>10.04-1.09+21.34</f>
        <v>30.29</v>
      </c>
      <c r="Q1845" s="16"/>
    </row>
    <row r="1846" ht="20.05" customHeight="1">
      <c r="A1846" s="13">
        <f>A1845+1</f>
        <v>1844</v>
      </c>
      <c r="B1846" s="14">
        <v>2024</v>
      </c>
      <c r="C1846" s="15">
        <v>1</v>
      </c>
      <c r="D1846" s="15">
        <v>31</v>
      </c>
      <c r="E1846" s="16"/>
      <c r="F1846" t="s" s="17">
        <v>258</v>
      </c>
      <c r="G1846" s="16"/>
      <c r="H1846" t="s" s="17">
        <v>253</v>
      </c>
      <c r="I1846" t="s" s="17">
        <v>187</v>
      </c>
      <c r="J1846" t="s" s="17">
        <v>205</v>
      </c>
      <c r="K1846" t="s" s="17">
        <v>23</v>
      </c>
      <c r="L1846" s="15">
        <f>IF(O1846,P1846/O1846,0)</f>
        <v>0.239733333333333</v>
      </c>
      <c r="M1846" s="15">
        <v>0.239733333333333</v>
      </c>
      <c r="N1846" s="15">
        <f>A1846</f>
        <v>1844</v>
      </c>
      <c r="O1846" s="15">
        <v>300</v>
      </c>
      <c r="P1846" s="15">
        <f>89.9-17.98</f>
        <v>71.92</v>
      </c>
      <c r="Q1846" s="16"/>
    </row>
    <row r="1847" ht="32.05" customHeight="1">
      <c r="A1847" s="13">
        <f>A1846+1</f>
        <v>1845</v>
      </c>
      <c r="B1847" s="14">
        <v>2024</v>
      </c>
      <c r="C1847" s="15">
        <v>1</v>
      </c>
      <c r="D1847" s="15">
        <v>31</v>
      </c>
      <c r="E1847" s="16"/>
      <c r="F1847" t="s" s="17">
        <v>287</v>
      </c>
      <c r="G1847" s="16"/>
      <c r="H1847" t="s" s="17">
        <v>253</v>
      </c>
      <c r="I1847" t="s" s="17">
        <v>14</v>
      </c>
      <c r="J1847" t="s" s="17">
        <v>283</v>
      </c>
      <c r="K1847" t="s" s="17">
        <v>23</v>
      </c>
      <c r="L1847" s="15">
        <f>IF(O1847,P1847/O1847,0)</f>
        <v>53.1765</v>
      </c>
      <c r="M1847" s="15">
        <v>53.1765</v>
      </c>
      <c r="N1847" s="15">
        <f>A1847</f>
        <v>1845</v>
      </c>
      <c r="O1847" s="15">
        <v>10</v>
      </c>
      <c r="P1847" s="42">
        <f t="shared" si="6067"/>
        <v>531.765</v>
      </c>
      <c r="Q1847" s="16"/>
    </row>
    <row r="1848" ht="20.05" customHeight="1">
      <c r="A1848" s="13">
        <f>A1847+1</f>
        <v>1846</v>
      </c>
      <c r="B1848" s="14">
        <v>2024</v>
      </c>
      <c r="C1848" s="15">
        <v>1</v>
      </c>
      <c r="D1848" s="15">
        <v>31</v>
      </c>
      <c r="E1848" s="16"/>
      <c r="F1848" t="s" s="17">
        <v>287</v>
      </c>
      <c r="G1848" s="16"/>
      <c r="H1848" t="s" s="17">
        <v>253</v>
      </c>
      <c r="I1848" t="s" s="17">
        <v>14</v>
      </c>
      <c r="J1848" t="s" s="17">
        <v>289</v>
      </c>
      <c r="K1848" t="s" s="17">
        <v>23</v>
      </c>
      <c r="L1848" s="15">
        <f>IF(O1848,P1848/O1848,0)</f>
        <v>44.9955</v>
      </c>
      <c r="M1848" s="15">
        <v>44.9955</v>
      </c>
      <c r="N1848" s="15">
        <f>A1848</f>
        <v>1846</v>
      </c>
      <c r="O1848" s="15">
        <f t="shared" si="6343"/>
        <v>20</v>
      </c>
      <c r="P1848" s="41">
        <f t="shared" si="6833" ref="P1848:P2025">891+891*1%</f>
        <v>899.91</v>
      </c>
      <c r="Q1848" s="16"/>
    </row>
    <row r="1849" ht="20.05" customHeight="1">
      <c r="A1849" s="13">
        <f>A1848+1</f>
        <v>1847</v>
      </c>
      <c r="B1849" s="14">
        <v>2024</v>
      </c>
      <c r="C1849" s="15">
        <v>1</v>
      </c>
      <c r="D1849" s="15">
        <v>31</v>
      </c>
      <c r="E1849" s="16"/>
      <c r="F1849" t="s" s="17">
        <v>287</v>
      </c>
      <c r="G1849" s="16"/>
      <c r="H1849" t="s" s="17">
        <v>253</v>
      </c>
      <c r="I1849" t="s" s="17">
        <v>14</v>
      </c>
      <c r="J1849" t="s" s="17">
        <v>279</v>
      </c>
      <c r="K1849" t="s" s="17">
        <v>23</v>
      </c>
      <c r="L1849" s="15">
        <f>IF(O1849,P1849/O1849,0)</f>
        <v>50.7525</v>
      </c>
      <c r="M1849" s="15">
        <v>50.7525</v>
      </c>
      <c r="N1849" s="15">
        <f>A1849</f>
        <v>1847</v>
      </c>
      <c r="O1849" s="15">
        <v>10</v>
      </c>
      <c r="P1849" s="42">
        <f t="shared" si="6080"/>
        <v>507.525</v>
      </c>
      <c r="Q1849" s="16"/>
    </row>
    <row r="1850" ht="20.05" customHeight="1">
      <c r="A1850" s="13">
        <f>A1849+1</f>
        <v>1848</v>
      </c>
      <c r="B1850" s="14">
        <v>2024</v>
      </c>
      <c r="C1850" s="15">
        <v>1</v>
      </c>
      <c r="D1850" s="15">
        <v>2</v>
      </c>
      <c r="E1850" s="16"/>
      <c r="F1850" t="s" s="17">
        <v>302</v>
      </c>
      <c r="G1850" s="16"/>
      <c r="H1850" t="s" s="17">
        <v>253</v>
      </c>
      <c r="I1850" t="s" s="17">
        <v>187</v>
      </c>
      <c r="J1850" t="s" s="17">
        <v>303</v>
      </c>
      <c r="K1850" t="s" s="17">
        <v>23</v>
      </c>
      <c r="L1850" s="15">
        <f>IF(O1850,P1850/O1850,0)</f>
        <v>1097.1</v>
      </c>
      <c r="M1850" s="15">
        <v>1097.1</v>
      </c>
      <c r="N1850" s="15">
        <f>A1850</f>
        <v>1848</v>
      </c>
      <c r="O1850" s="15">
        <v>1</v>
      </c>
      <c r="P1850" s="15">
        <v>1097.1</v>
      </c>
      <c r="Q1850" s="16"/>
    </row>
    <row r="1851" ht="20.05" customHeight="1">
      <c r="A1851" s="13">
        <f>A1850+1</f>
        <v>1849</v>
      </c>
      <c r="B1851" s="14">
        <v>2024</v>
      </c>
      <c r="C1851" s="15">
        <v>1</v>
      </c>
      <c r="D1851" s="15">
        <v>31</v>
      </c>
      <c r="E1851" s="16"/>
      <c r="F1851" t="s" s="17">
        <v>111</v>
      </c>
      <c r="G1851" s="16"/>
      <c r="H1851" t="s" s="17">
        <v>253</v>
      </c>
      <c r="I1851" t="s" s="17">
        <v>26</v>
      </c>
      <c r="J1851" t="s" s="17">
        <v>27</v>
      </c>
      <c r="K1851" t="s" s="17">
        <v>16</v>
      </c>
      <c r="L1851" s="15">
        <f>IF(O1851,P1851/O1851,0)</f>
        <v>0.250072727272727</v>
      </c>
      <c r="M1851" s="15">
        <v>0.250072727272727</v>
      </c>
      <c r="N1851" s="15">
        <f>A1851</f>
        <v>1849</v>
      </c>
      <c r="O1851" s="15">
        <v>550</v>
      </c>
      <c r="P1851" s="15">
        <v>137.54</v>
      </c>
      <c r="Q1851" s="16"/>
    </row>
    <row r="1852" ht="20.05" customHeight="1">
      <c r="A1852" s="13">
        <f>A1851+1</f>
        <v>1850</v>
      </c>
      <c r="B1852" s="14">
        <v>2024</v>
      </c>
      <c r="C1852" s="15">
        <v>1</v>
      </c>
      <c r="D1852" s="15">
        <v>31</v>
      </c>
      <c r="E1852" s="16"/>
      <c r="F1852" t="s" s="17">
        <v>111</v>
      </c>
      <c r="G1852" s="16"/>
      <c r="H1852" t="s" s="17">
        <v>253</v>
      </c>
      <c r="I1852" t="s" s="17">
        <v>26</v>
      </c>
      <c r="J1852" t="s" s="17">
        <v>117</v>
      </c>
      <c r="K1852" t="s" s="17">
        <v>23</v>
      </c>
      <c r="L1852" s="15">
        <f>IF(O1852,P1852/O1852,0)</f>
        <v>36.502</v>
      </c>
      <c r="M1852" s="15">
        <v>36.502</v>
      </c>
      <c r="N1852" s="15">
        <f>A1852</f>
        <v>1850</v>
      </c>
      <c r="O1852" s="15">
        <v>5</v>
      </c>
      <c r="P1852" s="15">
        <v>182.51</v>
      </c>
      <c r="Q1852" s="16"/>
    </row>
    <row r="1853" ht="20.05" customHeight="1">
      <c r="A1853" s="13">
        <f>A1852+1</f>
        <v>1851</v>
      </c>
      <c r="B1853" s="14">
        <v>2024</v>
      </c>
      <c r="C1853" s="15">
        <v>1</v>
      </c>
      <c r="D1853" s="15">
        <v>31</v>
      </c>
      <c r="E1853" s="16"/>
      <c r="F1853" t="s" s="17">
        <v>111</v>
      </c>
      <c r="G1853" s="16"/>
      <c r="H1853" t="s" s="17">
        <v>253</v>
      </c>
      <c r="I1853" t="s" s="17">
        <v>26</v>
      </c>
      <c r="J1853" t="s" s="17">
        <v>134</v>
      </c>
      <c r="K1853" t="s" s="17">
        <v>23</v>
      </c>
      <c r="L1853" s="15">
        <f>IF(O1853,P1853/O1853,0)</f>
        <v>34.218</v>
      </c>
      <c r="M1853" s="15">
        <v>34.218</v>
      </c>
      <c r="N1853" s="15">
        <f>A1853</f>
        <v>1851</v>
      </c>
      <c r="O1853" s="15">
        <v>5</v>
      </c>
      <c r="P1853" s="15">
        <v>171.09</v>
      </c>
      <c r="Q1853" s="16"/>
    </row>
    <row r="1854" ht="20.05" customHeight="1">
      <c r="A1854" s="13">
        <f>A1853+1</f>
        <v>1852</v>
      </c>
      <c r="B1854" s="14">
        <v>2024</v>
      </c>
      <c r="C1854" s="15">
        <v>1</v>
      </c>
      <c r="D1854" s="15">
        <v>31</v>
      </c>
      <c r="E1854" s="16"/>
      <c r="F1854" t="s" s="17">
        <v>111</v>
      </c>
      <c r="G1854" s="16"/>
      <c r="H1854" t="s" s="17">
        <v>253</v>
      </c>
      <c r="I1854" t="s" s="17">
        <v>26</v>
      </c>
      <c r="J1854" t="s" s="17">
        <v>118</v>
      </c>
      <c r="K1854" t="s" s="17">
        <v>23</v>
      </c>
      <c r="L1854" s="15">
        <f>IF(O1854,P1854/O1854,0)</f>
        <v>34.218</v>
      </c>
      <c r="M1854" s="15">
        <v>34.218</v>
      </c>
      <c r="N1854" s="15">
        <f>A1854</f>
        <v>1852</v>
      </c>
      <c r="O1854" s="15">
        <v>5</v>
      </c>
      <c r="P1854" s="15">
        <v>171.09</v>
      </c>
      <c r="Q1854" s="16"/>
    </row>
    <row r="1855" ht="20.05" customHeight="1">
      <c r="A1855" s="13">
        <f>A1854+1</f>
        <v>1853</v>
      </c>
      <c r="B1855" s="14">
        <v>2024</v>
      </c>
      <c r="C1855" s="15">
        <v>1</v>
      </c>
      <c r="D1855" s="15">
        <v>31</v>
      </c>
      <c r="E1855" s="16"/>
      <c r="F1855" t="s" s="17">
        <v>111</v>
      </c>
      <c r="G1855" s="16"/>
      <c r="H1855" t="s" s="17">
        <v>253</v>
      </c>
      <c r="I1855" t="s" s="17">
        <v>19</v>
      </c>
      <c r="J1855" t="s" s="17">
        <v>67</v>
      </c>
      <c r="K1855" t="s" s="17">
        <v>23</v>
      </c>
      <c r="L1855" s="15">
        <f>IF(O1855,P1855/O1855,0)</f>
        <v>1.12</v>
      </c>
      <c r="M1855" s="15">
        <v>1.12</v>
      </c>
      <c r="N1855" s="15">
        <f>A1855</f>
        <v>1853</v>
      </c>
      <c r="O1855" s="15">
        <f t="shared" si="6536"/>
        <v>400</v>
      </c>
      <c r="P1855" s="15">
        <v>448</v>
      </c>
      <c r="Q1855" s="16"/>
    </row>
    <row r="1856" ht="20.05" customHeight="1">
      <c r="A1856" s="13">
        <f>A1855+1</f>
        <v>1854</v>
      </c>
      <c r="B1856" s="14">
        <v>2024</v>
      </c>
      <c r="C1856" s="15">
        <v>1</v>
      </c>
      <c r="D1856" s="15">
        <v>31</v>
      </c>
      <c r="E1856" s="16"/>
      <c r="F1856" t="s" s="17">
        <v>111</v>
      </c>
      <c r="G1856" s="16"/>
      <c r="H1856" t="s" s="17">
        <v>253</v>
      </c>
      <c r="I1856" t="s" s="17">
        <v>187</v>
      </c>
      <c r="J1856" t="s" s="17">
        <v>167</v>
      </c>
      <c r="K1856" t="s" s="17">
        <v>23</v>
      </c>
      <c r="L1856" s="15">
        <f>IF(O1856,P1856/O1856,0)</f>
        <v>0.8102</v>
      </c>
      <c r="M1856" s="15">
        <v>0.8102</v>
      </c>
      <c r="N1856" s="15">
        <f>A1856</f>
        <v>1854</v>
      </c>
      <c r="O1856" s="15">
        <v>100</v>
      </c>
      <c r="P1856" s="15">
        <v>81.02</v>
      </c>
      <c r="Q1856" s="16"/>
    </row>
    <row r="1857" ht="32.05" customHeight="1">
      <c r="A1857" s="13">
        <f>A1856+1</f>
        <v>1855</v>
      </c>
      <c r="B1857" s="14">
        <v>2024</v>
      </c>
      <c r="C1857" s="15">
        <v>1</v>
      </c>
      <c r="D1857" s="15">
        <v>31</v>
      </c>
      <c r="E1857" s="16"/>
      <c r="F1857" t="s" s="17">
        <v>366</v>
      </c>
      <c r="G1857" s="16"/>
      <c r="H1857" t="s" s="17">
        <v>253</v>
      </c>
      <c r="I1857" t="s" s="17">
        <v>357</v>
      </c>
      <c r="J1857" t="s" s="17">
        <v>407</v>
      </c>
      <c r="K1857" t="s" s="17">
        <v>23</v>
      </c>
      <c r="L1857" s="15">
        <f>IF(O1857,P1857/O1857,0)</f>
        <v>4249.72</v>
      </c>
      <c r="M1857" s="15">
        <v>4249.72</v>
      </c>
      <c r="N1857" s="15">
        <f>A1857</f>
        <v>1855</v>
      </c>
      <c r="O1857" s="15">
        <v>1</v>
      </c>
      <c r="P1857" s="15">
        <v>4249.72</v>
      </c>
      <c r="Q1857" s="16"/>
    </row>
    <row r="1858" ht="20.05" customHeight="1">
      <c r="A1858" s="13">
        <f>A1857+1</f>
        <v>1856</v>
      </c>
      <c r="B1858" s="14">
        <v>2024</v>
      </c>
      <c r="C1858" s="15">
        <v>1</v>
      </c>
      <c r="D1858" s="15">
        <v>25</v>
      </c>
      <c r="E1858" s="16"/>
      <c r="F1858" t="s" s="17">
        <v>122</v>
      </c>
      <c r="G1858" s="16"/>
      <c r="H1858" t="s" s="17">
        <v>163</v>
      </c>
      <c r="I1858" t="s" s="17">
        <v>19</v>
      </c>
      <c r="J1858" t="s" s="17">
        <v>60</v>
      </c>
      <c r="K1858" t="s" s="17">
        <v>23</v>
      </c>
      <c r="L1858" s="15">
        <f>IF(O1858,P1858/O1858,0)</f>
        <v>2.48864</v>
      </c>
      <c r="M1858" s="15">
        <v>2.48864</v>
      </c>
      <c r="N1858" s="15">
        <f>A1858</f>
        <v>1856</v>
      </c>
      <c r="O1858" s="15">
        <v>120</v>
      </c>
      <c r="P1858" s="43">
        <f t="shared" si="5293"/>
        <v>298.6368</v>
      </c>
      <c r="Q1858" s="41">
        <f t="shared" si="5294"/>
        <v>295.68</v>
      </c>
    </row>
    <row r="1859" ht="20.05" customHeight="1">
      <c r="A1859" s="13">
        <f>A1858+1</f>
        <v>1857</v>
      </c>
      <c r="B1859" s="14">
        <v>2024</v>
      </c>
      <c r="C1859" s="15">
        <v>1</v>
      </c>
      <c r="D1859" s="15">
        <v>25</v>
      </c>
      <c r="E1859" s="16"/>
      <c r="F1859" t="s" s="17">
        <v>122</v>
      </c>
      <c r="G1859" s="16"/>
      <c r="H1859" t="s" s="17">
        <v>163</v>
      </c>
      <c r="I1859" t="s" s="17">
        <v>19</v>
      </c>
      <c r="J1859" t="s" s="17">
        <v>67</v>
      </c>
      <c r="K1859" t="s" s="17">
        <v>23</v>
      </c>
      <c r="L1859" s="15">
        <f>IF(O1859,P1859/O1859,0)</f>
        <v>19.7788401</v>
      </c>
      <c r="M1859" s="15">
        <v>19.7788401</v>
      </c>
      <c r="N1859" s="15">
        <f>A1859</f>
        <v>1857</v>
      </c>
      <c r="O1859" s="15">
        <v>100</v>
      </c>
      <c r="P1859" s="40">
        <f>1958.301+1958.301*1%</f>
        <v>1977.88401</v>
      </c>
      <c r="Q1859" s="42">
        <f>2175.89-2175.89*10%</f>
        <v>1958.301</v>
      </c>
    </row>
    <row r="1860" ht="20.05" customHeight="1">
      <c r="A1860" s="13">
        <f>A1859+1</f>
        <v>1858</v>
      </c>
      <c r="B1860" s="14">
        <v>2024</v>
      </c>
      <c r="C1860" s="15">
        <v>1</v>
      </c>
      <c r="D1860" s="15">
        <v>25</v>
      </c>
      <c r="E1860" s="16"/>
      <c r="F1860" t="s" s="17">
        <v>122</v>
      </c>
      <c r="G1860" s="16"/>
      <c r="H1860" t="s" s="17">
        <v>163</v>
      </c>
      <c r="I1860" t="s" s="17">
        <v>19</v>
      </c>
      <c r="J1860" t="s" s="17">
        <v>138</v>
      </c>
      <c r="K1860" t="s" s="17">
        <v>41</v>
      </c>
      <c r="L1860" s="15">
        <f>IF(O1860,P1860/O1860,0)</f>
        <v>0.04343</v>
      </c>
      <c r="M1860" s="15">
        <v>0.04343</v>
      </c>
      <c r="N1860" s="15">
        <f>A1860</f>
        <v>1858</v>
      </c>
      <c r="O1860" s="15">
        <f t="shared" si="4695"/>
        <v>60000</v>
      </c>
      <c r="P1860" s="42">
        <f t="shared" si="6877" ref="P1860:P2090">2580+2580*1%</f>
        <v>2605.8</v>
      </c>
      <c r="Q1860" s="16"/>
    </row>
    <row r="1861" ht="20.05" customHeight="1">
      <c r="A1861" s="13">
        <f>A1860+1</f>
        <v>1859</v>
      </c>
      <c r="B1861" s="14">
        <v>2024</v>
      </c>
      <c r="C1861" s="15">
        <v>1</v>
      </c>
      <c r="D1861" s="15">
        <v>25</v>
      </c>
      <c r="E1861" s="16"/>
      <c r="F1861" t="s" s="17">
        <v>122</v>
      </c>
      <c r="G1861" s="16"/>
      <c r="H1861" t="s" s="17">
        <v>163</v>
      </c>
      <c r="I1861" t="s" s="17">
        <v>26</v>
      </c>
      <c r="J1861" t="s" s="17">
        <v>117</v>
      </c>
      <c r="K1861" t="s" s="17">
        <v>23</v>
      </c>
      <c r="L1861" s="15">
        <f>IF(O1861,P1861/O1861,0)</f>
        <v>37.37</v>
      </c>
      <c r="M1861" s="15">
        <v>37.37</v>
      </c>
      <c r="N1861" s="15">
        <f>A1861</f>
        <v>1859</v>
      </c>
      <c r="O1861" s="15">
        <f t="shared" si="6881" ref="O1861:O2048">14</f>
        <v>14</v>
      </c>
      <c r="P1861" s="41">
        <f t="shared" si="6150"/>
        <v>523.1799999999999</v>
      </c>
      <c r="Q1861" s="16"/>
    </row>
    <row r="1862" ht="20.05" customHeight="1">
      <c r="A1862" s="13">
        <f>A1861+1</f>
        <v>1860</v>
      </c>
      <c r="B1862" s="14">
        <v>2024</v>
      </c>
      <c r="C1862" s="15">
        <v>1</v>
      </c>
      <c r="D1862" s="15">
        <v>25</v>
      </c>
      <c r="E1862" s="16"/>
      <c r="F1862" t="s" s="17">
        <v>122</v>
      </c>
      <c r="G1862" s="16"/>
      <c r="H1862" t="s" s="17">
        <v>163</v>
      </c>
      <c r="I1862" t="s" s="17">
        <v>26</v>
      </c>
      <c r="J1862" t="s" s="17">
        <v>118</v>
      </c>
      <c r="K1862" t="s" s="17">
        <v>23</v>
      </c>
      <c r="L1862" s="15">
        <f>IF(O1862,P1862/O1862,0)</f>
        <v>40.27375</v>
      </c>
      <c r="M1862" s="15">
        <v>40.27375</v>
      </c>
      <c r="N1862" s="15">
        <f>A1862</f>
        <v>1860</v>
      </c>
      <c r="O1862" s="15">
        <v>14</v>
      </c>
      <c r="P1862" s="43">
        <f t="shared" si="6886" ref="P1862:P2049">558.25+558.25*1%</f>
        <v>563.8325</v>
      </c>
      <c r="Q1862" s="16"/>
    </row>
    <row r="1863" ht="32.05" customHeight="1">
      <c r="A1863" s="13">
        <f>A1862+1</f>
        <v>1861</v>
      </c>
      <c r="B1863" s="14">
        <v>2024</v>
      </c>
      <c r="C1863" s="15">
        <v>1</v>
      </c>
      <c r="D1863" s="15">
        <v>25</v>
      </c>
      <c r="E1863" s="16"/>
      <c r="F1863" t="s" s="17">
        <v>122</v>
      </c>
      <c r="G1863" s="16"/>
      <c r="H1863" t="s" s="17">
        <v>163</v>
      </c>
      <c r="I1863" t="s" s="17">
        <v>187</v>
      </c>
      <c r="J1863" t="s" s="17">
        <v>136</v>
      </c>
      <c r="K1863" t="s" s="17">
        <v>23</v>
      </c>
      <c r="L1863" s="15">
        <f>IF(O1863,P1863/O1863,0)</f>
        <v>0.2424</v>
      </c>
      <c r="M1863" s="15">
        <v>0.2424</v>
      </c>
      <c r="N1863" s="15">
        <f>A1863</f>
        <v>1861</v>
      </c>
      <c r="O1863" s="15">
        <f t="shared" si="6890" ref="O1863:O2052">10*200</f>
        <v>2000</v>
      </c>
      <c r="P1863" s="42">
        <f t="shared" si="6891" ref="P1863:P2091">404+404*20%</f>
        <v>484.8</v>
      </c>
      <c r="Q1863" s="16"/>
    </row>
    <row r="1864" ht="32.05" customHeight="1">
      <c r="A1864" s="13">
        <f>A1863+1</f>
        <v>1862</v>
      </c>
      <c r="B1864" s="14">
        <v>2024</v>
      </c>
      <c r="C1864" s="15">
        <v>1</v>
      </c>
      <c r="D1864" s="15">
        <v>25</v>
      </c>
      <c r="E1864" s="16"/>
      <c r="F1864" t="s" s="17">
        <v>122</v>
      </c>
      <c r="G1864" s="16"/>
      <c r="H1864" t="s" s="17">
        <v>163</v>
      </c>
      <c r="I1864" t="s" s="17">
        <v>187</v>
      </c>
      <c r="J1864" t="s" s="17">
        <v>165</v>
      </c>
      <c r="K1864" t="s" s="17">
        <v>23</v>
      </c>
      <c r="L1864" s="15">
        <f>IF(O1864,P1864/O1864,0)</f>
        <v>27.186</v>
      </c>
      <c r="M1864" s="15">
        <v>27.186</v>
      </c>
      <c r="N1864" s="15">
        <f>A1864</f>
        <v>1862</v>
      </c>
      <c r="O1864" s="15">
        <f t="shared" si="6895" ref="O1864:O1955">10</f>
        <v>10</v>
      </c>
      <c r="P1864" s="41">
        <f>226.55+226.55*20%</f>
        <v>271.86</v>
      </c>
      <c r="Q1864" s="16"/>
    </row>
    <row r="1865" ht="32.05" customHeight="1">
      <c r="A1865" s="13">
        <f>A1864+1</f>
        <v>1863</v>
      </c>
      <c r="B1865" s="14">
        <v>2024</v>
      </c>
      <c r="C1865" s="15">
        <v>1</v>
      </c>
      <c r="D1865" s="15">
        <v>25</v>
      </c>
      <c r="E1865" s="16"/>
      <c r="F1865" t="s" s="17">
        <v>122</v>
      </c>
      <c r="G1865" s="16"/>
      <c r="H1865" t="s" s="17">
        <v>163</v>
      </c>
      <c r="I1865" t="s" s="17">
        <v>187</v>
      </c>
      <c r="J1865" t="s" s="17">
        <v>129</v>
      </c>
      <c r="K1865" t="s" s="17">
        <v>23</v>
      </c>
      <c r="L1865" s="15">
        <f>IF(O1865,P1865/O1865,0)</f>
        <v>1.10358126721763</v>
      </c>
      <c r="M1865" s="15">
        <v>1.10358126721763</v>
      </c>
      <c r="N1865" s="15">
        <f>A1865</f>
        <v>1863</v>
      </c>
      <c r="O1865" s="15">
        <f>33*33</f>
        <v>1089</v>
      </c>
      <c r="P1865" s="42">
        <f>1001.5+1001.5*20%</f>
        <v>1201.8</v>
      </c>
      <c r="Q1865" s="16"/>
    </row>
    <row r="1866" ht="20.05" customHeight="1">
      <c r="A1866" s="13">
        <f>A1865+1</f>
        <v>1864</v>
      </c>
      <c r="B1866" s="14">
        <v>2024</v>
      </c>
      <c r="C1866" s="15">
        <v>1</v>
      </c>
      <c r="D1866" s="15">
        <v>25</v>
      </c>
      <c r="E1866" s="16"/>
      <c r="F1866" t="s" s="17">
        <v>111</v>
      </c>
      <c r="G1866" s="16"/>
      <c r="H1866" t="s" s="17">
        <v>163</v>
      </c>
      <c r="I1866" t="s" s="17">
        <v>187</v>
      </c>
      <c r="J1866" t="s" s="17">
        <v>132</v>
      </c>
      <c r="K1866" t="s" s="17">
        <v>41</v>
      </c>
      <c r="L1866" s="15">
        <f>IF(O1866,P1866/O1866,0)</f>
        <v>0.01730125</v>
      </c>
      <c r="M1866" s="15">
        <v>0.01730125</v>
      </c>
      <c r="N1866" s="15">
        <f>A1866</f>
        <v>1864</v>
      </c>
      <c r="O1866" s="15">
        <f>2*4000</f>
        <v>8000</v>
      </c>
      <c r="P1866" s="15">
        <v>138.41</v>
      </c>
      <c r="Q1866" s="16"/>
    </row>
    <row r="1867" ht="20.05" customHeight="1">
      <c r="A1867" s="13">
        <f>A1866+1</f>
        <v>1865</v>
      </c>
      <c r="B1867" s="14">
        <v>2024</v>
      </c>
      <c r="C1867" s="15">
        <v>1</v>
      </c>
      <c r="D1867" s="15">
        <v>25</v>
      </c>
      <c r="E1867" s="16"/>
      <c r="F1867" t="s" s="17">
        <v>111</v>
      </c>
      <c r="G1867" s="16"/>
      <c r="H1867" t="s" s="17">
        <v>163</v>
      </c>
      <c r="I1867" t="s" s="17">
        <v>19</v>
      </c>
      <c r="J1867" t="s" s="17">
        <v>112</v>
      </c>
      <c r="K1867" t="s" s="17">
        <v>41</v>
      </c>
      <c r="L1867" s="15">
        <f>IF(O1867,P1867/O1867,0)</f>
        <v>0.0351466666666667</v>
      </c>
      <c r="M1867" s="15">
        <v>0.0351466666666667</v>
      </c>
      <c r="N1867" s="15">
        <f>A1867</f>
        <v>1865</v>
      </c>
      <c r="O1867" s="15">
        <f t="shared" si="6909" ref="O1867:O2164">3*1000</f>
        <v>3000</v>
      </c>
      <c r="P1867" s="15">
        <v>105.44</v>
      </c>
      <c r="Q1867" s="16"/>
    </row>
    <row r="1868" ht="20.05" customHeight="1">
      <c r="A1868" s="13">
        <f>A1867+1</f>
        <v>1866</v>
      </c>
      <c r="B1868" s="14">
        <v>2024</v>
      </c>
      <c r="C1868" s="15">
        <v>1</v>
      </c>
      <c r="D1868" s="15">
        <v>25</v>
      </c>
      <c r="E1868" s="16"/>
      <c r="F1868" t="s" s="17">
        <v>111</v>
      </c>
      <c r="G1868" s="16"/>
      <c r="H1868" t="s" s="17">
        <v>163</v>
      </c>
      <c r="I1868" t="s" s="17">
        <v>26</v>
      </c>
      <c r="J1868" t="s" s="17">
        <v>113</v>
      </c>
      <c r="K1868" t="s" s="17">
        <v>41</v>
      </c>
      <c r="L1868" s="15">
        <f>IF(O1868,P1868/O1868,0)</f>
        <v>0.0312133333333333</v>
      </c>
      <c r="M1868" s="15">
        <v>0.0312133333333333</v>
      </c>
      <c r="N1868" s="15">
        <f>A1868</f>
        <v>1866</v>
      </c>
      <c r="O1868" s="15">
        <f t="shared" si="6158"/>
        <v>3000</v>
      </c>
      <c r="P1868" s="15">
        <v>93.64</v>
      </c>
      <c r="Q1868" s="16"/>
    </row>
    <row r="1869" ht="20.05" customHeight="1">
      <c r="A1869" s="13">
        <f>A1868+1</f>
        <v>1867</v>
      </c>
      <c r="B1869" s="14">
        <v>2024</v>
      </c>
      <c r="C1869" s="15">
        <v>1</v>
      </c>
      <c r="D1869" s="15">
        <v>25</v>
      </c>
      <c r="E1869" s="16"/>
      <c r="F1869" t="s" s="17">
        <v>111</v>
      </c>
      <c r="G1869" s="16"/>
      <c r="H1869" t="s" s="17">
        <v>163</v>
      </c>
      <c r="I1869" t="s" s="17">
        <v>19</v>
      </c>
      <c r="J1869" t="s" s="17">
        <v>72</v>
      </c>
      <c r="K1869" t="s" s="17">
        <v>41</v>
      </c>
      <c r="L1869" s="15">
        <f>IF(O1869,P1869/O1869,0)</f>
        <v>0.248584</v>
      </c>
      <c r="M1869" s="15">
        <v>0.248584</v>
      </c>
      <c r="N1869" s="15">
        <f>A1869</f>
        <v>1867</v>
      </c>
      <c r="O1869" s="15">
        <f t="shared" si="6917" ref="O1869:O2096">5*250</f>
        <v>1250</v>
      </c>
      <c r="P1869" s="15">
        <v>310.73</v>
      </c>
      <c r="Q1869" s="16"/>
    </row>
    <row r="1870" ht="20.05" customHeight="1">
      <c r="A1870" s="13">
        <f>A1869+1</f>
        <v>1868</v>
      </c>
      <c r="B1870" s="14">
        <v>2024</v>
      </c>
      <c r="C1870" s="15">
        <v>1</v>
      </c>
      <c r="D1870" s="15">
        <v>25</v>
      </c>
      <c r="E1870" s="16"/>
      <c r="F1870" t="s" s="17">
        <v>111</v>
      </c>
      <c r="G1870" s="16"/>
      <c r="H1870" t="s" s="17">
        <v>163</v>
      </c>
      <c r="I1870" t="s" s="17">
        <v>26</v>
      </c>
      <c r="J1870" t="s" s="17">
        <v>134</v>
      </c>
      <c r="K1870" t="s" s="17">
        <v>23</v>
      </c>
      <c r="L1870" s="15">
        <f>IF(O1870,P1870/O1870,0)</f>
        <v>42.1071428571429</v>
      </c>
      <c r="M1870" s="15">
        <v>42.1071428571429</v>
      </c>
      <c r="N1870" s="15">
        <f>A1870</f>
        <v>1868</v>
      </c>
      <c r="O1870" s="15">
        <v>14</v>
      </c>
      <c r="P1870" s="15">
        <v>589.5</v>
      </c>
      <c r="Q1870" s="16"/>
    </row>
    <row r="1871" ht="20.05" customHeight="1">
      <c r="A1871" s="13">
        <f>A1870+1</f>
        <v>1869</v>
      </c>
      <c r="B1871" s="14">
        <v>2024</v>
      </c>
      <c r="C1871" s="15">
        <v>1</v>
      </c>
      <c r="D1871" s="15">
        <v>25</v>
      </c>
      <c r="E1871" s="16"/>
      <c r="F1871" t="s" s="17">
        <v>111</v>
      </c>
      <c r="G1871" s="16"/>
      <c r="H1871" t="s" s="17">
        <v>163</v>
      </c>
      <c r="I1871" t="s" s="17">
        <v>19</v>
      </c>
      <c r="J1871" t="s" s="17">
        <v>81</v>
      </c>
      <c r="K1871" t="s" s="17">
        <v>23</v>
      </c>
      <c r="L1871" s="15">
        <f>IF(O1871,P1871/O1871,0)</f>
        <v>1.49310185185185</v>
      </c>
      <c r="M1871" s="15">
        <v>1.49310185185185</v>
      </c>
      <c r="N1871" s="15">
        <f>A1871</f>
        <v>1869</v>
      </c>
      <c r="O1871" s="15">
        <f t="shared" si="6924" ref="O1871:O2004">2*108</f>
        <v>216</v>
      </c>
      <c r="P1871" s="15">
        <v>322.51</v>
      </c>
      <c r="Q1871" s="16"/>
    </row>
    <row r="1872" ht="20.05" customHeight="1">
      <c r="A1872" s="13">
        <f>A1871+1</f>
        <v>1870</v>
      </c>
      <c r="B1872" s="14">
        <v>2024</v>
      </c>
      <c r="C1872" s="15">
        <v>1</v>
      </c>
      <c r="D1872" s="15">
        <v>25</v>
      </c>
      <c r="E1872" s="16"/>
      <c r="F1872" t="s" s="17">
        <v>111</v>
      </c>
      <c r="G1872" s="16"/>
      <c r="H1872" t="s" s="17">
        <v>163</v>
      </c>
      <c r="I1872" t="s" s="17">
        <v>19</v>
      </c>
      <c r="J1872" t="s" s="17">
        <v>63</v>
      </c>
      <c r="K1872" t="s" s="17">
        <v>16</v>
      </c>
      <c r="L1872" s="15">
        <f>IF(O1872,P1872/O1872,0)</f>
        <v>0.72356</v>
      </c>
      <c r="M1872" s="15">
        <v>0.72356</v>
      </c>
      <c r="N1872" s="15">
        <f>A1872</f>
        <v>1870</v>
      </c>
      <c r="O1872" s="15">
        <v>250</v>
      </c>
      <c r="P1872" s="15">
        <v>180.89</v>
      </c>
      <c r="Q1872" s="16"/>
    </row>
    <row r="1873" ht="20.05" customHeight="1">
      <c r="A1873" s="13">
        <f>A1872+1</f>
        <v>1871</v>
      </c>
      <c r="B1873" s="14">
        <v>2024</v>
      </c>
      <c r="C1873" s="15">
        <v>1</v>
      </c>
      <c r="D1873" s="15">
        <v>25</v>
      </c>
      <c r="E1873" s="16"/>
      <c r="F1873" t="s" s="17">
        <v>111</v>
      </c>
      <c r="G1873" s="16"/>
      <c r="H1873" t="s" s="17">
        <v>163</v>
      </c>
      <c r="I1873" t="s" s="17">
        <v>19</v>
      </c>
      <c r="J1873" t="s" s="17">
        <v>135</v>
      </c>
      <c r="K1873" t="s" s="17">
        <v>23</v>
      </c>
      <c r="L1873" s="15">
        <f>IF(O1873,P1873/O1873,0)</f>
        <v>0.4776</v>
      </c>
      <c r="M1873" s="15">
        <v>0.4776</v>
      </c>
      <c r="N1873" s="15">
        <f>A1873</f>
        <v>1871</v>
      </c>
      <c r="O1873" s="15">
        <f t="shared" si="6722"/>
        <v>250</v>
      </c>
      <c r="P1873" s="15">
        <v>119.4</v>
      </c>
      <c r="Q1873" s="16"/>
    </row>
    <row r="1874" ht="20.05" customHeight="1">
      <c r="A1874" s="13">
        <f>A1873+1</f>
        <v>1872</v>
      </c>
      <c r="B1874" s="14">
        <v>2024</v>
      </c>
      <c r="C1874" s="15">
        <v>1</v>
      </c>
      <c r="D1874" s="15">
        <v>25</v>
      </c>
      <c r="E1874" s="16"/>
      <c r="F1874" t="s" s="17">
        <v>111</v>
      </c>
      <c r="G1874" s="16"/>
      <c r="H1874" t="s" s="17">
        <v>163</v>
      </c>
      <c r="I1874" t="s" s="17">
        <v>187</v>
      </c>
      <c r="J1874" t="s" s="17">
        <v>276</v>
      </c>
      <c r="K1874" t="s" s="17">
        <v>41</v>
      </c>
      <c r="L1874" s="15">
        <f>IF(O1874,P1874/O1874,0)</f>
        <v>0.071495</v>
      </c>
      <c r="M1874" s="15">
        <v>0.071495</v>
      </c>
      <c r="N1874" s="15">
        <f>A1874</f>
        <v>1872</v>
      </c>
      <c r="O1874" s="15">
        <f t="shared" si="6659"/>
        <v>2000</v>
      </c>
      <c r="P1874" s="15">
        <v>142.99</v>
      </c>
      <c r="Q1874" s="16"/>
    </row>
    <row r="1875" ht="20.05" customHeight="1">
      <c r="A1875" s="13">
        <f>A1874+1</f>
        <v>1873</v>
      </c>
      <c r="B1875" s="14">
        <v>2024</v>
      </c>
      <c r="C1875" s="15">
        <v>1</v>
      </c>
      <c r="D1875" s="15">
        <v>26</v>
      </c>
      <c r="E1875" s="16"/>
      <c r="F1875" t="s" s="17">
        <v>498</v>
      </c>
      <c r="G1875" s="16"/>
      <c r="H1875" t="s" s="17">
        <v>163</v>
      </c>
      <c r="I1875" t="s" s="17">
        <v>187</v>
      </c>
      <c r="J1875" t="s" s="17">
        <v>499</v>
      </c>
      <c r="K1875" t="s" s="17">
        <v>23</v>
      </c>
      <c r="L1875" s="15">
        <f>IF(O1875,P1875/O1875,0)</f>
        <v>12476</v>
      </c>
      <c r="M1875" s="15">
        <v>12476</v>
      </c>
      <c r="N1875" s="15">
        <f>A1875</f>
        <v>1873</v>
      </c>
      <c r="O1875" s="15">
        <v>1</v>
      </c>
      <c r="P1875" s="15">
        <v>12476</v>
      </c>
      <c r="Q1875" s="16"/>
    </row>
    <row r="1876" ht="20.05" customHeight="1">
      <c r="A1876" s="13">
        <f>A1875+1</f>
        <v>1874</v>
      </c>
      <c r="B1876" s="14">
        <v>2024</v>
      </c>
      <c r="C1876" s="15">
        <v>1</v>
      </c>
      <c r="D1876" s="15">
        <v>27</v>
      </c>
      <c r="E1876" s="16"/>
      <c r="F1876" t="s" s="17">
        <v>141</v>
      </c>
      <c r="G1876" s="16"/>
      <c r="H1876" t="s" s="17">
        <v>163</v>
      </c>
      <c r="I1876" t="s" s="17">
        <v>19</v>
      </c>
      <c r="J1876" t="s" s="17">
        <v>142</v>
      </c>
      <c r="K1876" t="s" s="17">
        <v>23</v>
      </c>
      <c r="L1876" s="15">
        <f>IF(O1876,P1876/O1876,0)</f>
        <v>13.85175</v>
      </c>
      <c r="M1876" s="15">
        <v>13.85175</v>
      </c>
      <c r="N1876" s="15">
        <f>A1876</f>
        <v>1874</v>
      </c>
      <c r="O1876" s="15">
        <v>24</v>
      </c>
      <c r="P1876" s="42">
        <f t="shared" si="6942" ref="P1876:P1981">302.22+302.22*10%</f>
        <v>332.442</v>
      </c>
      <c r="Q1876" s="16"/>
    </row>
    <row r="1877" ht="20.05" customHeight="1">
      <c r="A1877" s="13">
        <f>A1876+1</f>
        <v>1875</v>
      </c>
      <c r="B1877" s="14">
        <v>2024</v>
      </c>
      <c r="C1877" s="15">
        <v>1</v>
      </c>
      <c r="D1877" s="15">
        <v>27</v>
      </c>
      <c r="E1877" s="16"/>
      <c r="F1877" t="s" s="17">
        <v>141</v>
      </c>
      <c r="G1877" s="16"/>
      <c r="H1877" t="s" s="17">
        <v>163</v>
      </c>
      <c r="I1877" t="s" s="17">
        <v>19</v>
      </c>
      <c r="J1877" t="s" s="17">
        <v>158</v>
      </c>
      <c r="K1877" t="s" s="17">
        <v>23</v>
      </c>
      <c r="L1877" s="15">
        <f>IF(O1877,P1877/O1877,0)</f>
        <v>13.85175</v>
      </c>
      <c r="M1877" s="15">
        <v>13.85175</v>
      </c>
      <c r="N1877" s="15">
        <f>A1877</f>
        <v>1875</v>
      </c>
      <c r="O1877" s="15">
        <v>24</v>
      </c>
      <c r="P1877" s="42">
        <f t="shared" si="6942"/>
        <v>332.442</v>
      </c>
      <c r="Q1877" s="16"/>
    </row>
    <row r="1878" ht="20.05" customHeight="1">
      <c r="A1878" s="13">
        <f>A1877+1</f>
        <v>1876</v>
      </c>
      <c r="B1878" s="14">
        <v>2024</v>
      </c>
      <c r="C1878" s="15">
        <v>1</v>
      </c>
      <c r="D1878" s="15">
        <v>27</v>
      </c>
      <c r="E1878" s="16"/>
      <c r="F1878" t="s" s="17">
        <v>141</v>
      </c>
      <c r="G1878" s="16"/>
      <c r="H1878" t="s" s="17">
        <v>163</v>
      </c>
      <c r="I1878" t="s" s="17">
        <v>19</v>
      </c>
      <c r="J1878" t="s" s="17">
        <v>144</v>
      </c>
      <c r="K1878" t="s" s="17">
        <v>23</v>
      </c>
      <c r="L1878" s="15">
        <f>IF(O1878,P1878/O1878,0)</f>
        <v>13.85175</v>
      </c>
      <c r="M1878" s="15">
        <v>13.85175</v>
      </c>
      <c r="N1878" s="15">
        <f>A1878</f>
        <v>1876</v>
      </c>
      <c r="O1878" s="15">
        <v>24</v>
      </c>
      <c r="P1878" s="42">
        <f t="shared" si="6942"/>
        <v>332.442</v>
      </c>
      <c r="Q1878" s="16"/>
    </row>
    <row r="1879" ht="20.05" customHeight="1">
      <c r="A1879" s="13">
        <f>A1878+1</f>
        <v>1877</v>
      </c>
      <c r="B1879" s="14">
        <v>2024</v>
      </c>
      <c r="C1879" s="15">
        <v>1</v>
      </c>
      <c r="D1879" s="15">
        <v>27</v>
      </c>
      <c r="E1879" s="16"/>
      <c r="F1879" t="s" s="17">
        <v>141</v>
      </c>
      <c r="G1879" s="16"/>
      <c r="H1879" t="s" s="17">
        <v>163</v>
      </c>
      <c r="I1879" t="s" s="17">
        <v>19</v>
      </c>
      <c r="J1879" t="s" s="17">
        <v>159</v>
      </c>
      <c r="K1879" t="s" s="17">
        <v>23</v>
      </c>
      <c r="L1879" s="15">
        <f>IF(O1879,P1879/O1879,0)</f>
        <v>2.28760791666667</v>
      </c>
      <c r="M1879" s="15">
        <v>2.28760791666667</v>
      </c>
      <c r="N1879" s="15">
        <f>A1879</f>
        <v>1877</v>
      </c>
      <c r="O1879" s="15">
        <f t="shared" si="6100"/>
        <v>240</v>
      </c>
      <c r="P1879" s="43">
        <f>543.59+543.59*1%</f>
        <v>549.0259</v>
      </c>
      <c r="Q1879" s="16"/>
    </row>
    <row r="1880" ht="20.05" customHeight="1">
      <c r="A1880" s="13">
        <f>A1879+1</f>
        <v>1878</v>
      </c>
      <c r="B1880" s="14">
        <v>2024</v>
      </c>
      <c r="C1880" s="15">
        <v>1</v>
      </c>
      <c r="D1880" s="15">
        <v>27</v>
      </c>
      <c r="E1880" s="16"/>
      <c r="F1880" t="s" s="17">
        <v>141</v>
      </c>
      <c r="G1880" s="16"/>
      <c r="H1880" t="s" s="17">
        <v>163</v>
      </c>
      <c r="I1880" t="s" s="17">
        <v>19</v>
      </c>
      <c r="J1880" t="s" s="17">
        <v>337</v>
      </c>
      <c r="K1880" t="s" s="17">
        <v>23</v>
      </c>
      <c r="L1880" s="15">
        <f>IF(O1880,P1880/O1880,0)</f>
        <v>170</v>
      </c>
      <c r="M1880" s="15">
        <v>170</v>
      </c>
      <c r="N1880" s="15">
        <f>A1880</f>
        <v>1878</v>
      </c>
      <c r="O1880" s="15">
        <v>1</v>
      </c>
      <c r="P1880" s="15">
        <v>170</v>
      </c>
      <c r="Q1880" s="16"/>
    </row>
    <row r="1881" ht="20.05" customHeight="1">
      <c r="A1881" s="13">
        <f>A1880+1</f>
        <v>1879</v>
      </c>
      <c r="B1881" s="14">
        <v>2024</v>
      </c>
      <c r="C1881" s="15">
        <v>1</v>
      </c>
      <c r="D1881" s="15">
        <v>27</v>
      </c>
      <c r="E1881" s="16"/>
      <c r="F1881" t="s" s="17">
        <v>287</v>
      </c>
      <c r="G1881" s="16"/>
      <c r="H1881" t="s" s="17">
        <v>163</v>
      </c>
      <c r="I1881" t="s" s="17">
        <v>14</v>
      </c>
      <c r="J1881" t="s" s="17">
        <v>289</v>
      </c>
      <c r="K1881" t="s" s="17">
        <v>23</v>
      </c>
      <c r="L1881" s="15">
        <f>IF(O1881,P1881/O1881,0)</f>
        <v>44.9955</v>
      </c>
      <c r="M1881" s="15">
        <v>44.9955</v>
      </c>
      <c r="N1881" s="15">
        <f>A1881</f>
        <v>1879</v>
      </c>
      <c r="O1881" s="15">
        <f t="shared" si="6343"/>
        <v>20</v>
      </c>
      <c r="P1881" s="41">
        <f t="shared" si="6833"/>
        <v>899.91</v>
      </c>
      <c r="Q1881" s="16"/>
    </row>
    <row r="1882" ht="32.05" customHeight="1">
      <c r="A1882" s="13">
        <f>A1881+1</f>
        <v>1880</v>
      </c>
      <c r="B1882" s="14">
        <v>2024</v>
      </c>
      <c r="C1882" s="15">
        <v>1</v>
      </c>
      <c r="D1882" s="15">
        <v>27</v>
      </c>
      <c r="E1882" s="16"/>
      <c r="F1882" t="s" s="17">
        <v>287</v>
      </c>
      <c r="G1882" s="16"/>
      <c r="H1882" t="s" s="17">
        <v>163</v>
      </c>
      <c r="I1882" t="s" s="17">
        <v>17</v>
      </c>
      <c r="J1882" t="s" s="17">
        <v>434</v>
      </c>
      <c r="K1882" t="s" s="17">
        <v>23</v>
      </c>
      <c r="L1882" s="15">
        <f>IF(O1882,P1882/O1882,0)</f>
        <v>47.6215</v>
      </c>
      <c r="M1882" s="15">
        <v>47.6215</v>
      </c>
      <c r="N1882" s="15">
        <f>A1882</f>
        <v>1880</v>
      </c>
      <c r="O1882" s="15">
        <v>24</v>
      </c>
      <c r="P1882" s="42">
        <f t="shared" si="6247"/>
        <v>1142.916</v>
      </c>
      <c r="Q1882" s="16"/>
    </row>
    <row r="1883" ht="20.05" customHeight="1">
      <c r="A1883" s="13">
        <f>A1882+1</f>
        <v>1881</v>
      </c>
      <c r="B1883" s="14">
        <v>2024</v>
      </c>
      <c r="C1883" s="15">
        <v>1</v>
      </c>
      <c r="D1883" s="15">
        <v>27</v>
      </c>
      <c r="E1883" s="16"/>
      <c r="F1883" t="s" s="17">
        <v>476</v>
      </c>
      <c r="G1883" s="16"/>
      <c r="H1883" t="s" s="17">
        <v>163</v>
      </c>
      <c r="I1883" t="s" s="17">
        <v>14</v>
      </c>
      <c r="J1883" t="s" s="17">
        <v>149</v>
      </c>
      <c r="K1883" t="s" s="17">
        <v>16</v>
      </c>
      <c r="L1883" s="15">
        <f>IF(O1883,P1883/O1883,0)</f>
        <v>0.0678666666666667</v>
      </c>
      <c r="M1883" s="15">
        <v>0.0678666666666667</v>
      </c>
      <c r="N1883" s="15">
        <f>A1883</f>
        <v>1881</v>
      </c>
      <c r="O1883" s="15">
        <v>750</v>
      </c>
      <c r="P1883" s="15">
        <v>50.9</v>
      </c>
      <c r="Q1883" s="16"/>
    </row>
    <row r="1884" ht="20.05" customHeight="1">
      <c r="A1884" s="13">
        <f>A1883+1</f>
        <v>1882</v>
      </c>
      <c r="B1884" s="14">
        <v>2024</v>
      </c>
      <c r="C1884" s="15">
        <v>1</v>
      </c>
      <c r="D1884" s="15">
        <v>28</v>
      </c>
      <c r="E1884" s="16"/>
      <c r="F1884" t="s" s="17">
        <v>476</v>
      </c>
      <c r="G1884" s="16"/>
      <c r="H1884" t="s" s="17">
        <v>163</v>
      </c>
      <c r="I1884" t="s" s="17">
        <v>19</v>
      </c>
      <c r="J1884" t="s" s="17">
        <v>157</v>
      </c>
      <c r="K1884" t="s" s="17">
        <v>16</v>
      </c>
      <c r="L1884" s="15">
        <f>IF(O1884,P1884/O1884,0)</f>
        <v>0.016503355704698</v>
      </c>
      <c r="M1884" s="15">
        <v>0.016503355704698</v>
      </c>
      <c r="N1884" s="15">
        <f>A1884</f>
        <v>1882</v>
      </c>
      <c r="O1884" s="15">
        <v>1490</v>
      </c>
      <c r="P1884" s="15">
        <v>24.59</v>
      </c>
      <c r="Q1884" s="16"/>
    </row>
    <row r="1885" ht="20.05" customHeight="1">
      <c r="A1885" s="13">
        <f>A1884+1</f>
        <v>1883</v>
      </c>
      <c r="B1885" s="14">
        <v>2024</v>
      </c>
      <c r="C1885" s="15">
        <v>1</v>
      </c>
      <c r="D1885" s="15">
        <v>28</v>
      </c>
      <c r="E1885" s="16"/>
      <c r="F1885" t="s" s="17">
        <v>476</v>
      </c>
      <c r="G1885" s="16"/>
      <c r="H1885" t="s" s="17">
        <v>163</v>
      </c>
      <c r="I1885" t="s" s="17">
        <v>26</v>
      </c>
      <c r="J1885" t="s" s="17">
        <v>113</v>
      </c>
      <c r="K1885" t="s" s="17">
        <v>41</v>
      </c>
      <c r="L1885" s="15">
        <f>IF(O1885,P1885/O1885,0)</f>
        <v>0.0323333333333333</v>
      </c>
      <c r="M1885" s="15">
        <v>0.0323333333333333</v>
      </c>
      <c r="N1885" s="15">
        <f>A1885</f>
        <v>1883</v>
      </c>
      <c r="O1885" s="15">
        <v>3000</v>
      </c>
      <c r="P1885" s="15">
        <v>97</v>
      </c>
      <c r="Q1885" s="16"/>
    </row>
    <row r="1886" ht="20.05" customHeight="1">
      <c r="A1886" s="13">
        <f>A1885+1</f>
        <v>1884</v>
      </c>
      <c r="B1886" s="14">
        <v>2024</v>
      </c>
      <c r="C1886" s="15">
        <v>1</v>
      </c>
      <c r="D1886" s="15">
        <v>29</v>
      </c>
      <c r="E1886" s="16"/>
      <c r="F1886" t="s" s="17">
        <v>130</v>
      </c>
      <c r="G1886" s="16"/>
      <c r="H1886" t="s" s="17">
        <v>163</v>
      </c>
      <c r="I1886" t="s" s="17">
        <v>19</v>
      </c>
      <c r="J1886" t="s" s="17">
        <v>157</v>
      </c>
      <c r="K1886" t="s" s="17">
        <v>16</v>
      </c>
      <c r="L1886" s="15">
        <f>IF(O1886,P1886/O1886,0)</f>
        <v>0.0149497716894977</v>
      </c>
      <c r="M1886" s="15">
        <v>0.0149497716894977</v>
      </c>
      <c r="N1886" s="15">
        <f>A1886</f>
        <v>1884</v>
      </c>
      <c r="O1886" s="15">
        <v>2190</v>
      </c>
      <c r="P1886" s="15">
        <v>32.74</v>
      </c>
      <c r="Q1886" s="16"/>
    </row>
    <row r="1887" ht="20.05" customHeight="1">
      <c r="A1887" s="13">
        <f>A1886+1</f>
        <v>1885</v>
      </c>
      <c r="B1887" s="14">
        <v>2024</v>
      </c>
      <c r="C1887" s="15">
        <v>1</v>
      </c>
      <c r="D1887" s="15">
        <v>29</v>
      </c>
      <c r="E1887" s="16"/>
      <c r="F1887" t="s" s="17">
        <v>324</v>
      </c>
      <c r="G1887" s="16"/>
      <c r="H1887" t="s" s="17">
        <v>163</v>
      </c>
      <c r="I1887" t="s" s="17">
        <v>187</v>
      </c>
      <c r="J1887" t="s" s="17">
        <v>475</v>
      </c>
      <c r="K1887" t="s" s="17">
        <v>23</v>
      </c>
      <c r="L1887" s="15">
        <f>IF(O1887,P1887/O1887,0)</f>
        <v>60</v>
      </c>
      <c r="M1887" s="15">
        <v>60</v>
      </c>
      <c r="N1887" s="15">
        <f>A1887</f>
        <v>1885</v>
      </c>
      <c r="O1887" s="15">
        <v>1</v>
      </c>
      <c r="P1887" s="15">
        <v>60</v>
      </c>
      <c r="Q1887" s="16"/>
    </row>
    <row r="1888" ht="32.05" customHeight="1">
      <c r="A1888" s="13">
        <f>A1887+1</f>
        <v>1886</v>
      </c>
      <c r="B1888" s="14">
        <v>2024</v>
      </c>
      <c r="C1888" s="15">
        <v>1</v>
      </c>
      <c r="D1888" s="15">
        <v>29</v>
      </c>
      <c r="E1888" s="16"/>
      <c r="F1888" t="s" s="17">
        <v>500</v>
      </c>
      <c r="G1888" s="16"/>
      <c r="H1888" t="s" s="17">
        <v>163</v>
      </c>
      <c r="I1888" t="s" s="17">
        <v>19</v>
      </c>
      <c r="J1888" t="s" s="17">
        <v>501</v>
      </c>
      <c r="K1888" t="s" s="17">
        <v>23</v>
      </c>
      <c r="L1888" s="15">
        <f>IF(O1888,P1888/O1888,0)</f>
        <v>530.004</v>
      </c>
      <c r="M1888" s="15">
        <v>530.004</v>
      </c>
      <c r="N1888" s="15">
        <f>A1888</f>
        <v>1886</v>
      </c>
      <c r="O1888" s="15">
        <v>1</v>
      </c>
      <c r="P1888" s="42">
        <f>441.67+441.67*20%</f>
        <v>530.004</v>
      </c>
      <c r="Q1888" s="16"/>
    </row>
    <row r="1889" ht="20.05" customHeight="1">
      <c r="A1889" s="13">
        <f>A1888+1</f>
        <v>1887</v>
      </c>
      <c r="B1889" s="14">
        <v>2024</v>
      </c>
      <c r="C1889" s="15">
        <v>1</v>
      </c>
      <c r="D1889" s="15">
        <v>30</v>
      </c>
      <c r="E1889" s="16"/>
      <c r="F1889" t="s" s="17">
        <v>502</v>
      </c>
      <c r="G1889" s="16"/>
      <c r="H1889" t="s" s="17">
        <v>163</v>
      </c>
      <c r="I1889" t="s" s="17">
        <v>19</v>
      </c>
      <c r="J1889" t="s" s="17">
        <v>503</v>
      </c>
      <c r="K1889" t="s" s="17">
        <v>23</v>
      </c>
      <c r="L1889" s="15">
        <f>IF(O1889,P1889/O1889,0)</f>
        <v>590.9880000000001</v>
      </c>
      <c r="M1889" s="15">
        <v>590.9880000000001</v>
      </c>
      <c r="N1889" s="15">
        <f>A1889</f>
        <v>1887</v>
      </c>
      <c r="O1889" s="15">
        <v>1</v>
      </c>
      <c r="P1889" s="42">
        <f>492.49+492.49*20%</f>
        <v>590.9880000000001</v>
      </c>
      <c r="Q1889" s="16"/>
    </row>
    <row r="1890" ht="20.05" customHeight="1">
      <c r="A1890" s="13">
        <f>A1889+1</f>
        <v>1888</v>
      </c>
      <c r="B1890" s="14">
        <v>2024</v>
      </c>
      <c r="C1890" s="15">
        <v>1</v>
      </c>
      <c r="D1890" s="15">
        <v>30</v>
      </c>
      <c r="E1890" s="16"/>
      <c r="F1890" t="s" s="17">
        <v>504</v>
      </c>
      <c r="G1890" s="16"/>
      <c r="H1890" t="s" s="17">
        <v>163</v>
      </c>
      <c r="I1890" t="s" s="17">
        <v>19</v>
      </c>
      <c r="J1890" t="s" s="17">
        <v>505</v>
      </c>
      <c r="K1890" t="s" s="17">
        <v>23</v>
      </c>
      <c r="L1890" s="15">
        <f>IF(O1890,P1890/O1890,0)</f>
        <v>1199.004</v>
      </c>
      <c r="M1890" s="15">
        <v>1199.004</v>
      </c>
      <c r="N1890" s="15">
        <f>A1890</f>
        <v>1888</v>
      </c>
      <c r="O1890" s="15">
        <v>1</v>
      </c>
      <c r="P1890" s="42">
        <f>999.17+999.17*20%</f>
        <v>1199.004</v>
      </c>
      <c r="Q1890" s="16"/>
    </row>
    <row r="1891" ht="32.05" customHeight="1">
      <c r="A1891" s="13">
        <f>A1890+1</f>
        <v>1889</v>
      </c>
      <c r="B1891" s="14">
        <v>2024</v>
      </c>
      <c r="C1891" s="15">
        <v>1</v>
      </c>
      <c r="D1891" s="15">
        <v>31</v>
      </c>
      <c r="E1891" s="16"/>
      <c r="F1891" t="s" s="17">
        <v>428</v>
      </c>
      <c r="G1891" s="16"/>
      <c r="H1891" t="s" s="17">
        <v>163</v>
      </c>
      <c r="I1891" t="s" s="17">
        <v>19</v>
      </c>
      <c r="J1891" t="s" s="17">
        <v>448</v>
      </c>
      <c r="K1891" t="s" s="17">
        <v>16</v>
      </c>
      <c r="L1891" s="15">
        <f>IF(O1891,P1891/O1891,0)</f>
        <v>0.3372895</v>
      </c>
      <c r="M1891" s="15">
        <v>0.3372895</v>
      </c>
      <c r="N1891" s="15">
        <f>A1891</f>
        <v>1889</v>
      </c>
      <c r="O1891" s="15">
        <f t="shared" si="6310"/>
        <v>1000</v>
      </c>
      <c r="P1891" s="43">
        <f t="shared" si="5881"/>
        <v>337.2895</v>
      </c>
      <c r="Q1891" s="16"/>
    </row>
    <row r="1892" ht="32.05" customHeight="1">
      <c r="A1892" s="13">
        <f>A1891+1</f>
        <v>1890</v>
      </c>
      <c r="B1892" s="14">
        <v>2024</v>
      </c>
      <c r="C1892" s="15">
        <v>1</v>
      </c>
      <c r="D1892" s="15">
        <v>31</v>
      </c>
      <c r="E1892" s="16"/>
      <c r="F1892" t="s" s="17">
        <v>428</v>
      </c>
      <c r="G1892" s="16"/>
      <c r="H1892" t="s" s="17">
        <v>163</v>
      </c>
      <c r="I1892" t="s" s="17">
        <v>19</v>
      </c>
      <c r="J1892" t="s" s="17">
        <v>437</v>
      </c>
      <c r="K1892" t="s" s="17">
        <v>16</v>
      </c>
      <c r="L1892" s="15">
        <f>IF(O1892,P1892/O1892,0)</f>
        <v>0.389961</v>
      </c>
      <c r="M1892" s="15">
        <v>0.389961</v>
      </c>
      <c r="N1892" s="15">
        <f>A1892</f>
        <v>1890</v>
      </c>
      <c r="O1892" s="15">
        <f t="shared" si="6659"/>
        <v>2000</v>
      </c>
      <c r="P1892" s="42">
        <f>772.2+772.2*1%</f>
        <v>779.922</v>
      </c>
      <c r="Q1892" s="16"/>
    </row>
    <row r="1893" ht="32.05" customHeight="1">
      <c r="A1893" s="13">
        <f>A1892+1</f>
        <v>1891</v>
      </c>
      <c r="B1893" s="14">
        <v>2024</v>
      </c>
      <c r="C1893" s="15">
        <v>1</v>
      </c>
      <c r="D1893" s="15">
        <v>31</v>
      </c>
      <c r="E1893" s="16"/>
      <c r="F1893" t="s" s="17">
        <v>122</v>
      </c>
      <c r="G1893" s="16"/>
      <c r="H1893" t="s" s="17">
        <v>163</v>
      </c>
      <c r="I1893" t="s" s="17">
        <v>187</v>
      </c>
      <c r="J1893" t="s" s="17">
        <v>137</v>
      </c>
      <c r="K1893" t="s" s="17">
        <v>41</v>
      </c>
      <c r="L1893" s="15">
        <f>IF(O1893,P1893/O1893,0)</f>
        <v>0.03576</v>
      </c>
      <c r="M1893" s="15">
        <v>0.03576</v>
      </c>
      <c r="N1893" s="15">
        <f>A1893</f>
        <v>1891</v>
      </c>
      <c r="O1893" s="15">
        <f t="shared" si="7008" ref="O1893:O1995">2*5000</f>
        <v>10000</v>
      </c>
      <c r="P1893" s="42">
        <f>298+298*20%</f>
        <v>357.6</v>
      </c>
      <c r="Q1893" s="16"/>
    </row>
    <row r="1894" ht="20.05" customHeight="1">
      <c r="A1894" s="13">
        <f>A1893+1</f>
        <v>1892</v>
      </c>
      <c r="B1894" s="14">
        <v>2024</v>
      </c>
      <c r="C1894" s="15">
        <v>1</v>
      </c>
      <c r="D1894" s="15">
        <v>31</v>
      </c>
      <c r="E1894" s="16"/>
      <c r="F1894" t="s" s="17">
        <v>122</v>
      </c>
      <c r="G1894" s="16"/>
      <c r="H1894" t="s" s="17">
        <v>163</v>
      </c>
      <c r="I1894" t="s" s="17">
        <v>19</v>
      </c>
      <c r="J1894" t="s" s="17">
        <v>138</v>
      </c>
      <c r="K1894" t="s" s="17">
        <v>41</v>
      </c>
      <c r="L1894" s="15">
        <f>IF(O1894,P1894/O1894,0)</f>
        <v>0.04343</v>
      </c>
      <c r="M1894" s="15">
        <v>0.04343</v>
      </c>
      <c r="N1894" s="15">
        <f>A1894</f>
        <v>1892</v>
      </c>
      <c r="O1894" s="15">
        <f>3*12*1000</f>
        <v>36000</v>
      </c>
      <c r="P1894" s="41">
        <f>1548+1548*1%</f>
        <v>1563.48</v>
      </c>
      <c r="Q1894" s="16"/>
    </row>
    <row r="1895" ht="20.05" customHeight="1">
      <c r="A1895" s="13">
        <f>A1894+1</f>
        <v>1893</v>
      </c>
      <c r="B1895" s="14">
        <v>2024</v>
      </c>
      <c r="C1895" s="15">
        <v>1</v>
      </c>
      <c r="D1895" s="15">
        <v>31</v>
      </c>
      <c r="E1895" s="16"/>
      <c r="F1895" t="s" s="17">
        <v>122</v>
      </c>
      <c r="G1895" s="16"/>
      <c r="H1895" t="s" s="17">
        <v>163</v>
      </c>
      <c r="I1895" t="s" s="17">
        <v>26</v>
      </c>
      <c r="J1895" t="s" s="17">
        <v>117</v>
      </c>
      <c r="K1895" t="s" s="17">
        <v>23</v>
      </c>
      <c r="L1895" s="15">
        <f>IF(O1895,P1895/O1895,0)</f>
        <v>37.37</v>
      </c>
      <c r="M1895" s="15">
        <v>37.37</v>
      </c>
      <c r="N1895" s="15">
        <f>A1895</f>
        <v>1893</v>
      </c>
      <c r="O1895" s="15">
        <v>14</v>
      </c>
      <c r="P1895" s="41">
        <f t="shared" si="6150"/>
        <v>523.1799999999999</v>
      </c>
      <c r="Q1895" s="16"/>
    </row>
    <row r="1896" ht="20.05" customHeight="1">
      <c r="A1896" s="13">
        <f>A1895+1</f>
        <v>1894</v>
      </c>
      <c r="B1896" s="14">
        <v>2024</v>
      </c>
      <c r="C1896" s="15">
        <v>1</v>
      </c>
      <c r="D1896" s="15">
        <v>31</v>
      </c>
      <c r="E1896" s="16"/>
      <c r="F1896" t="s" s="17">
        <v>122</v>
      </c>
      <c r="G1896" s="16"/>
      <c r="H1896" t="s" s="17">
        <v>163</v>
      </c>
      <c r="I1896" t="s" s="17">
        <v>26</v>
      </c>
      <c r="J1896" t="s" s="17">
        <v>118</v>
      </c>
      <c r="K1896" t="s" s="17">
        <v>23</v>
      </c>
      <c r="L1896" s="15">
        <f>IF(O1896,P1896/O1896,0)</f>
        <v>40.27375</v>
      </c>
      <c r="M1896" s="15">
        <v>40.27375</v>
      </c>
      <c r="N1896" s="15">
        <f>A1896</f>
        <v>1894</v>
      </c>
      <c r="O1896" s="15">
        <v>14</v>
      </c>
      <c r="P1896" s="43">
        <f t="shared" si="6886"/>
        <v>563.8325</v>
      </c>
      <c r="Q1896" s="16"/>
    </row>
    <row r="1897" ht="20.05" customHeight="1">
      <c r="A1897" s="13">
        <f>A1896+1</f>
        <v>1895</v>
      </c>
      <c r="B1897" s="14">
        <v>2024</v>
      </c>
      <c r="C1897" s="15">
        <v>1</v>
      </c>
      <c r="D1897" s="15">
        <v>31</v>
      </c>
      <c r="E1897" s="16"/>
      <c r="F1897" t="s" s="17">
        <v>122</v>
      </c>
      <c r="G1897" s="16"/>
      <c r="H1897" t="s" s="17">
        <v>163</v>
      </c>
      <c r="I1897" t="s" s="17">
        <v>19</v>
      </c>
      <c r="J1897" t="s" s="17">
        <v>167</v>
      </c>
      <c r="K1897" t="s" s="17">
        <v>23</v>
      </c>
      <c r="L1897" s="15">
        <f>IF(O1897,P1897/O1897,0)</f>
        <v>1.152</v>
      </c>
      <c r="M1897" s="15">
        <v>1.152</v>
      </c>
      <c r="N1897" s="15">
        <f>A1897</f>
        <v>1895</v>
      </c>
      <c r="O1897" s="15">
        <f t="shared" si="7026" ref="O1897:O2144">2*100</f>
        <v>200</v>
      </c>
      <c r="P1897" s="42">
        <f>192+192*20%</f>
        <v>230.4</v>
      </c>
      <c r="Q1897" s="16"/>
    </row>
    <row r="1898" ht="20.05" customHeight="1">
      <c r="A1898" s="13">
        <f>A1897+1</f>
        <v>1896</v>
      </c>
      <c r="B1898" s="14">
        <v>2024</v>
      </c>
      <c r="C1898" s="15">
        <v>1</v>
      </c>
      <c r="D1898" s="15">
        <v>31</v>
      </c>
      <c r="E1898" s="16"/>
      <c r="F1898" t="s" s="17">
        <v>506</v>
      </c>
      <c r="G1898" s="16"/>
      <c r="H1898" t="s" s="17">
        <v>163</v>
      </c>
      <c r="I1898" t="s" s="17">
        <v>19</v>
      </c>
      <c r="J1898" t="s" s="17">
        <v>507</v>
      </c>
      <c r="K1898" t="s" s="17">
        <v>23</v>
      </c>
      <c r="L1898" s="15">
        <f>IF(O1898,P1898/O1898,0)</f>
        <v>244.9048</v>
      </c>
      <c r="M1898" s="15">
        <v>244.9048</v>
      </c>
      <c r="N1898" s="15">
        <f>A1898</f>
        <v>1896</v>
      </c>
      <c r="O1898" s="15">
        <v>1</v>
      </c>
      <c r="P1898" s="43">
        <f t="shared" si="7031" ref="P1898:P1899">242.48+242.48*1%</f>
        <v>244.9048</v>
      </c>
      <c r="Q1898" s="16"/>
    </row>
    <row r="1899" ht="20.05" customHeight="1">
      <c r="A1899" s="13">
        <f>A1898+1</f>
        <v>1897</v>
      </c>
      <c r="B1899" s="14">
        <v>2024</v>
      </c>
      <c r="C1899" s="15">
        <v>1</v>
      </c>
      <c r="D1899" s="15">
        <v>31</v>
      </c>
      <c r="E1899" s="16"/>
      <c r="F1899" t="s" s="17">
        <v>506</v>
      </c>
      <c r="G1899" s="16"/>
      <c r="H1899" t="s" s="17">
        <v>163</v>
      </c>
      <c r="I1899" t="s" s="17">
        <v>19</v>
      </c>
      <c r="J1899" t="s" s="17">
        <v>508</v>
      </c>
      <c r="K1899" t="s" s="17">
        <v>23</v>
      </c>
      <c r="L1899" s="15">
        <f>IF(O1899,P1899/O1899,0)</f>
        <v>244.9048</v>
      </c>
      <c r="M1899" s="15">
        <v>244.9048</v>
      </c>
      <c r="N1899" s="15">
        <f>A1899</f>
        <v>1897</v>
      </c>
      <c r="O1899" s="15">
        <v>1</v>
      </c>
      <c r="P1899" s="43">
        <f t="shared" si="7031"/>
        <v>244.9048</v>
      </c>
      <c r="Q1899" s="16"/>
    </row>
    <row r="1900" ht="20.05" customHeight="1">
      <c r="A1900" s="13">
        <f>A1899+1</f>
        <v>1898</v>
      </c>
      <c r="B1900" s="14">
        <v>2024</v>
      </c>
      <c r="C1900" s="15">
        <v>1</v>
      </c>
      <c r="D1900" s="15">
        <v>31</v>
      </c>
      <c r="E1900" s="16"/>
      <c r="F1900" t="s" s="17">
        <v>461</v>
      </c>
      <c r="G1900" s="16"/>
      <c r="H1900" t="s" s="17">
        <v>253</v>
      </c>
      <c r="I1900" t="s" s="17">
        <v>187</v>
      </c>
      <c r="J1900" t="s" s="17">
        <v>251</v>
      </c>
      <c r="K1900" t="s" s="17">
        <v>23</v>
      </c>
      <c r="L1900" s="15">
        <f>IF(O1900,P1900/O1900,0)</f>
        <v>93.5</v>
      </c>
      <c r="M1900" s="15">
        <v>93.5</v>
      </c>
      <c r="N1900" s="15">
        <f>A1900</f>
        <v>1898</v>
      </c>
      <c r="O1900" s="15">
        <v>375</v>
      </c>
      <c r="P1900" s="15">
        <f>31416+3646.5</f>
        <v>35062.5</v>
      </c>
      <c r="Q1900" s="16"/>
    </row>
    <row r="1901" ht="20.05" customHeight="1">
      <c r="A1901" s="13">
        <f>A1900+1</f>
        <v>1899</v>
      </c>
      <c r="B1901" s="14">
        <v>2024</v>
      </c>
      <c r="C1901" s="15">
        <v>1</v>
      </c>
      <c r="D1901" s="15">
        <v>31</v>
      </c>
      <c r="E1901" s="16"/>
      <c r="F1901" t="s" s="17">
        <v>287</v>
      </c>
      <c r="G1901" s="16"/>
      <c r="H1901" t="s" s="17">
        <v>163</v>
      </c>
      <c r="I1901" t="s" s="17">
        <v>14</v>
      </c>
      <c r="J1901" t="s" s="17">
        <v>289</v>
      </c>
      <c r="K1901" t="s" s="17">
        <v>23</v>
      </c>
      <c r="L1901" s="15">
        <f>IF(O1901,P1901/O1901,0)</f>
        <v>44.9955</v>
      </c>
      <c r="M1901" s="15">
        <v>44.9955</v>
      </c>
      <c r="N1901" s="15">
        <f>A1901</f>
        <v>1899</v>
      </c>
      <c r="O1901" s="15">
        <v>10</v>
      </c>
      <c r="P1901" s="42">
        <f t="shared" si="7043" ref="P1901:P2154">445.5+445.5*1%</f>
        <v>449.955</v>
      </c>
      <c r="Q1901" s="16"/>
    </row>
    <row r="1902" ht="32.05" customHeight="1">
      <c r="A1902" s="13">
        <f>A1901+1</f>
        <v>1900</v>
      </c>
      <c r="B1902" s="14">
        <v>2024</v>
      </c>
      <c r="C1902" s="15">
        <v>1</v>
      </c>
      <c r="D1902" s="15">
        <v>31</v>
      </c>
      <c r="E1902" s="16"/>
      <c r="F1902" t="s" s="17">
        <v>287</v>
      </c>
      <c r="G1902" s="16"/>
      <c r="H1902" t="s" s="17">
        <v>163</v>
      </c>
      <c r="I1902" t="s" s="17">
        <v>14</v>
      </c>
      <c r="J1902" t="s" s="17">
        <v>283</v>
      </c>
      <c r="K1902" t="s" s="17">
        <v>23</v>
      </c>
      <c r="L1902" s="15">
        <f>IF(O1902,P1902/O1902,0)</f>
        <v>53.1765</v>
      </c>
      <c r="M1902" s="15">
        <v>53.1765</v>
      </c>
      <c r="N1902" s="15">
        <f>A1902</f>
        <v>1900</v>
      </c>
      <c r="O1902" s="15">
        <v>10</v>
      </c>
      <c r="P1902" s="42">
        <f t="shared" si="6067"/>
        <v>531.765</v>
      </c>
      <c r="Q1902" s="16"/>
    </row>
    <row r="1903" ht="20.05" customHeight="1">
      <c r="A1903" s="13">
        <f>A1902+1</f>
        <v>1901</v>
      </c>
      <c r="B1903" s="14">
        <v>2024</v>
      </c>
      <c r="C1903" s="15">
        <v>1</v>
      </c>
      <c r="D1903" s="15">
        <v>31</v>
      </c>
      <c r="E1903" s="16"/>
      <c r="F1903" t="s" s="17">
        <v>287</v>
      </c>
      <c r="G1903" s="16"/>
      <c r="H1903" t="s" s="17">
        <v>163</v>
      </c>
      <c r="I1903" t="s" s="17">
        <v>14</v>
      </c>
      <c r="J1903" t="s" s="17">
        <v>288</v>
      </c>
      <c r="K1903" t="s" s="17">
        <v>23</v>
      </c>
      <c r="L1903" s="15">
        <f>IF(O1903,P1903/O1903,0)</f>
        <v>55.9427777777778</v>
      </c>
      <c r="M1903" s="15">
        <v>55.9427777777778</v>
      </c>
      <c r="N1903" s="15">
        <f>A1903</f>
        <v>1901</v>
      </c>
      <c r="O1903" s="15">
        <v>9</v>
      </c>
      <c r="P1903" s="42">
        <f t="shared" si="6071"/>
        <v>503.485</v>
      </c>
      <c r="Q1903" s="16"/>
    </row>
    <row r="1904" ht="20.05" customHeight="1">
      <c r="A1904" s="13">
        <f>A1903+1</f>
        <v>1902</v>
      </c>
      <c r="B1904" s="14">
        <v>2024</v>
      </c>
      <c r="C1904" s="15">
        <v>1</v>
      </c>
      <c r="D1904" s="15">
        <v>31</v>
      </c>
      <c r="E1904" s="16"/>
      <c r="F1904" t="s" s="17">
        <v>287</v>
      </c>
      <c r="G1904" s="16"/>
      <c r="H1904" t="s" s="17">
        <v>163</v>
      </c>
      <c r="I1904" t="s" s="17">
        <v>14</v>
      </c>
      <c r="J1904" t="s" s="17">
        <v>279</v>
      </c>
      <c r="K1904" t="s" s="17">
        <v>23</v>
      </c>
      <c r="L1904" s="15">
        <f>IF(O1904,P1904/O1904,0)</f>
        <v>50.7525</v>
      </c>
      <c r="M1904" s="15">
        <v>50.7525</v>
      </c>
      <c r="N1904" s="15">
        <f>A1904</f>
        <v>1902</v>
      </c>
      <c r="O1904" s="15">
        <v>10</v>
      </c>
      <c r="P1904" s="42">
        <f t="shared" si="6080"/>
        <v>507.525</v>
      </c>
      <c r="Q1904" s="16"/>
    </row>
    <row r="1905" ht="32.05" customHeight="1">
      <c r="A1905" s="13">
        <f>A1904+1</f>
        <v>1903</v>
      </c>
      <c r="B1905" s="14">
        <v>2024</v>
      </c>
      <c r="C1905" s="15">
        <v>1</v>
      </c>
      <c r="D1905" s="15">
        <v>31</v>
      </c>
      <c r="E1905" s="16"/>
      <c r="F1905" t="s" s="17">
        <v>287</v>
      </c>
      <c r="G1905" s="16"/>
      <c r="H1905" t="s" s="17">
        <v>163</v>
      </c>
      <c r="I1905" t="s" s="17">
        <v>17</v>
      </c>
      <c r="J1905" t="s" s="17">
        <v>434</v>
      </c>
      <c r="K1905" t="s" s="17">
        <v>23</v>
      </c>
      <c r="L1905" s="15">
        <f>IF(O1905,P1905/O1905,0)</f>
        <v>47.6215</v>
      </c>
      <c r="M1905" s="15">
        <v>47.6215</v>
      </c>
      <c r="N1905" s="15">
        <f>A1905</f>
        <v>1903</v>
      </c>
      <c r="O1905" s="15">
        <v>24</v>
      </c>
      <c r="P1905" s="42">
        <f t="shared" si="6247"/>
        <v>1142.916</v>
      </c>
      <c r="Q1905" s="16"/>
    </row>
    <row r="1906" ht="20.05" customHeight="1">
      <c r="A1906" s="13">
        <f>A1905+1</f>
        <v>1904</v>
      </c>
      <c r="B1906" s="14">
        <v>2024</v>
      </c>
      <c r="C1906" s="15">
        <v>1</v>
      </c>
      <c r="D1906" s="15">
        <v>31</v>
      </c>
      <c r="E1906" s="16"/>
      <c r="F1906" t="s" s="17">
        <v>150</v>
      </c>
      <c r="G1906" s="16"/>
      <c r="H1906" t="s" s="17">
        <v>163</v>
      </c>
      <c r="I1906" t="s" s="17">
        <v>19</v>
      </c>
      <c r="J1906" t="s" s="17">
        <v>84</v>
      </c>
      <c r="K1906" t="s" s="17">
        <v>41</v>
      </c>
      <c r="L1906" s="15">
        <f>IF(O1906,P1906/O1906,0)</f>
        <v>0.61004</v>
      </c>
      <c r="M1906" s="15">
        <v>0.61004</v>
      </c>
      <c r="N1906" s="15">
        <f>A1906</f>
        <v>1904</v>
      </c>
      <c r="O1906" s="15">
        <v>1000</v>
      </c>
      <c r="P1906" s="41">
        <f t="shared" si="6443"/>
        <v>610.04</v>
      </c>
      <c r="Q1906" s="16"/>
    </row>
    <row r="1907" ht="20.05" customHeight="1">
      <c r="A1907" s="13">
        <f>A1906+1</f>
        <v>1905</v>
      </c>
      <c r="B1907" s="14">
        <v>2024</v>
      </c>
      <c r="C1907" s="15">
        <v>1</v>
      </c>
      <c r="D1907" s="15">
        <v>31</v>
      </c>
      <c r="E1907" s="16"/>
      <c r="F1907" t="s" s="17">
        <v>150</v>
      </c>
      <c r="G1907" s="16"/>
      <c r="H1907" t="s" s="17">
        <v>163</v>
      </c>
      <c r="I1907" t="s" s="17">
        <v>19</v>
      </c>
      <c r="J1907" t="s" s="17">
        <v>91</v>
      </c>
      <c r="K1907" t="s" s="17">
        <v>41</v>
      </c>
      <c r="L1907" s="15">
        <f>IF(O1907,P1907/O1907,0)</f>
        <v>0.36158</v>
      </c>
      <c r="M1907" s="15">
        <v>0.36158</v>
      </c>
      <c r="N1907" s="15">
        <f>A1907</f>
        <v>1905</v>
      </c>
      <c r="O1907" s="15">
        <v>2000</v>
      </c>
      <c r="P1907" s="41">
        <f t="shared" si="6447"/>
        <v>723.16</v>
      </c>
      <c r="Q1907" s="16"/>
    </row>
    <row r="1908" ht="20.05" customHeight="1">
      <c r="A1908" s="13">
        <f>A1907+1</f>
        <v>1906</v>
      </c>
      <c r="B1908" s="14">
        <v>2024</v>
      </c>
      <c r="C1908" s="15">
        <v>1</v>
      </c>
      <c r="D1908" s="15">
        <v>31</v>
      </c>
      <c r="E1908" s="16"/>
      <c r="F1908" t="s" s="17">
        <v>150</v>
      </c>
      <c r="G1908" s="16"/>
      <c r="H1908" t="s" s="17">
        <v>163</v>
      </c>
      <c r="I1908" t="s" s="17">
        <v>19</v>
      </c>
      <c r="J1908" t="s" s="17">
        <v>97</v>
      </c>
      <c r="K1908" t="s" s="17">
        <v>41</v>
      </c>
      <c r="L1908" s="15">
        <f>IF(O1908,P1908/O1908,0)</f>
        <v>0.21614</v>
      </c>
      <c r="M1908" s="15">
        <v>0.21614</v>
      </c>
      <c r="N1908" s="15">
        <f>A1908</f>
        <v>1906</v>
      </c>
      <c r="O1908" s="15">
        <v>1000</v>
      </c>
      <c r="P1908" s="41">
        <f t="shared" si="7071" ref="P1908:P2057">214+214*1%</f>
        <v>216.14</v>
      </c>
      <c r="Q1908" s="16"/>
    </row>
    <row r="1909" ht="20.05" customHeight="1">
      <c r="A1909" s="13">
        <f>A1908+1</f>
        <v>1907</v>
      </c>
      <c r="B1909" s="14">
        <v>2024</v>
      </c>
      <c r="C1909" s="15">
        <v>1</v>
      </c>
      <c r="D1909" s="15">
        <v>31</v>
      </c>
      <c r="E1909" s="16"/>
      <c r="F1909" t="s" s="17">
        <v>150</v>
      </c>
      <c r="G1909" s="16"/>
      <c r="H1909" t="s" s="17">
        <v>163</v>
      </c>
      <c r="I1909" t="s" s="17">
        <v>19</v>
      </c>
      <c r="J1909" t="s" s="17">
        <v>61</v>
      </c>
      <c r="K1909" t="s" s="17">
        <v>16</v>
      </c>
      <c r="L1909" s="15">
        <f>IF(O1909,P1909/O1909,0)</f>
        <v>1.2726</v>
      </c>
      <c r="M1909" s="15">
        <v>1.2726</v>
      </c>
      <c r="N1909" s="15">
        <f>A1909</f>
        <v>1907</v>
      </c>
      <c r="O1909" s="15">
        <v>500</v>
      </c>
      <c r="P1909" s="42">
        <f>630+630*1%</f>
        <v>636.3</v>
      </c>
      <c r="Q1909" s="16"/>
    </row>
    <row r="1910" ht="20.05" customHeight="1">
      <c r="A1910" s="13">
        <f>A1909+1</f>
        <v>1908</v>
      </c>
      <c r="B1910" s="14">
        <v>2024</v>
      </c>
      <c r="C1910" s="15">
        <v>1</v>
      </c>
      <c r="D1910" s="15">
        <v>31</v>
      </c>
      <c r="E1910" s="16"/>
      <c r="F1910" t="s" s="17">
        <v>130</v>
      </c>
      <c r="G1910" s="16"/>
      <c r="H1910" t="s" s="17">
        <v>163</v>
      </c>
      <c r="I1910" t="s" s="17">
        <v>26</v>
      </c>
      <c r="J1910" t="s" s="17">
        <v>82</v>
      </c>
      <c r="K1910" t="s" s="17">
        <v>16</v>
      </c>
      <c r="L1910" s="15">
        <f>IF(O1910,P1910/O1910,0)</f>
        <v>0.0349</v>
      </c>
      <c r="M1910" s="15">
        <v>0.0349</v>
      </c>
      <c r="N1910" s="15">
        <f>A1910</f>
        <v>1908</v>
      </c>
      <c r="O1910" s="15">
        <f t="shared" si="6659"/>
        <v>2000</v>
      </c>
      <c r="P1910" s="15">
        <f>34.9*2</f>
        <v>69.8</v>
      </c>
      <c r="Q1910" s="16"/>
    </row>
    <row r="1911" ht="20.05" customHeight="1">
      <c r="A1911" s="13">
        <f>A1910+1</f>
        <v>1909</v>
      </c>
      <c r="B1911" s="14">
        <v>2024</v>
      </c>
      <c r="C1911" s="15">
        <v>1</v>
      </c>
      <c r="D1911" s="15">
        <v>31</v>
      </c>
      <c r="E1911" s="16"/>
      <c r="F1911" t="s" s="17">
        <v>130</v>
      </c>
      <c r="G1911" s="16"/>
      <c r="H1911" t="s" s="17">
        <v>163</v>
      </c>
      <c r="I1911" t="s" s="17">
        <v>19</v>
      </c>
      <c r="J1911" t="s" s="17">
        <v>59</v>
      </c>
      <c r="K1911" t="s" s="17">
        <v>41</v>
      </c>
      <c r="L1911" s="15">
        <f>IF(O1911,P1911/O1911,0)</f>
        <v>0.314</v>
      </c>
      <c r="M1911" s="15">
        <v>0.314</v>
      </c>
      <c r="N1911" s="15">
        <f>A1911</f>
        <v>1909</v>
      </c>
      <c r="O1911" s="15">
        <v>350</v>
      </c>
      <c r="P1911" s="15">
        <v>109.9</v>
      </c>
      <c r="Q1911" s="16"/>
    </row>
    <row r="1912" ht="32.05" customHeight="1">
      <c r="A1912" s="13">
        <f>A1911+1</f>
        <v>1910</v>
      </c>
      <c r="B1912" s="14">
        <v>2024</v>
      </c>
      <c r="C1912" s="15">
        <v>1</v>
      </c>
      <c r="D1912" s="15">
        <v>31</v>
      </c>
      <c r="E1912" s="16"/>
      <c r="F1912" t="s" s="17">
        <v>130</v>
      </c>
      <c r="G1912" s="16"/>
      <c r="H1912" t="s" s="17">
        <v>163</v>
      </c>
      <c r="I1912" t="s" s="17">
        <v>187</v>
      </c>
      <c r="J1912" t="s" s="17">
        <v>198</v>
      </c>
      <c r="K1912" t="s" s="17">
        <v>23</v>
      </c>
      <c r="L1912" s="15">
        <f>IF(O1912,P1912/O1912,0)</f>
        <v>6.18809523809524</v>
      </c>
      <c r="M1912" s="15">
        <v>6.18809523809524</v>
      </c>
      <c r="N1912" s="15">
        <f>A1912</f>
        <v>1910</v>
      </c>
      <c r="O1912" s="15">
        <v>42</v>
      </c>
      <c r="P1912" s="15">
        <v>259.9</v>
      </c>
      <c r="Q1912" s="16"/>
    </row>
    <row r="1913" ht="20.05" customHeight="1">
      <c r="A1913" s="13">
        <f>A1912+1</f>
        <v>1911</v>
      </c>
      <c r="B1913" s="14">
        <v>2024</v>
      </c>
      <c r="C1913" s="15">
        <v>1</v>
      </c>
      <c r="D1913" s="15">
        <v>31</v>
      </c>
      <c r="E1913" s="16"/>
      <c r="F1913" t="s" s="17">
        <v>130</v>
      </c>
      <c r="G1913" s="16"/>
      <c r="H1913" t="s" s="17">
        <v>163</v>
      </c>
      <c r="I1913" t="s" s="17">
        <v>19</v>
      </c>
      <c r="J1913" t="s" s="17">
        <v>418</v>
      </c>
      <c r="K1913" t="s" s="17">
        <v>23</v>
      </c>
      <c r="L1913" s="15">
        <f>IF(O1913,P1913/O1913,0)</f>
        <v>3.95</v>
      </c>
      <c r="M1913" s="15">
        <v>3.95</v>
      </c>
      <c r="N1913" s="15">
        <f>A1913</f>
        <v>1911</v>
      </c>
      <c r="O1913" s="15">
        <v>10</v>
      </c>
      <c r="P1913" s="15">
        <v>39.5</v>
      </c>
      <c r="Q1913" s="16"/>
    </row>
    <row r="1914" ht="20.05" customHeight="1">
      <c r="A1914" s="13">
        <f>A1913+1</f>
        <v>1912</v>
      </c>
      <c r="B1914" s="14">
        <v>2024</v>
      </c>
      <c r="C1914" s="15">
        <v>1</v>
      </c>
      <c r="D1914" s="15">
        <v>31</v>
      </c>
      <c r="E1914" s="16"/>
      <c r="F1914" t="s" s="17">
        <v>111</v>
      </c>
      <c r="G1914" s="16"/>
      <c r="H1914" t="s" s="17">
        <v>163</v>
      </c>
      <c r="I1914" t="s" s="17">
        <v>19</v>
      </c>
      <c r="J1914" t="s" s="17">
        <v>112</v>
      </c>
      <c r="K1914" t="s" s="17">
        <v>41</v>
      </c>
      <c r="L1914" s="15">
        <f>IF(O1914,P1914/O1914,0)</f>
        <v>0.0351485714285714</v>
      </c>
      <c r="M1914" s="15">
        <v>0.0351485714285714</v>
      </c>
      <c r="N1914" s="15">
        <f>A1914</f>
        <v>1912</v>
      </c>
      <c r="O1914" s="15">
        <f>7*1000</f>
        <v>7000</v>
      </c>
      <c r="P1914" s="15">
        <v>246.04</v>
      </c>
      <c r="Q1914" s="16"/>
    </row>
    <row r="1915" ht="20.05" customHeight="1">
      <c r="A1915" s="13">
        <f>A1914+1</f>
        <v>1913</v>
      </c>
      <c r="B1915" s="14">
        <v>2024</v>
      </c>
      <c r="C1915" s="15">
        <v>1</v>
      </c>
      <c r="D1915" s="15">
        <v>31</v>
      </c>
      <c r="E1915" s="16"/>
      <c r="F1915" t="s" s="17">
        <v>111</v>
      </c>
      <c r="G1915" s="16"/>
      <c r="H1915" t="s" s="17">
        <v>163</v>
      </c>
      <c r="I1915" t="s" s="17">
        <v>26</v>
      </c>
      <c r="J1915" t="s" s="17">
        <v>113</v>
      </c>
      <c r="K1915" t="s" s="17">
        <v>41</v>
      </c>
      <c r="L1915" s="15">
        <f>IF(O1915,P1915/O1915,0)</f>
        <v>0.0312133333333333</v>
      </c>
      <c r="M1915" s="15">
        <v>0.0312133333333333</v>
      </c>
      <c r="N1915" s="15">
        <f>A1915</f>
        <v>1913</v>
      </c>
      <c r="O1915" s="15">
        <f t="shared" si="6158"/>
        <v>3000</v>
      </c>
      <c r="P1915" s="15">
        <v>93.64</v>
      </c>
      <c r="Q1915" s="16"/>
    </row>
    <row r="1916" ht="20.05" customHeight="1">
      <c r="A1916" s="13">
        <f>A1915+1</f>
        <v>1914</v>
      </c>
      <c r="B1916" s="14">
        <v>2024</v>
      </c>
      <c r="C1916" s="15">
        <v>1</v>
      </c>
      <c r="D1916" s="15">
        <v>31</v>
      </c>
      <c r="E1916" s="16"/>
      <c r="F1916" t="s" s="17">
        <v>111</v>
      </c>
      <c r="G1916" s="16"/>
      <c r="H1916" t="s" s="17">
        <v>163</v>
      </c>
      <c r="I1916" t="s" s="17">
        <v>19</v>
      </c>
      <c r="J1916" t="s" s="17">
        <v>72</v>
      </c>
      <c r="K1916" t="s" s="17">
        <v>41</v>
      </c>
      <c r="L1916" s="15">
        <f>IF(O1916,P1916/O1916,0)</f>
        <v>0.248584</v>
      </c>
      <c r="M1916" s="15">
        <v>0.248584</v>
      </c>
      <c r="N1916" s="15">
        <f>A1916</f>
        <v>1914</v>
      </c>
      <c r="O1916" s="15">
        <f t="shared" si="6917"/>
        <v>1250</v>
      </c>
      <c r="P1916" s="15">
        <v>310.73</v>
      </c>
      <c r="Q1916" s="16"/>
    </row>
    <row r="1917" ht="20.05" customHeight="1">
      <c r="A1917" s="13">
        <f>A1916+1</f>
        <v>1915</v>
      </c>
      <c r="B1917" s="14">
        <v>2024</v>
      </c>
      <c r="C1917" s="15">
        <v>1</v>
      </c>
      <c r="D1917" s="15">
        <v>31</v>
      </c>
      <c r="E1917" s="16"/>
      <c r="F1917" t="s" s="17">
        <v>111</v>
      </c>
      <c r="G1917" s="16"/>
      <c r="H1917" t="s" s="17">
        <v>163</v>
      </c>
      <c r="I1917" t="s" s="17">
        <v>26</v>
      </c>
      <c r="J1917" t="s" s="17">
        <v>27</v>
      </c>
      <c r="K1917" t="s" s="17">
        <v>16</v>
      </c>
      <c r="L1917" s="15">
        <f>IF(O1917,P1917/O1917,0)</f>
        <v>0.272145454545455</v>
      </c>
      <c r="M1917" s="15">
        <v>0.272145454545455</v>
      </c>
      <c r="N1917" s="15">
        <f>A1917</f>
        <v>1915</v>
      </c>
      <c r="O1917" s="15">
        <f t="shared" si="4261"/>
        <v>1100</v>
      </c>
      <c r="P1917" s="15">
        <v>299.36</v>
      </c>
      <c r="Q1917" s="16"/>
    </row>
    <row r="1918" ht="20.05" customHeight="1">
      <c r="A1918" s="13">
        <f>A1917+1</f>
        <v>1916</v>
      </c>
      <c r="B1918" s="14">
        <v>2024</v>
      </c>
      <c r="C1918" s="15">
        <v>1</v>
      </c>
      <c r="D1918" s="15">
        <v>31</v>
      </c>
      <c r="E1918" s="16"/>
      <c r="F1918" t="s" s="17">
        <v>111</v>
      </c>
      <c r="G1918" s="16"/>
      <c r="H1918" t="s" s="17">
        <v>163</v>
      </c>
      <c r="I1918" t="s" s="17">
        <v>26</v>
      </c>
      <c r="J1918" t="s" s="17">
        <v>134</v>
      </c>
      <c r="K1918" t="s" s="17">
        <v>23</v>
      </c>
      <c r="L1918" s="15">
        <f>IF(O1918,P1918/O1918,0)</f>
        <v>42.1071428571429</v>
      </c>
      <c r="M1918" s="15">
        <v>42.1071428571429</v>
      </c>
      <c r="N1918" s="15">
        <f>A1918</f>
        <v>1916</v>
      </c>
      <c r="O1918" s="15">
        <f t="shared" si="6881"/>
        <v>14</v>
      </c>
      <c r="P1918" s="15">
        <v>589.5</v>
      </c>
      <c r="Q1918" s="16"/>
    </row>
    <row r="1919" ht="20.05" customHeight="1">
      <c r="A1919" s="13">
        <f>A1918+1</f>
        <v>1917</v>
      </c>
      <c r="B1919" s="14">
        <v>2024</v>
      </c>
      <c r="C1919" s="15">
        <v>1</v>
      </c>
      <c r="D1919" s="15">
        <v>31</v>
      </c>
      <c r="E1919" s="16"/>
      <c r="F1919" t="s" s="17">
        <v>111</v>
      </c>
      <c r="G1919" s="16"/>
      <c r="H1919" t="s" s="17">
        <v>163</v>
      </c>
      <c r="I1919" t="s" s="17">
        <v>187</v>
      </c>
      <c r="J1919" t="s" s="17">
        <v>196</v>
      </c>
      <c r="K1919" t="s" s="17">
        <v>41</v>
      </c>
      <c r="L1919" s="15">
        <f>IF(O1919,P1919/O1919,0)</f>
        <v>0.0486666666666667</v>
      </c>
      <c r="M1919" s="15">
        <v>0.0486666666666667</v>
      </c>
      <c r="N1919" s="15">
        <f>A1919</f>
        <v>1917</v>
      </c>
      <c r="O1919" s="15">
        <v>750</v>
      </c>
      <c r="P1919" s="15">
        <v>36.5</v>
      </c>
      <c r="Q1919" s="16"/>
    </row>
    <row r="1920" ht="20.05" customHeight="1">
      <c r="A1920" s="13">
        <f>A1919+1</f>
        <v>1918</v>
      </c>
      <c r="B1920" s="14">
        <v>2024</v>
      </c>
      <c r="C1920" s="15">
        <v>1</v>
      </c>
      <c r="D1920" s="15">
        <v>31</v>
      </c>
      <c r="E1920" s="16"/>
      <c r="F1920" t="s" s="17">
        <v>111</v>
      </c>
      <c r="G1920" s="16"/>
      <c r="H1920" t="s" s="17">
        <v>163</v>
      </c>
      <c r="I1920" t="s" s="17">
        <v>187</v>
      </c>
      <c r="J1920" t="s" s="17">
        <v>166</v>
      </c>
      <c r="K1920" t="s" s="17">
        <v>41</v>
      </c>
      <c r="L1920" s="15">
        <f>IF(O1920,P1920/O1920,0)</f>
        <v>0.017174</v>
      </c>
      <c r="M1920" s="15">
        <v>0.017174</v>
      </c>
      <c r="N1920" s="15">
        <f>A1920</f>
        <v>1918</v>
      </c>
      <c r="O1920" s="15">
        <v>5000</v>
      </c>
      <c r="P1920" s="15">
        <v>85.87</v>
      </c>
      <c r="Q1920" s="16"/>
    </row>
    <row r="1921" ht="20.05" customHeight="1">
      <c r="A1921" s="13">
        <f>A1920+1</f>
        <v>1919</v>
      </c>
      <c r="B1921" s="14">
        <v>2024</v>
      </c>
      <c r="C1921" s="15">
        <v>1</v>
      </c>
      <c r="D1921" s="15">
        <v>31</v>
      </c>
      <c r="E1921" s="16"/>
      <c r="F1921" t="s" s="17">
        <v>445</v>
      </c>
      <c r="G1921" s="16"/>
      <c r="H1921" t="s" s="17">
        <v>163</v>
      </c>
      <c r="I1921" t="s" s="17">
        <v>443</v>
      </c>
      <c r="J1921" t="s" s="17">
        <v>446</v>
      </c>
      <c r="K1921" t="s" s="17">
        <v>23</v>
      </c>
      <c r="L1921" s="15">
        <f>IF(O1921,P1921/O1921,0)</f>
        <v>191.958081632653</v>
      </c>
      <c r="M1921" s="15">
        <v>191.958081632653</v>
      </c>
      <c r="N1921" s="15">
        <f>A1921</f>
        <v>1919</v>
      </c>
      <c r="O1921" s="15">
        <v>49</v>
      </c>
      <c r="P1921" s="42">
        <f>8550.86+8550.86*10%</f>
        <v>9405.946</v>
      </c>
      <c r="Q1921" s="16"/>
    </row>
    <row r="1922" ht="20.05" customHeight="1">
      <c r="A1922" s="13">
        <f>A1921+1</f>
        <v>1920</v>
      </c>
      <c r="B1922" s="14">
        <v>2024</v>
      </c>
      <c r="C1922" s="15">
        <v>2</v>
      </c>
      <c r="D1922" s="15">
        <v>7</v>
      </c>
      <c r="E1922" s="16"/>
      <c r="F1922" t="s" s="17">
        <v>445</v>
      </c>
      <c r="G1922" s="16"/>
      <c r="H1922" t="s" s="17">
        <v>253</v>
      </c>
      <c r="I1922" t="s" s="17">
        <v>443</v>
      </c>
      <c r="J1922" t="s" s="17">
        <v>446</v>
      </c>
      <c r="K1922" t="s" s="17">
        <v>23</v>
      </c>
      <c r="L1922" s="15">
        <f>IF(O1922,P1922/O1922,0)</f>
        <v>189.556666666667</v>
      </c>
      <c r="M1922" s="15">
        <v>189.556666666667</v>
      </c>
      <c r="N1922" s="15">
        <f>A1922</f>
        <v>1920</v>
      </c>
      <c r="O1922" s="15">
        <v>75</v>
      </c>
      <c r="P1922" s="15">
        <v>14216.75</v>
      </c>
      <c r="Q1922" s="16"/>
    </row>
    <row r="1923" ht="20.05" customHeight="1">
      <c r="A1923" s="13">
        <f>A1922+1</f>
        <v>1921</v>
      </c>
      <c r="B1923" s="14">
        <v>2024</v>
      </c>
      <c r="C1923" s="15">
        <v>2</v>
      </c>
      <c r="D1923" s="15">
        <v>14</v>
      </c>
      <c r="E1923" s="16"/>
      <c r="F1923" t="s" s="17">
        <v>509</v>
      </c>
      <c r="G1923" s="16"/>
      <c r="H1923" t="s" s="17">
        <v>253</v>
      </c>
      <c r="I1923" t="s" s="17">
        <v>187</v>
      </c>
      <c r="J1923" t="s" s="17">
        <v>510</v>
      </c>
      <c r="K1923" t="s" s="17">
        <v>23</v>
      </c>
      <c r="L1923" s="15">
        <f>IF(O1923,P1923/O1923,0)</f>
        <v>2820</v>
      </c>
      <c r="M1923" s="15">
        <v>2820</v>
      </c>
      <c r="N1923" s="15">
        <f>A1923</f>
        <v>1921</v>
      </c>
      <c r="O1923" s="15">
        <v>1</v>
      </c>
      <c r="P1923" s="41">
        <f t="shared" si="7126" ref="P1923:P2085">2350+2350*20%</f>
        <v>2820</v>
      </c>
      <c r="Q1923" s="16"/>
    </row>
    <row r="1924" ht="20.05" customHeight="1">
      <c r="A1924" s="13">
        <f>A1923+1</f>
        <v>1922</v>
      </c>
      <c r="B1924" s="14">
        <v>2024</v>
      </c>
      <c r="C1924" s="15">
        <v>2</v>
      </c>
      <c r="D1924" s="15">
        <v>19</v>
      </c>
      <c r="E1924" s="16"/>
      <c r="F1924" t="s" s="17">
        <v>511</v>
      </c>
      <c r="G1924" s="16"/>
      <c r="H1924" t="s" s="17">
        <v>253</v>
      </c>
      <c r="I1924" t="s" s="17">
        <v>19</v>
      </c>
      <c r="J1924" t="s" s="17">
        <v>512</v>
      </c>
      <c r="K1924" t="s" s="17">
        <v>23</v>
      </c>
      <c r="L1924" s="15">
        <f>IF(O1924,P1924/O1924,0)</f>
        <v>4212</v>
      </c>
      <c r="M1924" s="15">
        <v>4212</v>
      </c>
      <c r="N1924" s="15">
        <f>A1924</f>
        <v>1922</v>
      </c>
      <c r="O1924" s="15">
        <v>1</v>
      </c>
      <c r="P1924" s="41">
        <f>3510+3510*20%</f>
        <v>4212</v>
      </c>
      <c r="Q1924" s="16"/>
    </row>
    <row r="1925" ht="20.05" customHeight="1">
      <c r="A1925" s="13">
        <f>A1924+1</f>
        <v>1923</v>
      </c>
      <c r="B1925" s="14">
        <v>2024</v>
      </c>
      <c r="C1925" s="15">
        <v>2</v>
      </c>
      <c r="D1925" s="15">
        <v>19</v>
      </c>
      <c r="E1925" s="16"/>
      <c r="F1925" t="s" s="17">
        <v>513</v>
      </c>
      <c r="G1925" s="16"/>
      <c r="H1925" t="s" s="17">
        <v>253</v>
      </c>
      <c r="I1925" t="s" s="17">
        <v>19</v>
      </c>
      <c r="J1925" t="s" s="17">
        <v>514</v>
      </c>
      <c r="K1925" t="s" s="17">
        <v>23</v>
      </c>
      <c r="L1925" s="15">
        <f>IF(O1925,P1925/O1925,0)</f>
        <v>302.51</v>
      </c>
      <c r="M1925" s="15">
        <v>302.51</v>
      </c>
      <c r="N1925" s="15">
        <f>A1925</f>
        <v>1923</v>
      </c>
      <c r="O1925" s="15">
        <v>1</v>
      </c>
      <c r="P1925" s="15">
        <v>302.51</v>
      </c>
      <c r="Q1925" s="16"/>
    </row>
    <row r="1926" ht="20.05" customHeight="1">
      <c r="A1926" s="13">
        <f>A1925+1</f>
        <v>1924</v>
      </c>
      <c r="B1926" s="14">
        <v>2024</v>
      </c>
      <c r="C1926" s="15">
        <v>2</v>
      </c>
      <c r="D1926" s="15">
        <v>21</v>
      </c>
      <c r="E1926" s="16"/>
      <c r="F1926" t="s" s="17">
        <v>445</v>
      </c>
      <c r="G1926" s="16"/>
      <c r="H1926" t="s" s="17">
        <v>253</v>
      </c>
      <c r="I1926" t="s" s="17">
        <v>443</v>
      </c>
      <c r="J1926" t="s" s="17">
        <v>446</v>
      </c>
      <c r="K1926" t="s" s="17">
        <v>23</v>
      </c>
      <c r="L1926" s="15">
        <f>IF(O1926,P1926/O1926,0)</f>
        <v>193.460714285714</v>
      </c>
      <c r="M1926" s="15">
        <v>193.460714285714</v>
      </c>
      <c r="N1926" s="15">
        <f>A1926</f>
        <v>1924</v>
      </c>
      <c r="O1926" s="15">
        <v>56</v>
      </c>
      <c r="P1926" s="15">
        <v>10833.8</v>
      </c>
      <c r="Q1926" s="16"/>
    </row>
    <row r="1927" ht="20.05" customHeight="1">
      <c r="A1927" s="13">
        <f>A1926+1</f>
        <v>1925</v>
      </c>
      <c r="B1927" s="14">
        <v>2024</v>
      </c>
      <c r="C1927" s="15">
        <v>2</v>
      </c>
      <c r="D1927" s="15">
        <v>1</v>
      </c>
      <c r="E1927" s="16"/>
      <c r="F1927" t="s" s="17">
        <v>515</v>
      </c>
      <c r="G1927" s="16"/>
      <c r="H1927" t="s" s="17">
        <v>163</v>
      </c>
      <c r="I1927" t="s" s="17">
        <v>19</v>
      </c>
      <c r="J1927" t="s" s="17">
        <v>516</v>
      </c>
      <c r="K1927" t="s" s="17">
        <v>23</v>
      </c>
      <c r="L1927" s="15">
        <f>IF(O1927,P1927/O1927,0)</f>
        <v>3.57996</v>
      </c>
      <c r="M1927" s="15">
        <v>3.57996</v>
      </c>
      <c r="N1927" s="15">
        <f>A1927</f>
        <v>1925</v>
      </c>
      <c r="O1927" s="15">
        <v>100</v>
      </c>
      <c r="P1927" s="42">
        <f>298.33+298.33*20%</f>
        <v>357.996</v>
      </c>
      <c r="Q1927" s="16"/>
    </row>
    <row r="1928" ht="20.05" customHeight="1">
      <c r="A1928" s="13">
        <f>A1927+1</f>
        <v>1926</v>
      </c>
      <c r="B1928" s="14">
        <v>2024</v>
      </c>
      <c r="C1928" s="15">
        <v>2</v>
      </c>
      <c r="D1928" s="15">
        <v>1</v>
      </c>
      <c r="E1928" s="16"/>
      <c r="F1928" t="s" s="17">
        <v>184</v>
      </c>
      <c r="G1928" s="16"/>
      <c r="H1928" t="s" s="17">
        <v>163</v>
      </c>
      <c r="I1928" t="s" s="17">
        <v>357</v>
      </c>
      <c r="J1928" t="s" s="17">
        <v>185</v>
      </c>
      <c r="K1928" t="s" s="17">
        <v>23</v>
      </c>
      <c r="L1928" s="15">
        <f>IF(O1928,P1928/O1928,0)</f>
        <v>130</v>
      </c>
      <c r="M1928" s="15">
        <v>130</v>
      </c>
      <c r="N1928" s="15">
        <f>A1928</f>
        <v>1926</v>
      </c>
      <c r="O1928" s="15">
        <v>1</v>
      </c>
      <c r="P1928" s="15">
        <v>130</v>
      </c>
      <c r="Q1928" s="16"/>
    </row>
    <row r="1929" ht="20.05" customHeight="1">
      <c r="A1929" s="13">
        <f>A1928+1</f>
        <v>1927</v>
      </c>
      <c r="B1929" s="14">
        <v>2024</v>
      </c>
      <c r="C1929" s="15">
        <v>2</v>
      </c>
      <c r="D1929" s="15">
        <v>3</v>
      </c>
      <c r="E1929" s="16"/>
      <c r="F1929" t="s" s="17">
        <v>287</v>
      </c>
      <c r="G1929" s="16"/>
      <c r="H1929" t="s" s="17">
        <v>163</v>
      </c>
      <c r="I1929" t="s" s="17">
        <v>14</v>
      </c>
      <c r="J1929" t="s" s="17">
        <v>289</v>
      </c>
      <c r="K1929" t="s" s="17">
        <v>23</v>
      </c>
      <c r="L1929" s="15">
        <f>IF(O1929,P1929/O1929,0)</f>
        <v>24.341</v>
      </c>
      <c r="M1929" s="15">
        <v>24.341</v>
      </c>
      <c r="N1929" s="15">
        <f>A1929</f>
        <v>1927</v>
      </c>
      <c r="O1929" s="15">
        <v>20</v>
      </c>
      <c r="P1929" s="41">
        <f>482+482*1%</f>
        <v>486.82</v>
      </c>
      <c r="Q1929" s="16"/>
    </row>
    <row r="1930" ht="32.05" customHeight="1">
      <c r="A1930" s="13">
        <f>A1929+1</f>
        <v>1928</v>
      </c>
      <c r="B1930" s="14">
        <v>2024</v>
      </c>
      <c r="C1930" s="15">
        <v>2</v>
      </c>
      <c r="D1930" s="15">
        <v>3</v>
      </c>
      <c r="E1930" s="16"/>
      <c r="F1930" t="s" s="17">
        <v>287</v>
      </c>
      <c r="G1930" s="16"/>
      <c r="H1930" t="s" s="17">
        <v>163</v>
      </c>
      <c r="I1930" t="s" s="17">
        <v>14</v>
      </c>
      <c r="J1930" t="s" s="17">
        <v>283</v>
      </c>
      <c r="K1930" t="s" s="17">
        <v>23</v>
      </c>
      <c r="L1930" s="15">
        <f>IF(O1930,P1930/O1930,0)</f>
        <v>28.785</v>
      </c>
      <c r="M1930" s="15">
        <v>28.785</v>
      </c>
      <c r="N1930" s="15">
        <f>A1930</f>
        <v>1928</v>
      </c>
      <c r="O1930" s="15">
        <v>10</v>
      </c>
      <c r="P1930" s="41">
        <f t="shared" si="6459"/>
        <v>287.85</v>
      </c>
      <c r="Q1930" s="16"/>
    </row>
    <row r="1931" ht="20.05" customHeight="1">
      <c r="A1931" s="13">
        <f>A1930+1</f>
        <v>1929</v>
      </c>
      <c r="B1931" s="14">
        <v>2024</v>
      </c>
      <c r="C1931" s="15">
        <v>2</v>
      </c>
      <c r="D1931" s="15">
        <v>3</v>
      </c>
      <c r="E1931" s="16"/>
      <c r="F1931" t="s" s="17">
        <v>287</v>
      </c>
      <c r="G1931" s="16"/>
      <c r="H1931" t="s" s="17">
        <v>163</v>
      </c>
      <c r="I1931" t="s" s="17">
        <v>14</v>
      </c>
      <c r="J1931" t="s" s="17">
        <v>288</v>
      </c>
      <c r="K1931" t="s" s="17">
        <v>23</v>
      </c>
      <c r="L1931" s="15">
        <f>IF(O1931,P1931/O1931,0)</f>
        <v>30.3</v>
      </c>
      <c r="M1931" s="15">
        <v>30.3</v>
      </c>
      <c r="N1931" s="15">
        <f>A1931</f>
        <v>1929</v>
      </c>
      <c r="O1931" s="15">
        <v>9</v>
      </c>
      <c r="P1931" s="42">
        <f>270+270*1%</f>
        <v>272.7</v>
      </c>
      <c r="Q1931" s="16"/>
    </row>
    <row r="1932" ht="32.05" customHeight="1">
      <c r="A1932" s="13">
        <f>A1931+1</f>
        <v>1930</v>
      </c>
      <c r="B1932" s="14">
        <v>2024</v>
      </c>
      <c r="C1932" s="15">
        <v>2</v>
      </c>
      <c r="D1932" s="15">
        <v>3</v>
      </c>
      <c r="E1932" s="16"/>
      <c r="F1932" t="s" s="17">
        <v>287</v>
      </c>
      <c r="G1932" s="16"/>
      <c r="H1932" t="s" s="17">
        <v>163</v>
      </c>
      <c r="I1932" t="s" s="17">
        <v>17</v>
      </c>
      <c r="J1932" t="s" s="17">
        <v>299</v>
      </c>
      <c r="K1932" t="s" s="17">
        <v>23</v>
      </c>
      <c r="L1932" s="15">
        <f>IF(O1932,P1932/O1932,0)</f>
        <v>22.1779166666667</v>
      </c>
      <c r="M1932" s="15">
        <v>22.1779166666667</v>
      </c>
      <c r="N1932" s="15">
        <f>A1932</f>
        <v>1930</v>
      </c>
      <c r="O1932" s="15">
        <v>24</v>
      </c>
      <c r="P1932" s="41">
        <f>527+527*1%</f>
        <v>532.27</v>
      </c>
      <c r="Q1932" s="16"/>
    </row>
    <row r="1933" ht="20.05" customHeight="1">
      <c r="A1933" s="13">
        <f>A1932+1</f>
        <v>1931</v>
      </c>
      <c r="B1933" s="14">
        <v>2024</v>
      </c>
      <c r="C1933" s="15">
        <v>2</v>
      </c>
      <c r="D1933" s="15">
        <v>3</v>
      </c>
      <c r="E1933" s="16"/>
      <c r="F1933" t="s" s="17">
        <v>141</v>
      </c>
      <c r="G1933" s="16"/>
      <c r="H1933" t="s" s="17">
        <v>163</v>
      </c>
      <c r="I1933" t="s" s="17">
        <v>19</v>
      </c>
      <c r="J1933" t="s" s="17">
        <v>142</v>
      </c>
      <c r="K1933" t="s" s="17">
        <v>23</v>
      </c>
      <c r="L1933" s="15">
        <f>IF(O1933,P1933/O1933,0)</f>
        <v>13.8515208333333</v>
      </c>
      <c r="M1933" s="15">
        <v>13.8515208333333</v>
      </c>
      <c r="N1933" s="15">
        <f>A1933</f>
        <v>1931</v>
      </c>
      <c r="O1933" s="15">
        <v>48</v>
      </c>
      <c r="P1933" s="42">
        <f t="shared" si="6361"/>
        <v>664.873</v>
      </c>
      <c r="Q1933" s="16"/>
    </row>
    <row r="1934" ht="20.05" customHeight="1">
      <c r="A1934" s="13">
        <f>A1933+1</f>
        <v>1932</v>
      </c>
      <c r="B1934" s="14">
        <v>2024</v>
      </c>
      <c r="C1934" s="15">
        <v>2</v>
      </c>
      <c r="D1934" s="15">
        <v>3</v>
      </c>
      <c r="E1934" s="16"/>
      <c r="F1934" t="s" s="17">
        <v>141</v>
      </c>
      <c r="G1934" s="16"/>
      <c r="H1934" t="s" s="17">
        <v>163</v>
      </c>
      <c r="I1934" t="s" s="17">
        <v>19</v>
      </c>
      <c r="J1934" t="s" s="17">
        <v>159</v>
      </c>
      <c r="K1934" t="s" s="17">
        <v>23</v>
      </c>
      <c r="L1934" s="15">
        <f>IF(O1934,P1934/O1934,0)</f>
        <v>2.48001291666667</v>
      </c>
      <c r="M1934" s="15">
        <v>2.48001291666667</v>
      </c>
      <c r="N1934" s="15">
        <f>A1934</f>
        <v>1932</v>
      </c>
      <c r="O1934" s="15">
        <v>240</v>
      </c>
      <c r="P1934" s="43">
        <f t="shared" si="7167" ref="P1934:P2029">589.31+589.31*1%</f>
        <v>595.2030999999999</v>
      </c>
      <c r="Q1934" s="16"/>
    </row>
    <row r="1935" ht="20.05" customHeight="1">
      <c r="A1935" s="13">
        <f>A1934+1</f>
        <v>1933</v>
      </c>
      <c r="B1935" s="14">
        <v>2024</v>
      </c>
      <c r="C1935" s="15">
        <v>2</v>
      </c>
      <c r="D1935" s="15">
        <v>3</v>
      </c>
      <c r="E1935" s="16"/>
      <c r="F1935" t="s" s="17">
        <v>141</v>
      </c>
      <c r="G1935" s="16"/>
      <c r="H1935" t="s" s="17">
        <v>163</v>
      </c>
      <c r="I1935" t="s" s="17">
        <v>19</v>
      </c>
      <c r="J1935" t="s" s="17">
        <v>337</v>
      </c>
      <c r="K1935" t="s" s="17">
        <v>23</v>
      </c>
      <c r="L1935" s="15">
        <f>IF(O1935,P1935/O1935,0)</f>
        <v>-170</v>
      </c>
      <c r="M1935" s="15">
        <v>-170</v>
      </c>
      <c r="N1935" s="15">
        <f>A1935</f>
        <v>1933</v>
      </c>
      <c r="O1935" s="15">
        <v>1</v>
      </c>
      <c r="P1935" s="15">
        <v>-170</v>
      </c>
      <c r="Q1935" s="16"/>
    </row>
    <row r="1936" ht="20.05" customHeight="1">
      <c r="A1936" s="13">
        <f>A1935+1</f>
        <v>1934</v>
      </c>
      <c r="B1936" s="14">
        <v>2024</v>
      </c>
      <c r="C1936" s="15">
        <v>2</v>
      </c>
      <c r="D1936" s="15">
        <v>4</v>
      </c>
      <c r="E1936" s="16"/>
      <c r="F1936" t="s" s="17">
        <v>130</v>
      </c>
      <c r="G1936" s="16"/>
      <c r="H1936" t="s" s="17">
        <v>163</v>
      </c>
      <c r="I1936" t="s" s="17">
        <v>26</v>
      </c>
      <c r="J1936" t="s" s="17">
        <v>113</v>
      </c>
      <c r="K1936" t="s" s="17">
        <v>41</v>
      </c>
      <c r="L1936" s="15">
        <f>IF(O1936,P1936/O1936,0)</f>
        <v>0.02665</v>
      </c>
      <c r="M1936" s="15">
        <v>0.02665</v>
      </c>
      <c r="N1936" s="15">
        <f>A1936</f>
        <v>1934</v>
      </c>
      <c r="O1936" s="15">
        <v>3000</v>
      </c>
      <c r="P1936" s="15">
        <v>79.95</v>
      </c>
      <c r="Q1936" s="16"/>
    </row>
    <row r="1937" ht="20.05" customHeight="1">
      <c r="A1937" s="13">
        <f>A1936+1</f>
        <v>1935</v>
      </c>
      <c r="B1937" s="14">
        <v>2024</v>
      </c>
      <c r="C1937" s="15">
        <v>2</v>
      </c>
      <c r="D1937" s="15">
        <v>4</v>
      </c>
      <c r="E1937" s="16"/>
      <c r="F1937" t="s" s="17">
        <v>130</v>
      </c>
      <c r="G1937" s="16"/>
      <c r="H1937" t="s" s="17">
        <v>163</v>
      </c>
      <c r="I1937" t="s" s="17">
        <v>26</v>
      </c>
      <c r="J1937" t="s" s="17">
        <v>82</v>
      </c>
      <c r="K1937" t="s" s="17">
        <v>16</v>
      </c>
      <c r="L1937" s="15">
        <f>IF(O1937,P1937/O1937,0)</f>
        <v>0.03995</v>
      </c>
      <c r="M1937" s="15">
        <v>0.03995</v>
      </c>
      <c r="N1937" s="15">
        <f>A1937</f>
        <v>1935</v>
      </c>
      <c r="O1937" s="15">
        <v>2000</v>
      </c>
      <c r="P1937" s="15">
        <v>79.90000000000001</v>
      </c>
      <c r="Q1937" s="16"/>
    </row>
    <row r="1938" ht="20.05" customHeight="1">
      <c r="A1938" s="13">
        <f>A1937+1</f>
        <v>1936</v>
      </c>
      <c r="B1938" s="14">
        <v>2024</v>
      </c>
      <c r="C1938" s="15">
        <v>2</v>
      </c>
      <c r="D1938" s="15">
        <v>5</v>
      </c>
      <c r="E1938" s="16"/>
      <c r="F1938" t="s" s="17">
        <v>130</v>
      </c>
      <c r="G1938" s="16"/>
      <c r="H1938" t="s" s="17">
        <v>163</v>
      </c>
      <c r="I1938" t="s" s="17">
        <v>19</v>
      </c>
      <c r="J1938" t="s" s="17">
        <v>157</v>
      </c>
      <c r="K1938" t="s" s="17">
        <v>16</v>
      </c>
      <c r="L1938" s="15">
        <f>IF(O1938,P1938/O1938,0)</f>
        <v>0.049113475177305</v>
      </c>
      <c r="M1938" s="15">
        <v>0.049113475177305</v>
      </c>
      <c r="N1938" s="15">
        <f>A1938</f>
        <v>1936</v>
      </c>
      <c r="O1938" s="15">
        <v>1128</v>
      </c>
      <c r="P1938" s="15">
        <v>55.4</v>
      </c>
      <c r="Q1938" s="16"/>
    </row>
    <row r="1939" ht="20.05" customHeight="1">
      <c r="A1939" s="13">
        <f>A1938+1</f>
        <v>1937</v>
      </c>
      <c r="B1939" s="14">
        <v>2024</v>
      </c>
      <c r="C1939" s="15">
        <v>2</v>
      </c>
      <c r="D1939" s="15">
        <v>5</v>
      </c>
      <c r="E1939" s="16"/>
      <c r="F1939" t="s" s="17">
        <v>184</v>
      </c>
      <c r="G1939" s="16"/>
      <c r="H1939" t="s" s="17">
        <v>163</v>
      </c>
      <c r="I1939" t="s" s="17">
        <v>187</v>
      </c>
      <c r="J1939" t="s" s="17">
        <v>185</v>
      </c>
      <c r="K1939" t="s" s="17">
        <v>23</v>
      </c>
      <c r="L1939" s="15">
        <f>IF(O1939,P1939/O1939,0)</f>
        <v>180</v>
      </c>
      <c r="M1939" s="15">
        <v>180</v>
      </c>
      <c r="N1939" s="15">
        <f>A1939</f>
        <v>1937</v>
      </c>
      <c r="O1939" s="15">
        <v>1</v>
      </c>
      <c r="P1939" s="15">
        <v>180</v>
      </c>
      <c r="Q1939" s="16"/>
    </row>
    <row r="1940" ht="20.05" customHeight="1">
      <c r="A1940" s="13">
        <f>A1939+1</f>
        <v>1938</v>
      </c>
      <c r="B1940" s="14">
        <v>2024</v>
      </c>
      <c r="C1940" s="15">
        <v>2</v>
      </c>
      <c r="D1940" s="15">
        <v>7</v>
      </c>
      <c r="E1940" s="16"/>
      <c r="F1940" t="s" s="17">
        <v>122</v>
      </c>
      <c r="G1940" s="16"/>
      <c r="H1940" t="s" s="17">
        <v>163</v>
      </c>
      <c r="I1940" t="s" s="17">
        <v>19</v>
      </c>
      <c r="J1940" t="s" s="17">
        <v>138</v>
      </c>
      <c r="K1940" t="s" s="17">
        <v>41</v>
      </c>
      <c r="L1940" s="15">
        <f>IF(O1940,P1940/O1940,0)</f>
        <v>0.04343</v>
      </c>
      <c r="M1940" s="15">
        <v>0.04343</v>
      </c>
      <c r="N1940" s="15">
        <f>A1940</f>
        <v>1938</v>
      </c>
      <c r="O1940" s="15">
        <f t="shared" si="5858"/>
        <v>48000</v>
      </c>
      <c r="P1940" s="41">
        <f t="shared" si="7187" ref="P1940:P2047">2064+2064*1%</f>
        <v>2084.64</v>
      </c>
      <c r="Q1940" s="16"/>
    </row>
    <row r="1941" ht="20.05" customHeight="1">
      <c r="A1941" s="13">
        <f>A1940+1</f>
        <v>1939</v>
      </c>
      <c r="B1941" s="14">
        <v>2024</v>
      </c>
      <c r="C1941" s="15">
        <v>2</v>
      </c>
      <c r="D1941" s="15">
        <v>7</v>
      </c>
      <c r="E1941" s="16"/>
      <c r="F1941" t="s" s="17">
        <v>122</v>
      </c>
      <c r="G1941" s="16"/>
      <c r="H1941" t="s" s="17">
        <v>163</v>
      </c>
      <c r="I1941" t="s" s="17">
        <v>26</v>
      </c>
      <c r="J1941" t="s" s="17">
        <v>117</v>
      </c>
      <c r="K1941" t="s" s="17">
        <v>23</v>
      </c>
      <c r="L1941" s="15">
        <f>IF(O1941,P1941/O1941,0)</f>
        <v>37.37</v>
      </c>
      <c r="M1941" s="15">
        <v>37.37</v>
      </c>
      <c r="N1941" s="15">
        <f>A1941</f>
        <v>1939</v>
      </c>
      <c r="O1941" s="15">
        <v>14</v>
      </c>
      <c r="P1941" s="41">
        <f>518+518*1%</f>
        <v>523.1799999999999</v>
      </c>
      <c r="Q1941" s="16"/>
    </row>
    <row r="1942" ht="20.05" customHeight="1">
      <c r="A1942" s="13">
        <f>A1941+1</f>
        <v>1940</v>
      </c>
      <c r="B1942" s="14">
        <v>2024</v>
      </c>
      <c r="C1942" s="15">
        <v>2</v>
      </c>
      <c r="D1942" s="15">
        <v>7</v>
      </c>
      <c r="E1942" s="16"/>
      <c r="F1942" t="s" s="17">
        <v>122</v>
      </c>
      <c r="G1942" s="16"/>
      <c r="H1942" t="s" s="17">
        <v>163</v>
      </c>
      <c r="I1942" t="s" s="17">
        <v>26</v>
      </c>
      <c r="J1942" t="s" s="17">
        <v>118</v>
      </c>
      <c r="K1942" t="s" s="17">
        <v>23</v>
      </c>
      <c r="L1942" s="15">
        <f>IF(O1942,P1942/O1942,0)</f>
        <v>40.27375</v>
      </c>
      <c r="M1942" s="15">
        <v>40.27375</v>
      </c>
      <c r="N1942" s="15">
        <f>A1942</f>
        <v>1940</v>
      </c>
      <c r="O1942" s="15">
        <v>14</v>
      </c>
      <c r="P1942" s="43">
        <f t="shared" si="6886"/>
        <v>563.8325</v>
      </c>
      <c r="Q1942" s="16"/>
    </row>
    <row r="1943" ht="20.05" customHeight="1">
      <c r="A1943" s="13">
        <f>A1942+1</f>
        <v>1941</v>
      </c>
      <c r="B1943" s="14">
        <v>2024</v>
      </c>
      <c r="C1943" s="15">
        <v>2</v>
      </c>
      <c r="D1943" s="15">
        <v>7</v>
      </c>
      <c r="E1943" s="16"/>
      <c r="F1943" t="s" s="17">
        <v>122</v>
      </c>
      <c r="G1943" s="16"/>
      <c r="H1943" t="s" s="17">
        <v>163</v>
      </c>
      <c r="I1943" t="s" s="17">
        <v>187</v>
      </c>
      <c r="J1943" t="s" s="17">
        <v>169</v>
      </c>
      <c r="K1943" t="s" s="17">
        <v>23</v>
      </c>
      <c r="L1943" s="15">
        <f>IF(O1943,P1943/O1943,0)</f>
        <v>0.4824</v>
      </c>
      <c r="M1943" s="15">
        <v>0.4824</v>
      </c>
      <c r="N1943" s="15">
        <f>A1943</f>
        <v>1941</v>
      </c>
      <c r="O1943" s="15">
        <v>1000</v>
      </c>
      <c r="P1943" s="42">
        <f t="shared" si="4838"/>
        <v>482.4</v>
      </c>
      <c r="Q1943" s="16"/>
    </row>
    <row r="1944" ht="32.05" customHeight="1">
      <c r="A1944" s="13">
        <f>A1943+1</f>
        <v>1942</v>
      </c>
      <c r="B1944" s="14">
        <v>2024</v>
      </c>
      <c r="C1944" s="15">
        <v>2</v>
      </c>
      <c r="D1944" s="15">
        <v>7</v>
      </c>
      <c r="E1944" s="16"/>
      <c r="F1944" t="s" s="17">
        <v>122</v>
      </c>
      <c r="G1944" s="16"/>
      <c r="H1944" t="s" s="17">
        <v>163</v>
      </c>
      <c r="I1944" t="s" s="17">
        <v>187</v>
      </c>
      <c r="J1944" t="s" s="17">
        <v>136</v>
      </c>
      <c r="K1944" t="s" s="17">
        <v>23</v>
      </c>
      <c r="L1944" s="15">
        <f>IF(O1944,P1944/O1944,0)</f>
        <v>0.2424</v>
      </c>
      <c r="M1944" s="15">
        <v>0.2424</v>
      </c>
      <c r="N1944" s="15">
        <f>A1944</f>
        <v>1942</v>
      </c>
      <c r="O1944" s="15">
        <f t="shared" si="2080"/>
        <v>4000</v>
      </c>
      <c r="P1944" s="42">
        <f t="shared" si="6221"/>
        <v>969.6</v>
      </c>
      <c r="Q1944" s="16"/>
    </row>
    <row r="1945" ht="20.05" customHeight="1">
      <c r="A1945" s="13">
        <f>A1944+1</f>
        <v>1943</v>
      </c>
      <c r="B1945" s="14">
        <v>2024</v>
      </c>
      <c r="C1945" s="15">
        <v>2</v>
      </c>
      <c r="D1945" s="15">
        <v>7</v>
      </c>
      <c r="E1945" s="16"/>
      <c r="F1945" t="s" s="17">
        <v>122</v>
      </c>
      <c r="G1945" s="16"/>
      <c r="H1945" t="s" s="17">
        <v>163</v>
      </c>
      <c r="I1945" t="s" s="17">
        <v>187</v>
      </c>
      <c r="J1945" t="s" s="17">
        <v>128</v>
      </c>
      <c r="K1945" t="s" s="17">
        <v>23</v>
      </c>
      <c r="L1945" s="15">
        <f>IF(O1945,P1945/O1945,0)</f>
        <v>31.175</v>
      </c>
      <c r="M1945" s="15">
        <v>31.175</v>
      </c>
      <c r="N1945" s="15">
        <f>A1945</f>
        <v>1943</v>
      </c>
      <c r="O1945" s="15">
        <v>24</v>
      </c>
      <c r="P1945" s="42">
        <f t="shared" si="6022"/>
        <v>748.2</v>
      </c>
      <c r="Q1945" s="16"/>
    </row>
    <row r="1946" ht="20.05" customHeight="1">
      <c r="A1946" s="13">
        <f>A1945+1</f>
        <v>1944</v>
      </c>
      <c r="B1946" s="14">
        <v>2024</v>
      </c>
      <c r="C1946" s="15">
        <v>2</v>
      </c>
      <c r="D1946" s="15">
        <v>7</v>
      </c>
      <c r="E1946" s="16"/>
      <c r="F1946" t="s" s="17">
        <v>122</v>
      </c>
      <c r="G1946" s="16"/>
      <c r="H1946" t="s" s="17">
        <v>163</v>
      </c>
      <c r="I1946" t="s" s="17">
        <v>187</v>
      </c>
      <c r="J1946" t="s" s="17">
        <v>167</v>
      </c>
      <c r="K1946" t="s" s="17">
        <v>23</v>
      </c>
      <c r="L1946" s="15">
        <f>IF(O1946,P1946/O1946,0)</f>
        <v>0.9350000000000001</v>
      </c>
      <c r="M1946" s="15">
        <v>0.9350000000000001</v>
      </c>
      <c r="N1946" s="15">
        <f>A1946</f>
        <v>1944</v>
      </c>
      <c r="O1946" s="15">
        <f t="shared" si="7026"/>
        <v>200</v>
      </c>
      <c r="P1946" s="41">
        <f t="shared" si="7213" ref="P1946:P2126">170+170*10%</f>
        <v>187</v>
      </c>
      <c r="Q1946" s="16"/>
    </row>
    <row r="1947" ht="32.05" customHeight="1">
      <c r="A1947" s="13">
        <f>A1946+1</f>
        <v>1945</v>
      </c>
      <c r="B1947" s="14">
        <v>2024</v>
      </c>
      <c r="C1947" s="15">
        <v>2</v>
      </c>
      <c r="D1947" s="15">
        <v>7</v>
      </c>
      <c r="E1947" s="16"/>
      <c r="F1947" t="s" s="17">
        <v>122</v>
      </c>
      <c r="G1947" s="16"/>
      <c r="H1947" t="s" s="17">
        <v>163</v>
      </c>
      <c r="I1947" t="s" s="17">
        <v>187</v>
      </c>
      <c r="J1947" t="s" s="17">
        <v>517</v>
      </c>
      <c r="K1947" t="s" s="17">
        <v>23</v>
      </c>
      <c r="L1947" s="15">
        <f>IF(O1947,P1947/O1947,0)</f>
        <v>45.33</v>
      </c>
      <c r="M1947" s="15">
        <v>45.33</v>
      </c>
      <c r="N1947" s="15">
        <f>A1947</f>
        <v>1945</v>
      </c>
      <c r="O1947" s="15">
        <v>40</v>
      </c>
      <c r="P1947" s="42">
        <f>1511+1511*20%</f>
        <v>1813.2</v>
      </c>
      <c r="Q1947" s="16"/>
    </row>
    <row r="1948" ht="20.05" customHeight="1">
      <c r="A1948" s="13">
        <f>A1947+1</f>
        <v>1946</v>
      </c>
      <c r="B1948" s="14">
        <v>2024</v>
      </c>
      <c r="C1948" s="15">
        <v>2</v>
      </c>
      <c r="D1948" s="15">
        <v>6</v>
      </c>
      <c r="E1948" s="16"/>
      <c r="F1948" t="s" s="17">
        <v>428</v>
      </c>
      <c r="G1948" s="16"/>
      <c r="H1948" t="s" s="17">
        <v>163</v>
      </c>
      <c r="I1948" t="s" s="17">
        <v>19</v>
      </c>
      <c r="J1948" t="s" s="17">
        <v>139</v>
      </c>
      <c r="K1948" t="s" s="17">
        <v>23</v>
      </c>
      <c r="L1948" s="15">
        <f>IF(O1948,P1948/O1948,0)</f>
        <v>3.87503333333333</v>
      </c>
      <c r="M1948" s="15">
        <v>3.87503333333333</v>
      </c>
      <c r="N1948" s="15">
        <f>A1948</f>
        <v>1946</v>
      </c>
      <c r="O1948" s="15">
        <f t="shared" si="7221" ref="O1948:O2014">5*24</f>
        <v>120</v>
      </c>
      <c r="P1948" s="42">
        <f t="shared" si="7222" ref="P1948:P2014">460.4+460.4*1%</f>
        <v>465.004</v>
      </c>
      <c r="Q1948" s="16"/>
    </row>
    <row r="1949" ht="32.05" customHeight="1">
      <c r="A1949" s="13">
        <f>A1948+1</f>
        <v>1947</v>
      </c>
      <c r="B1949" s="14">
        <v>2024</v>
      </c>
      <c r="C1949" s="15">
        <v>2</v>
      </c>
      <c r="D1949" s="15">
        <v>6</v>
      </c>
      <c r="E1949" s="16"/>
      <c r="F1949" t="s" s="17">
        <v>428</v>
      </c>
      <c r="G1949" s="16"/>
      <c r="H1949" t="s" s="17">
        <v>163</v>
      </c>
      <c r="I1949" t="s" s="17">
        <v>19</v>
      </c>
      <c r="J1949" t="s" s="17">
        <v>448</v>
      </c>
      <c r="K1949" t="s" s="17">
        <v>16</v>
      </c>
      <c r="L1949" s="15">
        <f>IF(O1949,P1949/O1949,0)</f>
        <v>0.3372895</v>
      </c>
      <c r="M1949" s="15">
        <v>0.3372895</v>
      </c>
      <c r="N1949" s="15">
        <f>A1949</f>
        <v>1947</v>
      </c>
      <c r="O1949" s="15">
        <f t="shared" si="6310"/>
        <v>1000</v>
      </c>
      <c r="P1949" s="43">
        <f>333.95+333.95*1%</f>
        <v>337.2895</v>
      </c>
      <c r="Q1949" s="16"/>
    </row>
    <row r="1950" ht="32.05" customHeight="1">
      <c r="A1950" s="13">
        <f>A1949+1</f>
        <v>1948</v>
      </c>
      <c r="B1950" s="14">
        <v>2024</v>
      </c>
      <c r="C1950" s="15">
        <v>2</v>
      </c>
      <c r="D1950" s="15">
        <v>6</v>
      </c>
      <c r="E1950" s="16"/>
      <c r="F1950" t="s" s="17">
        <v>428</v>
      </c>
      <c r="G1950" s="16"/>
      <c r="H1950" t="s" s="17">
        <v>163</v>
      </c>
      <c r="I1950" t="s" s="17">
        <v>19</v>
      </c>
      <c r="J1950" t="s" s="17">
        <v>437</v>
      </c>
      <c r="K1950" t="s" s="17">
        <v>16</v>
      </c>
      <c r="L1950" s="15">
        <f>IF(O1950,P1950/O1950,0)</f>
        <v>0.361075</v>
      </c>
      <c r="M1950" s="15">
        <v>0.361075</v>
      </c>
      <c r="N1950" s="15">
        <f>A1950</f>
        <v>1948</v>
      </c>
      <c r="O1950" s="15">
        <f t="shared" si="3622"/>
        <v>6000</v>
      </c>
      <c r="P1950" s="41">
        <f t="shared" si="7232" ref="P1950:P2177">2145+2145*1%</f>
        <v>2166.45</v>
      </c>
      <c r="Q1950" s="16"/>
    </row>
    <row r="1951" ht="20.05" customHeight="1">
      <c r="A1951" s="13">
        <f>A1950+1</f>
        <v>1949</v>
      </c>
      <c r="B1951" s="14">
        <v>2024</v>
      </c>
      <c r="C1951" s="15">
        <v>2</v>
      </c>
      <c r="D1951" s="15">
        <v>7</v>
      </c>
      <c r="E1951" s="16"/>
      <c r="F1951" t="s" s="17">
        <v>111</v>
      </c>
      <c r="G1951" s="16"/>
      <c r="H1951" t="s" s="17">
        <v>163</v>
      </c>
      <c r="I1951" t="s" s="17">
        <v>187</v>
      </c>
      <c r="J1951" t="s" s="17">
        <v>168</v>
      </c>
      <c r="K1951" t="s" s="17">
        <v>23</v>
      </c>
      <c r="L1951" s="15">
        <f>IF(O1951,P1951/O1951,0)</f>
        <v>0.356016</v>
      </c>
      <c r="M1951" s="15">
        <v>0.356016</v>
      </c>
      <c r="N1951" s="15">
        <f>A1951</f>
        <v>1949</v>
      </c>
      <c r="O1951" s="15">
        <f t="shared" si="6917"/>
        <v>1250</v>
      </c>
      <c r="P1951" s="15">
        <v>445.02</v>
      </c>
      <c r="Q1951" s="16"/>
    </row>
    <row r="1952" ht="20.05" customHeight="1">
      <c r="A1952" s="13">
        <f>A1951+1</f>
        <v>1950</v>
      </c>
      <c r="B1952" s="14">
        <v>2024</v>
      </c>
      <c r="C1952" s="15">
        <v>2</v>
      </c>
      <c r="D1952" s="15">
        <v>7</v>
      </c>
      <c r="E1952" s="16"/>
      <c r="F1952" t="s" s="17">
        <v>111</v>
      </c>
      <c r="G1952" s="16"/>
      <c r="H1952" t="s" s="17">
        <v>163</v>
      </c>
      <c r="I1952" t="s" s="17">
        <v>19</v>
      </c>
      <c r="J1952" t="s" s="17">
        <v>112</v>
      </c>
      <c r="K1952" t="s" s="17">
        <v>41</v>
      </c>
      <c r="L1952" s="15">
        <f>IF(O1952,P1952/O1952,0)</f>
        <v>0.045096</v>
      </c>
      <c r="M1952" s="15">
        <v>0.045096</v>
      </c>
      <c r="N1952" s="15">
        <f>A1952</f>
        <v>1950</v>
      </c>
      <c r="O1952" s="15">
        <f t="shared" si="6392"/>
        <v>5000</v>
      </c>
      <c r="P1952" s="15">
        <v>225.48</v>
      </c>
      <c r="Q1952" s="16"/>
    </row>
    <row r="1953" ht="20.05" customHeight="1">
      <c r="A1953" s="13">
        <f>A1952+1</f>
        <v>1951</v>
      </c>
      <c r="B1953" s="14">
        <v>2024</v>
      </c>
      <c r="C1953" s="15">
        <v>2</v>
      </c>
      <c r="D1953" s="15">
        <v>7</v>
      </c>
      <c r="E1953" s="16"/>
      <c r="F1953" t="s" s="17">
        <v>111</v>
      </c>
      <c r="G1953" s="16"/>
      <c r="H1953" t="s" s="17">
        <v>163</v>
      </c>
      <c r="I1953" t="s" s="17">
        <v>26</v>
      </c>
      <c r="J1953" t="s" s="17">
        <v>113</v>
      </c>
      <c r="K1953" t="s" s="17">
        <v>41</v>
      </c>
      <c r="L1953" s="15">
        <f>IF(O1953,P1953/O1953,0)</f>
        <v>0.0336233333333333</v>
      </c>
      <c r="M1953" s="15">
        <v>0.0336233333333333</v>
      </c>
      <c r="N1953" s="15">
        <f>A1953</f>
        <v>1951</v>
      </c>
      <c r="O1953" s="15">
        <f t="shared" si="7244" ref="O1953:O2095">3000</f>
        <v>3000</v>
      </c>
      <c r="P1953" s="15">
        <v>100.87</v>
      </c>
      <c r="Q1953" s="16"/>
    </row>
    <row r="1954" ht="20.05" customHeight="1">
      <c r="A1954" s="13">
        <f>A1953+1</f>
        <v>1952</v>
      </c>
      <c r="B1954" s="14">
        <v>2024</v>
      </c>
      <c r="C1954" s="15">
        <v>2</v>
      </c>
      <c r="D1954" s="15">
        <v>7</v>
      </c>
      <c r="E1954" s="16"/>
      <c r="F1954" t="s" s="17">
        <v>111</v>
      </c>
      <c r="G1954" s="16"/>
      <c r="H1954" t="s" s="17">
        <v>163</v>
      </c>
      <c r="I1954" t="s" s="17">
        <v>19</v>
      </c>
      <c r="J1954" t="s" s="17">
        <v>72</v>
      </c>
      <c r="K1954" t="s" s="17">
        <v>41</v>
      </c>
      <c r="L1954" s="15">
        <f>IF(O1954,P1954/O1954,0)</f>
        <v>0.276784</v>
      </c>
      <c r="M1954" s="15">
        <v>0.276784</v>
      </c>
      <c r="N1954" s="15">
        <f>A1954</f>
        <v>1952</v>
      </c>
      <c r="O1954" s="15">
        <f t="shared" si="6917"/>
        <v>1250</v>
      </c>
      <c r="P1954" s="15">
        <v>345.98</v>
      </c>
      <c r="Q1954" s="16"/>
    </row>
    <row r="1955" ht="20.05" customHeight="1">
      <c r="A1955" s="13">
        <f>A1954+1</f>
        <v>1953</v>
      </c>
      <c r="B1955" s="14">
        <v>2024</v>
      </c>
      <c r="C1955" s="15">
        <v>2</v>
      </c>
      <c r="D1955" s="15">
        <v>7</v>
      </c>
      <c r="E1955" s="16"/>
      <c r="F1955" t="s" s="17">
        <v>111</v>
      </c>
      <c r="G1955" s="16"/>
      <c r="H1955" t="s" s="17">
        <v>163</v>
      </c>
      <c r="I1955" t="s" s="17">
        <v>26</v>
      </c>
      <c r="J1955" t="s" s="17">
        <v>134</v>
      </c>
      <c r="K1955" t="s" s="17">
        <v>23</v>
      </c>
      <c r="L1955" s="15">
        <f>IF(O1955,P1955/O1955,0)</f>
        <v>42.107</v>
      </c>
      <c r="M1955" s="15">
        <v>42.107</v>
      </c>
      <c r="N1955" s="15">
        <f>A1955</f>
        <v>1953</v>
      </c>
      <c r="O1955" s="15">
        <f t="shared" si="6895"/>
        <v>10</v>
      </c>
      <c r="P1955" s="15">
        <v>421.07</v>
      </c>
      <c r="Q1955" s="16"/>
    </row>
    <row r="1956" ht="20.05" customHeight="1">
      <c r="A1956" s="13">
        <f>A1955+1</f>
        <v>1954</v>
      </c>
      <c r="B1956" s="14">
        <v>2024</v>
      </c>
      <c r="C1956" s="15">
        <v>2</v>
      </c>
      <c r="D1956" s="15">
        <v>7</v>
      </c>
      <c r="E1956" s="16"/>
      <c r="F1956" t="s" s="17">
        <v>111</v>
      </c>
      <c r="G1956" s="16"/>
      <c r="H1956" t="s" s="17">
        <v>163</v>
      </c>
      <c r="I1956" t="s" s="17">
        <v>187</v>
      </c>
      <c r="J1956" t="s" s="17">
        <v>196</v>
      </c>
      <c r="K1956" t="s" s="17">
        <v>41</v>
      </c>
      <c r="L1956" s="15">
        <f>IF(O1956,P1956/O1956,0)</f>
        <v>0.0486733333333333</v>
      </c>
      <c r="M1956" s="15">
        <v>0.0486733333333333</v>
      </c>
      <c r="N1956" s="15">
        <f>A1956</f>
        <v>1954</v>
      </c>
      <c r="O1956" s="15">
        <f>2*750</f>
        <v>1500</v>
      </c>
      <c r="P1956" s="15">
        <v>73.01000000000001</v>
      </c>
      <c r="Q1956" s="16"/>
    </row>
    <row r="1957" ht="20.05" customHeight="1">
      <c r="A1957" s="13">
        <f>A1956+1</f>
        <v>1955</v>
      </c>
      <c r="B1957" s="14">
        <v>2024</v>
      </c>
      <c r="C1957" s="15">
        <v>2</v>
      </c>
      <c r="D1957" s="15">
        <v>7</v>
      </c>
      <c r="E1957" s="16"/>
      <c r="F1957" t="s" s="17">
        <v>111</v>
      </c>
      <c r="G1957" s="16"/>
      <c r="H1957" t="s" s="17">
        <v>163</v>
      </c>
      <c r="I1957" t="s" s="17">
        <v>187</v>
      </c>
      <c r="J1957" t="s" s="17">
        <v>276</v>
      </c>
      <c r="K1957" t="s" s="17">
        <v>41</v>
      </c>
      <c r="L1957" s="15">
        <f>IF(O1957,P1957/O1957,0)</f>
        <v>0.07757</v>
      </c>
      <c r="M1957" s="15">
        <v>0.07757</v>
      </c>
      <c r="N1957" s="15">
        <f>A1957</f>
        <v>1955</v>
      </c>
      <c r="O1957" s="15">
        <f t="shared" si="6659"/>
        <v>2000</v>
      </c>
      <c r="P1957" s="15">
        <v>155.14</v>
      </c>
      <c r="Q1957" s="16"/>
    </row>
    <row r="1958" ht="20.05" customHeight="1">
      <c r="A1958" s="13">
        <f>A1957+1</f>
        <v>1956</v>
      </c>
      <c r="B1958" s="14">
        <v>2024</v>
      </c>
      <c r="C1958" s="15">
        <v>2</v>
      </c>
      <c r="D1958" s="15">
        <v>7</v>
      </c>
      <c r="E1958" s="16"/>
      <c r="F1958" t="s" s="17">
        <v>111</v>
      </c>
      <c r="G1958" s="16"/>
      <c r="H1958" t="s" s="17">
        <v>163</v>
      </c>
      <c r="I1958" t="s" s="17">
        <v>187</v>
      </c>
      <c r="J1958" t="s" s="17">
        <v>166</v>
      </c>
      <c r="K1958" t="s" s="17">
        <v>41</v>
      </c>
      <c r="L1958" s="15">
        <f>IF(O1958,P1958/O1958,0)</f>
        <v>0.0526</v>
      </c>
      <c r="M1958" s="15">
        <v>0.0526</v>
      </c>
      <c r="N1958" s="15">
        <f>A1958</f>
        <v>1956</v>
      </c>
      <c r="O1958" s="15">
        <f>500</f>
        <v>500</v>
      </c>
      <c r="P1958" s="15">
        <v>26.3</v>
      </c>
      <c r="Q1958" s="16"/>
    </row>
    <row r="1959" ht="20.05" customHeight="1">
      <c r="A1959" s="13">
        <f>A1958+1</f>
        <v>1957</v>
      </c>
      <c r="B1959" s="14">
        <v>2024</v>
      </c>
      <c r="C1959" s="15">
        <v>2</v>
      </c>
      <c r="D1959" s="15">
        <v>7</v>
      </c>
      <c r="E1959" s="16"/>
      <c r="F1959" t="s" s="17">
        <v>141</v>
      </c>
      <c r="G1959" s="16"/>
      <c r="H1959" t="s" s="17">
        <v>163</v>
      </c>
      <c r="I1959" t="s" s="17">
        <v>19</v>
      </c>
      <c r="J1959" t="s" s="17">
        <v>144</v>
      </c>
      <c r="K1959" t="s" s="17">
        <v>23</v>
      </c>
      <c r="L1959" s="15">
        <f>IF(O1959,P1959/O1959,0)</f>
        <v>13.85175</v>
      </c>
      <c r="M1959" s="15">
        <v>13.85175</v>
      </c>
      <c r="N1959" s="15">
        <f>A1959</f>
        <v>1957</v>
      </c>
      <c r="O1959" s="15">
        <v>24</v>
      </c>
      <c r="P1959" s="42">
        <f t="shared" si="6942"/>
        <v>332.442</v>
      </c>
      <c r="Q1959" s="16"/>
    </row>
    <row r="1960" ht="20.05" customHeight="1">
      <c r="A1960" s="13">
        <f>A1959+1</f>
        <v>1958</v>
      </c>
      <c r="B1960" s="14">
        <v>2024</v>
      </c>
      <c r="C1960" s="15">
        <v>2</v>
      </c>
      <c r="D1960" s="15">
        <v>7</v>
      </c>
      <c r="E1960" s="16"/>
      <c r="F1960" t="s" s="17">
        <v>141</v>
      </c>
      <c r="G1960" s="16"/>
      <c r="H1960" t="s" s="17">
        <v>163</v>
      </c>
      <c r="I1960" t="s" s="17">
        <v>19</v>
      </c>
      <c r="J1960" t="s" s="17">
        <v>159</v>
      </c>
      <c r="K1960" t="s" s="17">
        <v>23</v>
      </c>
      <c r="L1960" s="15">
        <f>IF(O1960,P1960/O1960,0)</f>
        <v>2.48001291666667</v>
      </c>
      <c r="M1960" s="15">
        <v>2.48001291666667</v>
      </c>
      <c r="N1960" s="15">
        <f>A1960</f>
        <v>1958</v>
      </c>
      <c r="O1960" s="15">
        <v>240</v>
      </c>
      <c r="P1960" s="43">
        <f t="shared" si="7167"/>
        <v>595.2030999999999</v>
      </c>
      <c r="Q1960" s="16"/>
    </row>
    <row r="1961" ht="20.05" customHeight="1">
      <c r="A1961" s="13">
        <f>A1960+1</f>
        <v>1959</v>
      </c>
      <c r="B1961" s="14">
        <v>2024</v>
      </c>
      <c r="C1961" s="15">
        <v>2</v>
      </c>
      <c r="D1961" s="15">
        <v>7</v>
      </c>
      <c r="E1961" s="16"/>
      <c r="F1961" t="s" s="17">
        <v>130</v>
      </c>
      <c r="G1961" s="16"/>
      <c r="H1961" t="s" s="17">
        <v>163</v>
      </c>
      <c r="I1961" t="s" s="17">
        <v>19</v>
      </c>
      <c r="J1961" t="s" s="17">
        <v>157</v>
      </c>
      <c r="K1961" t="s" s="17">
        <v>16</v>
      </c>
      <c r="L1961" s="15">
        <f>IF(O1961,P1961/O1961,0)</f>
        <v>0.0199491094147583</v>
      </c>
      <c r="M1961" s="15">
        <v>0.0199491094147583</v>
      </c>
      <c r="N1961" s="15">
        <f>A1961</f>
        <v>1959</v>
      </c>
      <c r="O1961" s="15">
        <v>1965</v>
      </c>
      <c r="P1961" s="15">
        <v>39.2</v>
      </c>
      <c r="Q1961" s="16"/>
    </row>
    <row r="1962" ht="20.05" customHeight="1">
      <c r="A1962" s="13">
        <f>A1961+1</f>
        <v>1960</v>
      </c>
      <c r="B1962" s="14">
        <v>2024</v>
      </c>
      <c r="C1962" s="15">
        <v>2</v>
      </c>
      <c r="D1962" s="15">
        <v>7</v>
      </c>
      <c r="E1962" s="16"/>
      <c r="F1962" t="s" s="17">
        <v>287</v>
      </c>
      <c r="G1962" s="16"/>
      <c r="H1962" t="s" s="17">
        <v>163</v>
      </c>
      <c r="I1962" t="s" s="17">
        <v>14</v>
      </c>
      <c r="J1962" t="s" s="17">
        <v>289</v>
      </c>
      <c r="K1962" t="s" s="17">
        <v>23</v>
      </c>
      <c r="L1962" s="15">
        <f>IF(O1962,P1962/O1962,0)</f>
        <v>26.967</v>
      </c>
      <c r="M1962" s="15">
        <v>26.967</v>
      </c>
      <c r="N1962" s="15">
        <f>A1962</f>
        <v>1960</v>
      </c>
      <c r="O1962" s="15">
        <v>10</v>
      </c>
      <c r="P1962" s="41">
        <f>267+(267*1%)</f>
        <v>269.67</v>
      </c>
      <c r="Q1962" s="16"/>
    </row>
    <row r="1963" ht="20.05" customHeight="1">
      <c r="A1963" s="13">
        <f>A1962+1</f>
        <v>1961</v>
      </c>
      <c r="B1963" s="14">
        <v>2024</v>
      </c>
      <c r="C1963" s="15">
        <v>2</v>
      </c>
      <c r="D1963" s="15">
        <v>7</v>
      </c>
      <c r="E1963" s="16"/>
      <c r="F1963" t="s" s="17">
        <v>287</v>
      </c>
      <c r="G1963" s="16"/>
      <c r="H1963" t="s" s="17">
        <v>163</v>
      </c>
      <c r="I1963" t="s" s="17">
        <v>14</v>
      </c>
      <c r="J1963" t="s" s="17">
        <v>433</v>
      </c>
      <c r="K1963" t="s" s="17">
        <v>23</v>
      </c>
      <c r="L1963" s="15">
        <f>IF(O1963,P1963/O1963,0)</f>
        <v>34.542</v>
      </c>
      <c r="M1963" s="15">
        <v>34.542</v>
      </c>
      <c r="N1963" s="15">
        <f>A1963</f>
        <v>1961</v>
      </c>
      <c r="O1963" s="15">
        <v>10</v>
      </c>
      <c r="P1963" s="41">
        <f>342+342*1%</f>
        <v>345.42</v>
      </c>
      <c r="Q1963" s="16"/>
    </row>
    <row r="1964" ht="20.05" customHeight="1">
      <c r="A1964" s="13">
        <f>A1963+1</f>
        <v>1962</v>
      </c>
      <c r="B1964" s="14">
        <v>2024</v>
      </c>
      <c r="C1964" s="15">
        <v>2</v>
      </c>
      <c r="D1964" s="15">
        <v>7</v>
      </c>
      <c r="E1964" s="16"/>
      <c r="F1964" t="s" s="17">
        <v>287</v>
      </c>
      <c r="G1964" s="16"/>
      <c r="H1964" t="s" s="17">
        <v>163</v>
      </c>
      <c r="I1964" t="s" s="17">
        <v>14</v>
      </c>
      <c r="J1964" t="s" s="17">
        <v>279</v>
      </c>
      <c r="K1964" t="s" s="17">
        <v>23</v>
      </c>
      <c r="L1964" s="15">
        <f>IF(O1964,P1964/O1964,0)</f>
        <v>30.401</v>
      </c>
      <c r="M1964" s="15">
        <v>30.401</v>
      </c>
      <c r="N1964" s="15">
        <f>A1964</f>
        <v>1962</v>
      </c>
      <c r="O1964" s="15">
        <v>10</v>
      </c>
      <c r="P1964" s="41">
        <f>301+301*1%</f>
        <v>304.01</v>
      </c>
      <c r="Q1964" s="16"/>
    </row>
    <row r="1965" ht="32.05" customHeight="1">
      <c r="A1965" s="13">
        <f>A1964+1</f>
        <v>1963</v>
      </c>
      <c r="B1965" s="14">
        <v>2024</v>
      </c>
      <c r="C1965" s="15">
        <v>2</v>
      </c>
      <c r="D1965" s="15">
        <v>7</v>
      </c>
      <c r="E1965" s="16"/>
      <c r="F1965" t="s" s="17">
        <v>287</v>
      </c>
      <c r="G1965" s="16"/>
      <c r="H1965" t="s" s="17">
        <v>163</v>
      </c>
      <c r="I1965" t="s" s="17">
        <v>17</v>
      </c>
      <c r="J1965" t="s" s="17">
        <v>299</v>
      </c>
      <c r="K1965" t="s" s="17">
        <v>23</v>
      </c>
      <c r="L1965" s="15">
        <f>IF(O1965,P1965/O1965,0)</f>
        <v>24.5766666666667</v>
      </c>
      <c r="M1965" s="15">
        <v>24.5766666666667</v>
      </c>
      <c r="N1965" s="15">
        <f>A1965</f>
        <v>1963</v>
      </c>
      <c r="O1965" s="15">
        <v>24</v>
      </c>
      <c r="P1965" s="41">
        <f>584+584*1%</f>
        <v>589.84</v>
      </c>
      <c r="Q1965" s="16"/>
    </row>
    <row r="1966" ht="20.05" customHeight="1">
      <c r="A1966" s="13">
        <f>A1965+1</f>
        <v>1964</v>
      </c>
      <c r="B1966" s="14">
        <v>2024</v>
      </c>
      <c r="C1966" s="15">
        <v>2</v>
      </c>
      <c r="D1966" s="15">
        <v>8</v>
      </c>
      <c r="E1966" s="16"/>
      <c r="F1966" t="s" s="17">
        <v>122</v>
      </c>
      <c r="G1966" s="16"/>
      <c r="H1966" t="s" s="17">
        <v>163</v>
      </c>
      <c r="I1966" t="s" s="17">
        <v>187</v>
      </c>
      <c r="J1966" t="s" s="17">
        <v>128</v>
      </c>
      <c r="K1966" t="s" s="17">
        <v>23</v>
      </c>
      <c r="L1966" s="15">
        <f>IF(O1966,P1966/O1966,0)</f>
        <v>38.6575</v>
      </c>
      <c r="M1966" s="15">
        <v>38.6575</v>
      </c>
      <c r="N1966" s="15">
        <f>A1966</f>
        <v>1964</v>
      </c>
      <c r="O1966" s="15">
        <v>24</v>
      </c>
      <c r="P1966" s="41">
        <f>773.15+773.15*20%</f>
        <v>927.78</v>
      </c>
      <c r="Q1966" s="16"/>
    </row>
    <row r="1967" ht="20.05" customHeight="1">
      <c r="A1967" s="13">
        <f>A1966+1</f>
        <v>1965</v>
      </c>
      <c r="B1967" s="14">
        <v>2024</v>
      </c>
      <c r="C1967" s="15">
        <v>2</v>
      </c>
      <c r="D1967" s="15">
        <v>4</v>
      </c>
      <c r="E1967" s="16"/>
      <c r="F1967" t="s" s="17">
        <v>130</v>
      </c>
      <c r="G1967" s="16"/>
      <c r="H1967" t="s" s="17">
        <v>163</v>
      </c>
      <c r="I1967" t="s" s="17">
        <v>19</v>
      </c>
      <c r="J1967" t="s" s="17">
        <v>518</v>
      </c>
      <c r="K1967" t="s" s="17">
        <v>23</v>
      </c>
      <c r="L1967" s="15">
        <f>IF(O1967,P1967/O1967,0)</f>
        <v>14.9833333333333</v>
      </c>
      <c r="M1967" s="15">
        <v>14.9833333333333</v>
      </c>
      <c r="N1967" s="15">
        <f>A1967</f>
        <v>1965</v>
      </c>
      <c r="O1967" s="15">
        <v>6</v>
      </c>
      <c r="P1967" s="15">
        <v>89.90000000000001</v>
      </c>
      <c r="Q1967" s="16"/>
    </row>
    <row r="1968" ht="20.05" customHeight="1">
      <c r="A1968" s="13">
        <f>A1967+1</f>
        <v>1966</v>
      </c>
      <c r="B1968" s="14">
        <v>2024</v>
      </c>
      <c r="C1968" s="15">
        <v>2</v>
      </c>
      <c r="D1968" s="15">
        <v>7</v>
      </c>
      <c r="E1968" s="16"/>
      <c r="F1968" t="s" s="17">
        <v>317</v>
      </c>
      <c r="G1968" s="16"/>
      <c r="H1968" t="s" s="17">
        <v>163</v>
      </c>
      <c r="I1968" t="s" s="17">
        <v>519</v>
      </c>
      <c r="J1968" t="s" s="17">
        <v>318</v>
      </c>
      <c r="K1968" t="s" s="17">
        <v>23</v>
      </c>
      <c r="L1968" s="15">
        <f>IF(O1968,P1968/O1968,0)</f>
        <v>7.5</v>
      </c>
      <c r="M1968" s="15">
        <v>7.5</v>
      </c>
      <c r="N1968" s="15">
        <f>A1968</f>
        <v>1966</v>
      </c>
      <c r="O1968" s="15">
        <v>20</v>
      </c>
      <c r="P1968" s="15">
        <v>150</v>
      </c>
      <c r="Q1968" s="16"/>
    </row>
    <row r="1969" ht="32.05" customHeight="1">
      <c r="A1969" s="13">
        <f>A1968+1</f>
        <v>1967</v>
      </c>
      <c r="B1969" s="14">
        <v>2024</v>
      </c>
      <c r="C1969" s="15">
        <v>2</v>
      </c>
      <c r="D1969" s="15">
        <v>8</v>
      </c>
      <c r="E1969" s="16"/>
      <c r="F1969" t="s" s="17">
        <v>348</v>
      </c>
      <c r="G1969" s="16"/>
      <c r="H1969" t="s" s="17">
        <v>163</v>
      </c>
      <c r="I1969" t="s" s="17">
        <v>187</v>
      </c>
      <c r="J1969" t="s" s="17">
        <v>350</v>
      </c>
      <c r="K1969" t="s" s="17">
        <v>23</v>
      </c>
      <c r="L1969" s="15">
        <f>IF(O1969,P1969/O1969,0)</f>
        <v>5.42875</v>
      </c>
      <c r="M1969" s="15">
        <v>5.42875</v>
      </c>
      <c r="N1969" s="15">
        <f>A1969</f>
        <v>1967</v>
      </c>
      <c r="O1969" s="15">
        <v>80</v>
      </c>
      <c r="P1969" s="15">
        <v>434.3</v>
      </c>
      <c r="Q1969" s="16"/>
    </row>
    <row r="1970" ht="20.05" customHeight="1">
      <c r="A1970" s="13">
        <f>A1969+1</f>
        <v>1968</v>
      </c>
      <c r="B1970" s="14">
        <v>2024</v>
      </c>
      <c r="C1970" s="15">
        <v>2</v>
      </c>
      <c r="D1970" s="15">
        <v>8</v>
      </c>
      <c r="E1970" s="16"/>
      <c r="F1970" t="s" s="17">
        <v>184</v>
      </c>
      <c r="G1970" s="16"/>
      <c r="H1970" t="s" s="17">
        <v>163</v>
      </c>
      <c r="I1970" t="s" s="17">
        <v>187</v>
      </c>
      <c r="J1970" t="s" s="17">
        <v>185</v>
      </c>
      <c r="K1970" t="s" s="17">
        <v>23</v>
      </c>
      <c r="L1970" s="15">
        <f>IF(O1970,P1970/O1970,0)</f>
        <v>100</v>
      </c>
      <c r="M1970" s="15">
        <v>100</v>
      </c>
      <c r="N1970" s="15">
        <f>A1970</f>
        <v>1968</v>
      </c>
      <c r="O1970" s="15">
        <v>1</v>
      </c>
      <c r="P1970" s="15">
        <v>100</v>
      </c>
      <c r="Q1970" s="16"/>
    </row>
    <row r="1971" ht="20.05" customHeight="1">
      <c r="A1971" s="13">
        <f>A1970+1</f>
        <v>1969</v>
      </c>
      <c r="B1971" s="14">
        <v>2024</v>
      </c>
      <c r="C1971" s="15">
        <v>2</v>
      </c>
      <c r="D1971" s="15">
        <v>8</v>
      </c>
      <c r="E1971" s="16"/>
      <c r="F1971" t="s" s="17">
        <v>476</v>
      </c>
      <c r="G1971" s="16"/>
      <c r="H1971" t="s" s="17">
        <v>163</v>
      </c>
      <c r="I1971" t="s" s="17">
        <v>19</v>
      </c>
      <c r="J1971" t="s" s="17">
        <v>157</v>
      </c>
      <c r="K1971" t="s" s="17">
        <v>16</v>
      </c>
      <c r="L1971" s="15">
        <f>IF(O1971,P1971/O1971,0)</f>
        <v>0.0187517730496454</v>
      </c>
      <c r="M1971" s="15">
        <v>0.0187517730496454</v>
      </c>
      <c r="N1971" s="15">
        <f>A1971</f>
        <v>1969</v>
      </c>
      <c r="O1971" s="15">
        <v>2115</v>
      </c>
      <c r="P1971" s="15">
        <v>39.66</v>
      </c>
      <c r="Q1971" s="16"/>
    </row>
    <row r="1972" ht="20.05" customHeight="1">
      <c r="A1972" s="13">
        <f>A1971+1</f>
        <v>1970</v>
      </c>
      <c r="B1972" s="14">
        <v>2024</v>
      </c>
      <c r="C1972" s="15">
        <v>2</v>
      </c>
      <c r="D1972" s="15">
        <v>9</v>
      </c>
      <c r="E1972" s="16"/>
      <c r="F1972" t="s" s="17">
        <v>287</v>
      </c>
      <c r="G1972" s="16"/>
      <c r="H1972" t="s" s="17">
        <v>163</v>
      </c>
      <c r="I1972" t="s" s="17">
        <v>14</v>
      </c>
      <c r="J1972" t="s" s="17">
        <v>289</v>
      </c>
      <c r="K1972" t="s" s="17">
        <v>23</v>
      </c>
      <c r="L1972" s="15">
        <f>IF(O1972,P1972/O1972,0)</f>
        <v>44.9955</v>
      </c>
      <c r="M1972" s="15">
        <v>44.9955</v>
      </c>
      <c r="N1972" s="15">
        <f>A1972</f>
        <v>1970</v>
      </c>
      <c r="O1972" s="15">
        <v>10</v>
      </c>
      <c r="P1972" s="42">
        <f t="shared" si="7043"/>
        <v>449.955</v>
      </c>
      <c r="Q1972" s="16"/>
    </row>
    <row r="1973" ht="32.05" customHeight="1">
      <c r="A1973" s="13">
        <f>A1972+1</f>
        <v>1971</v>
      </c>
      <c r="B1973" s="14">
        <v>2024</v>
      </c>
      <c r="C1973" s="15">
        <v>2</v>
      </c>
      <c r="D1973" s="15">
        <v>9</v>
      </c>
      <c r="E1973" s="16"/>
      <c r="F1973" t="s" s="17">
        <v>287</v>
      </c>
      <c r="G1973" s="16"/>
      <c r="H1973" t="s" s="17">
        <v>163</v>
      </c>
      <c r="I1973" t="s" s="17">
        <v>14</v>
      </c>
      <c r="J1973" t="s" s="17">
        <v>283</v>
      </c>
      <c r="K1973" t="s" s="17">
        <v>23</v>
      </c>
      <c r="L1973" s="15">
        <f>IF(O1973,P1973/O1973,0)</f>
        <v>53.1765</v>
      </c>
      <c r="M1973" s="15">
        <v>53.1765</v>
      </c>
      <c r="N1973" s="15">
        <f>A1973</f>
        <v>1971</v>
      </c>
      <c r="O1973" s="15">
        <v>10</v>
      </c>
      <c r="P1973" s="42">
        <f t="shared" si="7318" ref="P1973:P2171">526.5+526.5*1%</f>
        <v>531.765</v>
      </c>
      <c r="Q1973" s="16"/>
    </row>
    <row r="1974" ht="20.05" customHeight="1">
      <c r="A1974" s="13">
        <f>A1973+1</f>
        <v>1972</v>
      </c>
      <c r="B1974" s="14">
        <v>2024</v>
      </c>
      <c r="C1974" s="15">
        <v>2</v>
      </c>
      <c r="D1974" s="15">
        <v>9</v>
      </c>
      <c r="E1974" s="16"/>
      <c r="F1974" t="s" s="17">
        <v>287</v>
      </c>
      <c r="G1974" s="16"/>
      <c r="H1974" t="s" s="17">
        <v>163</v>
      </c>
      <c r="I1974" t="s" s="17">
        <v>14</v>
      </c>
      <c r="J1974" t="s" s="17">
        <v>288</v>
      </c>
      <c r="K1974" t="s" s="17">
        <v>23</v>
      </c>
      <c r="L1974" s="15">
        <f>IF(O1974,P1974/O1974,0)</f>
        <v>55.9427777777778</v>
      </c>
      <c r="M1974" s="15">
        <v>55.9427777777778</v>
      </c>
      <c r="N1974" s="15">
        <f>A1974</f>
        <v>1972</v>
      </c>
      <c r="O1974" s="15">
        <v>9</v>
      </c>
      <c r="P1974" s="42">
        <f t="shared" si="7322" ref="P1974:P2156">498.5+498.5*1%</f>
        <v>503.485</v>
      </c>
      <c r="Q1974" s="16"/>
    </row>
    <row r="1975" ht="20.05" customHeight="1">
      <c r="A1975" s="13">
        <f>A1974+1</f>
        <v>1973</v>
      </c>
      <c r="B1975" s="14">
        <v>2024</v>
      </c>
      <c r="C1975" s="15">
        <v>2</v>
      </c>
      <c r="D1975" s="15">
        <v>9</v>
      </c>
      <c r="E1975" s="16"/>
      <c r="F1975" t="s" s="17">
        <v>287</v>
      </c>
      <c r="G1975" s="16"/>
      <c r="H1975" t="s" s="17">
        <v>163</v>
      </c>
      <c r="I1975" t="s" s="17">
        <v>14</v>
      </c>
      <c r="J1975" t="s" s="17">
        <v>279</v>
      </c>
      <c r="K1975" t="s" s="17">
        <v>23</v>
      </c>
      <c r="L1975" s="15">
        <f>IF(O1975,P1975/O1975,0)</f>
        <v>50.7525</v>
      </c>
      <c r="M1975" s="15">
        <v>50.7525</v>
      </c>
      <c r="N1975" s="15">
        <f>A1975</f>
        <v>1973</v>
      </c>
      <c r="O1975" s="15">
        <v>10</v>
      </c>
      <c r="P1975" s="42">
        <f t="shared" si="7326" ref="P1975:P2173">502.5+502.5*1%</f>
        <v>507.525</v>
      </c>
      <c r="Q1975" s="16"/>
    </row>
    <row r="1976" ht="20.05" customHeight="1">
      <c r="A1976" s="13">
        <f>A1975+1</f>
        <v>1974</v>
      </c>
      <c r="B1976" s="14">
        <v>2024</v>
      </c>
      <c r="C1976" s="15">
        <v>2</v>
      </c>
      <c r="D1976" s="15">
        <v>10</v>
      </c>
      <c r="E1976" s="16"/>
      <c r="F1976" t="s" s="17">
        <v>287</v>
      </c>
      <c r="G1976" s="16"/>
      <c r="H1976" t="s" s="17">
        <v>163</v>
      </c>
      <c r="I1976" t="s" s="17">
        <v>14</v>
      </c>
      <c r="J1976" t="s" s="17">
        <v>289</v>
      </c>
      <c r="K1976" t="s" s="17">
        <v>23</v>
      </c>
      <c r="L1976" s="15">
        <f>IF(O1976,P1976/O1976,0)</f>
        <v>44.9955</v>
      </c>
      <c r="M1976" s="15">
        <v>44.9955</v>
      </c>
      <c r="N1976" s="15">
        <f>A1976</f>
        <v>1974</v>
      </c>
      <c r="O1976" s="15">
        <v>10</v>
      </c>
      <c r="P1976" s="42">
        <f t="shared" si="7043"/>
        <v>449.955</v>
      </c>
      <c r="Q1976" s="16"/>
    </row>
    <row r="1977" ht="32.05" customHeight="1">
      <c r="A1977" s="13">
        <f>A1976+1</f>
        <v>1975</v>
      </c>
      <c r="B1977" s="14">
        <v>2024</v>
      </c>
      <c r="C1977" s="15">
        <v>2</v>
      </c>
      <c r="D1977" s="15">
        <v>10</v>
      </c>
      <c r="E1977" s="16"/>
      <c r="F1977" t="s" s="17">
        <v>287</v>
      </c>
      <c r="G1977" s="16"/>
      <c r="H1977" t="s" s="17">
        <v>163</v>
      </c>
      <c r="I1977" t="s" s="17">
        <v>14</v>
      </c>
      <c r="J1977" t="s" s="17">
        <v>283</v>
      </c>
      <c r="K1977" t="s" s="17">
        <v>23</v>
      </c>
      <c r="L1977" s="15">
        <f>IF(O1977,P1977/O1977,0)</f>
        <v>53.1765</v>
      </c>
      <c r="M1977" s="15">
        <v>53.1765</v>
      </c>
      <c r="N1977" s="15">
        <f>A1977</f>
        <v>1975</v>
      </c>
      <c r="O1977" s="15">
        <v>10</v>
      </c>
      <c r="P1977" s="42">
        <f t="shared" si="7318"/>
        <v>531.765</v>
      </c>
      <c r="Q1977" s="16"/>
    </row>
    <row r="1978" ht="20.05" customHeight="1">
      <c r="A1978" s="13">
        <f>A1977+1</f>
        <v>1976</v>
      </c>
      <c r="B1978" s="14">
        <v>2024</v>
      </c>
      <c r="C1978" s="15">
        <v>2</v>
      </c>
      <c r="D1978" s="15">
        <v>10</v>
      </c>
      <c r="E1978" s="16"/>
      <c r="F1978" t="s" s="17">
        <v>287</v>
      </c>
      <c r="G1978" s="16"/>
      <c r="H1978" t="s" s="17">
        <v>163</v>
      </c>
      <c r="I1978" t="s" s="17">
        <v>14</v>
      </c>
      <c r="J1978" t="s" s="17">
        <v>282</v>
      </c>
      <c r="K1978" t="s" s="17">
        <v>23</v>
      </c>
      <c r="L1978" s="15">
        <f>IF(O1978,P1978/O1978,0)</f>
        <v>40.905</v>
      </c>
      <c r="M1978" s="15">
        <v>40.905</v>
      </c>
      <c r="N1978" s="15">
        <f>A1978</f>
        <v>1976</v>
      </c>
      <c r="O1978" s="15">
        <v>10</v>
      </c>
      <c r="P1978" s="41">
        <f t="shared" si="7338" ref="P1978:P2081">405+405*1%</f>
        <v>409.05</v>
      </c>
      <c r="Q1978" s="16"/>
    </row>
    <row r="1979" ht="20.05" customHeight="1">
      <c r="A1979" s="13">
        <f>A1978+1</f>
        <v>1977</v>
      </c>
      <c r="B1979" s="14">
        <v>2024</v>
      </c>
      <c r="C1979" s="15">
        <v>2</v>
      </c>
      <c r="D1979" s="15">
        <v>10</v>
      </c>
      <c r="E1979" s="16"/>
      <c r="F1979" t="s" s="17">
        <v>287</v>
      </c>
      <c r="G1979" s="16"/>
      <c r="H1979" t="s" s="17">
        <v>163</v>
      </c>
      <c r="I1979" t="s" s="17">
        <v>14</v>
      </c>
      <c r="J1979" t="s" s="17">
        <v>279</v>
      </c>
      <c r="K1979" t="s" s="17">
        <v>23</v>
      </c>
      <c r="L1979" s="15">
        <f>IF(O1979,P1979/O1979,0)</f>
        <v>50.7525</v>
      </c>
      <c r="M1979" s="15">
        <v>50.7525</v>
      </c>
      <c r="N1979" s="15">
        <f>A1979</f>
        <v>1977</v>
      </c>
      <c r="O1979" s="15">
        <v>20</v>
      </c>
      <c r="P1979" s="41">
        <f t="shared" si="6349"/>
        <v>1015.05</v>
      </c>
      <c r="Q1979" s="16"/>
    </row>
    <row r="1980" ht="20.05" customHeight="1">
      <c r="A1980" s="13">
        <f>A1979+1</f>
        <v>1978</v>
      </c>
      <c r="B1980" s="14">
        <v>2024</v>
      </c>
      <c r="C1980" s="15">
        <v>2</v>
      </c>
      <c r="D1980" s="15">
        <v>10</v>
      </c>
      <c r="E1980" s="16"/>
      <c r="F1980" t="s" s="17">
        <v>141</v>
      </c>
      <c r="G1980" s="16"/>
      <c r="H1980" t="s" s="17">
        <v>163</v>
      </c>
      <c r="I1980" t="s" s="17">
        <v>19</v>
      </c>
      <c r="J1980" t="s" s="17">
        <v>142</v>
      </c>
      <c r="K1980" t="s" s="17">
        <v>23</v>
      </c>
      <c r="L1980" s="15">
        <f>IF(O1980,P1980/O1980,0)</f>
        <v>13.8515208333333</v>
      </c>
      <c r="M1980" s="15">
        <v>13.8515208333333</v>
      </c>
      <c r="N1980" s="15">
        <f>A1980</f>
        <v>1978</v>
      </c>
      <c r="O1980" s="15">
        <v>48</v>
      </c>
      <c r="P1980" s="42">
        <f t="shared" si="7346" ref="P1980:P1982">604.43+604.43*10%</f>
        <v>664.873</v>
      </c>
      <c r="Q1980" s="16"/>
    </row>
    <row r="1981" ht="20.05" customHeight="1">
      <c r="A1981" s="13">
        <f>A1980+1</f>
        <v>1979</v>
      </c>
      <c r="B1981" s="14">
        <v>2024</v>
      </c>
      <c r="C1981" s="15">
        <v>2</v>
      </c>
      <c r="D1981" s="15">
        <v>10</v>
      </c>
      <c r="E1981" s="16"/>
      <c r="F1981" t="s" s="17">
        <v>141</v>
      </c>
      <c r="G1981" s="16"/>
      <c r="H1981" t="s" s="17">
        <v>163</v>
      </c>
      <c r="I1981" t="s" s="17">
        <v>19</v>
      </c>
      <c r="J1981" t="s" s="17">
        <v>158</v>
      </c>
      <c r="K1981" t="s" s="17">
        <v>23</v>
      </c>
      <c r="L1981" s="15">
        <f>IF(O1981,P1981/O1981,0)</f>
        <v>13.85175</v>
      </c>
      <c r="M1981" s="15">
        <v>13.85175</v>
      </c>
      <c r="N1981" s="15">
        <f>A1981</f>
        <v>1979</v>
      </c>
      <c r="O1981" s="15">
        <v>24</v>
      </c>
      <c r="P1981" s="42">
        <f t="shared" si="6942"/>
        <v>332.442</v>
      </c>
      <c r="Q1981" s="16"/>
    </row>
    <row r="1982" ht="20.05" customHeight="1">
      <c r="A1982" s="13">
        <f>A1981+1</f>
        <v>1980</v>
      </c>
      <c r="B1982" s="14">
        <v>2024</v>
      </c>
      <c r="C1982" s="15">
        <v>2</v>
      </c>
      <c r="D1982" s="15">
        <v>10</v>
      </c>
      <c r="E1982" s="16"/>
      <c r="F1982" t="s" s="17">
        <v>141</v>
      </c>
      <c r="G1982" s="16"/>
      <c r="H1982" t="s" s="17">
        <v>163</v>
      </c>
      <c r="I1982" t="s" s="17">
        <v>19</v>
      </c>
      <c r="J1982" t="s" s="17">
        <v>144</v>
      </c>
      <c r="K1982" t="s" s="17">
        <v>23</v>
      </c>
      <c r="L1982" s="15">
        <f>IF(O1982,P1982/O1982,0)</f>
        <v>13.8515208333333</v>
      </c>
      <c r="M1982" s="15">
        <v>13.8515208333333</v>
      </c>
      <c r="N1982" s="15">
        <f>A1982</f>
        <v>1980</v>
      </c>
      <c r="O1982" s="15">
        <v>48</v>
      </c>
      <c r="P1982" s="42">
        <f t="shared" si="7346"/>
        <v>664.873</v>
      </c>
      <c r="Q1982" s="16"/>
    </row>
    <row r="1983" ht="20.05" customHeight="1">
      <c r="A1983" s="13">
        <f>A1982+1</f>
        <v>1981</v>
      </c>
      <c r="B1983" s="14">
        <v>2024</v>
      </c>
      <c r="C1983" s="15">
        <v>2</v>
      </c>
      <c r="D1983" s="15">
        <v>10</v>
      </c>
      <c r="E1983" s="16"/>
      <c r="F1983" t="s" s="17">
        <v>141</v>
      </c>
      <c r="G1983" s="16"/>
      <c r="H1983" t="s" s="17">
        <v>163</v>
      </c>
      <c r="I1983" t="s" s="17">
        <v>19</v>
      </c>
      <c r="J1983" t="s" s="17">
        <v>159</v>
      </c>
      <c r="K1983" t="s" s="17">
        <v>23</v>
      </c>
      <c r="L1983" s="15">
        <f>IF(O1983,P1983/O1983,0)</f>
        <v>2.60016083333333</v>
      </c>
      <c r="M1983" s="15">
        <v>2.60016083333333</v>
      </c>
      <c r="N1983" s="15">
        <f>A1983</f>
        <v>1981</v>
      </c>
      <c r="O1983" s="15">
        <v>120</v>
      </c>
      <c r="P1983" s="43">
        <f t="shared" si="4984"/>
        <v>312.0193</v>
      </c>
      <c r="Q1983" s="16"/>
    </row>
    <row r="1984" ht="20.05" customHeight="1">
      <c r="A1984" s="13">
        <f>A1983+1</f>
        <v>1982</v>
      </c>
      <c r="B1984" s="14">
        <v>2024</v>
      </c>
      <c r="C1984" s="15">
        <v>2</v>
      </c>
      <c r="D1984" s="15">
        <v>10</v>
      </c>
      <c r="E1984" s="16"/>
      <c r="F1984" t="s" s="17">
        <v>141</v>
      </c>
      <c r="G1984" s="16"/>
      <c r="H1984" t="s" s="17">
        <v>163</v>
      </c>
      <c r="I1984" t="s" s="17">
        <v>19</v>
      </c>
      <c r="J1984" t="s" s="17">
        <v>359</v>
      </c>
      <c r="K1984" t="s" s="17">
        <v>23</v>
      </c>
      <c r="L1984" s="15">
        <f>IF(O1984,P1984/O1984,0)</f>
        <v>255</v>
      </c>
      <c r="M1984" s="15">
        <v>255</v>
      </c>
      <c r="N1984" s="15">
        <f>A1984</f>
        <v>1982</v>
      </c>
      <c r="O1984" s="15">
        <v>2</v>
      </c>
      <c r="P1984" s="15">
        <f>170*3</f>
        <v>510</v>
      </c>
      <c r="Q1984" s="16"/>
    </row>
    <row r="1985" ht="20.05" customHeight="1">
      <c r="A1985" s="13">
        <f>A1984+1</f>
        <v>1983</v>
      </c>
      <c r="B1985" s="14">
        <v>2024</v>
      </c>
      <c r="C1985" s="15">
        <v>2</v>
      </c>
      <c r="D1985" s="15">
        <v>10</v>
      </c>
      <c r="E1985" s="16"/>
      <c r="F1985" t="s" s="17">
        <v>141</v>
      </c>
      <c r="G1985" s="16"/>
      <c r="H1985" t="s" s="17">
        <v>163</v>
      </c>
      <c r="I1985" t="s" s="17">
        <v>19</v>
      </c>
      <c r="J1985" t="s" s="17">
        <v>520</v>
      </c>
      <c r="K1985" t="s" s="17">
        <v>23</v>
      </c>
      <c r="L1985" s="15">
        <f>IF(O1985,P1985/O1985,0)</f>
        <v>-50</v>
      </c>
      <c r="M1985" s="15">
        <v>-50</v>
      </c>
      <c r="N1985" s="15">
        <f>A1985</f>
        <v>1983</v>
      </c>
      <c r="O1985" s="15">
        <v>2</v>
      </c>
      <c r="P1985" s="15">
        <v>-100</v>
      </c>
      <c r="Q1985" s="16"/>
    </row>
    <row r="1986" ht="20.05" customHeight="1">
      <c r="A1986" s="13">
        <f>A1985+1</f>
        <v>1984</v>
      </c>
      <c r="B1986" s="14">
        <v>2024</v>
      </c>
      <c r="C1986" s="15">
        <v>2</v>
      </c>
      <c r="D1986" s="15">
        <v>10</v>
      </c>
      <c r="E1986" s="16"/>
      <c r="F1986" t="s" s="17">
        <v>231</v>
      </c>
      <c r="G1986" s="16"/>
      <c r="H1986" t="s" s="17">
        <v>163</v>
      </c>
      <c r="I1986" t="s" s="17">
        <v>187</v>
      </c>
      <c r="J1986" t="s" s="17">
        <v>521</v>
      </c>
      <c r="K1986" t="s" s="17">
        <v>23</v>
      </c>
      <c r="L1986" s="15">
        <f>IF(O1986,P1986/O1986,0)</f>
        <v>66.09999999999999</v>
      </c>
      <c r="M1986" s="15">
        <v>66.09999999999999</v>
      </c>
      <c r="N1986" s="15">
        <f>A1986</f>
        <v>1984</v>
      </c>
      <c r="O1986" s="15">
        <v>6</v>
      </c>
      <c r="P1986" s="15">
        <f>6*66.1</f>
        <v>396.6</v>
      </c>
      <c r="Q1986" s="16"/>
    </row>
    <row r="1987" ht="20.05" customHeight="1">
      <c r="A1987" s="13">
        <f>A1986+1</f>
        <v>1985</v>
      </c>
      <c r="B1987" s="14">
        <v>2024</v>
      </c>
      <c r="C1987" s="15">
        <v>2</v>
      </c>
      <c r="D1987" s="15">
        <v>10</v>
      </c>
      <c r="E1987" s="16"/>
      <c r="F1987" t="s" s="17">
        <v>184</v>
      </c>
      <c r="G1987" s="16"/>
      <c r="H1987" t="s" s="17">
        <v>163</v>
      </c>
      <c r="I1987" t="s" s="17">
        <v>187</v>
      </c>
      <c r="J1987" t="s" s="17">
        <v>328</v>
      </c>
      <c r="K1987" t="s" s="17">
        <v>23</v>
      </c>
      <c r="L1987" s="15">
        <f>IF(O1987,P1987/O1987,0)</f>
        <v>37.5</v>
      </c>
      <c r="M1987" s="15">
        <v>37.5</v>
      </c>
      <c r="N1987" s="15">
        <f>A1987</f>
        <v>1985</v>
      </c>
      <c r="O1987" s="15">
        <v>12</v>
      </c>
      <c r="P1987" s="15">
        <v>450</v>
      </c>
      <c r="Q1987" s="16"/>
    </row>
    <row r="1988" ht="20.05" customHeight="1">
      <c r="A1988" s="13">
        <f>A1987+1</f>
        <v>1986</v>
      </c>
      <c r="B1988" s="14">
        <v>2024</v>
      </c>
      <c r="C1988" s="15">
        <v>2</v>
      </c>
      <c r="D1988" s="15">
        <v>10</v>
      </c>
      <c r="E1988" s="16"/>
      <c r="F1988" t="s" s="17">
        <v>476</v>
      </c>
      <c r="G1988" s="16"/>
      <c r="H1988" t="s" s="17">
        <v>163</v>
      </c>
      <c r="I1988" t="s" s="17">
        <v>19</v>
      </c>
      <c r="J1988" t="s" s="17">
        <v>157</v>
      </c>
      <c r="K1988" t="s" s="17">
        <v>16</v>
      </c>
      <c r="L1988" s="15">
        <f>IF(O1988,P1988/O1988,0)</f>
        <v>0.0138987341772152</v>
      </c>
      <c r="M1988" s="15">
        <v>0.0138987341772152</v>
      </c>
      <c r="N1988" s="15">
        <f>A1988</f>
        <v>1986</v>
      </c>
      <c r="O1988" s="15">
        <v>1580</v>
      </c>
      <c r="P1988" s="15">
        <v>21.96</v>
      </c>
      <c r="Q1988" s="16"/>
    </row>
    <row r="1989" ht="20.05" customHeight="1">
      <c r="A1989" s="13">
        <f>A1988+1</f>
        <v>1987</v>
      </c>
      <c r="B1989" s="14">
        <v>2024</v>
      </c>
      <c r="C1989" s="15">
        <v>2</v>
      </c>
      <c r="D1989" s="15">
        <v>11</v>
      </c>
      <c r="E1989" s="16"/>
      <c r="F1989" t="s" s="17">
        <v>476</v>
      </c>
      <c r="G1989" s="16"/>
      <c r="H1989" t="s" s="17">
        <v>163</v>
      </c>
      <c r="I1989" t="s" s="17">
        <v>19</v>
      </c>
      <c r="J1989" t="s" s="17">
        <v>157</v>
      </c>
      <c r="K1989" t="s" s="17">
        <v>16</v>
      </c>
      <c r="L1989" s="15">
        <f>IF(O1989,P1989/O1989,0)</f>
        <v>0.0139012875536481</v>
      </c>
      <c r="M1989" s="15">
        <v>0.0139012875536481</v>
      </c>
      <c r="N1989" s="15">
        <f>A1989</f>
        <v>1987</v>
      </c>
      <c r="O1989" s="15">
        <v>2330</v>
      </c>
      <c r="P1989" s="15">
        <v>32.39</v>
      </c>
      <c r="Q1989" s="16"/>
    </row>
    <row r="1990" ht="20.05" customHeight="1">
      <c r="A1990" s="13">
        <f>A1989+1</f>
        <v>1988</v>
      </c>
      <c r="B1990" s="14">
        <v>2024</v>
      </c>
      <c r="C1990" s="15">
        <v>2</v>
      </c>
      <c r="D1990" s="15">
        <v>11</v>
      </c>
      <c r="E1990" s="16"/>
      <c r="F1990" t="s" s="17">
        <v>317</v>
      </c>
      <c r="G1990" s="16"/>
      <c r="H1990" t="s" s="17">
        <v>163</v>
      </c>
      <c r="I1990" t="s" s="17">
        <v>519</v>
      </c>
      <c r="J1990" t="s" s="17">
        <v>318</v>
      </c>
      <c r="K1990" t="s" s="17">
        <v>23</v>
      </c>
      <c r="L1990" s="15">
        <f>IF(O1990,P1990/O1990,0)</f>
        <v>7.5</v>
      </c>
      <c r="M1990" s="15">
        <v>7.5</v>
      </c>
      <c r="N1990" s="15">
        <f>A1990</f>
        <v>1988</v>
      </c>
      <c r="O1990" s="15">
        <v>30</v>
      </c>
      <c r="P1990" s="15">
        <v>225</v>
      </c>
      <c r="Q1990" s="16"/>
    </row>
    <row r="1991" ht="20.05" customHeight="1">
      <c r="A1991" s="13">
        <f>A1990+1</f>
        <v>1989</v>
      </c>
      <c r="B1991" s="14">
        <v>2024</v>
      </c>
      <c r="C1991" s="15">
        <v>2</v>
      </c>
      <c r="D1991" s="15">
        <v>11</v>
      </c>
      <c r="E1991" s="16"/>
      <c r="F1991" t="s" s="17">
        <v>522</v>
      </c>
      <c r="G1991" s="16"/>
      <c r="H1991" t="s" s="17">
        <v>163</v>
      </c>
      <c r="I1991" t="s" s="17">
        <v>19</v>
      </c>
      <c r="J1991" t="s" s="17">
        <v>157</v>
      </c>
      <c r="K1991" t="s" s="17">
        <v>16</v>
      </c>
      <c r="L1991" s="15">
        <f>IF(O1991,P1991/O1991,0)</f>
        <v>0.01875</v>
      </c>
      <c r="M1991" s="15">
        <v>0.01875</v>
      </c>
      <c r="N1991" s="15">
        <f>A1991</f>
        <v>1989</v>
      </c>
      <c r="O1991" s="15">
        <v>4320</v>
      </c>
      <c r="P1991" s="15">
        <v>81</v>
      </c>
      <c r="Q1991" s="16"/>
    </row>
    <row r="1992" ht="32.05" customHeight="1">
      <c r="A1992" s="13">
        <f>A1991+1</f>
        <v>1990</v>
      </c>
      <c r="B1992" s="14">
        <v>2024</v>
      </c>
      <c r="C1992" s="15">
        <v>2</v>
      </c>
      <c r="D1992" s="15">
        <v>13</v>
      </c>
      <c r="E1992" s="16"/>
      <c r="F1992" t="s" s="17">
        <v>523</v>
      </c>
      <c r="G1992" s="16"/>
      <c r="H1992" t="s" s="17">
        <v>163</v>
      </c>
      <c r="I1992" t="s" s="17">
        <v>187</v>
      </c>
      <c r="J1992" t="s" s="17">
        <v>524</v>
      </c>
      <c r="K1992" t="s" s="17">
        <v>23</v>
      </c>
      <c r="L1992" s="15">
        <f>IF(O1992,P1992/O1992,0)</f>
        <v>5750.004</v>
      </c>
      <c r="M1992" s="15">
        <v>5750.004</v>
      </c>
      <c r="N1992" s="15">
        <f>A1992</f>
        <v>1990</v>
      </c>
      <c r="O1992" s="15">
        <v>1</v>
      </c>
      <c r="P1992" s="42">
        <f>4791.67+4791.67*20%</f>
        <v>5750.004</v>
      </c>
      <c r="Q1992" s="16"/>
    </row>
    <row r="1993" ht="32.05" customHeight="1">
      <c r="A1993" s="13">
        <f>A1992+1</f>
        <v>1991</v>
      </c>
      <c r="B1993" s="14">
        <v>2024</v>
      </c>
      <c r="C1993" s="15">
        <v>2</v>
      </c>
      <c r="D1993" s="15">
        <v>14</v>
      </c>
      <c r="E1993" s="16"/>
      <c r="F1993" t="s" s="17">
        <v>122</v>
      </c>
      <c r="G1993" s="16"/>
      <c r="H1993" t="s" s="17">
        <v>163</v>
      </c>
      <c r="I1993" t="s" s="17">
        <v>187</v>
      </c>
      <c r="J1993" t="s" s="17">
        <v>136</v>
      </c>
      <c r="K1993" t="s" s="17">
        <v>23</v>
      </c>
      <c r="L1993" s="15">
        <f>IF(O1993,P1993/O1993,0)</f>
        <v>0.2424</v>
      </c>
      <c r="M1993" s="15">
        <v>0.2424</v>
      </c>
      <c r="N1993" s="15">
        <f>A1993</f>
        <v>1991</v>
      </c>
      <c r="O1993" s="15">
        <f t="shared" si="6890"/>
        <v>2000</v>
      </c>
      <c r="P1993" s="42">
        <f t="shared" si="6891"/>
        <v>484.8</v>
      </c>
      <c r="Q1993" s="16"/>
    </row>
    <row r="1994" ht="20.05" customHeight="1">
      <c r="A1994" s="13">
        <f>A1993+1</f>
        <v>1992</v>
      </c>
      <c r="B1994" s="14">
        <v>2024</v>
      </c>
      <c r="C1994" s="15">
        <v>2</v>
      </c>
      <c r="D1994" s="15">
        <v>14</v>
      </c>
      <c r="E1994" s="16"/>
      <c r="F1994" t="s" s="17">
        <v>122</v>
      </c>
      <c r="G1994" s="16"/>
      <c r="H1994" t="s" s="17">
        <v>163</v>
      </c>
      <c r="I1994" t="s" s="17">
        <v>187</v>
      </c>
      <c r="J1994" t="s" s="17">
        <v>161</v>
      </c>
      <c r="K1994" t="s" s="17">
        <v>23</v>
      </c>
      <c r="L1994" s="15">
        <f>IF(O1994,P1994/O1994,0)</f>
        <v>14.4495</v>
      </c>
      <c r="M1994" s="15">
        <v>14.4495</v>
      </c>
      <c r="N1994" s="15">
        <f>A1994</f>
        <v>1992</v>
      </c>
      <c r="O1994" s="15">
        <f>2*8*3</f>
        <v>48</v>
      </c>
      <c r="P1994" s="42">
        <f>577.98+577.98*20%</f>
        <v>693.576</v>
      </c>
      <c r="Q1994" s="16"/>
    </row>
    <row r="1995" ht="32.05" customHeight="1">
      <c r="A1995" s="13">
        <f>A1994+1</f>
        <v>1993</v>
      </c>
      <c r="B1995" s="14">
        <v>2024</v>
      </c>
      <c r="C1995" s="15">
        <v>2</v>
      </c>
      <c r="D1995" s="15">
        <v>14</v>
      </c>
      <c r="E1995" s="16"/>
      <c r="F1995" t="s" s="17">
        <v>122</v>
      </c>
      <c r="G1995" s="16"/>
      <c r="H1995" t="s" s="17">
        <v>163</v>
      </c>
      <c r="I1995" t="s" s="17">
        <v>187</v>
      </c>
      <c r="J1995" t="s" s="17">
        <v>137</v>
      </c>
      <c r="K1995" t="s" s="17">
        <v>41</v>
      </c>
      <c r="L1995" s="15">
        <f>IF(O1995,P1995/O1995,0)</f>
        <v>0.032184</v>
      </c>
      <c r="M1995" s="15">
        <v>0.032184</v>
      </c>
      <c r="N1995" s="15">
        <f>A1995</f>
        <v>1993</v>
      </c>
      <c r="O1995" s="15">
        <f t="shared" si="7008"/>
        <v>10000</v>
      </c>
      <c r="P1995" s="41">
        <f>268.2+268.2*20%</f>
        <v>321.84</v>
      </c>
      <c r="Q1995" s="16"/>
    </row>
    <row r="1996" ht="20.05" customHeight="1">
      <c r="A1996" s="13">
        <f>A1995+1</f>
        <v>1994</v>
      </c>
      <c r="B1996" s="14">
        <v>2024</v>
      </c>
      <c r="C1996" s="15">
        <v>2</v>
      </c>
      <c r="D1996" s="15">
        <v>14</v>
      </c>
      <c r="E1996" s="16"/>
      <c r="F1996" t="s" s="17">
        <v>122</v>
      </c>
      <c r="G1996" s="16"/>
      <c r="H1996" t="s" s="17">
        <v>163</v>
      </c>
      <c r="I1996" t="s" s="17">
        <v>187</v>
      </c>
      <c r="J1996" t="s" s="17">
        <v>128</v>
      </c>
      <c r="K1996" t="s" s="17">
        <v>23</v>
      </c>
      <c r="L1996" s="15">
        <f>IF(O1996,P1996/O1996,0)</f>
        <v>31.175</v>
      </c>
      <c r="M1996" s="15">
        <v>31.175</v>
      </c>
      <c r="N1996" s="15">
        <f>A1996</f>
        <v>1994</v>
      </c>
      <c r="O1996" s="15">
        <f t="shared" si="7407" ref="O1996:O2148">24</f>
        <v>24</v>
      </c>
      <c r="P1996" s="42">
        <f>623.5+623.5*20%</f>
        <v>748.2</v>
      </c>
      <c r="Q1996" s="16"/>
    </row>
    <row r="1997" ht="20.05" customHeight="1">
      <c r="A1997" s="13">
        <f>A1996+1</f>
        <v>1995</v>
      </c>
      <c r="B1997" s="14">
        <v>2024</v>
      </c>
      <c r="C1997" s="15">
        <v>2</v>
      </c>
      <c r="D1997" s="15">
        <v>14</v>
      </c>
      <c r="E1997" s="16"/>
      <c r="F1997" t="s" s="17">
        <v>122</v>
      </c>
      <c r="G1997" s="16"/>
      <c r="H1997" t="s" s="17">
        <v>163</v>
      </c>
      <c r="I1997" t="s" s="17">
        <v>19</v>
      </c>
      <c r="J1997" t="s" s="17">
        <v>138</v>
      </c>
      <c r="K1997" t="s" s="17">
        <v>41</v>
      </c>
      <c r="L1997" s="15">
        <f>IF(O1997,P1997/O1997,0)</f>
        <v>0.04343</v>
      </c>
      <c r="M1997" s="15">
        <v>0.04343</v>
      </c>
      <c r="N1997" s="15">
        <f>A1997</f>
        <v>1995</v>
      </c>
      <c r="O1997" s="15">
        <f t="shared" si="7412" ref="O1997:O2090">5*12*1000</f>
        <v>60000</v>
      </c>
      <c r="P1997" s="42">
        <f t="shared" si="6877"/>
        <v>2605.8</v>
      </c>
      <c r="Q1997" s="16"/>
    </row>
    <row r="1998" ht="20.05" customHeight="1">
      <c r="A1998" s="13">
        <f>A1997+1</f>
        <v>1996</v>
      </c>
      <c r="B1998" s="14">
        <v>2024</v>
      </c>
      <c r="C1998" s="15">
        <v>2</v>
      </c>
      <c r="D1998" s="15">
        <v>14</v>
      </c>
      <c r="E1998" s="16"/>
      <c r="F1998" t="s" s="17">
        <v>111</v>
      </c>
      <c r="G1998" s="16"/>
      <c r="H1998" t="s" s="17">
        <v>163</v>
      </c>
      <c r="I1998" t="s" s="17">
        <v>19</v>
      </c>
      <c r="J1998" t="s" s="17">
        <v>112</v>
      </c>
      <c r="K1998" t="s" s="17">
        <v>41</v>
      </c>
      <c r="L1998" s="15">
        <f>IF(O1998,P1998/O1998,0)</f>
        <v>0.045096</v>
      </c>
      <c r="M1998" s="15">
        <v>0.045096</v>
      </c>
      <c r="N1998" s="15">
        <f>A1998</f>
        <v>1996</v>
      </c>
      <c r="O1998" s="15">
        <f t="shared" si="7417" ref="O1998:O2059">5*1000</f>
        <v>5000</v>
      </c>
      <c r="P1998" s="15">
        <v>225.48</v>
      </c>
      <c r="Q1998" s="16"/>
    </row>
    <row r="1999" ht="20.05" customHeight="1">
      <c r="A1999" s="13">
        <f>A1998+1</f>
        <v>1997</v>
      </c>
      <c r="B1999" s="14">
        <v>2024</v>
      </c>
      <c r="C1999" s="15">
        <v>2</v>
      </c>
      <c r="D1999" s="15">
        <v>14</v>
      </c>
      <c r="E1999" s="16"/>
      <c r="F1999" t="s" s="17">
        <v>111</v>
      </c>
      <c r="G1999" s="16"/>
      <c r="H1999" t="s" s="17">
        <v>163</v>
      </c>
      <c r="I1999" t="s" s="17">
        <v>26</v>
      </c>
      <c r="J1999" t="s" s="17">
        <v>113</v>
      </c>
      <c r="K1999" t="s" s="17">
        <v>41</v>
      </c>
      <c r="L1999" s="15">
        <f>IF(O1999,P1999/O1999,0)</f>
        <v>0.0336233333333333</v>
      </c>
      <c r="M1999" s="15">
        <v>0.0336233333333333</v>
      </c>
      <c r="N1999" s="15">
        <f>A1999</f>
        <v>1997</v>
      </c>
      <c r="O1999" s="15">
        <f t="shared" si="7244"/>
        <v>3000</v>
      </c>
      <c r="P1999" s="15">
        <v>100.87</v>
      </c>
      <c r="Q1999" s="16"/>
    </row>
    <row r="2000" ht="20.05" customHeight="1">
      <c r="A2000" s="13">
        <f>A1999+1</f>
        <v>1998</v>
      </c>
      <c r="B2000" s="14">
        <v>2024</v>
      </c>
      <c r="C2000" s="15">
        <v>2</v>
      </c>
      <c r="D2000" s="15">
        <v>14</v>
      </c>
      <c r="E2000" s="16"/>
      <c r="F2000" t="s" s="17">
        <v>111</v>
      </c>
      <c r="G2000" s="16"/>
      <c r="H2000" t="s" s="17">
        <v>163</v>
      </c>
      <c r="I2000" t="s" s="17">
        <v>19</v>
      </c>
      <c r="J2000" t="s" s="17">
        <v>72</v>
      </c>
      <c r="K2000" t="s" s="17">
        <v>41</v>
      </c>
      <c r="L2000" s="15">
        <f>IF(O2000,P2000/O2000,0)</f>
        <v>0.276786666666667</v>
      </c>
      <c r="M2000" s="15">
        <v>0.276786666666667</v>
      </c>
      <c r="N2000" s="15">
        <f>A2000</f>
        <v>1998</v>
      </c>
      <c r="O2000" s="15">
        <f t="shared" si="6706"/>
        <v>750</v>
      </c>
      <c r="P2000" s="15">
        <v>207.59</v>
      </c>
      <c r="Q2000" s="16"/>
    </row>
    <row r="2001" ht="20.05" customHeight="1">
      <c r="A2001" s="13">
        <f>A2000+1</f>
        <v>1999</v>
      </c>
      <c r="B2001" s="14">
        <v>2024</v>
      </c>
      <c r="C2001" s="15">
        <v>2</v>
      </c>
      <c r="D2001" s="15">
        <v>14</v>
      </c>
      <c r="E2001" s="16"/>
      <c r="F2001" t="s" s="17">
        <v>111</v>
      </c>
      <c r="G2001" s="16"/>
      <c r="H2001" t="s" s="17">
        <v>163</v>
      </c>
      <c r="I2001" t="s" s="17">
        <v>26</v>
      </c>
      <c r="J2001" t="s" s="17">
        <v>117</v>
      </c>
      <c r="K2001" t="s" s="17">
        <v>23</v>
      </c>
      <c r="L2001" s="15">
        <f>IF(O2001,P2001/O2001,0)</f>
        <v>42.106</v>
      </c>
      <c r="M2001" s="15">
        <v>42.106</v>
      </c>
      <c r="N2001" s="15">
        <f>A2001</f>
        <v>1999</v>
      </c>
      <c r="O2001" s="15">
        <f t="shared" si="6710"/>
        <v>5</v>
      </c>
      <c r="P2001" s="15">
        <v>210.53</v>
      </c>
      <c r="Q2001" s="16"/>
    </row>
    <row r="2002" ht="20.05" customHeight="1">
      <c r="A2002" s="13">
        <f>A2001+1</f>
        <v>2000</v>
      </c>
      <c r="B2002" s="14">
        <v>2024</v>
      </c>
      <c r="C2002" s="15">
        <v>2</v>
      </c>
      <c r="D2002" s="15">
        <v>14</v>
      </c>
      <c r="E2002" s="16"/>
      <c r="F2002" t="s" s="17">
        <v>111</v>
      </c>
      <c r="G2002" s="16"/>
      <c r="H2002" t="s" s="17">
        <v>163</v>
      </c>
      <c r="I2002" t="s" s="17">
        <v>26</v>
      </c>
      <c r="J2002" t="s" s="17">
        <v>134</v>
      </c>
      <c r="K2002" t="s" s="17">
        <v>23</v>
      </c>
      <c r="L2002" s="15">
        <f>IF(O2002,P2002/O2002,0)</f>
        <v>42.106</v>
      </c>
      <c r="M2002" s="15">
        <v>42.106</v>
      </c>
      <c r="N2002" s="15">
        <f>A2002</f>
        <v>2000</v>
      </c>
      <c r="O2002" s="15">
        <v>5</v>
      </c>
      <c r="P2002" s="15">
        <v>210.53</v>
      </c>
      <c r="Q2002" s="16"/>
    </row>
    <row r="2003" ht="20.05" customHeight="1">
      <c r="A2003" s="13">
        <f>A2002+1</f>
        <v>2001</v>
      </c>
      <c r="B2003" s="14">
        <v>2024</v>
      </c>
      <c r="C2003" s="15">
        <v>2</v>
      </c>
      <c r="D2003" s="15">
        <v>14</v>
      </c>
      <c r="E2003" s="16"/>
      <c r="F2003" t="s" s="17">
        <v>111</v>
      </c>
      <c r="G2003" s="16"/>
      <c r="H2003" t="s" s="17">
        <v>163</v>
      </c>
      <c r="I2003" t="s" s="17">
        <v>26</v>
      </c>
      <c r="J2003" t="s" s="17">
        <v>118</v>
      </c>
      <c r="K2003" t="s" s="17">
        <v>23</v>
      </c>
      <c r="L2003" s="15">
        <f>IF(O2003,P2003/O2003,0)</f>
        <v>42.106</v>
      </c>
      <c r="M2003" s="15">
        <v>42.106</v>
      </c>
      <c r="N2003" s="15">
        <f>A2003</f>
        <v>2001</v>
      </c>
      <c r="O2003" s="15">
        <v>5</v>
      </c>
      <c r="P2003" s="15">
        <v>210.53</v>
      </c>
      <c r="Q2003" s="16"/>
    </row>
    <row r="2004" ht="20.05" customHeight="1">
      <c r="A2004" s="13">
        <f>A2003+1</f>
        <v>2002</v>
      </c>
      <c r="B2004" s="14">
        <v>2024</v>
      </c>
      <c r="C2004" s="15">
        <v>2</v>
      </c>
      <c r="D2004" s="15">
        <v>14</v>
      </c>
      <c r="E2004" s="16"/>
      <c r="F2004" t="s" s="17">
        <v>111</v>
      </c>
      <c r="G2004" s="16"/>
      <c r="H2004" t="s" s="17">
        <v>163</v>
      </c>
      <c r="I2004" t="s" s="17">
        <v>19</v>
      </c>
      <c r="J2004" t="s" s="17">
        <v>81</v>
      </c>
      <c r="K2004" t="s" s="17">
        <v>23</v>
      </c>
      <c r="L2004" s="15">
        <f>IF(O2004,P2004/O2004,0)</f>
        <v>1.49310185185185</v>
      </c>
      <c r="M2004" s="15">
        <v>1.49310185185185</v>
      </c>
      <c r="N2004" s="15">
        <f>A2004</f>
        <v>2002</v>
      </c>
      <c r="O2004" s="15">
        <f t="shared" si="6924"/>
        <v>216</v>
      </c>
      <c r="P2004" s="15">
        <v>322.51</v>
      </c>
      <c r="Q2004" s="16"/>
    </row>
    <row r="2005" ht="20.05" customHeight="1">
      <c r="A2005" s="13">
        <f>A2004+1</f>
        <v>2003</v>
      </c>
      <c r="B2005" s="14">
        <v>2024</v>
      </c>
      <c r="C2005" s="15">
        <v>2</v>
      </c>
      <c r="D2005" s="15">
        <v>14</v>
      </c>
      <c r="E2005" s="16"/>
      <c r="F2005" t="s" s="17">
        <v>111</v>
      </c>
      <c r="G2005" s="16"/>
      <c r="H2005" t="s" s="17">
        <v>163</v>
      </c>
      <c r="I2005" t="s" s="17">
        <v>19</v>
      </c>
      <c r="J2005" t="s" s="17">
        <v>63</v>
      </c>
      <c r="K2005" t="s" s="17">
        <v>16</v>
      </c>
      <c r="L2005" s="15">
        <f>IF(O2005,P2005/O2005,0)</f>
        <v>0.69308</v>
      </c>
      <c r="M2005" s="15">
        <v>0.69308</v>
      </c>
      <c r="N2005" s="15">
        <f>A2005</f>
        <v>2003</v>
      </c>
      <c r="O2005" s="15">
        <f t="shared" si="2300"/>
        <v>250</v>
      </c>
      <c r="P2005" s="15">
        <v>173.27</v>
      </c>
      <c r="Q2005" s="16"/>
    </row>
    <row r="2006" ht="20.05" customHeight="1">
      <c r="A2006" s="13">
        <f>A2005+1</f>
        <v>2004</v>
      </c>
      <c r="B2006" s="14">
        <v>2024</v>
      </c>
      <c r="C2006" s="15">
        <v>2</v>
      </c>
      <c r="D2006" s="15">
        <v>14</v>
      </c>
      <c r="E2006" s="16"/>
      <c r="F2006" t="s" s="17">
        <v>111</v>
      </c>
      <c r="G2006" s="16"/>
      <c r="H2006" t="s" s="17">
        <v>163</v>
      </c>
      <c r="I2006" t="s" s="17">
        <v>19</v>
      </c>
      <c r="J2006" t="s" s="17">
        <v>101</v>
      </c>
      <c r="K2006" t="s" s="17">
        <v>23</v>
      </c>
      <c r="L2006" s="15">
        <f>IF(O2006,P2006/O2006,0)</f>
        <v>8.18375</v>
      </c>
      <c r="M2006" s="15">
        <v>8.18375</v>
      </c>
      <c r="N2006" s="15">
        <f>A2006</f>
        <v>2004</v>
      </c>
      <c r="O2006" s="15">
        <f t="shared" si="7407"/>
        <v>24</v>
      </c>
      <c r="P2006" s="15">
        <v>196.41</v>
      </c>
      <c r="Q2006" s="16"/>
    </row>
    <row r="2007" ht="20.05" customHeight="1">
      <c r="A2007" s="13">
        <f>A2006+1</f>
        <v>2005</v>
      </c>
      <c r="B2007" s="14">
        <v>2024</v>
      </c>
      <c r="C2007" s="15">
        <v>2</v>
      </c>
      <c r="D2007" s="15">
        <v>14</v>
      </c>
      <c r="E2007" s="16"/>
      <c r="F2007" t="s" s="17">
        <v>111</v>
      </c>
      <c r="G2007" s="16"/>
      <c r="H2007" t="s" s="17">
        <v>163</v>
      </c>
      <c r="I2007" t="s" s="17">
        <v>187</v>
      </c>
      <c r="J2007" t="s" s="17">
        <v>276</v>
      </c>
      <c r="K2007" t="s" s="17">
        <v>41</v>
      </c>
      <c r="L2007" s="15">
        <f>IF(O2007,P2007/O2007,0)</f>
        <v>0.07757</v>
      </c>
      <c r="M2007" s="15">
        <v>0.07757</v>
      </c>
      <c r="N2007" s="15">
        <f>A2007</f>
        <v>2005</v>
      </c>
      <c r="O2007" s="15">
        <f t="shared" si="5569"/>
        <v>1000</v>
      </c>
      <c r="P2007" s="15">
        <v>77.56999999999999</v>
      </c>
      <c r="Q2007" s="16"/>
    </row>
    <row r="2008" ht="20.05" customHeight="1">
      <c r="A2008" s="13">
        <f>A2007+1</f>
        <v>2006</v>
      </c>
      <c r="B2008" s="14">
        <v>2024</v>
      </c>
      <c r="C2008" s="15">
        <v>2</v>
      </c>
      <c r="D2008" s="15">
        <v>14</v>
      </c>
      <c r="E2008" s="16"/>
      <c r="F2008" t="s" s="17">
        <v>111</v>
      </c>
      <c r="G2008" s="16"/>
      <c r="H2008" t="s" s="17">
        <v>163</v>
      </c>
      <c r="I2008" t="s" s="17">
        <v>187</v>
      </c>
      <c r="J2008" t="s" s="17">
        <v>166</v>
      </c>
      <c r="K2008" t="s" s="17">
        <v>41</v>
      </c>
      <c r="L2008" s="15">
        <f>IF(O2008,P2008/O2008,0)</f>
        <v>0.05261</v>
      </c>
      <c r="M2008" s="15">
        <v>0.05261</v>
      </c>
      <c r="N2008" s="15">
        <f>A2008</f>
        <v>2006</v>
      </c>
      <c r="O2008" s="15">
        <f t="shared" si="7455" ref="O2008:O2087">2*500</f>
        <v>1000</v>
      </c>
      <c r="P2008" s="15">
        <v>52.61</v>
      </c>
      <c r="Q2008" s="16"/>
    </row>
    <row r="2009" ht="20.05" customHeight="1">
      <c r="A2009" s="13">
        <f>A2008+1</f>
        <v>2007</v>
      </c>
      <c r="B2009" s="14">
        <v>2024</v>
      </c>
      <c r="C2009" s="15">
        <v>2</v>
      </c>
      <c r="D2009" s="15">
        <v>14</v>
      </c>
      <c r="E2009" s="16"/>
      <c r="F2009" t="s" s="17">
        <v>184</v>
      </c>
      <c r="G2009" s="16"/>
      <c r="H2009" t="s" s="17">
        <v>163</v>
      </c>
      <c r="I2009" t="s" s="17">
        <v>187</v>
      </c>
      <c r="J2009" t="s" s="17">
        <v>185</v>
      </c>
      <c r="K2009" t="s" s="17">
        <v>23</v>
      </c>
      <c r="L2009" s="15">
        <f>IF(O2009,P2009/O2009,0)</f>
        <v>75</v>
      </c>
      <c r="M2009" s="15">
        <v>75</v>
      </c>
      <c r="N2009" s="15">
        <f>A2009</f>
        <v>2007</v>
      </c>
      <c r="O2009" s="15">
        <v>1</v>
      </c>
      <c r="P2009" s="15">
        <v>75</v>
      </c>
      <c r="Q2009" s="16"/>
    </row>
    <row r="2010" ht="44.05" customHeight="1">
      <c r="A2010" s="13">
        <f>A2009+1</f>
        <v>2008</v>
      </c>
      <c r="B2010" s="14">
        <v>2024</v>
      </c>
      <c r="C2010" s="15">
        <v>2</v>
      </c>
      <c r="D2010" s="15">
        <v>14</v>
      </c>
      <c r="E2010" s="16"/>
      <c r="F2010" t="s" s="17">
        <v>525</v>
      </c>
      <c r="G2010" s="16"/>
      <c r="H2010" t="s" s="17">
        <v>163</v>
      </c>
      <c r="I2010" t="s" s="17">
        <v>187</v>
      </c>
      <c r="J2010" t="s" s="17">
        <v>526</v>
      </c>
      <c r="K2010" t="s" s="17">
        <v>23</v>
      </c>
      <c r="L2010" s="15">
        <f>IF(O2010,P2010/O2010,0)</f>
        <v>9000</v>
      </c>
      <c r="M2010" s="15">
        <v>9000</v>
      </c>
      <c r="N2010" s="15">
        <f>A2010</f>
        <v>2008</v>
      </c>
      <c r="O2010" s="15">
        <v>1</v>
      </c>
      <c r="P2010" s="41">
        <f>7500+7500*20%</f>
        <v>9000</v>
      </c>
      <c r="Q2010" s="16"/>
    </row>
    <row r="2011" ht="20.05" customHeight="1">
      <c r="A2011" s="13">
        <f>A2010+1</f>
        <v>2009</v>
      </c>
      <c r="B2011" s="14">
        <v>2024</v>
      </c>
      <c r="C2011" s="15">
        <v>2</v>
      </c>
      <c r="D2011" s="15">
        <v>14</v>
      </c>
      <c r="E2011" s="16"/>
      <c r="F2011" t="s" s="17">
        <v>150</v>
      </c>
      <c r="G2011" s="16"/>
      <c r="H2011" t="s" s="17">
        <v>163</v>
      </c>
      <c r="I2011" t="s" s="17">
        <v>19</v>
      </c>
      <c r="J2011" t="s" s="17">
        <v>56</v>
      </c>
      <c r="K2011" t="s" s="17">
        <v>41</v>
      </c>
      <c r="L2011" s="15">
        <f>IF(O2011,P2011/O2011,0)</f>
        <v>0.45248</v>
      </c>
      <c r="M2011" s="15">
        <v>0.45248</v>
      </c>
      <c r="N2011" s="15">
        <f>A2011</f>
        <v>2009</v>
      </c>
      <c r="O2011" s="15">
        <v>750</v>
      </c>
      <c r="P2011" s="41">
        <f t="shared" si="7466" ref="P2011:P2180">336+336*1%</f>
        <v>339.36</v>
      </c>
      <c r="Q2011" s="16"/>
    </row>
    <row r="2012" ht="20.05" customHeight="1">
      <c r="A2012" s="13">
        <f>A2011+1</f>
        <v>2010</v>
      </c>
      <c r="B2012" s="14">
        <v>2024</v>
      </c>
      <c r="C2012" s="15">
        <v>2</v>
      </c>
      <c r="D2012" s="15">
        <v>14</v>
      </c>
      <c r="E2012" s="16"/>
      <c r="F2012" t="s" s="17">
        <v>150</v>
      </c>
      <c r="G2012" s="16"/>
      <c r="H2012" t="s" s="17">
        <v>163</v>
      </c>
      <c r="I2012" t="s" s="17">
        <v>19</v>
      </c>
      <c r="J2012" t="s" s="17">
        <v>100</v>
      </c>
      <c r="K2012" t="s" s="17">
        <v>41</v>
      </c>
      <c r="L2012" s="15">
        <f>IF(O2012,P2012/O2012,0)</f>
        <v>0.61004</v>
      </c>
      <c r="M2012" s="15">
        <v>0.61004</v>
      </c>
      <c r="N2012" s="15">
        <f>A2012</f>
        <v>2010</v>
      </c>
      <c r="O2012" s="15">
        <v>1000</v>
      </c>
      <c r="P2012" s="41">
        <f t="shared" si="7470" ref="P2012:P2181">604+604*1%</f>
        <v>610.04</v>
      </c>
      <c r="Q2012" s="16"/>
    </row>
    <row r="2013" ht="20.05" customHeight="1">
      <c r="A2013" s="13">
        <f>A2012+1</f>
        <v>2011</v>
      </c>
      <c r="B2013" s="14">
        <v>2024</v>
      </c>
      <c r="C2013" s="15">
        <v>2</v>
      </c>
      <c r="D2013" s="15">
        <v>14</v>
      </c>
      <c r="E2013" s="16"/>
      <c r="F2013" t="s" s="17">
        <v>150</v>
      </c>
      <c r="G2013" s="16"/>
      <c r="H2013" t="s" s="17">
        <v>163</v>
      </c>
      <c r="I2013" t="s" s="17">
        <v>19</v>
      </c>
      <c r="J2013" t="s" s="17">
        <v>65</v>
      </c>
      <c r="K2013" t="s" s="17">
        <v>16</v>
      </c>
      <c r="L2013" s="15">
        <f>IF(O2013,P2013/O2013,0)</f>
        <v>0.42824</v>
      </c>
      <c r="M2013" s="15">
        <v>0.42824</v>
      </c>
      <c r="N2013" s="15">
        <f>A2013</f>
        <v>2011</v>
      </c>
      <c r="O2013" s="15">
        <v>500</v>
      </c>
      <c r="P2013" s="41">
        <f>212+212*1%</f>
        <v>214.12</v>
      </c>
      <c r="Q2013" s="16"/>
    </row>
    <row r="2014" ht="20.05" customHeight="1">
      <c r="A2014" s="13">
        <f>A2013+1</f>
        <v>2012</v>
      </c>
      <c r="B2014" s="14">
        <v>2024</v>
      </c>
      <c r="C2014" s="15">
        <v>2</v>
      </c>
      <c r="D2014" s="15">
        <v>14</v>
      </c>
      <c r="E2014" s="16"/>
      <c r="F2014" t="s" s="17">
        <v>428</v>
      </c>
      <c r="G2014" s="16"/>
      <c r="H2014" t="s" s="17">
        <v>163</v>
      </c>
      <c r="I2014" t="s" s="17">
        <v>19</v>
      </c>
      <c r="J2014" t="s" s="17">
        <v>139</v>
      </c>
      <c r="K2014" t="s" s="17">
        <v>23</v>
      </c>
      <c r="L2014" s="15">
        <f>IF(O2014,P2014/O2014,0)</f>
        <v>3.87503333333333</v>
      </c>
      <c r="M2014" s="15">
        <v>3.87503333333333</v>
      </c>
      <c r="N2014" s="15">
        <f>A2014</f>
        <v>2012</v>
      </c>
      <c r="O2014" s="15">
        <f t="shared" si="7221"/>
        <v>120</v>
      </c>
      <c r="P2014" s="42">
        <f t="shared" si="7222"/>
        <v>465.004</v>
      </c>
      <c r="Q2014" s="16"/>
    </row>
    <row r="2015" ht="32.05" customHeight="1">
      <c r="A2015" s="13">
        <f>A2014+1</f>
        <v>2013</v>
      </c>
      <c r="B2015" s="14">
        <v>2024</v>
      </c>
      <c r="C2015" s="15">
        <v>2</v>
      </c>
      <c r="D2015" s="15">
        <v>15</v>
      </c>
      <c r="E2015" s="16"/>
      <c r="F2015" t="s" s="17">
        <v>341</v>
      </c>
      <c r="G2015" s="16"/>
      <c r="H2015" t="s" s="17">
        <v>163</v>
      </c>
      <c r="I2015" t="s" s="17">
        <v>187</v>
      </c>
      <c r="J2015" t="s" s="17">
        <v>165</v>
      </c>
      <c r="K2015" t="s" s="17">
        <v>23</v>
      </c>
      <c r="L2015" s="15">
        <f>IF(O2015,P2015/O2015,0)</f>
        <v>47.61</v>
      </c>
      <c r="M2015" s="15">
        <v>47.61</v>
      </c>
      <c r="N2015" s="15">
        <f>A2015</f>
        <v>2013</v>
      </c>
      <c r="O2015" s="15">
        <f>2*10</f>
        <v>20</v>
      </c>
      <c r="P2015" s="42">
        <f>793.5+793.5*20%</f>
        <v>952.2</v>
      </c>
      <c r="Q2015" s="16"/>
    </row>
    <row r="2016" ht="32.05" customHeight="1">
      <c r="A2016" s="13">
        <f>A2015+1</f>
        <v>2014</v>
      </c>
      <c r="B2016" s="14">
        <v>2024</v>
      </c>
      <c r="C2016" s="15">
        <v>2</v>
      </c>
      <c r="D2016" s="15">
        <v>15</v>
      </c>
      <c r="E2016" s="16"/>
      <c r="F2016" t="s" s="17">
        <v>527</v>
      </c>
      <c r="G2016" s="16"/>
      <c r="H2016" t="s" s="17">
        <v>163</v>
      </c>
      <c r="I2016" t="s" s="17">
        <v>187</v>
      </c>
      <c r="J2016" t="s" s="17">
        <v>355</v>
      </c>
      <c r="K2016" t="s" s="17">
        <v>23</v>
      </c>
      <c r="L2016" s="15">
        <f>IF(O2016,P2016/O2016,0)</f>
        <v>1089.996</v>
      </c>
      <c r="M2016" s="15">
        <v>1089.996</v>
      </c>
      <c r="N2016" s="15">
        <f>A2016</f>
        <v>2014</v>
      </c>
      <c r="O2016" s="15">
        <v>1</v>
      </c>
      <c r="P2016" s="42">
        <f>908.33+908.33*20%</f>
        <v>1089.996</v>
      </c>
      <c r="Q2016" s="16"/>
    </row>
    <row r="2017" ht="32.05" customHeight="1">
      <c r="A2017" s="13">
        <f>A2016+1</f>
        <v>2015</v>
      </c>
      <c r="B2017" s="14">
        <v>2024</v>
      </c>
      <c r="C2017" s="15">
        <v>2</v>
      </c>
      <c r="D2017" s="15">
        <v>16</v>
      </c>
      <c r="E2017" s="16"/>
      <c r="F2017" t="s" s="17">
        <v>528</v>
      </c>
      <c r="G2017" s="16"/>
      <c r="H2017" t="s" s="17">
        <v>163</v>
      </c>
      <c r="I2017" t="s" s="17">
        <v>19</v>
      </c>
      <c r="J2017" t="s" s="17">
        <v>529</v>
      </c>
      <c r="K2017" t="s" s="17">
        <v>23</v>
      </c>
      <c r="L2017" s="15">
        <f>IF(O2017,P2017/O2017,0)</f>
        <v>163.168</v>
      </c>
      <c r="M2017" s="15">
        <v>163.168</v>
      </c>
      <c r="N2017" s="15">
        <f>A2017</f>
        <v>2015</v>
      </c>
      <c r="O2017" s="15">
        <v>6</v>
      </c>
      <c r="P2017" s="42">
        <f>815.84+815.84*20%</f>
        <v>979.008</v>
      </c>
      <c r="Q2017" s="16"/>
    </row>
    <row r="2018" ht="20.05" customHeight="1">
      <c r="A2018" s="13">
        <f>A2017+1</f>
        <v>2016</v>
      </c>
      <c r="B2018" s="14">
        <v>2024</v>
      </c>
      <c r="C2018" s="15">
        <v>2</v>
      </c>
      <c r="D2018" s="15">
        <v>16</v>
      </c>
      <c r="E2018" s="16"/>
      <c r="F2018" t="s" s="17">
        <v>476</v>
      </c>
      <c r="G2018" s="16"/>
      <c r="H2018" t="s" s="17">
        <v>163</v>
      </c>
      <c r="I2018" t="s" s="17">
        <v>19</v>
      </c>
      <c r="J2018" t="s" s="17">
        <v>157</v>
      </c>
      <c r="K2018" t="s" s="17">
        <v>16</v>
      </c>
      <c r="L2018" s="15">
        <f>IF(O2018,P2018/O2018,0)</f>
        <v>0.0149032258064516</v>
      </c>
      <c r="M2018" s="15">
        <v>0.0149032258064516</v>
      </c>
      <c r="N2018" s="15">
        <f>A2018</f>
        <v>2016</v>
      </c>
      <c r="O2018" s="15">
        <v>1395</v>
      </c>
      <c r="P2018" s="15">
        <v>20.79</v>
      </c>
      <c r="Q2018" s="16"/>
    </row>
    <row r="2019" ht="32.05" customHeight="1">
      <c r="A2019" s="13">
        <f>A2018+1</f>
        <v>2017</v>
      </c>
      <c r="B2019" s="14">
        <v>2024</v>
      </c>
      <c r="C2019" s="15">
        <v>2</v>
      </c>
      <c r="D2019" s="15">
        <v>16</v>
      </c>
      <c r="E2019" s="16"/>
      <c r="F2019" t="s" s="17">
        <v>287</v>
      </c>
      <c r="G2019" s="16"/>
      <c r="H2019" t="s" s="17">
        <v>163</v>
      </c>
      <c r="I2019" t="s" s="17">
        <v>14</v>
      </c>
      <c r="J2019" t="s" s="17">
        <v>283</v>
      </c>
      <c r="K2019" t="s" s="17">
        <v>23</v>
      </c>
      <c r="L2019" s="15">
        <f>IF(O2019,P2019/O2019,0)</f>
        <v>53.1765</v>
      </c>
      <c r="M2019" s="15">
        <v>53.1765</v>
      </c>
      <c r="N2019" s="15">
        <f>A2019</f>
        <v>2017</v>
      </c>
      <c r="O2019" s="15">
        <v>20</v>
      </c>
      <c r="P2019" s="41">
        <f t="shared" si="6344"/>
        <v>1063.53</v>
      </c>
      <c r="Q2019" s="16"/>
    </row>
    <row r="2020" ht="20.05" customHeight="1">
      <c r="A2020" s="13">
        <f>A2019+1</f>
        <v>2018</v>
      </c>
      <c r="B2020" s="14">
        <v>2024</v>
      </c>
      <c r="C2020" s="15">
        <v>2</v>
      </c>
      <c r="D2020" s="15">
        <v>16</v>
      </c>
      <c r="E2020" s="16"/>
      <c r="F2020" t="s" s="17">
        <v>287</v>
      </c>
      <c r="G2020" s="16"/>
      <c r="H2020" t="s" s="17">
        <v>163</v>
      </c>
      <c r="I2020" t="s" s="17">
        <v>14</v>
      </c>
      <c r="J2020" t="s" s="17">
        <v>433</v>
      </c>
      <c r="K2020" t="s" s="17">
        <v>23</v>
      </c>
      <c r="L2020" s="15">
        <f>IF(O2020,P2020/O2020,0)</f>
        <v>57.7215</v>
      </c>
      <c r="M2020" s="15">
        <v>57.7215</v>
      </c>
      <c r="N2020" s="15">
        <f>A2020</f>
        <v>2018</v>
      </c>
      <c r="O2020" s="15">
        <v>10</v>
      </c>
      <c r="P2020" s="42">
        <f t="shared" si="7503" ref="P2020:P2172">571.5+571.5*1%</f>
        <v>577.215</v>
      </c>
      <c r="Q2020" s="16"/>
    </row>
    <row r="2021" ht="20.05" customHeight="1">
      <c r="A2021" s="13">
        <f>A2020+1</f>
        <v>2019</v>
      </c>
      <c r="B2021" s="14">
        <v>2024</v>
      </c>
      <c r="C2021" s="15">
        <v>2</v>
      </c>
      <c r="D2021" s="15">
        <v>16</v>
      </c>
      <c r="E2021" s="16"/>
      <c r="F2021" t="s" s="17">
        <v>287</v>
      </c>
      <c r="G2021" s="16"/>
      <c r="H2021" t="s" s="17">
        <v>163</v>
      </c>
      <c r="I2021" t="s" s="17">
        <v>14</v>
      </c>
      <c r="J2021" t="s" s="17">
        <v>279</v>
      </c>
      <c r="K2021" t="s" s="17">
        <v>23</v>
      </c>
      <c r="L2021" s="15">
        <f>IF(O2021,P2021/O2021,0)</f>
        <v>50.7525</v>
      </c>
      <c r="M2021" s="15">
        <v>50.7525</v>
      </c>
      <c r="N2021" s="15">
        <f>A2021</f>
        <v>2019</v>
      </c>
      <c r="O2021" s="15">
        <v>20</v>
      </c>
      <c r="P2021" s="41">
        <f t="shared" si="7507" ref="P2021:P2139">1005+1005*1%</f>
        <v>1015.05</v>
      </c>
      <c r="Q2021" s="16"/>
    </row>
    <row r="2022" ht="20.05" customHeight="1">
      <c r="A2022" s="13">
        <f>A2021+1</f>
        <v>2020</v>
      </c>
      <c r="B2022" s="14">
        <v>2024</v>
      </c>
      <c r="C2022" s="15">
        <v>2</v>
      </c>
      <c r="D2022" s="15">
        <v>16</v>
      </c>
      <c r="E2022" s="16"/>
      <c r="F2022" t="s" s="17">
        <v>287</v>
      </c>
      <c r="G2022" s="16"/>
      <c r="H2022" t="s" s="17">
        <v>163</v>
      </c>
      <c r="I2022" t="s" s="17">
        <v>14</v>
      </c>
      <c r="J2022" t="s" s="17">
        <v>288</v>
      </c>
      <c r="K2022" t="s" s="17">
        <v>23</v>
      </c>
      <c r="L2022" s="15">
        <f>IF(O2022,P2022/O2022,0)</f>
        <v>55.9427777777778</v>
      </c>
      <c r="M2022" s="15">
        <v>55.9427777777778</v>
      </c>
      <c r="N2022" s="15">
        <f>A2022</f>
        <v>2020</v>
      </c>
      <c r="O2022" s="15">
        <v>9</v>
      </c>
      <c r="P2022" s="42">
        <f t="shared" si="7322"/>
        <v>503.485</v>
      </c>
      <c r="Q2022" s="16"/>
    </row>
    <row r="2023" ht="32.05" customHeight="1">
      <c r="A2023" s="13">
        <f>A2022+1</f>
        <v>2021</v>
      </c>
      <c r="B2023" s="14">
        <v>2024</v>
      </c>
      <c r="C2023" s="15">
        <v>2</v>
      </c>
      <c r="D2023" s="15">
        <v>16</v>
      </c>
      <c r="E2023" s="16"/>
      <c r="F2023" t="s" s="17">
        <v>287</v>
      </c>
      <c r="G2023" s="16"/>
      <c r="H2023" t="s" s="17">
        <v>163</v>
      </c>
      <c r="I2023" t="s" s="17">
        <v>17</v>
      </c>
      <c r="J2023" t="s" s="17">
        <v>300</v>
      </c>
      <c r="K2023" t="s" s="17">
        <v>23</v>
      </c>
      <c r="L2023" s="15">
        <f>IF(O2023,P2023/O2023,0)</f>
        <v>39.705625</v>
      </c>
      <c r="M2023" s="15">
        <v>39.705625</v>
      </c>
      <c r="N2023" s="15">
        <f>A2023</f>
        <v>2021</v>
      </c>
      <c r="O2023" s="15">
        <v>24</v>
      </c>
      <c r="P2023" s="42">
        <f t="shared" si="7515" ref="P2023:P2176">943.5+943.5*1%</f>
        <v>952.9349999999999</v>
      </c>
      <c r="Q2023" s="16"/>
    </row>
    <row r="2024" ht="32.05" customHeight="1">
      <c r="A2024" s="13">
        <f>A2023+1</f>
        <v>2022</v>
      </c>
      <c r="B2024" s="14">
        <v>2024</v>
      </c>
      <c r="C2024" s="15">
        <v>2</v>
      </c>
      <c r="D2024" s="15">
        <v>16</v>
      </c>
      <c r="E2024" s="16"/>
      <c r="F2024" t="s" s="17">
        <v>287</v>
      </c>
      <c r="G2024" s="16"/>
      <c r="H2024" t="s" s="17">
        <v>163</v>
      </c>
      <c r="I2024" t="s" s="17">
        <v>17</v>
      </c>
      <c r="J2024" t="s" s="17">
        <v>434</v>
      </c>
      <c r="K2024" t="s" s="17">
        <v>23</v>
      </c>
      <c r="L2024" s="15">
        <f>IF(O2024,P2024/O2024,0)</f>
        <v>54.0139583333333</v>
      </c>
      <c r="M2024" s="15">
        <v>54.0139583333333</v>
      </c>
      <c r="N2024" s="15">
        <f>A2024</f>
        <v>2022</v>
      </c>
      <c r="O2024" s="15">
        <v>24</v>
      </c>
      <c r="P2024" s="42">
        <f t="shared" si="7519" ref="P2024:P2158">1283.5+1283.5*1%</f>
        <v>1296.335</v>
      </c>
      <c r="Q2024" s="16"/>
    </row>
    <row r="2025" ht="20.05" customHeight="1">
      <c r="A2025" s="13">
        <f>A2024+1</f>
        <v>2023</v>
      </c>
      <c r="B2025" s="14">
        <v>2024</v>
      </c>
      <c r="C2025" s="15">
        <v>2</v>
      </c>
      <c r="D2025" s="15">
        <v>17</v>
      </c>
      <c r="E2025" s="16"/>
      <c r="F2025" t="s" s="17">
        <v>287</v>
      </c>
      <c r="G2025" s="16"/>
      <c r="H2025" t="s" s="17">
        <v>163</v>
      </c>
      <c r="I2025" t="s" s="17">
        <v>14</v>
      </c>
      <c r="J2025" t="s" s="17">
        <v>289</v>
      </c>
      <c r="K2025" t="s" s="17">
        <v>23</v>
      </c>
      <c r="L2025" s="15">
        <f>IF(O2025,P2025/O2025,0)</f>
        <v>44.9955</v>
      </c>
      <c r="M2025" s="15">
        <v>44.9955</v>
      </c>
      <c r="N2025" s="15">
        <f>A2025</f>
        <v>2023</v>
      </c>
      <c r="O2025" s="15">
        <v>20</v>
      </c>
      <c r="P2025" s="41">
        <f t="shared" si="6833"/>
        <v>899.91</v>
      </c>
      <c r="Q2025" s="16"/>
    </row>
    <row r="2026" ht="32.05" customHeight="1">
      <c r="A2026" s="13">
        <f>A2025+1</f>
        <v>2024</v>
      </c>
      <c r="B2026" s="14">
        <v>2024</v>
      </c>
      <c r="C2026" s="15">
        <v>2</v>
      </c>
      <c r="D2026" s="15">
        <v>17</v>
      </c>
      <c r="E2026" s="16"/>
      <c r="F2026" t="s" s="17">
        <v>287</v>
      </c>
      <c r="G2026" s="16"/>
      <c r="H2026" t="s" s="17">
        <v>163</v>
      </c>
      <c r="I2026" t="s" s="17">
        <v>14</v>
      </c>
      <c r="J2026" t="s" s="17">
        <v>283</v>
      </c>
      <c r="K2026" t="s" s="17">
        <v>23</v>
      </c>
      <c r="L2026" s="15">
        <f>IF(O2026,P2026/O2026,0)</f>
        <v>53.1765</v>
      </c>
      <c r="M2026" s="15">
        <v>53.1765</v>
      </c>
      <c r="N2026" s="15">
        <f>A2026</f>
        <v>2024</v>
      </c>
      <c r="O2026" s="15">
        <v>20</v>
      </c>
      <c r="P2026" s="41">
        <f>1053+1053*1%</f>
        <v>1063.53</v>
      </c>
      <c r="Q2026" s="16"/>
    </row>
    <row r="2027" ht="20.05" customHeight="1">
      <c r="A2027" s="13">
        <f>A2026+1</f>
        <v>2025</v>
      </c>
      <c r="B2027" s="14">
        <v>2024</v>
      </c>
      <c r="C2027" s="15">
        <v>2</v>
      </c>
      <c r="D2027" s="15">
        <v>17</v>
      </c>
      <c r="E2027" s="16"/>
      <c r="F2027" t="s" s="17">
        <v>141</v>
      </c>
      <c r="G2027" s="16"/>
      <c r="H2027" t="s" s="17">
        <v>163</v>
      </c>
      <c r="I2027" t="s" s="17">
        <v>19</v>
      </c>
      <c r="J2027" t="s" s="17">
        <v>142</v>
      </c>
      <c r="K2027" t="s" s="17">
        <v>23</v>
      </c>
      <c r="L2027" s="15">
        <f>IF(O2027,P2027/O2027,0)</f>
        <v>17.3160625</v>
      </c>
      <c r="M2027" s="15">
        <v>17.3160625</v>
      </c>
      <c r="N2027" s="15">
        <f>A2027</f>
        <v>2025</v>
      </c>
      <c r="O2027" s="15">
        <v>48</v>
      </c>
      <c r="P2027" s="42">
        <f>755.61+755.61*10%</f>
        <v>831.171</v>
      </c>
      <c r="Q2027" s="16"/>
    </row>
    <row r="2028" ht="20.05" customHeight="1">
      <c r="A2028" s="13">
        <f>A2027+1</f>
        <v>2026</v>
      </c>
      <c r="B2028" s="14">
        <v>2024</v>
      </c>
      <c r="C2028" s="15">
        <v>2</v>
      </c>
      <c r="D2028" s="15">
        <v>17</v>
      </c>
      <c r="E2028" s="16"/>
      <c r="F2028" t="s" s="17">
        <v>141</v>
      </c>
      <c r="G2028" s="16"/>
      <c r="H2028" t="s" s="17">
        <v>163</v>
      </c>
      <c r="I2028" t="s" s="17">
        <v>19</v>
      </c>
      <c r="J2028" t="s" s="17">
        <v>158</v>
      </c>
      <c r="K2028" t="s" s="17">
        <v>23</v>
      </c>
      <c r="L2028" s="15">
        <f>IF(O2028,P2028/O2028,0)</f>
        <v>17.1491666666667</v>
      </c>
      <c r="M2028" s="15">
        <v>17.1491666666667</v>
      </c>
      <c r="N2028" s="15">
        <f>A2028</f>
        <v>2026</v>
      </c>
      <c r="O2028" s="15">
        <v>24</v>
      </c>
      <c r="P2028" s="41">
        <f>377.8+337.8*10%</f>
        <v>411.58</v>
      </c>
      <c r="Q2028" s="16"/>
    </row>
    <row r="2029" ht="20.05" customHeight="1">
      <c r="A2029" s="13">
        <f>A2028+1</f>
        <v>2027</v>
      </c>
      <c r="B2029" s="14">
        <v>2024</v>
      </c>
      <c r="C2029" s="15">
        <v>2</v>
      </c>
      <c r="D2029" s="15">
        <v>17</v>
      </c>
      <c r="E2029" s="16"/>
      <c r="F2029" t="s" s="17">
        <v>141</v>
      </c>
      <c r="G2029" s="16"/>
      <c r="H2029" t="s" s="17">
        <v>163</v>
      </c>
      <c r="I2029" t="s" s="17">
        <v>19</v>
      </c>
      <c r="J2029" t="s" s="17">
        <v>159</v>
      </c>
      <c r="K2029" t="s" s="17">
        <v>23</v>
      </c>
      <c r="L2029" s="15">
        <f>IF(O2029,P2029/O2029,0)</f>
        <v>2.48001291666667</v>
      </c>
      <c r="M2029" s="15">
        <v>2.48001291666667</v>
      </c>
      <c r="N2029" s="15">
        <f>A2029</f>
        <v>2027</v>
      </c>
      <c r="O2029" s="15">
        <v>240</v>
      </c>
      <c r="P2029" s="43">
        <f t="shared" si="7167"/>
        <v>595.2030999999999</v>
      </c>
      <c r="Q2029" s="16"/>
    </row>
    <row r="2030" ht="20.05" customHeight="1">
      <c r="A2030" s="13">
        <f>A2029+1</f>
        <v>2028</v>
      </c>
      <c r="B2030" s="14">
        <v>2024</v>
      </c>
      <c r="C2030" s="15">
        <v>2</v>
      </c>
      <c r="D2030" s="15">
        <v>17</v>
      </c>
      <c r="E2030" s="16"/>
      <c r="F2030" t="s" s="17">
        <v>141</v>
      </c>
      <c r="G2030" s="16"/>
      <c r="H2030" t="s" s="17">
        <v>163</v>
      </c>
      <c r="I2030" t="s" s="17">
        <v>19</v>
      </c>
      <c r="J2030" t="s" s="17">
        <v>337</v>
      </c>
      <c r="K2030" t="s" s="17">
        <v>23</v>
      </c>
      <c r="L2030" s="15">
        <f>IF(O2030,P2030/O2030,0)</f>
        <v>170</v>
      </c>
      <c r="M2030" s="15">
        <v>170</v>
      </c>
      <c r="N2030" s="15">
        <f>A2030</f>
        <v>2028</v>
      </c>
      <c r="O2030" s="15">
        <v>1</v>
      </c>
      <c r="P2030" s="15">
        <v>170</v>
      </c>
      <c r="Q2030" s="16"/>
    </row>
    <row r="2031" ht="20.05" customHeight="1">
      <c r="A2031" s="13">
        <f>A2030+1</f>
        <v>2029</v>
      </c>
      <c r="B2031" s="14">
        <v>2024</v>
      </c>
      <c r="C2031" s="15">
        <v>2</v>
      </c>
      <c r="D2031" s="15">
        <v>17</v>
      </c>
      <c r="E2031" s="16"/>
      <c r="F2031" t="s" s="17">
        <v>476</v>
      </c>
      <c r="G2031" s="16"/>
      <c r="H2031" t="s" s="17">
        <v>163</v>
      </c>
      <c r="I2031" t="s" s="17">
        <v>187</v>
      </c>
      <c r="J2031" t="s" s="17">
        <v>328</v>
      </c>
      <c r="K2031" t="s" s="17">
        <v>23</v>
      </c>
      <c r="L2031" s="15">
        <f>IF(O2031,P2031/O2031,0)</f>
        <v>24.1666666666667</v>
      </c>
      <c r="M2031" s="15">
        <v>24.1666666666667</v>
      </c>
      <c r="N2031" s="15">
        <f>A2031</f>
        <v>2029</v>
      </c>
      <c r="O2031" s="15">
        <v>6</v>
      </c>
      <c r="P2031" s="15">
        <v>145</v>
      </c>
      <c r="Q2031" s="16"/>
    </row>
    <row r="2032" ht="20.05" customHeight="1">
      <c r="A2032" s="13">
        <f>A2031+1</f>
        <v>2030</v>
      </c>
      <c r="B2032" s="14">
        <v>2024</v>
      </c>
      <c r="C2032" s="15">
        <v>2</v>
      </c>
      <c r="D2032" s="15">
        <v>17</v>
      </c>
      <c r="E2032" s="16"/>
      <c r="F2032" t="s" s="17">
        <v>476</v>
      </c>
      <c r="G2032" s="16"/>
      <c r="H2032" t="s" s="17">
        <v>163</v>
      </c>
      <c r="I2032" t="s" s="17">
        <v>19</v>
      </c>
      <c r="J2032" t="s" s="17">
        <v>157</v>
      </c>
      <c r="K2032" t="s" s="17">
        <v>16</v>
      </c>
      <c r="L2032" s="15">
        <f>IF(O2032,P2032/O2032,0)</f>
        <v>0.0148981288981289</v>
      </c>
      <c r="M2032" s="15">
        <v>0.0148981288981289</v>
      </c>
      <c r="N2032" s="15">
        <f>A2032</f>
        <v>2030</v>
      </c>
      <c r="O2032" s="15">
        <v>2405</v>
      </c>
      <c r="P2032" s="15">
        <v>35.83</v>
      </c>
      <c r="Q2032" s="16"/>
    </row>
    <row r="2033" ht="20.05" customHeight="1">
      <c r="A2033" s="13">
        <f>A2032+1</f>
        <v>2031</v>
      </c>
      <c r="B2033" s="14">
        <v>2024</v>
      </c>
      <c r="C2033" s="15">
        <v>2</v>
      </c>
      <c r="D2033" s="15">
        <v>18</v>
      </c>
      <c r="E2033" s="16"/>
      <c r="F2033" t="s" s="17">
        <v>476</v>
      </c>
      <c r="G2033" s="16"/>
      <c r="H2033" t="s" s="17">
        <v>163</v>
      </c>
      <c r="I2033" t="s" s="17">
        <v>19</v>
      </c>
      <c r="J2033" t="s" s="17">
        <v>157</v>
      </c>
      <c r="K2033" t="s" s="17">
        <v>16</v>
      </c>
      <c r="L2033" s="15">
        <f>IF(O2033,P2033/O2033,0)</f>
        <v>0.0148876080691643</v>
      </c>
      <c r="M2033" s="15">
        <v>0.0148876080691643</v>
      </c>
      <c r="N2033" s="15">
        <f>A2033</f>
        <v>2031</v>
      </c>
      <c r="O2033" s="15">
        <v>1735</v>
      </c>
      <c r="P2033" s="15">
        <v>25.83</v>
      </c>
      <c r="Q2033" s="16"/>
    </row>
    <row r="2034" ht="20.05" customHeight="1">
      <c r="A2034" s="13">
        <f>A2033+1</f>
        <v>2032</v>
      </c>
      <c r="B2034" s="14">
        <v>2024</v>
      </c>
      <c r="C2034" s="15">
        <v>2</v>
      </c>
      <c r="D2034" s="15">
        <v>18</v>
      </c>
      <c r="E2034" s="16"/>
      <c r="F2034" t="s" s="17">
        <v>476</v>
      </c>
      <c r="G2034" s="16"/>
      <c r="H2034" t="s" s="17">
        <v>163</v>
      </c>
      <c r="I2034" t="s" s="17">
        <v>26</v>
      </c>
      <c r="J2034" t="s" s="17">
        <v>113</v>
      </c>
      <c r="K2034" t="s" s="17">
        <v>41</v>
      </c>
      <c r="L2034" s="15">
        <f>IF(O2034,P2034/O2034,0)</f>
        <v>0.0323333333333333</v>
      </c>
      <c r="M2034" s="15">
        <v>0.0323333333333333</v>
      </c>
      <c r="N2034" s="15">
        <f>A2034</f>
        <v>2032</v>
      </c>
      <c r="O2034" s="15">
        <v>3000</v>
      </c>
      <c r="P2034" s="15">
        <v>97</v>
      </c>
      <c r="Q2034" s="16"/>
    </row>
    <row r="2035" ht="20.05" customHeight="1">
      <c r="A2035" s="13">
        <f>A2034+1</f>
        <v>2033</v>
      </c>
      <c r="B2035" s="14">
        <v>2024</v>
      </c>
      <c r="C2035" s="15">
        <v>2</v>
      </c>
      <c r="D2035" s="15">
        <v>19</v>
      </c>
      <c r="E2035" s="16"/>
      <c r="F2035" t="s" s="17">
        <v>476</v>
      </c>
      <c r="G2035" s="16"/>
      <c r="H2035" t="s" s="17">
        <v>163</v>
      </c>
      <c r="I2035" t="s" s="17">
        <v>19</v>
      </c>
      <c r="J2035" t="s" s="17">
        <v>123</v>
      </c>
      <c r="K2035" t="s" s="17">
        <v>16</v>
      </c>
      <c r="L2035" s="15">
        <f>IF(O2035,P2035/O2035,0)</f>
        <v>0.02795</v>
      </c>
      <c r="M2035" s="15">
        <v>0.02795</v>
      </c>
      <c r="N2035" s="15">
        <f>A2035</f>
        <v>2033</v>
      </c>
      <c r="O2035" s="15">
        <v>5000</v>
      </c>
      <c r="P2035" s="15">
        <v>139.75</v>
      </c>
      <c r="Q2035" s="16"/>
    </row>
    <row r="2036" ht="32.05" customHeight="1">
      <c r="A2036" s="13">
        <f>A2035+1</f>
        <v>2034</v>
      </c>
      <c r="B2036" s="14">
        <v>2024</v>
      </c>
      <c r="C2036" s="15">
        <v>2</v>
      </c>
      <c r="D2036" s="15">
        <v>19</v>
      </c>
      <c r="E2036" s="16"/>
      <c r="F2036" t="s" s="17">
        <v>476</v>
      </c>
      <c r="G2036" s="16"/>
      <c r="H2036" t="s" s="17">
        <v>163</v>
      </c>
      <c r="I2036" t="s" s="17">
        <v>187</v>
      </c>
      <c r="J2036" t="s" s="17">
        <v>198</v>
      </c>
      <c r="K2036" t="s" s="17">
        <v>23</v>
      </c>
      <c r="L2036" s="15">
        <f>IF(O2036,P2036/O2036,0)</f>
        <v>4.975</v>
      </c>
      <c r="M2036" s="15">
        <v>4.975</v>
      </c>
      <c r="N2036" s="15">
        <f>A2036</f>
        <v>2034</v>
      </c>
      <c r="O2036" s="15">
        <v>40</v>
      </c>
      <c r="P2036" s="15">
        <v>199</v>
      </c>
      <c r="Q2036" s="16"/>
    </row>
    <row r="2037" ht="32.05" customHeight="1">
      <c r="A2037" s="13">
        <f>A2036+1</f>
        <v>2035</v>
      </c>
      <c r="B2037" s="14">
        <v>2024</v>
      </c>
      <c r="C2037" s="15">
        <v>2</v>
      </c>
      <c r="D2037" s="15">
        <v>19</v>
      </c>
      <c r="E2037" s="16"/>
      <c r="F2037" t="s" s="17">
        <v>478</v>
      </c>
      <c r="G2037" s="16"/>
      <c r="H2037" t="s" s="17">
        <v>163</v>
      </c>
      <c r="I2037" t="s" s="17">
        <v>19</v>
      </c>
      <c r="J2037" t="s" s="17">
        <v>530</v>
      </c>
      <c r="K2037" t="s" s="17">
        <v>16</v>
      </c>
      <c r="L2037" s="15">
        <f>IF(O2037,P2037/O2037,0)</f>
        <v>0.6565</v>
      </c>
      <c r="M2037" s="15">
        <v>0.6565</v>
      </c>
      <c r="N2037" s="15">
        <f>A2037</f>
        <v>2035</v>
      </c>
      <c r="O2037" s="15">
        <v>500</v>
      </c>
      <c r="P2037" s="41">
        <f t="shared" si="7564" ref="P2037:P2160">325+325*1%</f>
        <v>328.25</v>
      </c>
      <c r="Q2037" s="16"/>
    </row>
    <row r="2038" ht="20.05" customHeight="1">
      <c r="A2038" s="13">
        <f>A2037+1</f>
        <v>2036</v>
      </c>
      <c r="B2038" s="14">
        <v>2024</v>
      </c>
      <c r="C2038" s="15">
        <v>2</v>
      </c>
      <c r="D2038" s="15">
        <v>19</v>
      </c>
      <c r="E2038" s="16"/>
      <c r="F2038" t="s" s="17">
        <v>478</v>
      </c>
      <c r="G2038" s="16"/>
      <c r="H2038" t="s" s="17">
        <v>163</v>
      </c>
      <c r="I2038" t="s" s="17">
        <v>19</v>
      </c>
      <c r="J2038" t="s" s="17">
        <v>71</v>
      </c>
      <c r="K2038" t="s" s="17">
        <v>16</v>
      </c>
      <c r="L2038" s="15">
        <f>IF(O2038,P2038/O2038,0)</f>
        <v>0.24745</v>
      </c>
      <c r="M2038" s="15">
        <v>0.24745</v>
      </c>
      <c r="N2038" s="15">
        <f>A2038</f>
        <v>2036</v>
      </c>
      <c r="O2038" s="15">
        <f t="shared" si="6659"/>
        <v>2000</v>
      </c>
      <c r="P2038" s="42">
        <f>490+490*1%</f>
        <v>494.9</v>
      </c>
      <c r="Q2038" s="16"/>
    </row>
    <row r="2039" ht="20.05" customHeight="1">
      <c r="A2039" s="13">
        <f>A2038+1</f>
        <v>2037</v>
      </c>
      <c r="B2039" s="14">
        <v>2024</v>
      </c>
      <c r="C2039" s="15">
        <v>2</v>
      </c>
      <c r="D2039" s="15">
        <v>19</v>
      </c>
      <c r="E2039" s="16"/>
      <c r="F2039" t="s" s="17">
        <v>476</v>
      </c>
      <c r="G2039" s="16"/>
      <c r="H2039" t="s" s="17">
        <v>163</v>
      </c>
      <c r="I2039" t="s" s="17">
        <v>19</v>
      </c>
      <c r="J2039" t="s" s="17">
        <v>157</v>
      </c>
      <c r="K2039" t="s" s="17">
        <v>16</v>
      </c>
      <c r="L2039" s="15">
        <f>IF(O2039,P2039/O2039,0)</f>
        <v>0.0187526132404181</v>
      </c>
      <c r="M2039" s="15">
        <v>0.0187526132404181</v>
      </c>
      <c r="N2039" s="15">
        <f>A2039</f>
        <v>2037</v>
      </c>
      <c r="O2039" s="15">
        <v>1435</v>
      </c>
      <c r="P2039" s="15">
        <v>26.91</v>
      </c>
      <c r="Q2039" s="16"/>
    </row>
    <row r="2040" ht="20.05" customHeight="1">
      <c r="A2040" s="13">
        <f>A2039+1</f>
        <v>2038</v>
      </c>
      <c r="B2040" s="14">
        <v>2024</v>
      </c>
      <c r="C2040" s="15">
        <v>2</v>
      </c>
      <c r="D2040" s="15">
        <v>20</v>
      </c>
      <c r="E2040" s="16"/>
      <c r="F2040" t="s" s="17">
        <v>317</v>
      </c>
      <c r="G2040" s="16"/>
      <c r="H2040" t="s" s="17">
        <v>163</v>
      </c>
      <c r="I2040" t="s" s="17">
        <v>519</v>
      </c>
      <c r="J2040" t="s" s="17">
        <v>318</v>
      </c>
      <c r="K2040" t="s" s="17">
        <v>23</v>
      </c>
      <c r="L2040" s="15">
        <f>IF(O2040,P2040/O2040,0)</f>
        <v>7.5</v>
      </c>
      <c r="M2040" s="15">
        <v>7.5</v>
      </c>
      <c r="N2040" s="15">
        <f>A2040</f>
        <v>2038</v>
      </c>
      <c r="O2040" s="15">
        <v>10</v>
      </c>
      <c r="P2040" s="15">
        <v>75</v>
      </c>
      <c r="Q2040" s="16"/>
    </row>
    <row r="2041" ht="32.05" customHeight="1">
      <c r="A2041" s="13">
        <f>A2040+1</f>
        <v>2039</v>
      </c>
      <c r="B2041" s="14">
        <v>2024</v>
      </c>
      <c r="C2041" s="15">
        <v>2</v>
      </c>
      <c r="D2041" s="15">
        <v>20</v>
      </c>
      <c r="E2041" s="16"/>
      <c r="F2041" t="s" s="17">
        <v>287</v>
      </c>
      <c r="G2041" s="16"/>
      <c r="H2041" t="s" s="17">
        <v>163</v>
      </c>
      <c r="I2041" t="s" s="17">
        <v>17</v>
      </c>
      <c r="J2041" t="s" s="17">
        <v>299</v>
      </c>
      <c r="K2041" t="s" s="17">
        <v>23</v>
      </c>
      <c r="L2041" s="15">
        <f>IF(O2041,P2041/O2041,0)</f>
        <v>44.7345833333333</v>
      </c>
      <c r="M2041" s="15">
        <v>44.7345833333333</v>
      </c>
      <c r="N2041" s="15">
        <f>A2041</f>
        <v>2039</v>
      </c>
      <c r="O2041" s="15">
        <v>24</v>
      </c>
      <c r="P2041" s="41">
        <f t="shared" si="7579" ref="P2041:P2162">1063+1063*1%</f>
        <v>1073.63</v>
      </c>
      <c r="Q2041" s="16"/>
    </row>
    <row r="2042" ht="20.05" customHeight="1">
      <c r="A2042" s="13">
        <f>A2041+1</f>
        <v>2040</v>
      </c>
      <c r="B2042" s="14">
        <v>2024</v>
      </c>
      <c r="C2042" s="15">
        <v>2</v>
      </c>
      <c r="D2042" s="15">
        <v>20</v>
      </c>
      <c r="E2042" s="16"/>
      <c r="F2042" t="s" s="17">
        <v>428</v>
      </c>
      <c r="G2042" s="16"/>
      <c r="H2042" t="s" s="17">
        <v>163</v>
      </c>
      <c r="I2042" t="s" s="17">
        <v>19</v>
      </c>
      <c r="J2042" t="s" s="17">
        <v>139</v>
      </c>
      <c r="K2042" t="s" s="17">
        <v>23</v>
      </c>
      <c r="L2042" s="15">
        <f>IF(O2042,P2042/O2042,0)</f>
        <v>3.87503333333333</v>
      </c>
      <c r="M2042" s="15">
        <v>3.87503333333333</v>
      </c>
      <c r="N2042" s="15">
        <f>A2042</f>
        <v>2040</v>
      </c>
      <c r="O2042" s="15">
        <f t="shared" si="7583" ref="O2042:O2083">4*24</f>
        <v>96</v>
      </c>
      <c r="P2042" s="43">
        <f t="shared" si="6429"/>
        <v>372.0032</v>
      </c>
      <c r="Q2042" s="16"/>
    </row>
    <row r="2043" ht="32.05" customHeight="1">
      <c r="A2043" s="13">
        <f>A2042+1</f>
        <v>2041</v>
      </c>
      <c r="B2043" s="14">
        <v>2024</v>
      </c>
      <c r="C2043" s="15">
        <v>2</v>
      </c>
      <c r="D2043" s="15">
        <v>20</v>
      </c>
      <c r="E2043" s="16"/>
      <c r="F2043" t="s" s="17">
        <v>428</v>
      </c>
      <c r="G2043" s="16"/>
      <c r="H2043" t="s" s="17">
        <v>163</v>
      </c>
      <c r="I2043" t="s" s="17">
        <v>19</v>
      </c>
      <c r="J2043" t="s" s="17">
        <v>448</v>
      </c>
      <c r="K2043" t="s" s="17">
        <v>16</v>
      </c>
      <c r="L2043" s="15">
        <f>IF(O2043,P2043/O2043,0)</f>
        <v>0.33729152</v>
      </c>
      <c r="M2043" s="15">
        <v>0.33729152</v>
      </c>
      <c r="N2043" s="15">
        <f>A2043</f>
        <v>2041</v>
      </c>
      <c r="O2043" s="15">
        <f>5*500</f>
        <v>2500</v>
      </c>
      <c r="P2043" s="43">
        <f>834.88+834.88*1%</f>
        <v>843.2288</v>
      </c>
      <c r="Q2043" s="16"/>
    </row>
    <row r="2044" ht="32.05" customHeight="1">
      <c r="A2044" s="13">
        <f>A2043+1</f>
        <v>2042</v>
      </c>
      <c r="B2044" s="14">
        <v>2024</v>
      </c>
      <c r="C2044" s="15">
        <v>2</v>
      </c>
      <c r="D2044" s="15">
        <v>20</v>
      </c>
      <c r="E2044" s="16"/>
      <c r="F2044" t="s" s="17">
        <v>428</v>
      </c>
      <c r="G2044" s="16"/>
      <c r="H2044" t="s" s="17">
        <v>163</v>
      </c>
      <c r="I2044" t="s" s="17">
        <v>19</v>
      </c>
      <c r="J2044" t="s" s="17">
        <v>437</v>
      </c>
      <c r="K2044" t="s" s="17">
        <v>16</v>
      </c>
      <c r="L2044" s="15">
        <f>IF(O2044,P2044/O2044,0)</f>
        <v>0.361075</v>
      </c>
      <c r="M2044" s="15">
        <v>0.361075</v>
      </c>
      <c r="N2044" s="15">
        <f>A2044</f>
        <v>2042</v>
      </c>
      <c r="O2044" s="15">
        <f t="shared" si="7593" ref="O2044:O2177">6*1000</f>
        <v>6000</v>
      </c>
      <c r="P2044" s="41">
        <f t="shared" si="7232"/>
        <v>2166.45</v>
      </c>
      <c r="Q2044" s="16"/>
    </row>
    <row r="2045" ht="20.05" customHeight="1">
      <c r="A2045" s="13">
        <f>A2044+1</f>
        <v>2043</v>
      </c>
      <c r="B2045" s="14">
        <v>2024</v>
      </c>
      <c r="C2045" s="15">
        <v>2</v>
      </c>
      <c r="D2045" s="15">
        <v>20</v>
      </c>
      <c r="E2045" s="16"/>
      <c r="F2045" t="s" s="17">
        <v>428</v>
      </c>
      <c r="G2045" s="16"/>
      <c r="H2045" t="s" s="17">
        <v>163</v>
      </c>
      <c r="I2045" t="s" s="17">
        <v>19</v>
      </c>
      <c r="J2045" t="s" s="17">
        <v>60</v>
      </c>
      <c r="K2045" t="s" s="17">
        <v>23</v>
      </c>
      <c r="L2045" s="15">
        <f>IF(O2045,P2045/O2045,0)</f>
        <v>2.9896</v>
      </c>
      <c r="M2045" s="15">
        <v>2.9896</v>
      </c>
      <c r="N2045" s="15">
        <f>A2045</f>
        <v>2043</v>
      </c>
      <c r="O2045" s="15">
        <v>120</v>
      </c>
      <c r="P2045" s="42">
        <f t="shared" si="7598" ref="P2045:P2182">355.2+355.2*1%</f>
        <v>358.752</v>
      </c>
      <c r="Q2045" s="42">
        <f t="shared" si="7599" ref="Q2045:Q2182">480-480*26%</f>
        <v>355.2</v>
      </c>
    </row>
    <row r="2046" ht="20.05" customHeight="1">
      <c r="A2046" s="13">
        <f>A2045+1</f>
        <v>2044</v>
      </c>
      <c r="B2046" s="14">
        <v>2024</v>
      </c>
      <c r="C2046" s="15">
        <v>2</v>
      </c>
      <c r="D2046" s="15">
        <v>21</v>
      </c>
      <c r="E2046" s="16"/>
      <c r="F2046" t="s" s="17">
        <v>122</v>
      </c>
      <c r="G2046" s="16"/>
      <c r="H2046" t="s" s="17">
        <v>163</v>
      </c>
      <c r="I2046" t="s" s="17">
        <v>19</v>
      </c>
      <c r="J2046" t="s" s="17">
        <v>67</v>
      </c>
      <c r="K2046" t="s" s="17">
        <v>23</v>
      </c>
      <c r="L2046" s="15">
        <f>IF(O2046,P2046/O2046,0)</f>
        <v>1.2361491</v>
      </c>
      <c r="M2046" s="15">
        <v>1.2361491</v>
      </c>
      <c r="N2046" s="15">
        <f>A2046</f>
        <v>2044</v>
      </c>
      <c r="O2046" s="15">
        <f t="shared" si="5579"/>
        <v>300</v>
      </c>
      <c r="P2046" s="40">
        <f t="shared" si="3645"/>
        <v>370.84473</v>
      </c>
      <c r="Q2046" s="42">
        <f>407.97-407.97*10%</f>
        <v>367.173</v>
      </c>
    </row>
    <row r="2047" ht="20.05" customHeight="1">
      <c r="A2047" s="13">
        <f>A2046+1</f>
        <v>2045</v>
      </c>
      <c r="B2047" s="14">
        <v>2024</v>
      </c>
      <c r="C2047" s="15">
        <v>2</v>
      </c>
      <c r="D2047" s="15">
        <v>21</v>
      </c>
      <c r="E2047" s="16"/>
      <c r="F2047" t="s" s="17">
        <v>122</v>
      </c>
      <c r="G2047" s="16"/>
      <c r="H2047" t="s" s="17">
        <v>163</v>
      </c>
      <c r="I2047" t="s" s="17">
        <v>19</v>
      </c>
      <c r="J2047" t="s" s="17">
        <v>138</v>
      </c>
      <c r="K2047" t="s" s="17">
        <v>41</v>
      </c>
      <c r="L2047" s="15">
        <f>IF(O2047,P2047/O2047,0)</f>
        <v>0.04343</v>
      </c>
      <c r="M2047" s="15">
        <v>0.04343</v>
      </c>
      <c r="N2047" s="15">
        <f>A2047</f>
        <v>2045</v>
      </c>
      <c r="O2047" s="15">
        <f>4*12*1000</f>
        <v>48000</v>
      </c>
      <c r="P2047" s="41">
        <f t="shared" si="7187"/>
        <v>2084.64</v>
      </c>
      <c r="Q2047" s="16"/>
    </row>
    <row r="2048" ht="20.05" customHeight="1">
      <c r="A2048" s="13">
        <f>A2047+1</f>
        <v>2046</v>
      </c>
      <c r="B2048" s="14">
        <v>2024</v>
      </c>
      <c r="C2048" s="15">
        <v>2</v>
      </c>
      <c r="D2048" s="15">
        <v>21</v>
      </c>
      <c r="E2048" s="16"/>
      <c r="F2048" t="s" s="17">
        <v>122</v>
      </c>
      <c r="G2048" s="16"/>
      <c r="H2048" t="s" s="17">
        <v>163</v>
      </c>
      <c r="I2048" t="s" s="17">
        <v>26</v>
      </c>
      <c r="J2048" t="s" s="17">
        <v>117</v>
      </c>
      <c r="K2048" t="s" s="17">
        <v>23</v>
      </c>
      <c r="L2048" s="15">
        <f>IF(O2048,P2048/O2048,0)</f>
        <v>43.935</v>
      </c>
      <c r="M2048" s="15">
        <v>43.935</v>
      </c>
      <c r="N2048" s="15">
        <f>A2048</f>
        <v>2046</v>
      </c>
      <c r="O2048" s="15">
        <f t="shared" si="6881"/>
        <v>14</v>
      </c>
      <c r="P2048" s="41">
        <f>609+609*1%</f>
        <v>615.09</v>
      </c>
      <c r="Q2048" s="16"/>
    </row>
    <row r="2049" ht="20.05" customHeight="1">
      <c r="A2049" s="13">
        <f>A2048+1</f>
        <v>2047</v>
      </c>
      <c r="B2049" s="14">
        <v>2024</v>
      </c>
      <c r="C2049" s="15">
        <v>2</v>
      </c>
      <c r="D2049" s="15">
        <v>21</v>
      </c>
      <c r="E2049" s="16"/>
      <c r="F2049" t="s" s="17">
        <v>122</v>
      </c>
      <c r="G2049" s="16"/>
      <c r="H2049" t="s" s="17">
        <v>163</v>
      </c>
      <c r="I2049" t="s" s="17">
        <v>26</v>
      </c>
      <c r="J2049" t="s" s="17">
        <v>118</v>
      </c>
      <c r="K2049" t="s" s="17">
        <v>23</v>
      </c>
      <c r="L2049" s="15">
        <f>IF(O2049,P2049/O2049,0)</f>
        <v>40.27375</v>
      </c>
      <c r="M2049" s="15">
        <v>40.27375</v>
      </c>
      <c r="N2049" s="15">
        <f>A2049</f>
        <v>2047</v>
      </c>
      <c r="O2049" s="15">
        <v>14</v>
      </c>
      <c r="P2049" s="43">
        <f t="shared" si="6886"/>
        <v>563.8325</v>
      </c>
      <c r="Q2049" s="16"/>
    </row>
    <row r="2050" ht="20.05" customHeight="1">
      <c r="A2050" s="13">
        <f>A2049+1</f>
        <v>2048</v>
      </c>
      <c r="B2050" s="14">
        <v>2024</v>
      </c>
      <c r="C2050" s="15">
        <v>2</v>
      </c>
      <c r="D2050" s="15">
        <v>21</v>
      </c>
      <c r="E2050" s="16"/>
      <c r="F2050" t="s" s="17">
        <v>122</v>
      </c>
      <c r="G2050" s="16"/>
      <c r="H2050" t="s" s="17">
        <v>163</v>
      </c>
      <c r="I2050" t="s" s="17">
        <v>19</v>
      </c>
      <c r="J2050" t="s" s="17">
        <v>73</v>
      </c>
      <c r="K2050" t="s" s="17">
        <v>23</v>
      </c>
      <c r="L2050" s="15">
        <f>IF(O2050,P2050/O2050,0)</f>
        <v>5.89166666666667</v>
      </c>
      <c r="M2050" s="15">
        <v>5.89166666666667</v>
      </c>
      <c r="N2050" s="15">
        <f>A2050</f>
        <v>2048</v>
      </c>
      <c r="O2050" s="15">
        <v>24</v>
      </c>
      <c r="P2050" s="42">
        <f t="shared" si="7623" ref="P2050:P2146">140+140*1%</f>
        <v>141.4</v>
      </c>
      <c r="Q2050" s="16"/>
    </row>
    <row r="2051" ht="20.05" customHeight="1">
      <c r="A2051" s="13">
        <f>A2050+1</f>
        <v>2049</v>
      </c>
      <c r="B2051" s="14">
        <v>2024</v>
      </c>
      <c r="C2051" s="15">
        <v>2</v>
      </c>
      <c r="D2051" s="15">
        <v>21</v>
      </c>
      <c r="E2051" s="16"/>
      <c r="F2051" t="s" s="17">
        <v>122</v>
      </c>
      <c r="G2051" s="16"/>
      <c r="H2051" t="s" s="17">
        <v>163</v>
      </c>
      <c r="I2051" t="s" s="17">
        <v>19</v>
      </c>
      <c r="J2051" t="s" s="17">
        <v>74</v>
      </c>
      <c r="K2051" t="s" s="17">
        <v>23</v>
      </c>
      <c r="L2051" s="15">
        <f>IF(O2051,P2051/O2051,0)</f>
        <v>5.89166666666667</v>
      </c>
      <c r="M2051" s="15">
        <v>5.89166666666667</v>
      </c>
      <c r="N2051" s="15">
        <f>A2051</f>
        <v>2049</v>
      </c>
      <c r="O2051" s="15">
        <v>24</v>
      </c>
      <c r="P2051" s="42">
        <f t="shared" si="7623"/>
        <v>141.4</v>
      </c>
      <c r="Q2051" s="16"/>
    </row>
    <row r="2052" ht="32.05" customHeight="1">
      <c r="A2052" s="13">
        <f>A2051+1</f>
        <v>2050</v>
      </c>
      <c r="B2052" s="14">
        <v>2024</v>
      </c>
      <c r="C2052" s="15">
        <v>2</v>
      </c>
      <c r="D2052" s="15">
        <v>21</v>
      </c>
      <c r="E2052" s="16"/>
      <c r="F2052" t="s" s="17">
        <v>122</v>
      </c>
      <c r="G2052" s="16"/>
      <c r="H2052" t="s" s="17">
        <v>163</v>
      </c>
      <c r="I2052" t="s" s="17">
        <v>187</v>
      </c>
      <c r="J2052" t="s" s="17">
        <v>136</v>
      </c>
      <c r="K2052" t="s" s="17">
        <v>23</v>
      </c>
      <c r="L2052" s="15">
        <f>IF(O2052,P2052/O2052,0)</f>
        <v>0.2424</v>
      </c>
      <c r="M2052" s="15">
        <v>0.2424</v>
      </c>
      <c r="N2052" s="15">
        <f>A2052</f>
        <v>2050</v>
      </c>
      <c r="O2052" s="15">
        <f t="shared" si="6890"/>
        <v>2000</v>
      </c>
      <c r="P2052" s="42">
        <f t="shared" si="6891"/>
        <v>484.8</v>
      </c>
      <c r="Q2052" s="16"/>
    </row>
    <row r="2053" ht="20.05" customHeight="1">
      <c r="A2053" s="13">
        <f>A2052+1</f>
        <v>2051</v>
      </c>
      <c r="B2053" s="14">
        <v>2024</v>
      </c>
      <c r="C2053" s="15">
        <v>2</v>
      </c>
      <c r="D2053" s="15">
        <v>21</v>
      </c>
      <c r="E2053" s="16"/>
      <c r="F2053" t="s" s="17">
        <v>122</v>
      </c>
      <c r="G2053" s="16"/>
      <c r="H2053" t="s" s="17">
        <v>163</v>
      </c>
      <c r="I2053" t="s" s="17">
        <v>187</v>
      </c>
      <c r="J2053" t="s" s="17">
        <v>161</v>
      </c>
      <c r="K2053" t="s" s="17">
        <v>23</v>
      </c>
      <c r="L2053" s="15">
        <f>IF(O2053,P2053/O2053,0)</f>
        <v>14.4495</v>
      </c>
      <c r="M2053" s="15">
        <v>14.4495</v>
      </c>
      <c r="N2053" s="15">
        <f>A2053</f>
        <v>2051</v>
      </c>
      <c r="O2053" s="15">
        <f>8*3</f>
        <v>24</v>
      </c>
      <c r="P2053" s="42">
        <f t="shared" si="6031"/>
        <v>346.788</v>
      </c>
      <c r="Q2053" s="15">
        <f>577.98/2</f>
        <v>288.99</v>
      </c>
    </row>
    <row r="2054" ht="32.05" customHeight="1">
      <c r="A2054" s="13">
        <f>A2053+1</f>
        <v>2052</v>
      </c>
      <c r="B2054" s="14">
        <v>2024</v>
      </c>
      <c r="C2054" s="15">
        <v>2</v>
      </c>
      <c r="D2054" s="15">
        <v>21</v>
      </c>
      <c r="E2054" s="16"/>
      <c r="F2054" t="s" s="17">
        <v>122</v>
      </c>
      <c r="G2054" s="16"/>
      <c r="H2054" t="s" s="17">
        <v>163</v>
      </c>
      <c r="I2054" t="s" s="17">
        <v>187</v>
      </c>
      <c r="J2054" t="s" s="17">
        <v>165</v>
      </c>
      <c r="K2054" t="s" s="17">
        <v>23</v>
      </c>
      <c r="L2054" s="15">
        <f>IF(O2054,P2054/O2054,0)</f>
        <v>47.61</v>
      </c>
      <c r="M2054" s="15">
        <v>47.61</v>
      </c>
      <c r="N2054" s="15">
        <f>A2054</f>
        <v>2052</v>
      </c>
      <c r="O2054" s="15">
        <v>10</v>
      </c>
      <c r="P2054" s="42">
        <f t="shared" si="5132"/>
        <v>476.1</v>
      </c>
      <c r="Q2054" s="16"/>
    </row>
    <row r="2055" ht="20.05" customHeight="1">
      <c r="A2055" s="13">
        <f>A2054+1</f>
        <v>2053</v>
      </c>
      <c r="B2055" s="14">
        <v>2024</v>
      </c>
      <c r="C2055" s="15">
        <v>2</v>
      </c>
      <c r="D2055" s="15">
        <v>21</v>
      </c>
      <c r="E2055" s="16"/>
      <c r="F2055" t="s" s="17">
        <v>150</v>
      </c>
      <c r="G2055" s="16"/>
      <c r="H2055" t="s" s="17">
        <v>163</v>
      </c>
      <c r="I2055" t="s" s="17">
        <v>19</v>
      </c>
      <c r="J2055" t="s" s="17">
        <v>151</v>
      </c>
      <c r="K2055" t="s" s="17">
        <v>41</v>
      </c>
      <c r="L2055" s="15">
        <f>IF(O2055,P2055/O2055,0)</f>
        <v>0.3232</v>
      </c>
      <c r="M2055" s="15">
        <v>0.3232</v>
      </c>
      <c r="N2055" s="15">
        <f>A2055</f>
        <v>2053</v>
      </c>
      <c r="O2055" s="15">
        <v>750</v>
      </c>
      <c r="P2055" s="42">
        <f t="shared" si="7646" ref="P2055:P2149">240+240*1%</f>
        <v>242.4</v>
      </c>
      <c r="Q2055" s="16"/>
    </row>
    <row r="2056" ht="20.05" customHeight="1">
      <c r="A2056" s="13">
        <f>A2055+1</f>
        <v>2054</v>
      </c>
      <c r="B2056" s="14">
        <v>2024</v>
      </c>
      <c r="C2056" s="15">
        <v>2</v>
      </c>
      <c r="D2056" s="15">
        <v>21</v>
      </c>
      <c r="E2056" s="16"/>
      <c r="F2056" t="s" s="17">
        <v>150</v>
      </c>
      <c r="G2056" s="16"/>
      <c r="H2056" t="s" s="17">
        <v>163</v>
      </c>
      <c r="I2056" t="s" s="17">
        <v>19</v>
      </c>
      <c r="J2056" t="s" s="17">
        <v>94</v>
      </c>
      <c r="K2056" t="s" s="17">
        <v>41</v>
      </c>
      <c r="L2056" s="15">
        <f>IF(O2056,P2056/O2056,0)</f>
        <v>0.45248</v>
      </c>
      <c r="M2056" s="15">
        <v>0.45248</v>
      </c>
      <c r="N2056" s="15">
        <f>A2056</f>
        <v>2054</v>
      </c>
      <c r="O2056" s="15">
        <v>750</v>
      </c>
      <c r="P2056" s="41">
        <f t="shared" si="7466"/>
        <v>339.36</v>
      </c>
      <c r="Q2056" s="16"/>
    </row>
    <row r="2057" ht="20.05" customHeight="1">
      <c r="A2057" s="13">
        <f>A2056+1</f>
        <v>2055</v>
      </c>
      <c r="B2057" s="14">
        <v>2024</v>
      </c>
      <c r="C2057" s="15">
        <v>2</v>
      </c>
      <c r="D2057" s="15">
        <v>21</v>
      </c>
      <c r="E2057" s="16"/>
      <c r="F2057" t="s" s="17">
        <v>150</v>
      </c>
      <c r="G2057" s="16"/>
      <c r="H2057" t="s" s="17">
        <v>163</v>
      </c>
      <c r="I2057" t="s" s="17">
        <v>19</v>
      </c>
      <c r="J2057" t="s" s="17">
        <v>97</v>
      </c>
      <c r="K2057" t="s" s="17">
        <v>41</v>
      </c>
      <c r="L2057" s="15">
        <f>IF(O2057,P2057/O2057,0)</f>
        <v>0.21614</v>
      </c>
      <c r="M2057" s="15">
        <v>0.21614</v>
      </c>
      <c r="N2057" s="15">
        <f>A2057</f>
        <v>2055</v>
      </c>
      <c r="O2057" s="15">
        <v>1000</v>
      </c>
      <c r="P2057" s="41">
        <f t="shared" si="7071"/>
        <v>216.14</v>
      </c>
      <c r="Q2057" s="16"/>
    </row>
    <row r="2058" ht="20.05" customHeight="1">
      <c r="A2058" s="13">
        <f>A2057+1</f>
        <v>2056</v>
      </c>
      <c r="B2058" s="14">
        <v>2024</v>
      </c>
      <c r="C2058" s="15">
        <v>2</v>
      </c>
      <c r="D2058" s="15">
        <v>21</v>
      </c>
      <c r="E2058" s="16"/>
      <c r="F2058" t="s" s="17">
        <v>150</v>
      </c>
      <c r="G2058" s="16"/>
      <c r="H2058" t="s" s="17">
        <v>163</v>
      </c>
      <c r="I2058" t="s" s="17">
        <v>19</v>
      </c>
      <c r="J2058" t="s" s="17">
        <v>108</v>
      </c>
      <c r="K2058" t="s" s="17">
        <v>41</v>
      </c>
      <c r="L2058" s="15">
        <f>IF(O2058,P2058/O2058,0)</f>
        <v>0.61004</v>
      </c>
      <c r="M2058" s="15">
        <v>0.61004</v>
      </c>
      <c r="N2058" s="15">
        <f>A2058</f>
        <v>2056</v>
      </c>
      <c r="O2058" s="15">
        <v>1000</v>
      </c>
      <c r="P2058" s="41">
        <f t="shared" si="7470"/>
        <v>610.04</v>
      </c>
      <c r="Q2058" s="16"/>
    </row>
    <row r="2059" ht="20.05" customHeight="1">
      <c r="A2059" s="13">
        <f>A2058+1</f>
        <v>2057</v>
      </c>
      <c r="B2059" s="14">
        <v>2024</v>
      </c>
      <c r="C2059" s="15">
        <v>2</v>
      </c>
      <c r="D2059" s="15">
        <v>21</v>
      </c>
      <c r="E2059" s="16"/>
      <c r="F2059" t="s" s="17">
        <v>111</v>
      </c>
      <c r="G2059" s="16"/>
      <c r="H2059" t="s" s="17">
        <v>163</v>
      </c>
      <c r="I2059" t="s" s="17">
        <v>19</v>
      </c>
      <c r="J2059" t="s" s="17">
        <v>112</v>
      </c>
      <c r="K2059" t="s" s="17">
        <v>41</v>
      </c>
      <c r="L2059" s="15">
        <f>IF(O2059,P2059/O2059,0)</f>
        <v>0.038178</v>
      </c>
      <c r="M2059" s="15">
        <v>0.038178</v>
      </c>
      <c r="N2059" s="15">
        <f>A2059</f>
        <v>2057</v>
      </c>
      <c r="O2059" s="15">
        <f t="shared" si="7417"/>
        <v>5000</v>
      </c>
      <c r="P2059" s="15">
        <v>190.89</v>
      </c>
      <c r="Q2059" s="16"/>
    </row>
    <row r="2060" ht="20.05" customHeight="1">
      <c r="A2060" s="13">
        <f>A2059+1</f>
        <v>2058</v>
      </c>
      <c r="B2060" s="14">
        <v>2024</v>
      </c>
      <c r="C2060" s="15">
        <v>2</v>
      </c>
      <c r="D2060" s="15">
        <v>21</v>
      </c>
      <c r="E2060" s="16"/>
      <c r="F2060" t="s" s="17">
        <v>111</v>
      </c>
      <c r="G2060" s="16"/>
      <c r="H2060" t="s" s="17">
        <v>163</v>
      </c>
      <c r="I2060" t="s" s="17">
        <v>26</v>
      </c>
      <c r="J2060" t="s" s="17">
        <v>113</v>
      </c>
      <c r="K2060" t="s" s="17">
        <v>41</v>
      </c>
      <c r="L2060" s="15">
        <f>IF(O2060,P2060/O2060,0)</f>
        <v>0.0354833333333333</v>
      </c>
      <c r="M2060" s="15">
        <v>0.0354833333333333</v>
      </c>
      <c r="N2060" s="15">
        <f>A2060</f>
        <v>2058</v>
      </c>
      <c r="O2060" s="15">
        <v>3000</v>
      </c>
      <c r="P2060" s="15">
        <v>106.45</v>
      </c>
      <c r="Q2060" s="16"/>
    </row>
    <row r="2061" ht="20.05" customHeight="1">
      <c r="A2061" s="13">
        <f>A2060+1</f>
        <v>2059</v>
      </c>
      <c r="B2061" s="14">
        <v>2024</v>
      </c>
      <c r="C2061" s="15">
        <v>2</v>
      </c>
      <c r="D2061" s="15">
        <v>21</v>
      </c>
      <c r="E2061" s="16"/>
      <c r="F2061" t="s" s="17">
        <v>111</v>
      </c>
      <c r="G2061" s="16"/>
      <c r="H2061" t="s" s="17">
        <v>163</v>
      </c>
      <c r="I2061" t="s" s="17">
        <v>19</v>
      </c>
      <c r="J2061" t="s" s="17">
        <v>72</v>
      </c>
      <c r="K2061" t="s" s="17">
        <v>41</v>
      </c>
      <c r="L2061" s="15">
        <f>IF(O2061,P2061/O2061,0)</f>
        <v>0.301826666666667</v>
      </c>
      <c r="M2061" s="15">
        <v>0.301826666666667</v>
      </c>
      <c r="N2061" s="15">
        <f>A2061</f>
        <v>2059</v>
      </c>
      <c r="O2061" s="15">
        <f t="shared" si="6706"/>
        <v>750</v>
      </c>
      <c r="P2061" s="15">
        <v>226.37</v>
      </c>
      <c r="Q2061" s="16"/>
    </row>
    <row r="2062" ht="20.05" customHeight="1">
      <c r="A2062" s="13">
        <f>A2061+1</f>
        <v>2060</v>
      </c>
      <c r="B2062" s="14">
        <v>2024</v>
      </c>
      <c r="C2062" s="15">
        <v>2</v>
      </c>
      <c r="D2062" s="15">
        <v>21</v>
      </c>
      <c r="E2062" s="16"/>
      <c r="F2062" t="s" s="17">
        <v>111</v>
      </c>
      <c r="G2062" s="16"/>
      <c r="H2062" t="s" s="17">
        <v>163</v>
      </c>
      <c r="I2062" t="s" s="17">
        <v>26</v>
      </c>
      <c r="J2062" t="s" s="17">
        <v>134</v>
      </c>
      <c r="K2062" t="s" s="17">
        <v>23</v>
      </c>
      <c r="L2062" s="15">
        <f>IF(O2062,P2062/O2062,0)</f>
        <v>51.218</v>
      </c>
      <c r="M2062" s="15">
        <v>51.218</v>
      </c>
      <c r="N2062" s="15">
        <f>A2062</f>
        <v>2060</v>
      </c>
      <c r="O2062" s="15">
        <v>5</v>
      </c>
      <c r="P2062" s="15">
        <v>256.09</v>
      </c>
      <c r="Q2062" s="16"/>
    </row>
    <row r="2063" ht="20.05" customHeight="1">
      <c r="A2063" s="13">
        <f>A2062+1</f>
        <v>2061</v>
      </c>
      <c r="B2063" s="14">
        <v>2024</v>
      </c>
      <c r="C2063" s="15">
        <v>2</v>
      </c>
      <c r="D2063" s="15">
        <v>21</v>
      </c>
      <c r="E2063" s="16"/>
      <c r="F2063" t="s" s="17">
        <v>111</v>
      </c>
      <c r="G2063" s="16"/>
      <c r="H2063" t="s" s="17">
        <v>163</v>
      </c>
      <c r="I2063" t="s" s="17">
        <v>187</v>
      </c>
      <c r="J2063" t="s" s="17">
        <v>196</v>
      </c>
      <c r="K2063" t="s" s="17">
        <v>41</v>
      </c>
      <c r="L2063" s="15">
        <f>IF(O2063,P2063/O2063,0)</f>
        <v>0.0486666666666667</v>
      </c>
      <c r="M2063" s="15">
        <v>0.0486666666666667</v>
      </c>
      <c r="N2063" s="15">
        <f>A2063</f>
        <v>2061</v>
      </c>
      <c r="O2063" s="15">
        <v>750</v>
      </c>
      <c r="P2063" s="15">
        <v>36.5</v>
      </c>
      <c r="Q2063" s="16"/>
    </row>
    <row r="2064" ht="32.05" customHeight="1">
      <c r="A2064" s="13">
        <f>A2063+1</f>
        <v>2062</v>
      </c>
      <c r="B2064" s="14">
        <v>2024</v>
      </c>
      <c r="C2064" s="15">
        <v>2</v>
      </c>
      <c r="D2064" s="15">
        <v>21</v>
      </c>
      <c r="E2064" s="16"/>
      <c r="F2064" t="s" s="17">
        <v>287</v>
      </c>
      <c r="G2064" s="16"/>
      <c r="H2064" t="s" s="17">
        <v>163</v>
      </c>
      <c r="I2064" t="s" s="17">
        <v>14</v>
      </c>
      <c r="J2064" t="s" s="17">
        <v>283</v>
      </c>
      <c r="K2064" t="s" s="17">
        <v>23</v>
      </c>
      <c r="L2064" s="15">
        <f>IF(O2064,P2064/O2064,0)</f>
        <v>53.1765</v>
      </c>
      <c r="M2064" s="15">
        <v>53.1765</v>
      </c>
      <c r="N2064" s="15">
        <f>A2064</f>
        <v>2062</v>
      </c>
      <c r="O2064" s="15">
        <v>10</v>
      </c>
      <c r="P2064" s="42">
        <f t="shared" si="7318"/>
        <v>531.765</v>
      </c>
      <c r="Q2064" s="16"/>
    </row>
    <row r="2065" ht="20.05" customHeight="1">
      <c r="A2065" s="13">
        <f>A2064+1</f>
        <v>2063</v>
      </c>
      <c r="B2065" s="14">
        <v>2024</v>
      </c>
      <c r="C2065" s="15">
        <v>2</v>
      </c>
      <c r="D2065" s="15">
        <v>21</v>
      </c>
      <c r="E2065" s="16"/>
      <c r="F2065" t="s" s="17">
        <v>287</v>
      </c>
      <c r="G2065" s="16"/>
      <c r="H2065" t="s" s="17">
        <v>163</v>
      </c>
      <c r="I2065" t="s" s="17">
        <v>14</v>
      </c>
      <c r="J2065" t="s" s="17">
        <v>433</v>
      </c>
      <c r="K2065" t="s" s="17">
        <v>23</v>
      </c>
      <c r="L2065" s="15">
        <f>IF(O2065,P2065/O2065,0)</f>
        <v>57.7215</v>
      </c>
      <c r="M2065" s="15">
        <v>57.7215</v>
      </c>
      <c r="N2065" s="15">
        <f>A2065</f>
        <v>2063</v>
      </c>
      <c r="O2065" s="15">
        <v>10</v>
      </c>
      <c r="P2065" s="42">
        <f t="shared" si="7503"/>
        <v>577.215</v>
      </c>
      <c r="Q2065" s="16"/>
    </row>
    <row r="2066" ht="32.05" customHeight="1">
      <c r="A2066" s="13">
        <f>A2065+1</f>
        <v>2064</v>
      </c>
      <c r="B2066" s="14">
        <v>2024</v>
      </c>
      <c r="C2066" s="15">
        <v>2</v>
      </c>
      <c r="D2066" s="15">
        <v>22</v>
      </c>
      <c r="E2066" s="16"/>
      <c r="F2066" t="s" s="17">
        <v>287</v>
      </c>
      <c r="G2066" s="16"/>
      <c r="H2066" t="s" s="17">
        <v>163</v>
      </c>
      <c r="I2066" t="s" s="17">
        <v>14</v>
      </c>
      <c r="J2066" t="s" s="17">
        <v>283</v>
      </c>
      <c r="K2066" t="s" s="17">
        <v>23</v>
      </c>
      <c r="L2066" s="15">
        <f>IF(O2066,P2066/O2066,0)</f>
        <v>53.1765</v>
      </c>
      <c r="M2066" s="15">
        <v>53.1765</v>
      </c>
      <c r="N2066" s="15">
        <f>A2066</f>
        <v>2064</v>
      </c>
      <c r="O2066" s="15">
        <v>10</v>
      </c>
      <c r="P2066" s="42">
        <f t="shared" si="7318"/>
        <v>531.765</v>
      </c>
      <c r="Q2066" s="16"/>
    </row>
    <row r="2067" ht="20.05" customHeight="1">
      <c r="A2067" s="13">
        <f>A2066+1</f>
        <v>2065</v>
      </c>
      <c r="B2067" s="14">
        <v>2024</v>
      </c>
      <c r="C2067" s="15">
        <v>2</v>
      </c>
      <c r="D2067" s="15">
        <v>22</v>
      </c>
      <c r="E2067" s="16"/>
      <c r="F2067" t="s" s="17">
        <v>287</v>
      </c>
      <c r="G2067" s="16"/>
      <c r="H2067" t="s" s="17">
        <v>163</v>
      </c>
      <c r="I2067" t="s" s="17">
        <v>14</v>
      </c>
      <c r="J2067" t="s" s="17">
        <v>288</v>
      </c>
      <c r="K2067" t="s" s="17">
        <v>23</v>
      </c>
      <c r="L2067" s="15">
        <f>IF(O2067,P2067/O2067,0)</f>
        <v>55.9427777777778</v>
      </c>
      <c r="M2067" s="15">
        <v>55.9427777777778</v>
      </c>
      <c r="N2067" s="15">
        <f>A2067</f>
        <v>2065</v>
      </c>
      <c r="O2067" s="15">
        <v>9</v>
      </c>
      <c r="P2067" s="42">
        <f t="shared" si="7322"/>
        <v>503.485</v>
      </c>
      <c r="Q2067" s="16"/>
    </row>
    <row r="2068" ht="20.05" customHeight="1">
      <c r="A2068" s="13">
        <f>A2067+1</f>
        <v>2066</v>
      </c>
      <c r="B2068" s="14">
        <v>2024</v>
      </c>
      <c r="C2068" s="15">
        <v>2</v>
      </c>
      <c r="D2068" s="15">
        <v>22</v>
      </c>
      <c r="E2068" s="16"/>
      <c r="F2068" t="s" s="17">
        <v>287</v>
      </c>
      <c r="G2068" s="16"/>
      <c r="H2068" t="s" s="17">
        <v>163</v>
      </c>
      <c r="I2068" t="s" s="17">
        <v>14</v>
      </c>
      <c r="J2068" t="s" s="17">
        <v>279</v>
      </c>
      <c r="K2068" t="s" s="17">
        <v>23</v>
      </c>
      <c r="L2068" s="15">
        <f>IF(O2068,P2068/O2068,0)</f>
        <v>50.7525</v>
      </c>
      <c r="M2068" s="15">
        <v>50.7525</v>
      </c>
      <c r="N2068" s="15">
        <f>A2068</f>
        <v>2066</v>
      </c>
      <c r="O2068" s="15">
        <v>10</v>
      </c>
      <c r="P2068" s="42">
        <f t="shared" si="7326"/>
        <v>507.525</v>
      </c>
      <c r="Q2068" s="16"/>
    </row>
    <row r="2069" ht="20.05" customHeight="1">
      <c r="A2069" s="13">
        <f>A2068+1</f>
        <v>2067</v>
      </c>
      <c r="B2069" s="14">
        <v>2024</v>
      </c>
      <c r="C2069" s="15">
        <v>2</v>
      </c>
      <c r="D2069" s="15">
        <v>23</v>
      </c>
      <c r="E2069" s="16"/>
      <c r="F2069" t="s" s="17">
        <v>287</v>
      </c>
      <c r="G2069" s="16"/>
      <c r="H2069" t="s" s="17">
        <v>163</v>
      </c>
      <c r="I2069" t="s" s="17">
        <v>14</v>
      </c>
      <c r="J2069" t="s" s="17">
        <v>288</v>
      </c>
      <c r="K2069" t="s" s="17">
        <v>23</v>
      </c>
      <c r="L2069" s="15">
        <f>IF(O2069,P2069/O2069,0)</f>
        <v>55.9427777777778</v>
      </c>
      <c r="M2069" s="15">
        <v>55.9427777777778</v>
      </c>
      <c r="N2069" s="15">
        <f>A2069</f>
        <v>2067</v>
      </c>
      <c r="O2069" s="15">
        <v>18</v>
      </c>
      <c r="P2069" s="41">
        <f t="shared" si="5936"/>
        <v>1006.97</v>
      </c>
      <c r="Q2069" s="16"/>
    </row>
    <row r="2070" ht="32.05" customHeight="1">
      <c r="A2070" s="13">
        <f>A2069+1</f>
        <v>2068</v>
      </c>
      <c r="B2070" s="14">
        <v>2024</v>
      </c>
      <c r="C2070" s="15">
        <v>2</v>
      </c>
      <c r="D2070" s="15">
        <v>23</v>
      </c>
      <c r="E2070" s="16"/>
      <c r="F2070" t="s" s="17">
        <v>287</v>
      </c>
      <c r="G2070" s="16"/>
      <c r="H2070" t="s" s="17">
        <v>163</v>
      </c>
      <c r="I2070" t="s" s="17">
        <v>17</v>
      </c>
      <c r="J2070" t="s" s="17">
        <v>434</v>
      </c>
      <c r="K2070" t="s" s="17">
        <v>23</v>
      </c>
      <c r="L2070" s="15">
        <f>IF(O2070,P2070/O2070,0)</f>
        <v>54.0139583333333</v>
      </c>
      <c r="M2070" s="15">
        <v>54.0139583333333</v>
      </c>
      <c r="N2070" s="15">
        <f>A2070</f>
        <v>2068</v>
      </c>
      <c r="O2070" s="15">
        <v>24</v>
      </c>
      <c r="P2070" s="42">
        <f t="shared" si="7519"/>
        <v>1296.335</v>
      </c>
      <c r="Q2070" s="16"/>
    </row>
    <row r="2071" ht="20.05" customHeight="1">
      <c r="A2071" s="13">
        <f>A2070+1</f>
        <v>2069</v>
      </c>
      <c r="B2071" s="14">
        <v>2024</v>
      </c>
      <c r="C2071" s="15">
        <v>2</v>
      </c>
      <c r="D2071" s="15">
        <v>24</v>
      </c>
      <c r="E2071" s="16"/>
      <c r="F2071" t="s" s="17">
        <v>287</v>
      </c>
      <c r="G2071" s="16"/>
      <c r="H2071" t="s" s="17">
        <v>163</v>
      </c>
      <c r="I2071" t="s" s="17">
        <v>14</v>
      </c>
      <c r="J2071" t="s" s="17">
        <v>288</v>
      </c>
      <c r="K2071" t="s" s="17">
        <v>23</v>
      </c>
      <c r="L2071" s="15">
        <f>IF(O2071,P2071/O2071,0)</f>
        <v>55.9427777777778</v>
      </c>
      <c r="M2071" s="15">
        <v>55.9427777777778</v>
      </c>
      <c r="N2071" s="15">
        <f>A2071</f>
        <v>2069</v>
      </c>
      <c r="O2071" s="15">
        <f>3*9</f>
        <v>27</v>
      </c>
      <c r="P2071" s="42">
        <f>1495.5+1495.5*1%</f>
        <v>1510.455</v>
      </c>
      <c r="Q2071" s="16"/>
    </row>
    <row r="2072" ht="20.05" customHeight="1">
      <c r="A2072" s="13">
        <f>A2071+1</f>
        <v>2070</v>
      </c>
      <c r="B2072" s="14">
        <v>2024</v>
      </c>
      <c r="C2072" s="15">
        <v>2</v>
      </c>
      <c r="D2072" s="15">
        <v>24</v>
      </c>
      <c r="E2072" s="16"/>
      <c r="F2072" t="s" s="17">
        <v>287</v>
      </c>
      <c r="G2072" s="16"/>
      <c r="H2072" t="s" s="17">
        <v>163</v>
      </c>
      <c r="I2072" t="s" s="17">
        <v>14</v>
      </c>
      <c r="J2072" t="s" s="17">
        <v>289</v>
      </c>
      <c r="K2072" t="s" s="17">
        <v>23</v>
      </c>
      <c r="L2072" s="15">
        <f>IF(O2072,P2072/O2072,0)</f>
        <v>44.9955</v>
      </c>
      <c r="M2072" s="15">
        <v>44.9955</v>
      </c>
      <c r="N2072" s="15">
        <f>A2072</f>
        <v>2070</v>
      </c>
      <c r="O2072" s="15">
        <v>10</v>
      </c>
      <c r="P2072" s="42">
        <f t="shared" si="7043"/>
        <v>449.955</v>
      </c>
      <c r="Q2072" s="16"/>
    </row>
    <row r="2073" ht="20.05" customHeight="1">
      <c r="A2073" s="13">
        <f>A2072+1</f>
        <v>2071</v>
      </c>
      <c r="B2073" s="14">
        <v>2024</v>
      </c>
      <c r="C2073" s="15">
        <v>2</v>
      </c>
      <c r="D2073" s="15">
        <v>24</v>
      </c>
      <c r="E2073" s="16"/>
      <c r="F2073" t="s" s="17">
        <v>476</v>
      </c>
      <c r="G2073" s="16"/>
      <c r="H2073" t="s" s="17">
        <v>163</v>
      </c>
      <c r="I2073" t="s" s="17">
        <v>19</v>
      </c>
      <c r="J2073" t="s" s="17">
        <v>157</v>
      </c>
      <c r="K2073" t="s" s="17">
        <v>16</v>
      </c>
      <c r="L2073" s="15">
        <f>IF(O2073,P2073/O2073,0)</f>
        <v>0.0167511312217195</v>
      </c>
      <c r="M2073" s="15">
        <v>0.0167511312217195</v>
      </c>
      <c r="N2073" s="15">
        <f>A2073</f>
        <v>2071</v>
      </c>
      <c r="O2073" s="15">
        <v>2210</v>
      </c>
      <c r="P2073" s="15">
        <v>37.02</v>
      </c>
      <c r="Q2073" s="16"/>
    </row>
    <row r="2074" ht="20.05" customHeight="1">
      <c r="A2074" s="13">
        <f>A2073+1</f>
        <v>2072</v>
      </c>
      <c r="B2074" s="14">
        <v>2024</v>
      </c>
      <c r="C2074" s="15">
        <v>2</v>
      </c>
      <c r="D2074" s="15">
        <v>24</v>
      </c>
      <c r="E2074" s="16"/>
      <c r="F2074" t="s" s="17">
        <v>476</v>
      </c>
      <c r="G2074" s="16"/>
      <c r="H2074" t="s" s="17">
        <v>163</v>
      </c>
      <c r="I2074" t="s" s="17">
        <v>187</v>
      </c>
      <c r="J2074" t="s" s="17">
        <v>426</v>
      </c>
      <c r="K2074" t="s" s="17">
        <v>23</v>
      </c>
      <c r="L2074" s="15">
        <f>IF(O2074,P2074/O2074,0)</f>
        <v>25</v>
      </c>
      <c r="M2074" s="15">
        <v>25</v>
      </c>
      <c r="N2074" s="15">
        <f>A2074</f>
        <v>2072</v>
      </c>
      <c r="O2074" s="15">
        <v>1</v>
      </c>
      <c r="P2074" s="15">
        <v>25</v>
      </c>
      <c r="Q2074" s="16"/>
    </row>
    <row r="2075" ht="20.05" customHeight="1">
      <c r="A2075" s="13">
        <f>A2074+1</f>
        <v>2073</v>
      </c>
      <c r="B2075" s="14">
        <v>2024</v>
      </c>
      <c r="C2075" s="15">
        <v>2</v>
      </c>
      <c r="D2075" s="15">
        <v>24</v>
      </c>
      <c r="E2075" s="16"/>
      <c r="F2075" t="s" s="17">
        <v>141</v>
      </c>
      <c r="G2075" s="16"/>
      <c r="H2075" t="s" s="17">
        <v>163</v>
      </c>
      <c r="I2075" t="s" s="17">
        <v>19</v>
      </c>
      <c r="J2075" t="s" s="17">
        <v>144</v>
      </c>
      <c r="K2075" t="s" s="17">
        <v>23</v>
      </c>
      <c r="L2075" s="15">
        <f>IF(O2075,P2075/O2075,0)</f>
        <v>17.3158333333333</v>
      </c>
      <c r="M2075" s="15">
        <v>17.3158333333333</v>
      </c>
      <c r="N2075" s="15">
        <f>A2075</f>
        <v>2073</v>
      </c>
      <c r="O2075" s="15">
        <v>24</v>
      </c>
      <c r="P2075" s="41">
        <f>377.8+377.8*10%</f>
        <v>415.58</v>
      </c>
      <c r="Q2075" s="16"/>
    </row>
    <row r="2076" ht="20.05" customHeight="1">
      <c r="A2076" s="13">
        <f>A2075+1</f>
        <v>2074</v>
      </c>
      <c r="B2076" s="14">
        <v>2024</v>
      </c>
      <c r="C2076" s="15">
        <v>2</v>
      </c>
      <c r="D2076" s="15">
        <v>24</v>
      </c>
      <c r="E2076" s="16"/>
      <c r="F2076" t="s" s="17">
        <v>141</v>
      </c>
      <c r="G2076" s="16"/>
      <c r="H2076" t="s" s="17">
        <v>163</v>
      </c>
      <c r="I2076" t="s" s="17">
        <v>19</v>
      </c>
      <c r="J2076" t="s" s="17">
        <v>159</v>
      </c>
      <c r="K2076" t="s" s="17">
        <v>23</v>
      </c>
      <c r="L2076" s="15">
        <f>IF(O2076,P2076/O2076,0)</f>
        <v>3.12181180555556</v>
      </c>
      <c r="M2076" s="15">
        <v>3.12181180555556</v>
      </c>
      <c r="N2076" s="15">
        <f>A2076</f>
        <v>2074</v>
      </c>
      <c r="O2076" s="15">
        <v>144</v>
      </c>
      <c r="P2076" s="43">
        <f>445.09+445.09*1%</f>
        <v>449.5409</v>
      </c>
      <c r="Q2076" s="16"/>
    </row>
    <row r="2077" ht="20.05" customHeight="1">
      <c r="A2077" s="13">
        <f>A2076+1</f>
        <v>2075</v>
      </c>
      <c r="B2077" s="14">
        <v>2024</v>
      </c>
      <c r="C2077" s="15">
        <v>2</v>
      </c>
      <c r="D2077" s="15">
        <v>24</v>
      </c>
      <c r="E2077" s="16"/>
      <c r="F2077" t="s" s="17">
        <v>141</v>
      </c>
      <c r="G2077" s="16"/>
      <c r="H2077" t="s" s="17">
        <v>163</v>
      </c>
      <c r="I2077" t="s" s="17">
        <v>19</v>
      </c>
      <c r="J2077" t="s" s="17">
        <v>337</v>
      </c>
      <c r="K2077" t="s" s="17">
        <v>23</v>
      </c>
      <c r="L2077" s="15">
        <f>IF(O2077,P2077/O2077,0)</f>
        <v>-170</v>
      </c>
      <c r="M2077" s="15">
        <v>-170</v>
      </c>
      <c r="N2077" s="15">
        <f>A2077</f>
        <v>2075</v>
      </c>
      <c r="O2077" s="15">
        <v>2</v>
      </c>
      <c r="P2077" s="15">
        <v>-340</v>
      </c>
      <c r="Q2077" s="16"/>
    </row>
    <row r="2078" ht="20.05" customHeight="1">
      <c r="A2078" s="13">
        <f>A2077+1</f>
        <v>2076</v>
      </c>
      <c r="B2078" s="14">
        <v>2024</v>
      </c>
      <c r="C2078" s="15">
        <v>2</v>
      </c>
      <c r="D2078" s="15">
        <v>25</v>
      </c>
      <c r="E2078" s="16"/>
      <c r="F2078" t="s" s="17">
        <v>522</v>
      </c>
      <c r="G2078" s="16"/>
      <c r="H2078" t="s" s="17">
        <v>163</v>
      </c>
      <c r="I2078" t="s" s="17">
        <v>19</v>
      </c>
      <c r="J2078" t="s" s="17">
        <v>157</v>
      </c>
      <c r="K2078" t="s" s="17">
        <v>16</v>
      </c>
      <c r="L2078" s="15">
        <f>IF(O2078,P2078/O2078,0)</f>
        <v>0.016752</v>
      </c>
      <c r="M2078" s="15">
        <v>0.016752</v>
      </c>
      <c r="N2078" s="15">
        <f>A2078</f>
        <v>2076</v>
      </c>
      <c r="O2078" s="15">
        <v>2500</v>
      </c>
      <c r="P2078" s="15">
        <v>41.88</v>
      </c>
      <c r="Q2078" s="16"/>
    </row>
    <row r="2079" ht="32.05" customHeight="1">
      <c r="A2079" s="13">
        <f>A2078+1</f>
        <v>2077</v>
      </c>
      <c r="B2079" s="14">
        <v>2024</v>
      </c>
      <c r="C2079" s="15">
        <v>2</v>
      </c>
      <c r="D2079" s="15">
        <v>26</v>
      </c>
      <c r="E2079" s="16"/>
      <c r="F2079" t="s" s="17">
        <v>287</v>
      </c>
      <c r="G2079" s="16"/>
      <c r="H2079" t="s" s="17">
        <v>163</v>
      </c>
      <c r="I2079" t="s" s="17">
        <v>14</v>
      </c>
      <c r="J2079" t="s" s="17">
        <v>283</v>
      </c>
      <c r="K2079" t="s" s="17">
        <v>23</v>
      </c>
      <c r="L2079" s="15">
        <f>IF(O2079,P2079/O2079,0)</f>
        <v>53.1765</v>
      </c>
      <c r="M2079" s="15">
        <v>53.1765</v>
      </c>
      <c r="N2079" s="15">
        <f>A2079</f>
        <v>2077</v>
      </c>
      <c r="O2079" s="15">
        <v>10</v>
      </c>
      <c r="P2079" s="42">
        <f t="shared" si="7318"/>
        <v>531.765</v>
      </c>
      <c r="Q2079" s="16"/>
    </row>
    <row r="2080" ht="20.05" customHeight="1">
      <c r="A2080" s="13">
        <f>A2079+1</f>
        <v>2078</v>
      </c>
      <c r="B2080" s="14">
        <v>2024</v>
      </c>
      <c r="C2080" s="15">
        <v>2</v>
      </c>
      <c r="D2080" s="15">
        <v>26</v>
      </c>
      <c r="E2080" s="16"/>
      <c r="F2080" t="s" s="17">
        <v>287</v>
      </c>
      <c r="G2080" s="16"/>
      <c r="H2080" t="s" s="17">
        <v>163</v>
      </c>
      <c r="I2080" t="s" s="17">
        <v>14</v>
      </c>
      <c r="J2080" t="s" s="17">
        <v>288</v>
      </c>
      <c r="K2080" t="s" s="17">
        <v>23</v>
      </c>
      <c r="L2080" s="15">
        <f>IF(O2080,P2080/O2080,0)</f>
        <v>55.9427777777778</v>
      </c>
      <c r="M2080" s="15">
        <v>55.9427777777778</v>
      </c>
      <c r="N2080" s="15">
        <f>A2080</f>
        <v>2078</v>
      </c>
      <c r="O2080" s="15">
        <v>9</v>
      </c>
      <c r="P2080" s="42">
        <f t="shared" si="7322"/>
        <v>503.485</v>
      </c>
      <c r="Q2080" s="16"/>
    </row>
    <row r="2081" ht="20.05" customHeight="1">
      <c r="A2081" s="13">
        <f>A2080+1</f>
        <v>2079</v>
      </c>
      <c r="B2081" s="14">
        <v>2024</v>
      </c>
      <c r="C2081" s="15">
        <v>2</v>
      </c>
      <c r="D2081" s="15">
        <v>26</v>
      </c>
      <c r="E2081" s="16"/>
      <c r="F2081" t="s" s="17">
        <v>287</v>
      </c>
      <c r="G2081" s="16"/>
      <c r="H2081" t="s" s="17">
        <v>163</v>
      </c>
      <c r="I2081" t="s" s="17">
        <v>14</v>
      </c>
      <c r="J2081" t="s" s="17">
        <v>282</v>
      </c>
      <c r="K2081" t="s" s="17">
        <v>23</v>
      </c>
      <c r="L2081" s="15">
        <f>IF(O2081,P2081/O2081,0)</f>
        <v>40.905</v>
      </c>
      <c r="M2081" s="15">
        <v>40.905</v>
      </c>
      <c r="N2081" s="15">
        <f>A2081</f>
        <v>2079</v>
      </c>
      <c r="O2081" s="15">
        <v>10</v>
      </c>
      <c r="P2081" s="41">
        <f t="shared" si="7338"/>
        <v>409.05</v>
      </c>
      <c r="Q2081" s="16"/>
    </row>
    <row r="2082" ht="32.05" customHeight="1">
      <c r="A2082" s="13">
        <f>A2081+1</f>
        <v>2080</v>
      </c>
      <c r="B2082" s="14">
        <v>2024</v>
      </c>
      <c r="C2082" s="15">
        <v>2</v>
      </c>
      <c r="D2082" s="15">
        <v>26</v>
      </c>
      <c r="E2082" s="16"/>
      <c r="F2082" t="s" s="17">
        <v>531</v>
      </c>
      <c r="G2082" s="16"/>
      <c r="H2082" t="s" s="17">
        <v>163</v>
      </c>
      <c r="I2082" t="s" s="17">
        <v>19</v>
      </c>
      <c r="J2082" t="s" s="17">
        <v>367</v>
      </c>
      <c r="K2082" t="s" s="17">
        <v>23</v>
      </c>
      <c r="L2082" s="15">
        <f>IF(O2082,P2082/O2082,0)</f>
        <v>218.9</v>
      </c>
      <c r="M2082" s="15">
        <v>218.9</v>
      </c>
      <c r="N2082" s="15">
        <f>A2082</f>
        <v>2080</v>
      </c>
      <c r="O2082" s="15">
        <v>1</v>
      </c>
      <c r="P2082" s="15">
        <v>218.9</v>
      </c>
      <c r="Q2082" s="16"/>
    </row>
    <row r="2083" ht="20.05" customHeight="1">
      <c r="A2083" s="13">
        <f>A2082+1</f>
        <v>2081</v>
      </c>
      <c r="B2083" s="14">
        <v>2024</v>
      </c>
      <c r="C2083" s="15">
        <v>2</v>
      </c>
      <c r="D2083" s="15">
        <v>27</v>
      </c>
      <c r="E2083" s="16"/>
      <c r="F2083" t="s" s="17">
        <v>428</v>
      </c>
      <c r="G2083" s="16"/>
      <c r="H2083" t="s" s="17">
        <v>163</v>
      </c>
      <c r="I2083" t="s" s="17">
        <v>19</v>
      </c>
      <c r="J2083" t="s" s="17">
        <v>139</v>
      </c>
      <c r="K2083" t="s" s="17">
        <v>23</v>
      </c>
      <c r="L2083" s="15">
        <f>IF(O2083,P2083/O2083,0)</f>
        <v>3.875</v>
      </c>
      <c r="M2083" s="15">
        <v>3.875</v>
      </c>
      <c r="N2083" s="15">
        <f>A2083</f>
        <v>2081</v>
      </c>
      <c r="O2083" s="15">
        <f t="shared" si="7583"/>
        <v>96</v>
      </c>
      <c r="P2083" s="15">
        <v>372</v>
      </c>
      <c r="Q2083" s="16"/>
    </row>
    <row r="2084" ht="32.05" customHeight="1">
      <c r="A2084" s="13">
        <f>A2083+1</f>
        <v>2082</v>
      </c>
      <c r="B2084" s="14">
        <v>2024</v>
      </c>
      <c r="C2084" s="15">
        <v>2</v>
      </c>
      <c r="D2084" s="15">
        <v>27</v>
      </c>
      <c r="E2084" s="16"/>
      <c r="F2084" t="s" s="17">
        <v>428</v>
      </c>
      <c r="G2084" s="16"/>
      <c r="H2084" t="s" s="17">
        <v>163</v>
      </c>
      <c r="I2084" t="s" s="17">
        <v>19</v>
      </c>
      <c r="J2084" t="s" s="17">
        <v>437</v>
      </c>
      <c r="K2084" t="s" s="17">
        <v>16</v>
      </c>
      <c r="L2084" s="15">
        <f>IF(O2084,P2084/O2084,0)</f>
        <v>0.361075</v>
      </c>
      <c r="M2084" s="15">
        <v>0.361075</v>
      </c>
      <c r="N2084" s="15">
        <f>A2084</f>
        <v>2082</v>
      </c>
      <c r="O2084" s="15">
        <f t="shared" si="7593"/>
        <v>6000</v>
      </c>
      <c r="P2084" s="41">
        <f t="shared" si="7232"/>
        <v>2166.45</v>
      </c>
      <c r="Q2084" s="16"/>
    </row>
    <row r="2085" ht="32.05" customHeight="1">
      <c r="A2085" s="13">
        <f>A2084+1</f>
        <v>2083</v>
      </c>
      <c r="B2085" s="14">
        <v>2024</v>
      </c>
      <c r="C2085" s="15">
        <v>2</v>
      </c>
      <c r="D2085" s="15">
        <v>27</v>
      </c>
      <c r="E2085" s="16"/>
      <c r="F2085" t="s" s="17">
        <v>270</v>
      </c>
      <c r="G2085" s="16"/>
      <c r="H2085" t="s" s="17">
        <v>163</v>
      </c>
      <c r="I2085" t="s" s="17">
        <v>187</v>
      </c>
      <c r="J2085" t="s" s="17">
        <v>271</v>
      </c>
      <c r="K2085" t="s" s="17">
        <v>23</v>
      </c>
      <c r="L2085" s="15">
        <f>IF(O2085,P2085/O2085,0)</f>
        <v>2820</v>
      </c>
      <c r="M2085" s="15">
        <v>2820</v>
      </c>
      <c r="N2085" s="15">
        <f>A2085</f>
        <v>2083</v>
      </c>
      <c r="O2085" s="15">
        <v>1</v>
      </c>
      <c r="P2085" s="41">
        <f t="shared" si="7126"/>
        <v>2820</v>
      </c>
      <c r="Q2085" s="16"/>
    </row>
    <row r="2086" ht="20.05" customHeight="1">
      <c r="A2086" s="13">
        <f>A2085+1</f>
        <v>2084</v>
      </c>
      <c r="B2086" s="14">
        <v>2024</v>
      </c>
      <c r="C2086" s="15">
        <v>2</v>
      </c>
      <c r="D2086" s="15">
        <v>27</v>
      </c>
      <c r="E2086" s="16"/>
      <c r="F2086" t="s" s="17">
        <v>324</v>
      </c>
      <c r="G2086" s="16"/>
      <c r="H2086" t="s" s="17">
        <v>163</v>
      </c>
      <c r="I2086" t="s" s="17">
        <v>357</v>
      </c>
      <c r="J2086" t="s" s="17">
        <v>472</v>
      </c>
      <c r="K2086" t="s" s="17">
        <v>23</v>
      </c>
      <c r="L2086" s="15">
        <f>IF(O2086,P2086/O2086,0)</f>
        <v>75</v>
      </c>
      <c r="M2086" s="15">
        <v>75</v>
      </c>
      <c r="N2086" s="15">
        <f>A2086</f>
        <v>2084</v>
      </c>
      <c r="O2086" s="15">
        <v>1</v>
      </c>
      <c r="P2086" s="15">
        <v>75</v>
      </c>
      <c r="Q2086" s="16"/>
    </row>
    <row r="2087" ht="32.05" customHeight="1">
      <c r="A2087" s="13">
        <f>A2086+1</f>
        <v>2085</v>
      </c>
      <c r="B2087" s="14">
        <v>2024</v>
      </c>
      <c r="C2087" s="15">
        <v>2</v>
      </c>
      <c r="D2087" s="15">
        <v>27</v>
      </c>
      <c r="E2087" s="16"/>
      <c r="F2087" t="s" s="17">
        <v>478</v>
      </c>
      <c r="G2087" s="16"/>
      <c r="H2087" t="s" s="17">
        <v>163</v>
      </c>
      <c r="I2087" t="s" s="17">
        <v>19</v>
      </c>
      <c r="J2087" t="s" s="17">
        <v>532</v>
      </c>
      <c r="K2087" t="s" s="17">
        <v>16</v>
      </c>
      <c r="L2087" s="15">
        <f>IF(O2087,P2087/O2087,0)</f>
        <v>0.8585</v>
      </c>
      <c r="M2087" s="15">
        <v>0.8585</v>
      </c>
      <c r="N2087" s="15">
        <f>A2087</f>
        <v>2085</v>
      </c>
      <c r="O2087" s="15">
        <f t="shared" si="7455"/>
        <v>1000</v>
      </c>
      <c r="P2087" s="42">
        <f>850+850*1%</f>
        <v>858.5</v>
      </c>
      <c r="Q2087" s="16"/>
    </row>
    <row r="2088" ht="20.05" customHeight="1">
      <c r="A2088" s="13">
        <f>A2087+1</f>
        <v>2086</v>
      </c>
      <c r="B2088" s="14">
        <v>2024</v>
      </c>
      <c r="C2088" s="15">
        <v>2</v>
      </c>
      <c r="D2088" s="15">
        <v>28</v>
      </c>
      <c r="E2088" s="16"/>
      <c r="F2088" t="s" s="17">
        <v>445</v>
      </c>
      <c r="G2088" s="16"/>
      <c r="H2088" t="s" s="17">
        <v>163</v>
      </c>
      <c r="I2088" t="s" s="17">
        <v>443</v>
      </c>
      <c r="J2088" t="s" s="17">
        <v>446</v>
      </c>
      <c r="K2088" t="s" s="17">
        <v>23</v>
      </c>
      <c r="L2088" s="15">
        <f>IF(O2088,P2088/O2088,0)</f>
        <v>188.083779661017</v>
      </c>
      <c r="M2088" s="15">
        <v>188.083779661017</v>
      </c>
      <c r="N2088" s="15">
        <f>A2088</f>
        <v>2086</v>
      </c>
      <c r="O2088" s="15">
        <v>59</v>
      </c>
      <c r="P2088" s="42">
        <f>10088.13+10088.13*10%</f>
        <v>11096.943</v>
      </c>
      <c r="Q2088" s="16"/>
    </row>
    <row r="2089" ht="20.05" customHeight="1">
      <c r="A2089" s="13">
        <f>A2088+1</f>
        <v>2087</v>
      </c>
      <c r="B2089" s="14">
        <v>2024</v>
      </c>
      <c r="C2089" s="15">
        <v>2</v>
      </c>
      <c r="D2089" s="15">
        <v>28</v>
      </c>
      <c r="E2089" s="16"/>
      <c r="F2089" t="s" s="17">
        <v>122</v>
      </c>
      <c r="G2089" s="16"/>
      <c r="H2089" t="s" s="17">
        <v>163</v>
      </c>
      <c r="I2089" t="s" s="17">
        <v>19</v>
      </c>
      <c r="J2089" t="s" s="17">
        <v>60</v>
      </c>
      <c r="K2089" t="s" s="17">
        <v>23</v>
      </c>
      <c r="L2089" s="15">
        <f>IF(O2089,P2089/O2089,0)</f>
        <v>2.9896</v>
      </c>
      <c r="M2089" s="15">
        <v>2.9896</v>
      </c>
      <c r="N2089" s="15">
        <f>A2089</f>
        <v>2087</v>
      </c>
      <c r="O2089" s="15">
        <v>120</v>
      </c>
      <c r="P2089" s="42">
        <f t="shared" si="7598"/>
        <v>358.752</v>
      </c>
      <c r="Q2089" s="16"/>
    </row>
    <row r="2090" ht="20.05" customHeight="1">
      <c r="A2090" s="13">
        <f>A2089+1</f>
        <v>2088</v>
      </c>
      <c r="B2090" s="14">
        <v>2024</v>
      </c>
      <c r="C2090" s="15">
        <v>2</v>
      </c>
      <c r="D2090" s="15">
        <v>28</v>
      </c>
      <c r="E2090" s="16"/>
      <c r="F2090" t="s" s="17">
        <v>122</v>
      </c>
      <c r="G2090" s="16"/>
      <c r="H2090" t="s" s="17">
        <v>163</v>
      </c>
      <c r="I2090" t="s" s="17">
        <v>19</v>
      </c>
      <c r="J2090" t="s" s="17">
        <v>138</v>
      </c>
      <c r="K2090" t="s" s="17">
        <v>41</v>
      </c>
      <c r="L2090" s="15">
        <f>IF(O2090,P2090/O2090,0)</f>
        <v>0.04343</v>
      </c>
      <c r="M2090" s="15">
        <v>0.04343</v>
      </c>
      <c r="N2090" s="15">
        <f>A2090</f>
        <v>2088</v>
      </c>
      <c r="O2090" s="15">
        <f t="shared" si="7412"/>
        <v>60000</v>
      </c>
      <c r="P2090" s="42">
        <f t="shared" si="6877"/>
        <v>2605.8</v>
      </c>
      <c r="Q2090" s="16"/>
    </row>
    <row r="2091" ht="32.05" customHeight="1">
      <c r="A2091" s="13">
        <f>A2090+1</f>
        <v>2089</v>
      </c>
      <c r="B2091" s="14">
        <v>2024</v>
      </c>
      <c r="C2091" s="15">
        <v>2</v>
      </c>
      <c r="D2091" s="15">
        <v>28</v>
      </c>
      <c r="E2091" s="16"/>
      <c r="F2091" t="s" s="17">
        <v>122</v>
      </c>
      <c r="G2091" s="16"/>
      <c r="H2091" t="s" s="17">
        <v>163</v>
      </c>
      <c r="I2091" t="s" s="17">
        <v>187</v>
      </c>
      <c r="J2091" t="s" s="17">
        <v>136</v>
      </c>
      <c r="K2091" t="s" s="17">
        <v>23</v>
      </c>
      <c r="L2091" s="15">
        <f>IF(O2091,P2091/O2091,0)</f>
        <v>0.2424</v>
      </c>
      <c r="M2091" s="15">
        <v>0.2424</v>
      </c>
      <c r="N2091" s="15">
        <f>A2091</f>
        <v>2089</v>
      </c>
      <c r="O2091" s="15">
        <f t="shared" si="7785" ref="O2091:O2147">1*10*200</f>
        <v>2000</v>
      </c>
      <c r="P2091" s="42">
        <f t="shared" si="6891"/>
        <v>484.8</v>
      </c>
      <c r="Q2091" s="16"/>
    </row>
    <row r="2092" ht="20.05" customHeight="1">
      <c r="A2092" s="13">
        <f>A2091+1</f>
        <v>2090</v>
      </c>
      <c r="B2092" s="14">
        <v>2024</v>
      </c>
      <c r="C2092" s="15">
        <v>2</v>
      </c>
      <c r="D2092" s="15">
        <v>28</v>
      </c>
      <c r="E2092" s="16"/>
      <c r="F2092" t="s" s="17">
        <v>122</v>
      </c>
      <c r="G2092" s="16"/>
      <c r="H2092" t="s" s="17">
        <v>163</v>
      </c>
      <c r="I2092" t="s" s="17">
        <v>187</v>
      </c>
      <c r="J2092" t="s" s="17">
        <v>167</v>
      </c>
      <c r="K2092" t="s" s="17">
        <v>23</v>
      </c>
      <c r="L2092" s="15">
        <f>IF(O2092,P2092/O2092,0)</f>
        <v>1.07525</v>
      </c>
      <c r="M2092" s="15">
        <v>1.07525</v>
      </c>
      <c r="N2092" s="15">
        <f>A2092</f>
        <v>2090</v>
      </c>
      <c r="O2092" s="15">
        <f t="shared" si="7790" ref="O2092:O2165">4*100</f>
        <v>400</v>
      </c>
      <c r="P2092" s="42">
        <f>391+391*10%</f>
        <v>430.1</v>
      </c>
      <c r="Q2092" s="16"/>
    </row>
    <row r="2093" ht="20.05" customHeight="1">
      <c r="A2093" s="13">
        <f>A2092+1</f>
        <v>2091</v>
      </c>
      <c r="B2093" s="14">
        <v>2024</v>
      </c>
      <c r="C2093" s="15">
        <v>2</v>
      </c>
      <c r="D2093" s="15">
        <v>28</v>
      </c>
      <c r="E2093" s="16"/>
      <c r="F2093" t="s" s="17">
        <v>122</v>
      </c>
      <c r="G2093" s="16"/>
      <c r="H2093" t="s" s="17">
        <v>163</v>
      </c>
      <c r="I2093" t="s" s="17">
        <v>187</v>
      </c>
      <c r="J2093" t="s" s="17">
        <v>169</v>
      </c>
      <c r="K2093" t="s" s="17">
        <v>23</v>
      </c>
      <c r="L2093" s="15">
        <f>IF(O2093,P2093/O2093,0)</f>
        <v>0.4824</v>
      </c>
      <c r="M2093" s="15">
        <v>0.4824</v>
      </c>
      <c r="N2093" s="15">
        <f>A2093</f>
        <v>2091</v>
      </c>
      <c r="O2093" s="15">
        <f>1000</f>
        <v>1000</v>
      </c>
      <c r="P2093" s="42">
        <f>402+402*20%</f>
        <v>482.4</v>
      </c>
      <c r="Q2093" s="16"/>
    </row>
    <row r="2094" ht="20.05" customHeight="1">
      <c r="A2094" s="13">
        <f>A2093+1</f>
        <v>2092</v>
      </c>
      <c r="B2094" s="14">
        <v>2024</v>
      </c>
      <c r="C2094" s="15">
        <v>2</v>
      </c>
      <c r="D2094" s="15">
        <v>28</v>
      </c>
      <c r="E2094" s="16"/>
      <c r="F2094" t="s" s="17">
        <v>111</v>
      </c>
      <c r="G2094" s="16"/>
      <c r="H2094" t="s" s="17">
        <v>163</v>
      </c>
      <c r="I2094" t="s" s="17">
        <v>19</v>
      </c>
      <c r="J2094" t="s" s="17">
        <v>112</v>
      </c>
      <c r="K2094" t="s" s="17">
        <v>41</v>
      </c>
      <c r="L2094" s="15">
        <f>IF(O2094,P2094/O2094,0)</f>
        <v>0.038178</v>
      </c>
      <c r="M2094" s="15">
        <v>0.038178</v>
      </c>
      <c r="N2094" s="15">
        <f>A2094</f>
        <v>2092</v>
      </c>
      <c r="O2094" s="15">
        <f t="shared" si="6154"/>
        <v>10000</v>
      </c>
      <c r="P2094" s="15">
        <v>381.78</v>
      </c>
      <c r="Q2094" s="16"/>
    </row>
    <row r="2095" ht="20.05" customHeight="1">
      <c r="A2095" s="13">
        <f>A2094+1</f>
        <v>2093</v>
      </c>
      <c r="B2095" s="14">
        <v>2024</v>
      </c>
      <c r="C2095" s="15">
        <v>2</v>
      </c>
      <c r="D2095" s="15">
        <v>28</v>
      </c>
      <c r="E2095" s="16"/>
      <c r="F2095" t="s" s="17">
        <v>111</v>
      </c>
      <c r="G2095" s="16"/>
      <c r="H2095" t="s" s="17">
        <v>163</v>
      </c>
      <c r="I2095" t="s" s="17">
        <v>26</v>
      </c>
      <c r="J2095" t="s" s="17">
        <v>113</v>
      </c>
      <c r="K2095" t="s" s="17">
        <v>41</v>
      </c>
      <c r="L2095" s="15">
        <f>IF(O2095,P2095/O2095,0)</f>
        <v>0.0354833333333333</v>
      </c>
      <c r="M2095" s="15">
        <v>0.0354833333333333</v>
      </c>
      <c r="N2095" s="15">
        <f>A2095</f>
        <v>2093</v>
      </c>
      <c r="O2095" s="15">
        <f t="shared" si="7244"/>
        <v>3000</v>
      </c>
      <c r="P2095" s="15">
        <v>106.45</v>
      </c>
      <c r="Q2095" s="16"/>
    </row>
    <row r="2096" ht="20.05" customHeight="1">
      <c r="A2096" s="13">
        <f>A2095+1</f>
        <v>2094</v>
      </c>
      <c r="B2096" s="14">
        <v>2024</v>
      </c>
      <c r="C2096" s="15">
        <v>2</v>
      </c>
      <c r="D2096" s="15">
        <v>28</v>
      </c>
      <c r="E2096" s="16"/>
      <c r="F2096" t="s" s="17">
        <v>111</v>
      </c>
      <c r="G2096" s="16"/>
      <c r="H2096" t="s" s="17">
        <v>163</v>
      </c>
      <c r="I2096" t="s" s="17">
        <v>19</v>
      </c>
      <c r="J2096" t="s" s="17">
        <v>72</v>
      </c>
      <c r="K2096" t="s" s="17">
        <v>41</v>
      </c>
      <c r="L2096" s="15">
        <f>IF(O2096,P2096/O2096,0)</f>
        <v>0.301832</v>
      </c>
      <c r="M2096" s="15">
        <v>0.301832</v>
      </c>
      <c r="N2096" s="15">
        <f>A2096</f>
        <v>2094</v>
      </c>
      <c r="O2096" s="15">
        <f t="shared" si="6917"/>
        <v>1250</v>
      </c>
      <c r="P2096" s="15">
        <v>377.29</v>
      </c>
      <c r="Q2096" s="16"/>
    </row>
    <row r="2097" ht="20.05" customHeight="1">
      <c r="A2097" s="13">
        <f>A2096+1</f>
        <v>2095</v>
      </c>
      <c r="B2097" s="14">
        <v>2024</v>
      </c>
      <c r="C2097" s="15">
        <v>2</v>
      </c>
      <c r="D2097" s="15">
        <v>28</v>
      </c>
      <c r="E2097" s="16"/>
      <c r="F2097" t="s" s="17">
        <v>111</v>
      </c>
      <c r="G2097" s="16"/>
      <c r="H2097" t="s" s="17">
        <v>163</v>
      </c>
      <c r="I2097" t="s" s="17">
        <v>26</v>
      </c>
      <c r="J2097" t="s" s="17">
        <v>117</v>
      </c>
      <c r="K2097" t="s" s="17">
        <v>23</v>
      </c>
      <c r="L2097" s="15">
        <f>IF(O2097,P2097/O2097,0)</f>
        <v>51.2166666666667</v>
      </c>
      <c r="M2097" s="15">
        <v>51.2166666666667</v>
      </c>
      <c r="N2097" s="15">
        <f>A2097</f>
        <v>2095</v>
      </c>
      <c r="O2097" s="15">
        <f>6</f>
        <v>6</v>
      </c>
      <c r="P2097" s="15">
        <v>307.3</v>
      </c>
      <c r="Q2097" s="16"/>
    </row>
    <row r="2098" ht="20.05" customHeight="1">
      <c r="A2098" s="13">
        <f>A2097+1</f>
        <v>2096</v>
      </c>
      <c r="B2098" s="14">
        <v>2024</v>
      </c>
      <c r="C2098" s="15">
        <v>2</v>
      </c>
      <c r="D2098" s="15">
        <v>28</v>
      </c>
      <c r="E2098" s="16"/>
      <c r="F2098" t="s" s="17">
        <v>111</v>
      </c>
      <c r="G2098" s="16"/>
      <c r="H2098" t="s" s="17">
        <v>163</v>
      </c>
      <c r="I2098" t="s" s="17">
        <v>26</v>
      </c>
      <c r="J2098" t="s" s="17">
        <v>134</v>
      </c>
      <c r="K2098" t="s" s="17">
        <v>23</v>
      </c>
      <c r="L2098" s="15">
        <f>IF(O2098,P2098/O2098,0)</f>
        <v>51.2166666666667</v>
      </c>
      <c r="M2098" s="15">
        <v>51.2166666666667</v>
      </c>
      <c r="N2098" s="15">
        <f>A2098</f>
        <v>2096</v>
      </c>
      <c r="O2098" s="15">
        <v>9</v>
      </c>
      <c r="P2098" s="15">
        <v>460.95</v>
      </c>
      <c r="Q2098" s="16"/>
    </row>
    <row r="2099" ht="20.05" customHeight="1">
      <c r="A2099" s="13">
        <f>A2098+1</f>
        <v>2097</v>
      </c>
      <c r="B2099" s="14">
        <v>2024</v>
      </c>
      <c r="C2099" s="15">
        <v>2</v>
      </c>
      <c r="D2099" s="15">
        <v>28</v>
      </c>
      <c r="E2099" s="16"/>
      <c r="F2099" t="s" s="17">
        <v>111</v>
      </c>
      <c r="G2099" s="16"/>
      <c r="H2099" t="s" s="17">
        <v>163</v>
      </c>
      <c r="I2099" t="s" s="17">
        <v>26</v>
      </c>
      <c r="J2099" t="s" s="17">
        <v>118</v>
      </c>
      <c r="K2099" t="s" s="17">
        <v>23</v>
      </c>
      <c r="L2099" s="15">
        <f>IF(O2099,P2099/O2099,0)</f>
        <v>51.2166666666667</v>
      </c>
      <c r="M2099" s="15">
        <v>51.2166666666667</v>
      </c>
      <c r="N2099" s="15">
        <f>A2099</f>
        <v>2097</v>
      </c>
      <c r="O2099" s="15">
        <v>6</v>
      </c>
      <c r="P2099" s="15">
        <v>307.3</v>
      </c>
      <c r="Q2099" s="16"/>
    </row>
    <row r="2100" ht="20.05" customHeight="1">
      <c r="A2100" s="13">
        <f>A2099+1</f>
        <v>2098</v>
      </c>
      <c r="B2100" s="14">
        <v>2024</v>
      </c>
      <c r="C2100" s="15">
        <v>2</v>
      </c>
      <c r="D2100" s="15">
        <v>28</v>
      </c>
      <c r="E2100" s="16"/>
      <c r="F2100" t="s" s="17">
        <v>111</v>
      </c>
      <c r="G2100" s="16"/>
      <c r="H2100" t="s" s="17">
        <v>163</v>
      </c>
      <c r="I2100" t="s" s="17">
        <v>19</v>
      </c>
      <c r="J2100" t="s" s="17">
        <v>135</v>
      </c>
      <c r="K2100" t="s" s="17">
        <v>23</v>
      </c>
      <c r="L2100" s="15">
        <f>IF(O2100,P2100/O2100,0)</f>
        <v>0.4776</v>
      </c>
      <c r="M2100" s="15">
        <v>0.4776</v>
      </c>
      <c r="N2100" s="15">
        <f>A2100</f>
        <v>2098</v>
      </c>
      <c r="O2100" s="15">
        <f t="shared" si="7822" ref="O2100:O2137">5*50</f>
        <v>250</v>
      </c>
      <c r="P2100" s="15">
        <v>119.4</v>
      </c>
      <c r="Q2100" s="16"/>
    </row>
    <row r="2101" ht="20.05" customHeight="1">
      <c r="A2101" s="13">
        <f>A2100+1</f>
        <v>2099</v>
      </c>
      <c r="B2101" s="14">
        <v>2024</v>
      </c>
      <c r="C2101" s="15">
        <v>2</v>
      </c>
      <c r="D2101" s="15">
        <v>28</v>
      </c>
      <c r="E2101" s="16"/>
      <c r="F2101" t="s" s="17">
        <v>150</v>
      </c>
      <c r="G2101" s="16"/>
      <c r="H2101" t="s" s="17">
        <v>163</v>
      </c>
      <c r="I2101" t="s" s="17">
        <v>19</v>
      </c>
      <c r="J2101" t="s" s="17">
        <v>56</v>
      </c>
      <c r="K2101" t="s" s="17">
        <v>41</v>
      </c>
      <c r="L2101" s="15">
        <f>IF(O2101,P2101/O2101,0)</f>
        <v>0.36158</v>
      </c>
      <c r="M2101" s="15">
        <v>0.36158</v>
      </c>
      <c r="N2101" s="15">
        <f>A2101</f>
        <v>2099</v>
      </c>
      <c r="O2101" s="15">
        <v>2000</v>
      </c>
      <c r="P2101" s="41">
        <f t="shared" si="7826" ref="P2101:P2103">716+716*1%</f>
        <v>723.16</v>
      </c>
      <c r="Q2101" s="16"/>
    </row>
    <row r="2102" ht="20.05" customHeight="1">
      <c r="A2102" s="13">
        <f>A2101+1</f>
        <v>2100</v>
      </c>
      <c r="B2102" s="14">
        <v>2024</v>
      </c>
      <c r="C2102" s="15">
        <v>2</v>
      </c>
      <c r="D2102" s="15">
        <v>28</v>
      </c>
      <c r="E2102" s="16"/>
      <c r="F2102" t="s" s="17">
        <v>150</v>
      </c>
      <c r="G2102" s="16"/>
      <c r="H2102" t="s" s="17">
        <v>163</v>
      </c>
      <c r="I2102" t="s" s="17">
        <v>19</v>
      </c>
      <c r="J2102" t="s" s="17">
        <v>105</v>
      </c>
      <c r="K2102" t="s" s="17">
        <v>41</v>
      </c>
      <c r="L2102" s="15">
        <f>IF(O2102,P2102/O2102,0)</f>
        <v>0.45248</v>
      </c>
      <c r="M2102" s="15">
        <v>0.45248</v>
      </c>
      <c r="N2102" s="15">
        <f>A2102</f>
        <v>2100</v>
      </c>
      <c r="O2102" s="15">
        <v>750</v>
      </c>
      <c r="P2102" s="41">
        <f t="shared" si="7466"/>
        <v>339.36</v>
      </c>
      <c r="Q2102" s="16"/>
    </row>
    <row r="2103" ht="20.05" customHeight="1">
      <c r="A2103" s="13">
        <f>A2102+1</f>
        <v>2101</v>
      </c>
      <c r="B2103" s="14">
        <v>2024</v>
      </c>
      <c r="C2103" s="15">
        <v>2</v>
      </c>
      <c r="D2103" s="15">
        <v>28</v>
      </c>
      <c r="E2103" s="16"/>
      <c r="F2103" t="s" s="17">
        <v>150</v>
      </c>
      <c r="G2103" s="16"/>
      <c r="H2103" t="s" s="17">
        <v>163</v>
      </c>
      <c r="I2103" t="s" s="17">
        <v>19</v>
      </c>
      <c r="J2103" t="s" s="17">
        <v>154</v>
      </c>
      <c r="K2103" t="s" s="17">
        <v>41</v>
      </c>
      <c r="L2103" s="15">
        <f>IF(O2103,P2103/O2103,0)</f>
        <v>0.36158</v>
      </c>
      <c r="M2103" s="15">
        <v>0.36158</v>
      </c>
      <c r="N2103" s="15">
        <f>A2103</f>
        <v>2101</v>
      </c>
      <c r="O2103" s="15">
        <v>2000</v>
      </c>
      <c r="P2103" s="41">
        <f t="shared" si="7826"/>
        <v>723.16</v>
      </c>
      <c r="Q2103" s="16"/>
    </row>
    <row r="2104" ht="20.05" customHeight="1">
      <c r="A2104" s="13">
        <f>A2103+1</f>
        <v>2102</v>
      </c>
      <c r="B2104" s="14">
        <v>2024</v>
      </c>
      <c r="C2104" s="15">
        <v>2</v>
      </c>
      <c r="D2104" s="15">
        <v>28</v>
      </c>
      <c r="E2104" s="16"/>
      <c r="F2104" t="s" s="17">
        <v>287</v>
      </c>
      <c r="G2104" s="16"/>
      <c r="H2104" t="s" s="17">
        <v>163</v>
      </c>
      <c r="I2104" t="s" s="17">
        <v>14</v>
      </c>
      <c r="J2104" t="s" s="17">
        <v>288</v>
      </c>
      <c r="K2104" t="s" s="17">
        <v>23</v>
      </c>
      <c r="L2104" s="15">
        <f>IF(O2104,P2104/O2104,0)</f>
        <v>43.9855</v>
      </c>
      <c r="M2104" s="15">
        <v>43.9855</v>
      </c>
      <c r="N2104" s="15">
        <f>A2104</f>
        <v>2102</v>
      </c>
      <c r="O2104" s="15">
        <v>10</v>
      </c>
      <c r="P2104" s="42">
        <f>435.5+435.5*1%</f>
        <v>439.855</v>
      </c>
      <c r="Q2104" s="16"/>
    </row>
    <row r="2105" ht="20.05" customHeight="1">
      <c r="A2105" s="13">
        <f>A2104+1</f>
        <v>2103</v>
      </c>
      <c r="B2105" s="14">
        <v>2024</v>
      </c>
      <c r="C2105" s="15">
        <v>2</v>
      </c>
      <c r="D2105" s="15">
        <v>28</v>
      </c>
      <c r="E2105" s="16"/>
      <c r="F2105" t="s" s="17">
        <v>287</v>
      </c>
      <c r="G2105" s="16"/>
      <c r="H2105" t="s" s="17">
        <v>163</v>
      </c>
      <c r="I2105" t="s" s="17">
        <v>14</v>
      </c>
      <c r="J2105" t="s" s="17">
        <v>433</v>
      </c>
      <c r="K2105" t="s" s="17">
        <v>23</v>
      </c>
      <c r="L2105" s="15">
        <f>IF(O2105,P2105/O2105,0)</f>
        <v>57.7215</v>
      </c>
      <c r="M2105" s="15">
        <v>57.7215</v>
      </c>
      <c r="N2105" s="15">
        <f>A2105</f>
        <v>2103</v>
      </c>
      <c r="O2105" s="15">
        <v>10</v>
      </c>
      <c r="P2105" s="42">
        <f t="shared" si="7503"/>
        <v>577.215</v>
      </c>
      <c r="Q2105" s="16"/>
    </row>
    <row r="2106" ht="32.05" customHeight="1">
      <c r="A2106" s="13">
        <f>A2105+1</f>
        <v>2104</v>
      </c>
      <c r="B2106" s="14">
        <v>2024</v>
      </c>
      <c r="C2106" s="15">
        <v>2</v>
      </c>
      <c r="D2106" s="15">
        <v>28</v>
      </c>
      <c r="E2106" s="16"/>
      <c r="F2106" t="s" s="17">
        <v>287</v>
      </c>
      <c r="G2106" s="16"/>
      <c r="H2106" t="s" s="17">
        <v>163</v>
      </c>
      <c r="I2106" t="s" s="17">
        <v>14</v>
      </c>
      <c r="J2106" t="s" s="17">
        <v>434</v>
      </c>
      <c r="K2106" t="s" s="17">
        <v>23</v>
      </c>
      <c r="L2106" s="15">
        <f>IF(O2106,P2106/O2106,0)</f>
        <v>54.0139583333333</v>
      </c>
      <c r="M2106" s="15">
        <v>54.0139583333333</v>
      </c>
      <c r="N2106" s="15">
        <f>A2106</f>
        <v>2104</v>
      </c>
      <c r="O2106" s="15">
        <v>24</v>
      </c>
      <c r="P2106" s="42">
        <f t="shared" si="7519"/>
        <v>1296.335</v>
      </c>
      <c r="Q2106" s="16"/>
    </row>
    <row r="2107" ht="20.05" customHeight="1">
      <c r="A2107" s="13">
        <f>A2106+1</f>
        <v>2105</v>
      </c>
      <c r="B2107" s="14">
        <v>2024</v>
      </c>
      <c r="C2107" s="15">
        <v>2</v>
      </c>
      <c r="D2107" s="15">
        <v>28</v>
      </c>
      <c r="E2107" s="16"/>
      <c r="F2107" t="s" s="17">
        <v>324</v>
      </c>
      <c r="G2107" s="16"/>
      <c r="H2107" t="s" s="17">
        <v>163</v>
      </c>
      <c r="I2107" t="s" s="17">
        <v>357</v>
      </c>
      <c r="J2107" t="s" s="17">
        <v>472</v>
      </c>
      <c r="K2107" t="s" s="17">
        <v>23</v>
      </c>
      <c r="L2107" s="15">
        <f>IF(O2107,P2107/O2107,0)</f>
        <v>75</v>
      </c>
      <c r="M2107" s="15">
        <v>75</v>
      </c>
      <c r="N2107" s="15">
        <f>A2107</f>
        <v>2105</v>
      </c>
      <c r="O2107" s="15">
        <v>1</v>
      </c>
      <c r="P2107" s="15">
        <v>75</v>
      </c>
      <c r="Q2107" s="16"/>
    </row>
    <row r="2108" ht="20.05" customHeight="1">
      <c r="A2108" s="13">
        <f>A2107+1</f>
        <v>2106</v>
      </c>
      <c r="B2108" s="14">
        <v>2024</v>
      </c>
      <c r="C2108" s="15">
        <v>2</v>
      </c>
      <c r="D2108" s="15">
        <v>28</v>
      </c>
      <c r="E2108" s="16"/>
      <c r="F2108" t="s" s="17">
        <v>130</v>
      </c>
      <c r="G2108" s="16"/>
      <c r="H2108" t="s" s="17">
        <v>163</v>
      </c>
      <c r="I2108" t="s" s="17">
        <v>19</v>
      </c>
      <c r="J2108" t="s" s="17">
        <v>157</v>
      </c>
      <c r="K2108" t="s" s="17">
        <v>16</v>
      </c>
      <c r="L2108" s="15">
        <f>IF(O2108,P2108/O2108,0)</f>
        <v>0.019951171875</v>
      </c>
      <c r="M2108" s="15">
        <v>0.019951171875</v>
      </c>
      <c r="N2108" s="15">
        <f>A2108</f>
        <v>2106</v>
      </c>
      <c r="O2108" s="15">
        <v>2048</v>
      </c>
      <c r="P2108" s="15">
        <v>40.86</v>
      </c>
      <c r="Q2108" s="16"/>
    </row>
    <row r="2109" ht="20.05" customHeight="1">
      <c r="A2109" s="13">
        <f>A2108+1</f>
        <v>2107</v>
      </c>
      <c r="B2109" s="14">
        <v>2024</v>
      </c>
      <c r="C2109" s="15">
        <v>2</v>
      </c>
      <c r="D2109" s="15">
        <v>29</v>
      </c>
      <c r="E2109" s="16"/>
      <c r="F2109" t="s" s="17">
        <v>476</v>
      </c>
      <c r="G2109" s="16"/>
      <c r="H2109" t="s" s="17">
        <v>163</v>
      </c>
      <c r="I2109" t="s" s="17">
        <v>19</v>
      </c>
      <c r="J2109" t="s" s="17">
        <v>157</v>
      </c>
      <c r="K2109" t="s" s="17">
        <v>16</v>
      </c>
      <c r="L2109" s="15">
        <f>IF(O2109,P2109/O2109,0)</f>
        <v>0.0187522935779817</v>
      </c>
      <c r="M2109" s="15">
        <v>0.0187522935779817</v>
      </c>
      <c r="N2109" s="15">
        <f>A2109</f>
        <v>2107</v>
      </c>
      <c r="O2109" s="15">
        <v>1635</v>
      </c>
      <c r="P2109" s="15">
        <v>30.66</v>
      </c>
      <c r="Q2109" s="16"/>
    </row>
    <row r="2110" ht="20.05" customHeight="1">
      <c r="A2110" s="13">
        <f>A2109+1</f>
        <v>2108</v>
      </c>
      <c r="B2110" s="14">
        <v>2024</v>
      </c>
      <c r="C2110" s="15">
        <v>2</v>
      </c>
      <c r="D2110" s="15">
        <v>29</v>
      </c>
      <c r="E2110" s="16"/>
      <c r="F2110" t="s" s="17">
        <v>509</v>
      </c>
      <c r="G2110" s="16"/>
      <c r="H2110" t="s" s="17">
        <v>163</v>
      </c>
      <c r="I2110" t="s" s="17">
        <v>19</v>
      </c>
      <c r="J2110" t="s" s="17">
        <v>510</v>
      </c>
      <c r="K2110" t="s" s="17">
        <v>23</v>
      </c>
      <c r="L2110" s="15">
        <f>IF(O2110,P2110/O2110,0)</f>
        <v>930</v>
      </c>
      <c r="M2110" s="15">
        <v>930</v>
      </c>
      <c r="N2110" s="15">
        <f>A2110</f>
        <v>2108</v>
      </c>
      <c r="O2110" s="15">
        <v>1</v>
      </c>
      <c r="P2110" s="15">
        <v>930</v>
      </c>
      <c r="Q2110" s="16"/>
    </row>
    <row r="2111" ht="20.05" customHeight="1">
      <c r="A2111" s="13">
        <f>A2110+1</f>
        <v>2109</v>
      </c>
      <c r="B2111" s="14">
        <v>2024</v>
      </c>
      <c r="C2111" s="15">
        <v>2</v>
      </c>
      <c r="D2111" s="15">
        <v>29</v>
      </c>
      <c r="E2111" s="16"/>
      <c r="F2111" t="s" s="17">
        <v>377</v>
      </c>
      <c r="G2111" s="16"/>
      <c r="H2111" t="s" s="17">
        <v>163</v>
      </c>
      <c r="I2111" t="s" s="17">
        <v>187</v>
      </c>
      <c r="J2111" t="s" s="17">
        <v>533</v>
      </c>
      <c r="K2111" t="s" s="17">
        <v>23</v>
      </c>
      <c r="L2111" s="15">
        <f>IF(O2111,P2111/O2111,0)</f>
        <v>5299</v>
      </c>
      <c r="M2111" s="15">
        <v>5299</v>
      </c>
      <c r="N2111" s="15">
        <f>A2111</f>
        <v>2109</v>
      </c>
      <c r="O2111" s="15">
        <v>1</v>
      </c>
      <c r="P2111" s="15">
        <v>5299</v>
      </c>
      <c r="Q2111" s="16"/>
    </row>
    <row r="2112" ht="32.05" customHeight="1">
      <c r="A2112" s="13">
        <f>A2111+1</f>
        <v>2110</v>
      </c>
      <c r="B2112" s="14">
        <v>2024</v>
      </c>
      <c r="C2112" s="15">
        <v>2</v>
      </c>
      <c r="D2112" s="15">
        <v>29</v>
      </c>
      <c r="E2112" s="16"/>
      <c r="F2112" t="s" s="17">
        <v>122</v>
      </c>
      <c r="G2112" s="16"/>
      <c r="H2112" t="s" s="17">
        <v>163</v>
      </c>
      <c r="I2112" t="s" s="17">
        <v>19</v>
      </c>
      <c r="J2112" t="s" s="17">
        <v>285</v>
      </c>
      <c r="K2112" t="s" s="17">
        <v>41</v>
      </c>
      <c r="L2112" s="15">
        <f>IF(O2112,P2112/O2112,0)</f>
        <v>0.058656</v>
      </c>
      <c r="M2112" s="15">
        <v>0.058656</v>
      </c>
      <c r="N2112" s="15">
        <f>A2112</f>
        <v>2110</v>
      </c>
      <c r="O2112" s="15">
        <v>20000</v>
      </c>
      <c r="P2112" s="41">
        <f>977.6+977.6*20%</f>
        <v>1173.12</v>
      </c>
      <c r="Q2112" s="16"/>
    </row>
    <row r="2113" ht="32.05" customHeight="1">
      <c r="A2113" s="13">
        <f>A2112+1</f>
        <v>2111</v>
      </c>
      <c r="B2113" s="14">
        <v>2024</v>
      </c>
      <c r="C2113" s="15">
        <v>2</v>
      </c>
      <c r="D2113" s="15">
        <v>29</v>
      </c>
      <c r="E2113" s="16"/>
      <c r="F2113" t="s" s="17">
        <v>122</v>
      </c>
      <c r="G2113" s="16"/>
      <c r="H2113" t="s" s="17">
        <v>163</v>
      </c>
      <c r="I2113" t="s" s="17">
        <v>19</v>
      </c>
      <c r="J2113" t="s" s="17">
        <v>286</v>
      </c>
      <c r="K2113" t="s" s="17">
        <v>41</v>
      </c>
      <c r="L2113" s="15">
        <f>IF(O2113,P2113/O2113,0)</f>
        <v>0.0606</v>
      </c>
      <c r="M2113" s="15">
        <v>0.0606</v>
      </c>
      <c r="N2113" s="15">
        <f>A2113</f>
        <v>2111</v>
      </c>
      <c r="O2113" s="15">
        <v>20000</v>
      </c>
      <c r="P2113" s="41">
        <f>1010+1010*20%</f>
        <v>1212</v>
      </c>
      <c r="Q2113" s="16"/>
    </row>
    <row r="2114" ht="20.05" customHeight="1">
      <c r="A2114" s="13">
        <f>A2113+1</f>
        <v>2112</v>
      </c>
      <c r="B2114" s="14">
        <v>2024</v>
      </c>
      <c r="C2114" s="15">
        <v>2</v>
      </c>
      <c r="D2114" s="15">
        <v>29</v>
      </c>
      <c r="E2114" s="16"/>
      <c r="F2114" t="s" s="17">
        <v>130</v>
      </c>
      <c r="G2114" s="16"/>
      <c r="H2114" t="s" s="17">
        <v>163</v>
      </c>
      <c r="I2114" t="s" s="17">
        <v>19</v>
      </c>
      <c r="J2114" t="s" s="17">
        <v>157</v>
      </c>
      <c r="K2114" t="s" s="17">
        <v>16</v>
      </c>
      <c r="L2114" s="15">
        <f>IF(O2114,P2114/O2114,0)</f>
        <v>0.0199514091350826</v>
      </c>
      <c r="M2114" s="15">
        <v>0.0199514091350826</v>
      </c>
      <c r="N2114" s="15">
        <f>A2114</f>
        <v>2112</v>
      </c>
      <c r="O2114" s="15">
        <v>2058</v>
      </c>
      <c r="P2114" s="15">
        <v>41.06</v>
      </c>
      <c r="Q2114" s="16"/>
    </row>
    <row r="2115" ht="20.05" customHeight="1">
      <c r="A2115" s="13">
        <f>A2114+1</f>
        <v>2113</v>
      </c>
      <c r="B2115" s="14">
        <v>2024</v>
      </c>
      <c r="C2115" s="15">
        <v>2</v>
      </c>
      <c r="D2115" s="15">
        <v>3</v>
      </c>
      <c r="E2115" s="16"/>
      <c r="F2115" t="s" s="17">
        <v>287</v>
      </c>
      <c r="G2115" s="16"/>
      <c r="H2115" t="s" s="17">
        <v>253</v>
      </c>
      <c r="I2115" t="s" s="17">
        <v>14</v>
      </c>
      <c r="J2115" t="s" s="17">
        <v>288</v>
      </c>
      <c r="K2115" t="s" s="17">
        <v>23</v>
      </c>
      <c r="L2115" s="15">
        <f>IF(O2115,P2115/O2115,0)</f>
        <v>34.34</v>
      </c>
      <c r="M2115" s="15">
        <v>34.34</v>
      </c>
      <c r="N2115" s="15">
        <f>A2115</f>
        <v>2113</v>
      </c>
      <c r="O2115" s="15">
        <v>9</v>
      </c>
      <c r="P2115" s="41">
        <f t="shared" si="6671"/>
        <v>309.06</v>
      </c>
      <c r="Q2115" s="16"/>
    </row>
    <row r="2116" ht="20.05" customHeight="1">
      <c r="A2116" s="13">
        <f>A2115+1</f>
        <v>2114</v>
      </c>
      <c r="B2116" s="14">
        <v>2024</v>
      </c>
      <c r="C2116" s="15">
        <v>2</v>
      </c>
      <c r="D2116" s="15">
        <v>3</v>
      </c>
      <c r="E2116" s="16"/>
      <c r="F2116" t="s" s="17">
        <v>287</v>
      </c>
      <c r="G2116" s="16"/>
      <c r="H2116" t="s" s="17">
        <v>253</v>
      </c>
      <c r="I2116" t="s" s="17">
        <v>14</v>
      </c>
      <c r="J2116" t="s" s="17">
        <v>282</v>
      </c>
      <c r="K2116" t="s" s="17">
        <v>23</v>
      </c>
      <c r="L2116" s="15">
        <f>IF(O2116,P2116/O2116,0)</f>
        <v>25.048</v>
      </c>
      <c r="M2116" s="15">
        <v>25.048</v>
      </c>
      <c r="N2116" s="15">
        <f>A2116</f>
        <v>2114</v>
      </c>
      <c r="O2116" s="15">
        <v>10</v>
      </c>
      <c r="P2116" s="41">
        <f>248+248*1%</f>
        <v>250.48</v>
      </c>
      <c r="Q2116" s="16"/>
    </row>
    <row r="2117" ht="32.05" customHeight="1">
      <c r="A2117" s="13">
        <f>A2116+1</f>
        <v>2115</v>
      </c>
      <c r="B2117" s="14">
        <v>2024</v>
      </c>
      <c r="C2117" s="15">
        <v>2</v>
      </c>
      <c r="D2117" s="15">
        <v>3</v>
      </c>
      <c r="E2117" s="16"/>
      <c r="F2117" t="s" s="17">
        <v>287</v>
      </c>
      <c r="G2117" s="16"/>
      <c r="H2117" t="s" s="17">
        <v>253</v>
      </c>
      <c r="I2117" t="s" s="17">
        <v>17</v>
      </c>
      <c r="J2117" t="s" s="17">
        <v>434</v>
      </c>
      <c r="K2117" t="s" s="17">
        <v>23</v>
      </c>
      <c r="L2117" s="15">
        <f>IF(O2117,P2117/O2117,0)</f>
        <v>29.2058333333333</v>
      </c>
      <c r="M2117" s="15">
        <v>29.2058333333333</v>
      </c>
      <c r="N2117" s="15">
        <f>A2117</f>
        <v>2115</v>
      </c>
      <c r="O2117" s="15">
        <v>24</v>
      </c>
      <c r="P2117" s="41">
        <f>694+694*1%</f>
        <v>700.9400000000001</v>
      </c>
      <c r="Q2117" s="16"/>
    </row>
    <row r="2118" ht="20.05" customHeight="1">
      <c r="A2118" s="13">
        <f>A2117+1</f>
        <v>2116</v>
      </c>
      <c r="B2118" s="14">
        <v>2024</v>
      </c>
      <c r="C2118" s="15">
        <v>2</v>
      </c>
      <c r="D2118" s="15">
        <v>3</v>
      </c>
      <c r="E2118" s="16"/>
      <c r="F2118" t="s" s="17">
        <v>258</v>
      </c>
      <c r="G2118" s="16"/>
      <c r="H2118" t="s" s="17">
        <v>253</v>
      </c>
      <c r="I2118" t="s" s="17">
        <v>19</v>
      </c>
      <c r="J2118" t="s" s="17">
        <v>157</v>
      </c>
      <c r="K2118" t="s" s="17">
        <v>16</v>
      </c>
      <c r="L2118" s="15">
        <f>IF(O2118,P2118/O2118,0)</f>
        <v>0.0199010654490107</v>
      </c>
      <c r="M2118" s="15">
        <v>0.0199010654490107</v>
      </c>
      <c r="N2118" s="15">
        <f>A2118</f>
        <v>2116</v>
      </c>
      <c r="O2118" s="15">
        <v>2628</v>
      </c>
      <c r="P2118" s="15">
        <v>52.3</v>
      </c>
      <c r="Q2118" s="16"/>
    </row>
    <row r="2119" ht="20.05" customHeight="1">
      <c r="A2119" s="13">
        <f>A2118+1</f>
        <v>2117</v>
      </c>
      <c r="B2119" s="14">
        <v>2024</v>
      </c>
      <c r="C2119" s="15">
        <v>2</v>
      </c>
      <c r="D2119" s="15">
        <v>3</v>
      </c>
      <c r="E2119" s="16"/>
      <c r="F2119" t="s" s="17">
        <v>141</v>
      </c>
      <c r="G2119" s="16"/>
      <c r="H2119" t="s" s="17">
        <v>253</v>
      </c>
      <c r="I2119" t="s" s="17">
        <v>19</v>
      </c>
      <c r="J2119" t="s" s="17">
        <v>159</v>
      </c>
      <c r="K2119" t="s" s="17">
        <v>23</v>
      </c>
      <c r="L2119" s="15">
        <f>IF(O2119,P2119/O2119,0)</f>
        <v>2.48001291666667</v>
      </c>
      <c r="M2119" s="15">
        <v>2.48001291666667</v>
      </c>
      <c r="N2119" s="15">
        <f>A2119</f>
        <v>2117</v>
      </c>
      <c r="O2119" s="15">
        <v>240</v>
      </c>
      <c r="P2119" s="15">
        <v>595.2030999999999</v>
      </c>
      <c r="Q2119" s="16"/>
    </row>
    <row r="2120" ht="20.05" customHeight="1">
      <c r="A2120" s="13">
        <f>A2119+1</f>
        <v>2118</v>
      </c>
      <c r="B2120" s="14">
        <v>2024</v>
      </c>
      <c r="C2120" s="15">
        <v>2</v>
      </c>
      <c r="D2120" s="15">
        <v>6</v>
      </c>
      <c r="E2120" s="16"/>
      <c r="F2120" t="s" s="17">
        <v>497</v>
      </c>
      <c r="G2120" s="16"/>
      <c r="H2120" t="s" s="17">
        <v>253</v>
      </c>
      <c r="I2120" t="s" s="17">
        <v>187</v>
      </c>
      <c r="J2120" t="s" s="17">
        <v>185</v>
      </c>
      <c r="K2120" t="s" s="17">
        <v>23</v>
      </c>
      <c r="L2120" s="15">
        <f>IF(O2120,P2120/O2120,0)</f>
        <v>40</v>
      </c>
      <c r="M2120" s="15">
        <v>40</v>
      </c>
      <c r="N2120" s="15">
        <f>A2120</f>
        <v>2118</v>
      </c>
      <c r="O2120" s="15">
        <v>1</v>
      </c>
      <c r="P2120" s="15">
        <v>40</v>
      </c>
      <c r="Q2120" s="16"/>
    </row>
    <row r="2121" ht="32.05" customHeight="1">
      <c r="A2121" s="13">
        <f>A2120+1</f>
        <v>2119</v>
      </c>
      <c r="B2121" s="14">
        <v>2024</v>
      </c>
      <c r="C2121" s="15">
        <v>2</v>
      </c>
      <c r="D2121" s="15">
        <v>6</v>
      </c>
      <c r="E2121" s="16"/>
      <c r="F2121" t="s" s="17">
        <v>428</v>
      </c>
      <c r="G2121" s="16"/>
      <c r="H2121" t="s" s="17">
        <v>253</v>
      </c>
      <c r="I2121" t="s" s="17">
        <v>19</v>
      </c>
      <c r="J2121" t="s" s="17">
        <v>437</v>
      </c>
      <c r="K2121" t="s" s="17">
        <v>16</v>
      </c>
      <c r="L2121" s="15">
        <f>IF(O2121,P2121/O2121,0)</f>
        <v>0.361075</v>
      </c>
      <c r="M2121" s="15">
        <v>0.361075</v>
      </c>
      <c r="N2121" s="15">
        <f>A2121</f>
        <v>2119</v>
      </c>
      <c r="O2121" s="15">
        <f t="shared" si="7593"/>
        <v>6000</v>
      </c>
      <c r="P2121" s="41">
        <f t="shared" si="7232"/>
        <v>2166.45</v>
      </c>
      <c r="Q2121" s="16"/>
    </row>
    <row r="2122" ht="20.05" customHeight="1">
      <c r="A2122" s="13">
        <f>A2121+1</f>
        <v>2120</v>
      </c>
      <c r="B2122" s="14">
        <v>2024</v>
      </c>
      <c r="C2122" s="15">
        <v>2</v>
      </c>
      <c r="D2122" s="15">
        <v>7</v>
      </c>
      <c r="E2122" s="16"/>
      <c r="F2122" t="s" s="17">
        <v>122</v>
      </c>
      <c r="G2122" s="16"/>
      <c r="H2122" t="s" s="17">
        <v>253</v>
      </c>
      <c r="I2122" t="s" s="17">
        <v>19</v>
      </c>
      <c r="J2122" t="s" s="17">
        <v>67</v>
      </c>
      <c r="K2122" t="s" s="17">
        <v>23</v>
      </c>
      <c r="L2122" s="15">
        <f>IF(O2122,P2122/O2122,0)</f>
        <v>1.2361491</v>
      </c>
      <c r="M2122" s="15">
        <v>1.2361491</v>
      </c>
      <c r="N2122" s="15">
        <f>A2122</f>
        <v>2120</v>
      </c>
      <c r="O2122" s="15">
        <f>3*100</f>
        <v>300</v>
      </c>
      <c r="P2122" s="40">
        <f>367.173+367.173*1%</f>
        <v>370.84473</v>
      </c>
      <c r="Q2122" s="16"/>
    </row>
    <row r="2123" ht="20.05" customHeight="1">
      <c r="A2123" s="13">
        <f>A2122+1</f>
        <v>2121</v>
      </c>
      <c r="B2123" s="14">
        <v>2024</v>
      </c>
      <c r="C2123" s="15">
        <v>2</v>
      </c>
      <c r="D2123" s="15">
        <v>7</v>
      </c>
      <c r="E2123" s="16"/>
      <c r="F2123" t="s" s="17">
        <v>122</v>
      </c>
      <c r="G2123" s="16"/>
      <c r="H2123" t="s" s="17">
        <v>253</v>
      </c>
      <c r="I2123" t="s" s="17">
        <v>19</v>
      </c>
      <c r="J2123" t="s" s="17">
        <v>138</v>
      </c>
      <c r="K2123" t="s" s="17">
        <v>41</v>
      </c>
      <c r="L2123" s="15">
        <f>IF(O2123,P2123/O2123,0)</f>
        <v>0.04343</v>
      </c>
      <c r="M2123" s="15">
        <v>0.04343</v>
      </c>
      <c r="N2123" s="15">
        <f>A2123</f>
        <v>2121</v>
      </c>
      <c r="O2123" s="15">
        <f t="shared" si="6541"/>
        <v>12000</v>
      </c>
      <c r="P2123" s="41">
        <f>516+516*1%</f>
        <v>521.16</v>
      </c>
      <c r="Q2123" s="16"/>
    </row>
    <row r="2124" ht="20.05" customHeight="1">
      <c r="A2124" s="13">
        <f>A2123+1</f>
        <v>2122</v>
      </c>
      <c r="B2124" s="14">
        <v>2024</v>
      </c>
      <c r="C2124" s="15">
        <v>2</v>
      </c>
      <c r="D2124" s="15">
        <v>7</v>
      </c>
      <c r="E2124" s="16"/>
      <c r="F2124" t="s" s="17">
        <v>122</v>
      </c>
      <c r="G2124" s="16"/>
      <c r="H2124" t="s" s="17">
        <v>253</v>
      </c>
      <c r="I2124" t="s" s="17">
        <v>19</v>
      </c>
      <c r="J2124" t="s" s="17">
        <v>74</v>
      </c>
      <c r="K2124" t="s" s="17">
        <v>23</v>
      </c>
      <c r="L2124" s="15">
        <f>IF(O2124,P2124/O2124,0)</f>
        <v>5.89166666666667</v>
      </c>
      <c r="M2124" s="15">
        <v>5.89166666666667</v>
      </c>
      <c r="N2124" s="15">
        <f>A2124</f>
        <v>2122</v>
      </c>
      <c r="O2124" s="15">
        <f t="shared" si="7407"/>
        <v>24</v>
      </c>
      <c r="P2124" s="42">
        <f t="shared" si="7623"/>
        <v>141.4</v>
      </c>
      <c r="Q2124" s="16"/>
    </row>
    <row r="2125" ht="20.05" customHeight="1">
      <c r="A2125" s="13">
        <f>A2124+1</f>
        <v>2123</v>
      </c>
      <c r="B2125" s="14">
        <v>2024</v>
      </c>
      <c r="C2125" s="15">
        <v>2</v>
      </c>
      <c r="D2125" s="15">
        <v>7</v>
      </c>
      <c r="E2125" s="16"/>
      <c r="F2125" t="s" s="17">
        <v>122</v>
      </c>
      <c r="G2125" s="16"/>
      <c r="H2125" t="s" s="17">
        <v>253</v>
      </c>
      <c r="I2125" t="s" s="17">
        <v>19</v>
      </c>
      <c r="J2125" t="s" s="17">
        <v>73</v>
      </c>
      <c r="K2125" t="s" s="17">
        <v>23</v>
      </c>
      <c r="L2125" s="15">
        <f>IF(O2125,P2125/O2125,0)</f>
        <v>6.0095</v>
      </c>
      <c r="M2125" s="15">
        <v>6.0095</v>
      </c>
      <c r="N2125" s="15">
        <f>A2125</f>
        <v>2123</v>
      </c>
      <c r="O2125" s="15">
        <v>24</v>
      </c>
      <c r="P2125" s="42">
        <f t="shared" si="7917" ref="P2125:P2185">142.8+142.8*1%</f>
        <v>144.228</v>
      </c>
      <c r="Q2125" s="16"/>
    </row>
    <row r="2126" ht="20.05" customHeight="1">
      <c r="A2126" s="13">
        <f>A2125+1</f>
        <v>2124</v>
      </c>
      <c r="B2126" s="14">
        <v>2024</v>
      </c>
      <c r="C2126" s="15">
        <v>2</v>
      </c>
      <c r="D2126" s="15">
        <v>7</v>
      </c>
      <c r="E2126" s="16"/>
      <c r="F2126" t="s" s="17">
        <v>122</v>
      </c>
      <c r="G2126" s="16"/>
      <c r="H2126" t="s" s="17">
        <v>253</v>
      </c>
      <c r="I2126" t="s" s="17">
        <v>187</v>
      </c>
      <c r="J2126" t="s" s="17">
        <v>167</v>
      </c>
      <c r="K2126" t="s" s="17">
        <v>23</v>
      </c>
      <c r="L2126" s="15">
        <f>IF(O2126,P2126/O2126,0)</f>
        <v>0.9350000000000001</v>
      </c>
      <c r="M2126" s="15">
        <v>0.9350000000000001</v>
      </c>
      <c r="N2126" s="15">
        <f>A2126</f>
        <v>2124</v>
      </c>
      <c r="O2126" s="15">
        <f t="shared" si="7026"/>
        <v>200</v>
      </c>
      <c r="P2126" s="41">
        <f t="shared" si="7213"/>
        <v>187</v>
      </c>
      <c r="Q2126" s="16"/>
    </row>
    <row r="2127" ht="32.05" customHeight="1">
      <c r="A2127" s="13">
        <f>A2126+1</f>
        <v>2125</v>
      </c>
      <c r="B2127" s="14">
        <v>2024</v>
      </c>
      <c r="C2127" s="15">
        <v>2</v>
      </c>
      <c r="D2127" s="15">
        <v>7</v>
      </c>
      <c r="E2127" s="16"/>
      <c r="F2127" t="s" s="17">
        <v>122</v>
      </c>
      <c r="G2127" s="16"/>
      <c r="H2127" t="s" s="17">
        <v>253</v>
      </c>
      <c r="I2127" t="s" s="17">
        <v>187</v>
      </c>
      <c r="J2127" t="s" s="17">
        <v>136</v>
      </c>
      <c r="K2127" t="s" s="17">
        <v>23</v>
      </c>
      <c r="L2127" s="15">
        <f>IF(O2127,P2127/O2127,0)</f>
        <v>0.2424</v>
      </c>
      <c r="M2127" s="15">
        <v>0.2424</v>
      </c>
      <c r="N2127" s="15">
        <f>A2127</f>
        <v>2125</v>
      </c>
      <c r="O2127" s="15">
        <f t="shared" si="7785"/>
        <v>2000</v>
      </c>
      <c r="P2127" s="42">
        <f t="shared" si="7927" ref="P2127:P2147">404+404*20%</f>
        <v>484.8</v>
      </c>
      <c r="Q2127" s="16"/>
    </row>
    <row r="2128" ht="20.05" customHeight="1">
      <c r="A2128" s="13">
        <f>A2127+1</f>
        <v>2126</v>
      </c>
      <c r="B2128" s="14">
        <v>2024</v>
      </c>
      <c r="C2128" s="15">
        <v>2</v>
      </c>
      <c r="D2128" s="15">
        <v>7</v>
      </c>
      <c r="E2128" s="16"/>
      <c r="F2128" t="s" s="17">
        <v>150</v>
      </c>
      <c r="G2128" s="16"/>
      <c r="H2128" t="s" s="17">
        <v>253</v>
      </c>
      <c r="I2128" t="s" s="17">
        <v>19</v>
      </c>
      <c r="J2128" t="s" s="17">
        <v>115</v>
      </c>
      <c r="K2128" t="s" s="17">
        <v>16</v>
      </c>
      <c r="L2128" s="15">
        <f>IF(O2128,P2128/O2128,0)</f>
        <v>0.37572</v>
      </c>
      <c r="M2128" s="15">
        <v>0.37572</v>
      </c>
      <c r="N2128" s="15">
        <f>A2128</f>
        <v>2126</v>
      </c>
      <c r="O2128" s="15">
        <v>1000</v>
      </c>
      <c r="P2128" s="41">
        <f>372+372*1%</f>
        <v>375.72</v>
      </c>
      <c r="Q2128" s="16"/>
    </row>
    <row r="2129" ht="20.05" customHeight="1">
      <c r="A2129" s="13">
        <f>A2128+1</f>
        <v>2127</v>
      </c>
      <c r="B2129" s="14">
        <v>2024</v>
      </c>
      <c r="C2129" s="15">
        <v>2</v>
      </c>
      <c r="D2129" s="15">
        <v>7</v>
      </c>
      <c r="E2129" s="16"/>
      <c r="F2129" t="s" s="17">
        <v>287</v>
      </c>
      <c r="G2129" s="16"/>
      <c r="H2129" t="s" s="17">
        <v>253</v>
      </c>
      <c r="I2129" t="s" s="17">
        <v>14</v>
      </c>
      <c r="J2129" t="s" s="17">
        <v>289</v>
      </c>
      <c r="K2129" t="s" s="17">
        <v>23</v>
      </c>
      <c r="L2129" s="15">
        <f>IF(O2129,P2129/O2129,0)</f>
        <v>44.9955</v>
      </c>
      <c r="M2129" s="15">
        <v>44.9955</v>
      </c>
      <c r="N2129" s="15">
        <f>A2129</f>
        <v>2127</v>
      </c>
      <c r="O2129" s="15">
        <v>10</v>
      </c>
      <c r="P2129" s="42">
        <f t="shared" si="7043"/>
        <v>449.955</v>
      </c>
      <c r="Q2129" s="16"/>
    </row>
    <row r="2130" ht="20.05" customHeight="1">
      <c r="A2130" s="13">
        <f>A2129+1</f>
        <v>2128</v>
      </c>
      <c r="B2130" s="14">
        <v>2024</v>
      </c>
      <c r="C2130" s="15">
        <v>2</v>
      </c>
      <c r="D2130" s="15">
        <v>7</v>
      </c>
      <c r="E2130" s="16"/>
      <c r="F2130" t="s" s="17">
        <v>287</v>
      </c>
      <c r="G2130" s="16"/>
      <c r="H2130" t="s" s="17">
        <v>253</v>
      </c>
      <c r="I2130" t="s" s="17">
        <v>14</v>
      </c>
      <c r="J2130" t="s" s="17">
        <v>288</v>
      </c>
      <c r="K2130" t="s" s="17">
        <v>23</v>
      </c>
      <c r="L2130" s="15">
        <f>IF(O2130,P2130/O2130,0)</f>
        <v>55.9427777777778</v>
      </c>
      <c r="M2130" s="15">
        <v>55.9427777777778</v>
      </c>
      <c r="N2130" s="15">
        <f>A2130</f>
        <v>2128</v>
      </c>
      <c r="O2130" s="15">
        <v>9</v>
      </c>
      <c r="P2130" s="42">
        <f t="shared" si="7322"/>
        <v>503.485</v>
      </c>
      <c r="Q2130" s="16"/>
    </row>
    <row r="2131" ht="20.05" customHeight="1">
      <c r="A2131" s="13">
        <f>A2130+1</f>
        <v>2129</v>
      </c>
      <c r="B2131" s="14">
        <v>2024</v>
      </c>
      <c r="C2131" s="15">
        <v>2</v>
      </c>
      <c r="D2131" s="15">
        <v>7</v>
      </c>
      <c r="E2131" s="16"/>
      <c r="F2131" t="s" s="17">
        <v>287</v>
      </c>
      <c r="G2131" s="16"/>
      <c r="H2131" t="s" s="17">
        <v>253</v>
      </c>
      <c r="I2131" t="s" s="17">
        <v>14</v>
      </c>
      <c r="J2131" t="s" s="17">
        <v>279</v>
      </c>
      <c r="K2131" t="s" s="17">
        <v>23</v>
      </c>
      <c r="L2131" s="15">
        <f>IF(O2131,P2131/O2131,0)</f>
        <v>50.752</v>
      </c>
      <c r="M2131" s="15">
        <v>50.752</v>
      </c>
      <c r="N2131" s="15">
        <f>A2131</f>
        <v>2129</v>
      </c>
      <c r="O2131" s="15">
        <v>10</v>
      </c>
      <c r="P2131" s="41">
        <f>502.5+502*1%</f>
        <v>507.52</v>
      </c>
      <c r="Q2131" s="16"/>
    </row>
    <row r="2132" ht="20.05" customHeight="1">
      <c r="A2132" s="13">
        <f>A2131+1</f>
        <v>2130</v>
      </c>
      <c r="B2132" s="14">
        <v>2024</v>
      </c>
      <c r="C2132" s="15">
        <v>2</v>
      </c>
      <c r="D2132" s="15">
        <v>7</v>
      </c>
      <c r="E2132" s="16"/>
      <c r="F2132" t="s" s="17">
        <v>111</v>
      </c>
      <c r="G2132" s="16"/>
      <c r="H2132" t="s" s="17">
        <v>253</v>
      </c>
      <c r="I2132" t="s" s="17">
        <v>19</v>
      </c>
      <c r="J2132" t="s" s="17">
        <v>72</v>
      </c>
      <c r="K2132" t="s" s="17">
        <v>41</v>
      </c>
      <c r="L2132" s="15">
        <f>IF(O2132,P2132/O2132,0)</f>
        <v>0.276786666666667</v>
      </c>
      <c r="M2132" s="15">
        <v>0.276786666666667</v>
      </c>
      <c r="N2132" s="15">
        <f>A2132</f>
        <v>2130</v>
      </c>
      <c r="O2132" s="15">
        <f>3*250</f>
        <v>750</v>
      </c>
      <c r="P2132" s="15">
        <v>207.59</v>
      </c>
      <c r="Q2132" s="16"/>
    </row>
    <row r="2133" ht="20.05" customHeight="1">
      <c r="A2133" s="13">
        <f>A2132+1</f>
        <v>2131</v>
      </c>
      <c r="B2133" s="14">
        <v>2024</v>
      </c>
      <c r="C2133" s="15">
        <v>2</v>
      </c>
      <c r="D2133" s="15">
        <v>7</v>
      </c>
      <c r="E2133" s="16"/>
      <c r="F2133" t="s" s="17">
        <v>111</v>
      </c>
      <c r="G2133" s="16"/>
      <c r="H2133" t="s" s="17">
        <v>253</v>
      </c>
      <c r="I2133" t="s" s="17">
        <v>26</v>
      </c>
      <c r="J2133" t="s" s="17">
        <v>117</v>
      </c>
      <c r="K2133" t="s" s="17">
        <v>23</v>
      </c>
      <c r="L2133" s="15">
        <f>IF(O2133,P2133/O2133,0)</f>
        <v>34.218</v>
      </c>
      <c r="M2133" s="15">
        <v>34.218</v>
      </c>
      <c r="N2133" s="15">
        <f>A2133</f>
        <v>2131</v>
      </c>
      <c r="O2133" s="15">
        <v>5</v>
      </c>
      <c r="P2133" s="15">
        <v>171.09</v>
      </c>
      <c r="Q2133" s="16"/>
    </row>
    <row r="2134" ht="20.05" customHeight="1">
      <c r="A2134" s="13">
        <f>A2133+1</f>
        <v>2132</v>
      </c>
      <c r="B2134" s="14">
        <v>2024</v>
      </c>
      <c r="C2134" s="15">
        <v>2</v>
      </c>
      <c r="D2134" s="15">
        <v>7</v>
      </c>
      <c r="E2134" s="16"/>
      <c r="F2134" t="s" s="17">
        <v>111</v>
      </c>
      <c r="G2134" s="16"/>
      <c r="H2134" t="s" s="17">
        <v>253</v>
      </c>
      <c r="I2134" t="s" s="17">
        <v>26</v>
      </c>
      <c r="J2134" t="s" s="17">
        <v>134</v>
      </c>
      <c r="K2134" t="s" s="17">
        <v>23</v>
      </c>
      <c r="L2134" s="15">
        <f>IF(O2134,P2134/O2134,0)</f>
        <v>34.218</v>
      </c>
      <c r="M2134" s="15">
        <v>34.218</v>
      </c>
      <c r="N2134" s="15">
        <f>A2134</f>
        <v>2132</v>
      </c>
      <c r="O2134" s="15">
        <v>5</v>
      </c>
      <c r="P2134" s="15">
        <v>171.09</v>
      </c>
      <c r="Q2134" s="16"/>
    </row>
    <row r="2135" ht="20.05" customHeight="1">
      <c r="A2135" s="13">
        <f>A2134+1</f>
        <v>2133</v>
      </c>
      <c r="B2135" s="14">
        <v>2024</v>
      </c>
      <c r="C2135" s="15">
        <v>2</v>
      </c>
      <c r="D2135" s="15">
        <v>7</v>
      </c>
      <c r="E2135" s="16"/>
      <c r="F2135" t="s" s="17">
        <v>111</v>
      </c>
      <c r="G2135" s="16"/>
      <c r="H2135" t="s" s="17">
        <v>253</v>
      </c>
      <c r="I2135" t="s" s="17">
        <v>26</v>
      </c>
      <c r="J2135" t="s" s="17">
        <v>118</v>
      </c>
      <c r="K2135" t="s" s="17">
        <v>23</v>
      </c>
      <c r="L2135" s="15">
        <f>IF(O2135,P2135/O2135,0)</f>
        <v>34.218</v>
      </c>
      <c r="M2135" s="15">
        <v>34.218</v>
      </c>
      <c r="N2135" s="15">
        <f>A2135</f>
        <v>2133</v>
      </c>
      <c r="O2135" s="15">
        <v>5</v>
      </c>
      <c r="P2135" s="15">
        <v>171.09</v>
      </c>
      <c r="Q2135" s="16"/>
    </row>
    <row r="2136" ht="20.05" customHeight="1">
      <c r="A2136" s="13">
        <f>A2135+1</f>
        <v>2134</v>
      </c>
      <c r="B2136" s="14">
        <v>2024</v>
      </c>
      <c r="C2136" s="15">
        <v>2</v>
      </c>
      <c r="D2136" s="15">
        <v>7</v>
      </c>
      <c r="E2136" s="16"/>
      <c r="F2136" t="s" s="17">
        <v>111</v>
      </c>
      <c r="G2136" s="16"/>
      <c r="H2136" t="s" s="17">
        <v>253</v>
      </c>
      <c r="I2136" t="s" s="17">
        <v>19</v>
      </c>
      <c r="J2136" t="s" s="17">
        <v>81</v>
      </c>
      <c r="K2136" t="s" s="17">
        <v>23</v>
      </c>
      <c r="L2136" s="15">
        <f>IF(O2136,P2136/O2136,0)</f>
        <v>1.21773148148148</v>
      </c>
      <c r="M2136" s="15">
        <v>1.21773148148148</v>
      </c>
      <c r="N2136" s="15">
        <f>A2136</f>
        <v>2134</v>
      </c>
      <c r="O2136" s="15">
        <f t="shared" si="7960" ref="O2136:O2188">2*108</f>
        <v>216</v>
      </c>
      <c r="P2136" s="15">
        <v>263.03</v>
      </c>
      <c r="Q2136" s="16"/>
    </row>
    <row r="2137" ht="20.05" customHeight="1">
      <c r="A2137" s="13">
        <f>A2136+1</f>
        <v>2135</v>
      </c>
      <c r="B2137" s="14">
        <v>2024</v>
      </c>
      <c r="C2137" s="15">
        <v>2</v>
      </c>
      <c r="D2137" s="15">
        <v>7</v>
      </c>
      <c r="E2137" s="16"/>
      <c r="F2137" t="s" s="17">
        <v>111</v>
      </c>
      <c r="G2137" s="16"/>
      <c r="H2137" t="s" s="17">
        <v>253</v>
      </c>
      <c r="I2137" t="s" s="17">
        <v>19</v>
      </c>
      <c r="J2137" t="s" s="17">
        <v>135</v>
      </c>
      <c r="K2137" t="s" s="17">
        <v>23</v>
      </c>
      <c r="L2137" s="15">
        <f>IF(O2137,P2137/O2137,0)</f>
        <v>0.31512</v>
      </c>
      <c r="M2137" s="15">
        <v>0.31512</v>
      </c>
      <c r="N2137" s="15">
        <f>A2137</f>
        <v>2135</v>
      </c>
      <c r="O2137" s="15">
        <f t="shared" si="7822"/>
        <v>250</v>
      </c>
      <c r="P2137" s="15">
        <v>78.78</v>
      </c>
      <c r="Q2137" s="16"/>
    </row>
    <row r="2138" ht="20.05" customHeight="1">
      <c r="A2138" s="13">
        <f>A2137+1</f>
        <v>2136</v>
      </c>
      <c r="B2138" s="14">
        <v>2024</v>
      </c>
      <c r="C2138" s="15">
        <v>2</v>
      </c>
      <c r="D2138" s="15">
        <v>7</v>
      </c>
      <c r="E2138" s="16"/>
      <c r="F2138" t="s" s="17">
        <v>111</v>
      </c>
      <c r="G2138" t="s" s="17">
        <v>301</v>
      </c>
      <c r="H2138" t="s" s="17">
        <v>253</v>
      </c>
      <c r="I2138" t="s" s="17">
        <v>19</v>
      </c>
      <c r="J2138" t="s" s="17">
        <v>103</v>
      </c>
      <c r="K2138" t="s" s="17">
        <v>23</v>
      </c>
      <c r="L2138" s="15">
        <f>IF(O2138,P2138/O2138,0)</f>
        <v>0.76875</v>
      </c>
      <c r="M2138" s="15">
        <v>0.76875</v>
      </c>
      <c r="N2138" s="15">
        <f>A2138</f>
        <v>2136</v>
      </c>
      <c r="O2138" s="15">
        <f>2*80</f>
        <v>160</v>
      </c>
      <c r="P2138" s="15">
        <v>123</v>
      </c>
      <c r="Q2138" s="16"/>
    </row>
    <row r="2139" ht="20.05" customHeight="1">
      <c r="A2139" s="13">
        <f>A2138+1</f>
        <v>2137</v>
      </c>
      <c r="B2139" s="14">
        <v>2024</v>
      </c>
      <c r="C2139" s="15">
        <v>2</v>
      </c>
      <c r="D2139" s="15">
        <v>9</v>
      </c>
      <c r="E2139" s="16"/>
      <c r="F2139" t="s" s="17">
        <v>287</v>
      </c>
      <c r="G2139" s="16"/>
      <c r="H2139" t="s" s="17">
        <v>253</v>
      </c>
      <c r="I2139" t="s" s="17">
        <v>14</v>
      </c>
      <c r="J2139" t="s" s="17">
        <v>279</v>
      </c>
      <c r="K2139" t="s" s="17">
        <v>23</v>
      </c>
      <c r="L2139" s="15">
        <f>IF(O2139,P2139/O2139,0)</f>
        <v>50.7525</v>
      </c>
      <c r="M2139" s="15">
        <v>50.7525</v>
      </c>
      <c r="N2139" s="15">
        <f>A2139</f>
        <v>2137</v>
      </c>
      <c r="O2139" s="15">
        <v>20</v>
      </c>
      <c r="P2139" s="41">
        <f t="shared" si="7507"/>
        <v>1015.05</v>
      </c>
      <c r="Q2139" s="16"/>
    </row>
    <row r="2140" ht="20.05" customHeight="1">
      <c r="A2140" s="13">
        <f>A2139+1</f>
        <v>2138</v>
      </c>
      <c r="B2140" s="14">
        <v>2024</v>
      </c>
      <c r="C2140" s="15">
        <v>2</v>
      </c>
      <c r="D2140" s="15">
        <v>13</v>
      </c>
      <c r="E2140" s="16"/>
      <c r="F2140" t="s" s="17">
        <v>141</v>
      </c>
      <c r="G2140" s="16"/>
      <c r="H2140" t="s" s="17">
        <v>253</v>
      </c>
      <c r="I2140" t="s" s="17">
        <v>19</v>
      </c>
      <c r="J2140" t="s" s="17">
        <v>142</v>
      </c>
      <c r="K2140" t="s" s="17">
        <v>23</v>
      </c>
      <c r="L2140" s="15">
        <f>IF(O2140,P2140/O2140,0)</f>
        <v>17.3158333333333</v>
      </c>
      <c r="M2140" s="15">
        <v>17.3158333333333</v>
      </c>
      <c r="N2140" s="15">
        <f>A2140</f>
        <v>2138</v>
      </c>
      <c r="O2140" s="15">
        <v>24</v>
      </c>
      <c r="P2140" s="15">
        <v>415.58</v>
      </c>
      <c r="Q2140" s="16"/>
    </row>
    <row r="2141" ht="20.05" customHeight="1">
      <c r="A2141" s="13">
        <f>A2140+1</f>
        <v>2139</v>
      </c>
      <c r="B2141" s="14">
        <v>2024</v>
      </c>
      <c r="C2141" s="15">
        <v>2</v>
      </c>
      <c r="D2141" s="15">
        <v>13</v>
      </c>
      <c r="E2141" s="16"/>
      <c r="F2141" t="s" s="17">
        <v>141</v>
      </c>
      <c r="G2141" s="16"/>
      <c r="H2141" t="s" s="17">
        <v>253</v>
      </c>
      <c r="I2141" t="s" s="17">
        <v>19</v>
      </c>
      <c r="J2141" t="s" s="17">
        <v>144</v>
      </c>
      <c r="K2141" t="s" s="17">
        <v>23</v>
      </c>
      <c r="L2141" s="15">
        <f>IF(O2141,P2141/O2141,0)</f>
        <v>17.3158333333333</v>
      </c>
      <c r="M2141" s="15">
        <v>17.3158333333333</v>
      </c>
      <c r="N2141" s="15">
        <f>A2141</f>
        <v>2139</v>
      </c>
      <c r="O2141" s="15">
        <v>24</v>
      </c>
      <c r="P2141" s="15">
        <v>415.58</v>
      </c>
      <c r="Q2141" s="16"/>
    </row>
    <row r="2142" ht="20.05" customHeight="1">
      <c r="A2142" s="13">
        <f>A2141+1</f>
        <v>2140</v>
      </c>
      <c r="B2142" s="14">
        <v>2024</v>
      </c>
      <c r="C2142" s="15">
        <v>2</v>
      </c>
      <c r="D2142" s="15">
        <v>13</v>
      </c>
      <c r="E2142" s="16"/>
      <c r="F2142" t="s" s="17">
        <v>141</v>
      </c>
      <c r="G2142" s="16"/>
      <c r="H2142" t="s" s="17">
        <v>253</v>
      </c>
      <c r="I2142" t="s" s="17">
        <v>19</v>
      </c>
      <c r="J2142" t="s" s="17">
        <v>159</v>
      </c>
      <c r="K2142" t="s" s="17">
        <v>23</v>
      </c>
      <c r="L2142" s="15">
        <f>IF(O2142,P2142/O2142,0)</f>
        <v>2.48001291666667</v>
      </c>
      <c r="M2142" s="15">
        <v>2.48001291666667</v>
      </c>
      <c r="N2142" s="15">
        <f>A2142</f>
        <v>2140</v>
      </c>
      <c r="O2142" s="15">
        <v>240</v>
      </c>
      <c r="P2142" s="15">
        <v>595.2030999999999</v>
      </c>
      <c r="Q2142" s="16"/>
    </row>
    <row r="2143" ht="20.05" customHeight="1">
      <c r="A2143" s="13">
        <f>A2142+1</f>
        <v>2141</v>
      </c>
      <c r="B2143" s="14">
        <v>2024</v>
      </c>
      <c r="C2143" s="15">
        <v>2</v>
      </c>
      <c r="D2143" s="15">
        <v>13</v>
      </c>
      <c r="E2143" s="16"/>
      <c r="F2143" t="s" s="17">
        <v>497</v>
      </c>
      <c r="G2143" s="16"/>
      <c r="H2143" t="s" s="17">
        <v>253</v>
      </c>
      <c r="I2143" t="s" s="17">
        <v>187</v>
      </c>
      <c r="J2143" t="s" s="17">
        <v>185</v>
      </c>
      <c r="K2143" t="s" s="17">
        <v>23</v>
      </c>
      <c r="L2143" s="15">
        <f>IF(O2143,P2143/O2143,0)</f>
        <v>15</v>
      </c>
      <c r="M2143" s="15">
        <v>15</v>
      </c>
      <c r="N2143" s="15">
        <f>A2143</f>
        <v>2141</v>
      </c>
      <c r="O2143" s="15">
        <v>1</v>
      </c>
      <c r="P2143" s="15">
        <v>15</v>
      </c>
      <c r="Q2143" s="16"/>
    </row>
    <row r="2144" ht="20.05" customHeight="1">
      <c r="A2144" s="13">
        <f>A2143+1</f>
        <v>2142</v>
      </c>
      <c r="B2144" s="14">
        <v>2024</v>
      </c>
      <c r="C2144" s="15">
        <v>2</v>
      </c>
      <c r="D2144" s="15">
        <v>14</v>
      </c>
      <c r="E2144" s="16"/>
      <c r="F2144" t="s" s="17">
        <v>122</v>
      </c>
      <c r="G2144" s="16"/>
      <c r="H2144" t="s" s="17">
        <v>253</v>
      </c>
      <c r="I2144" t="s" s="17">
        <v>19</v>
      </c>
      <c r="J2144" t="s" s="17">
        <v>67</v>
      </c>
      <c r="K2144" t="s" s="17">
        <v>23</v>
      </c>
      <c r="L2144" s="15">
        <f>IF(O2144,P2144/O2144,0)</f>
        <v>1.236139</v>
      </c>
      <c r="M2144" s="15">
        <v>1.236139</v>
      </c>
      <c r="N2144" s="15">
        <f>A2144</f>
        <v>2142</v>
      </c>
      <c r="O2144" s="15">
        <f t="shared" si="7026"/>
        <v>200</v>
      </c>
      <c r="P2144" s="43">
        <f>244.78+244.78*1%</f>
        <v>247.2278</v>
      </c>
      <c r="Q2144" s="42">
        <f>271.98-271.98*10%</f>
        <v>244.782</v>
      </c>
    </row>
    <row r="2145" ht="20.05" customHeight="1">
      <c r="A2145" s="13">
        <f>A2144+1</f>
        <v>2143</v>
      </c>
      <c r="B2145" s="14">
        <v>2024</v>
      </c>
      <c r="C2145" s="15">
        <v>2</v>
      </c>
      <c r="D2145" s="15">
        <v>14</v>
      </c>
      <c r="E2145" s="16"/>
      <c r="F2145" t="s" s="17">
        <v>122</v>
      </c>
      <c r="G2145" s="16"/>
      <c r="H2145" t="s" s="17">
        <v>253</v>
      </c>
      <c r="I2145" t="s" s="17">
        <v>19</v>
      </c>
      <c r="J2145" t="s" s="17">
        <v>138</v>
      </c>
      <c r="K2145" t="s" s="17">
        <v>41</v>
      </c>
      <c r="L2145" s="15">
        <f>IF(O2145,P2145/O2145,0)</f>
        <v>0.04343</v>
      </c>
      <c r="M2145" s="15">
        <v>0.04343</v>
      </c>
      <c r="N2145" s="15">
        <f>A2145</f>
        <v>2143</v>
      </c>
      <c r="O2145" s="15">
        <f t="shared" si="6626"/>
        <v>24000</v>
      </c>
      <c r="P2145" s="41">
        <f>1032+1032*1%</f>
        <v>1042.32</v>
      </c>
      <c r="Q2145" s="16"/>
    </row>
    <row r="2146" ht="20.05" customHeight="1">
      <c r="A2146" s="13">
        <f>A2145+1</f>
        <v>2144</v>
      </c>
      <c r="B2146" s="14">
        <v>2024</v>
      </c>
      <c r="C2146" s="15">
        <v>2</v>
      </c>
      <c r="D2146" s="15">
        <v>14</v>
      </c>
      <c r="E2146" s="16"/>
      <c r="F2146" t="s" s="17">
        <v>122</v>
      </c>
      <c r="G2146" s="16"/>
      <c r="H2146" t="s" s="17">
        <v>253</v>
      </c>
      <c r="I2146" t="s" s="17">
        <v>19</v>
      </c>
      <c r="J2146" t="s" s="17">
        <v>74</v>
      </c>
      <c r="K2146" t="s" s="17">
        <v>23</v>
      </c>
      <c r="L2146" s="15">
        <f>IF(O2146,P2146/O2146,0)</f>
        <v>5.89166666666667</v>
      </c>
      <c r="M2146" s="15">
        <v>5.89166666666667</v>
      </c>
      <c r="N2146" s="15">
        <f>A2146</f>
        <v>2144</v>
      </c>
      <c r="O2146" s="15">
        <f t="shared" si="7407"/>
        <v>24</v>
      </c>
      <c r="P2146" s="42">
        <f t="shared" si="7623"/>
        <v>141.4</v>
      </c>
      <c r="Q2146" s="16"/>
    </row>
    <row r="2147" ht="32.05" customHeight="1">
      <c r="A2147" s="13">
        <f>A2146+1</f>
        <v>2145</v>
      </c>
      <c r="B2147" s="14">
        <v>2024</v>
      </c>
      <c r="C2147" s="15">
        <v>2</v>
      </c>
      <c r="D2147" s="15">
        <v>14</v>
      </c>
      <c r="E2147" s="16"/>
      <c r="F2147" t="s" s="17">
        <v>122</v>
      </c>
      <c r="G2147" s="16"/>
      <c r="H2147" t="s" s="17">
        <v>253</v>
      </c>
      <c r="I2147" t="s" s="17">
        <v>187</v>
      </c>
      <c r="J2147" t="s" s="17">
        <v>136</v>
      </c>
      <c r="K2147" t="s" s="17">
        <v>23</v>
      </c>
      <c r="L2147" s="15">
        <f>IF(O2147,P2147/O2147,0)</f>
        <v>0.2424</v>
      </c>
      <c r="M2147" s="15">
        <v>0.2424</v>
      </c>
      <c r="N2147" s="15">
        <f>A2147</f>
        <v>2145</v>
      </c>
      <c r="O2147" s="15">
        <f t="shared" si="7785"/>
        <v>2000</v>
      </c>
      <c r="P2147" s="42">
        <f t="shared" si="7927"/>
        <v>484.8</v>
      </c>
      <c r="Q2147" s="41">
        <f>808-808*50%</f>
        <v>404</v>
      </c>
    </row>
    <row r="2148" ht="20.05" customHeight="1">
      <c r="A2148" s="13">
        <f>A2147+1</f>
        <v>2146</v>
      </c>
      <c r="B2148" s="14">
        <v>2024</v>
      </c>
      <c r="C2148" s="15">
        <v>2</v>
      </c>
      <c r="D2148" s="15">
        <v>14</v>
      </c>
      <c r="E2148" s="16"/>
      <c r="F2148" t="s" s="17">
        <v>122</v>
      </c>
      <c r="G2148" s="16"/>
      <c r="H2148" t="s" s="17">
        <v>253</v>
      </c>
      <c r="I2148" t="s" s="17">
        <v>187</v>
      </c>
      <c r="J2148" t="s" s="17">
        <v>128</v>
      </c>
      <c r="K2148" t="s" s="17">
        <v>23</v>
      </c>
      <c r="L2148" s="15">
        <f>IF(O2148,P2148/O2148,0)</f>
        <v>21.125</v>
      </c>
      <c r="M2148" s="15">
        <v>21.125</v>
      </c>
      <c r="N2148" s="15">
        <f>A2148</f>
        <v>2146</v>
      </c>
      <c r="O2148" s="15">
        <f t="shared" si="7407"/>
        <v>24</v>
      </c>
      <c r="P2148" s="41">
        <f>422.5+422.5*20%</f>
        <v>507</v>
      </c>
      <c r="Q2148" s="42">
        <f>845.01-845.01*50%</f>
        <v>422.505</v>
      </c>
    </row>
    <row r="2149" ht="20.05" customHeight="1">
      <c r="A2149" s="13">
        <f>A2148+1</f>
        <v>2147</v>
      </c>
      <c r="B2149" s="14">
        <v>2024</v>
      </c>
      <c r="C2149" s="15">
        <v>2</v>
      </c>
      <c r="D2149" s="15">
        <v>14</v>
      </c>
      <c r="E2149" s="16"/>
      <c r="F2149" t="s" s="17">
        <v>150</v>
      </c>
      <c r="G2149" s="16"/>
      <c r="H2149" t="s" s="17">
        <v>253</v>
      </c>
      <c r="I2149" t="s" s="17">
        <v>19</v>
      </c>
      <c r="J2149" t="s" s="17">
        <v>151</v>
      </c>
      <c r="K2149" t="s" s="17">
        <v>41</v>
      </c>
      <c r="L2149" s="15">
        <f>IF(O2149,P2149/O2149,0)</f>
        <v>0.3232</v>
      </c>
      <c r="M2149" s="15">
        <v>0.3232</v>
      </c>
      <c r="N2149" s="15">
        <f>A2149</f>
        <v>2147</v>
      </c>
      <c r="O2149" s="15">
        <v>750</v>
      </c>
      <c r="P2149" s="42">
        <f t="shared" si="7646"/>
        <v>242.4</v>
      </c>
      <c r="Q2149" s="16"/>
    </row>
    <row r="2150" ht="20.05" customHeight="1">
      <c r="A2150" s="13">
        <f>A2149+1</f>
        <v>2148</v>
      </c>
      <c r="B2150" s="14">
        <v>2024</v>
      </c>
      <c r="C2150" s="15">
        <v>2</v>
      </c>
      <c r="D2150" s="15">
        <v>14</v>
      </c>
      <c r="E2150" s="16"/>
      <c r="F2150" t="s" s="17">
        <v>150</v>
      </c>
      <c r="G2150" s="16"/>
      <c r="H2150" t="s" s="17">
        <v>253</v>
      </c>
      <c r="I2150" t="s" s="17">
        <v>19</v>
      </c>
      <c r="J2150" t="s" s="17">
        <v>94</v>
      </c>
      <c r="K2150" t="s" s="17">
        <v>41</v>
      </c>
      <c r="L2150" s="15">
        <f>IF(O2150,P2150/O2150,0)</f>
        <v>0.45248</v>
      </c>
      <c r="M2150" s="15">
        <v>0.45248</v>
      </c>
      <c r="N2150" s="15">
        <f>A2150</f>
        <v>2148</v>
      </c>
      <c r="O2150" s="15">
        <v>750</v>
      </c>
      <c r="P2150" s="41">
        <f t="shared" si="7466"/>
        <v>339.36</v>
      </c>
      <c r="Q2150" s="16"/>
    </row>
    <row r="2151" ht="20.05" customHeight="1">
      <c r="A2151" s="13">
        <f>A2150+1</f>
        <v>2149</v>
      </c>
      <c r="B2151" s="14">
        <v>2024</v>
      </c>
      <c r="C2151" s="15">
        <v>2</v>
      </c>
      <c r="D2151" s="15">
        <v>14</v>
      </c>
      <c r="E2151" s="16"/>
      <c r="F2151" t="s" s="17">
        <v>428</v>
      </c>
      <c r="G2151" s="16"/>
      <c r="H2151" t="s" s="17">
        <v>253</v>
      </c>
      <c r="I2151" t="s" s="17">
        <v>19</v>
      </c>
      <c r="J2151" t="s" s="17">
        <v>139</v>
      </c>
      <c r="K2151" t="s" s="17">
        <v>23</v>
      </c>
      <c r="L2151" s="15">
        <f>IF(O2151,P2151/O2151,0)</f>
        <v>3.87503333333333</v>
      </c>
      <c r="M2151" s="15">
        <v>3.87503333333333</v>
      </c>
      <c r="N2151" s="15">
        <f>A2151</f>
        <v>2149</v>
      </c>
      <c r="O2151" s="15">
        <f>3*24</f>
        <v>72</v>
      </c>
      <c r="P2151" s="43">
        <f t="shared" si="6735"/>
        <v>279.0024</v>
      </c>
      <c r="Q2151" s="16"/>
    </row>
    <row r="2152" ht="32.05" customHeight="1">
      <c r="A2152" s="13">
        <f>A2151+1</f>
        <v>2150</v>
      </c>
      <c r="B2152" s="14">
        <v>2024</v>
      </c>
      <c r="C2152" s="15">
        <v>2</v>
      </c>
      <c r="D2152" s="15">
        <v>14</v>
      </c>
      <c r="E2152" s="16"/>
      <c r="F2152" t="s" s="17">
        <v>428</v>
      </c>
      <c r="G2152" s="16"/>
      <c r="H2152" t="s" s="17">
        <v>253</v>
      </c>
      <c r="I2152" t="s" s="17">
        <v>19</v>
      </c>
      <c r="J2152" t="s" s="17">
        <v>448</v>
      </c>
      <c r="K2152" t="s" s="17">
        <v>16</v>
      </c>
      <c r="L2152" s="15">
        <f>IF(O2152,P2152/O2152,0)</f>
        <v>0.337286133333333</v>
      </c>
      <c r="M2152" s="15">
        <v>0.337286133333333</v>
      </c>
      <c r="N2152" s="15">
        <f>A2152</f>
        <v>2150</v>
      </c>
      <c r="O2152" s="15">
        <f t="shared" si="8029" ref="O2152:O2166">3*500</f>
        <v>1500</v>
      </c>
      <c r="P2152" s="43">
        <f t="shared" si="6730"/>
        <v>505.9292</v>
      </c>
      <c r="Q2152" s="16"/>
    </row>
    <row r="2153" ht="20.05" customHeight="1">
      <c r="A2153" s="13">
        <f>A2152+1</f>
        <v>2151</v>
      </c>
      <c r="B2153" s="14">
        <v>2024</v>
      </c>
      <c r="C2153" s="15">
        <v>2</v>
      </c>
      <c r="D2153" s="15">
        <v>15</v>
      </c>
      <c r="E2153" s="16"/>
      <c r="F2153" t="s" s="17">
        <v>258</v>
      </c>
      <c r="G2153" s="16"/>
      <c r="H2153" t="s" s="17">
        <v>253</v>
      </c>
      <c r="I2153" t="s" s="17">
        <v>19</v>
      </c>
      <c r="J2153" t="s" s="17">
        <v>157</v>
      </c>
      <c r="K2153" t="s" s="17">
        <v>16</v>
      </c>
      <c r="L2153" s="15">
        <f>IF(O2153,P2153/O2153,0)</f>
        <v>0.0168985606579849</v>
      </c>
      <c r="M2153" s="15">
        <v>0.0168985606579849</v>
      </c>
      <c r="N2153" s="15">
        <f>A2153</f>
        <v>2151</v>
      </c>
      <c r="O2153" s="15">
        <v>2918</v>
      </c>
      <c r="P2153" s="15">
        <v>49.31</v>
      </c>
      <c r="Q2153" s="16"/>
    </row>
    <row r="2154" ht="20.05" customHeight="1">
      <c r="A2154" s="13">
        <f>A2153+1</f>
        <v>2152</v>
      </c>
      <c r="B2154" s="14">
        <v>2024</v>
      </c>
      <c r="C2154" s="15">
        <v>2</v>
      </c>
      <c r="D2154" s="15">
        <v>16</v>
      </c>
      <c r="E2154" s="16"/>
      <c r="F2154" t="s" s="17">
        <v>287</v>
      </c>
      <c r="G2154" s="16"/>
      <c r="H2154" t="s" s="17">
        <v>253</v>
      </c>
      <c r="I2154" t="s" s="17">
        <v>14</v>
      </c>
      <c r="J2154" t="s" s="17">
        <v>289</v>
      </c>
      <c r="K2154" t="s" s="17">
        <v>23</v>
      </c>
      <c r="L2154" s="15">
        <f>IF(O2154,P2154/O2154,0)</f>
        <v>44.9955</v>
      </c>
      <c r="M2154" s="15">
        <v>44.9955</v>
      </c>
      <c r="N2154" s="15">
        <f>A2154</f>
        <v>2152</v>
      </c>
      <c r="O2154" s="15">
        <v>10</v>
      </c>
      <c r="P2154" s="42">
        <f t="shared" si="7043"/>
        <v>449.955</v>
      </c>
      <c r="Q2154" s="16"/>
    </row>
    <row r="2155" ht="32.05" customHeight="1">
      <c r="A2155" s="13">
        <f>A2154+1</f>
        <v>2153</v>
      </c>
      <c r="B2155" s="14">
        <v>2024</v>
      </c>
      <c r="C2155" s="15">
        <v>2</v>
      </c>
      <c r="D2155" s="15">
        <v>16</v>
      </c>
      <c r="E2155" s="16"/>
      <c r="F2155" t="s" s="17">
        <v>287</v>
      </c>
      <c r="G2155" s="16"/>
      <c r="H2155" t="s" s="17">
        <v>253</v>
      </c>
      <c r="I2155" t="s" s="17">
        <v>14</v>
      </c>
      <c r="J2155" t="s" s="17">
        <v>283</v>
      </c>
      <c r="K2155" t="s" s="17">
        <v>23</v>
      </c>
      <c r="L2155" s="15">
        <f>IF(O2155,P2155/O2155,0)</f>
        <v>53.1765</v>
      </c>
      <c r="M2155" s="15">
        <v>53.1765</v>
      </c>
      <c r="N2155" s="15">
        <f>A2155</f>
        <v>2153</v>
      </c>
      <c r="O2155" s="15">
        <v>10</v>
      </c>
      <c r="P2155" s="42">
        <f t="shared" si="7318"/>
        <v>531.765</v>
      </c>
      <c r="Q2155" s="16"/>
    </row>
    <row r="2156" ht="20.05" customHeight="1">
      <c r="A2156" s="13">
        <f>A2155+1</f>
        <v>2154</v>
      </c>
      <c r="B2156" s="14">
        <v>2024</v>
      </c>
      <c r="C2156" s="15">
        <v>2</v>
      </c>
      <c r="D2156" s="15">
        <v>16</v>
      </c>
      <c r="E2156" s="16"/>
      <c r="F2156" t="s" s="17">
        <v>287</v>
      </c>
      <c r="G2156" s="16"/>
      <c r="H2156" t="s" s="17">
        <v>253</v>
      </c>
      <c r="I2156" t="s" s="17">
        <v>14</v>
      </c>
      <c r="J2156" t="s" s="17">
        <v>288</v>
      </c>
      <c r="K2156" t="s" s="17">
        <v>23</v>
      </c>
      <c r="L2156" s="15">
        <f>IF(O2156,P2156/O2156,0)</f>
        <v>55.9427777777778</v>
      </c>
      <c r="M2156" s="15">
        <v>55.9427777777778</v>
      </c>
      <c r="N2156" s="15">
        <f>A2156</f>
        <v>2154</v>
      </c>
      <c r="O2156" s="15">
        <v>9</v>
      </c>
      <c r="P2156" s="42">
        <f t="shared" si="7322"/>
        <v>503.485</v>
      </c>
      <c r="Q2156" s="16"/>
    </row>
    <row r="2157" ht="32.05" customHeight="1">
      <c r="A2157" s="13">
        <f>A2156+1</f>
        <v>2155</v>
      </c>
      <c r="B2157" s="14">
        <v>2024</v>
      </c>
      <c r="C2157" s="15">
        <v>2</v>
      </c>
      <c r="D2157" s="15">
        <v>16</v>
      </c>
      <c r="E2157" s="16"/>
      <c r="F2157" t="s" s="17">
        <v>287</v>
      </c>
      <c r="G2157" s="16"/>
      <c r="H2157" t="s" s="17">
        <v>253</v>
      </c>
      <c r="I2157" t="s" s="17">
        <v>17</v>
      </c>
      <c r="J2157" t="s" s="17">
        <v>300</v>
      </c>
      <c r="K2157" t="s" s="17">
        <v>23</v>
      </c>
      <c r="L2157" s="15">
        <f>IF(O2157,P2157/O2157,0)</f>
        <v>39.705625</v>
      </c>
      <c r="M2157" s="15">
        <v>39.705625</v>
      </c>
      <c r="N2157" s="15">
        <f>A2157</f>
        <v>2155</v>
      </c>
      <c r="O2157" s="15">
        <v>24</v>
      </c>
      <c r="P2157" s="42">
        <f t="shared" si="7515"/>
        <v>952.9349999999999</v>
      </c>
      <c r="Q2157" s="16"/>
    </row>
    <row r="2158" ht="32.05" customHeight="1">
      <c r="A2158" s="13">
        <f>A2157+1</f>
        <v>2156</v>
      </c>
      <c r="B2158" s="14">
        <v>2024</v>
      </c>
      <c r="C2158" s="15">
        <v>2</v>
      </c>
      <c r="D2158" s="15">
        <v>16</v>
      </c>
      <c r="E2158" s="16"/>
      <c r="F2158" t="s" s="17">
        <v>287</v>
      </c>
      <c r="G2158" s="16"/>
      <c r="H2158" t="s" s="17">
        <v>253</v>
      </c>
      <c r="I2158" t="s" s="17">
        <v>17</v>
      </c>
      <c r="J2158" t="s" s="17">
        <v>434</v>
      </c>
      <c r="K2158" t="s" s="17">
        <v>23</v>
      </c>
      <c r="L2158" s="15">
        <f>IF(O2158,P2158/O2158,0)</f>
        <v>54.0139583333333</v>
      </c>
      <c r="M2158" s="15">
        <v>54.0139583333333</v>
      </c>
      <c r="N2158" s="15">
        <f>A2158</f>
        <v>2156</v>
      </c>
      <c r="O2158" s="15">
        <v>24</v>
      </c>
      <c r="P2158" s="42">
        <f t="shared" si="7519"/>
        <v>1296.335</v>
      </c>
      <c r="Q2158" s="16"/>
    </row>
    <row r="2159" ht="20.05" customHeight="1">
      <c r="A2159" s="13">
        <f>A2158+1</f>
        <v>2157</v>
      </c>
      <c r="B2159" s="14">
        <v>2024</v>
      </c>
      <c r="C2159" s="15">
        <v>2</v>
      </c>
      <c r="D2159" s="15">
        <v>17</v>
      </c>
      <c r="E2159" s="16"/>
      <c r="F2159" t="s" s="17">
        <v>258</v>
      </c>
      <c r="G2159" s="16"/>
      <c r="H2159" t="s" s="17">
        <v>253</v>
      </c>
      <c r="I2159" t="s" s="17">
        <v>19</v>
      </c>
      <c r="J2159" t="s" s="17">
        <v>112</v>
      </c>
      <c r="K2159" t="s" s="17">
        <v>41</v>
      </c>
      <c r="L2159" s="15">
        <f>IF(O2159,P2159/O2159,0)</f>
        <v>0.026</v>
      </c>
      <c r="M2159" s="15">
        <v>0.026</v>
      </c>
      <c r="N2159" s="15">
        <f>A2159</f>
        <v>2157</v>
      </c>
      <c r="O2159" s="15">
        <f>2*1000</f>
        <v>2000</v>
      </c>
      <c r="P2159" s="15">
        <v>52</v>
      </c>
      <c r="Q2159" s="16"/>
    </row>
    <row r="2160" ht="32.05" customHeight="1">
      <c r="A2160" s="13">
        <f>A2159+1</f>
        <v>2158</v>
      </c>
      <c r="B2160" s="14">
        <v>2024</v>
      </c>
      <c r="C2160" s="15">
        <v>2</v>
      </c>
      <c r="D2160" s="15">
        <v>19</v>
      </c>
      <c r="E2160" s="16"/>
      <c r="F2160" t="s" s="17">
        <v>478</v>
      </c>
      <c r="G2160" s="16"/>
      <c r="H2160" t="s" s="17">
        <v>253</v>
      </c>
      <c r="I2160" t="s" s="17">
        <v>19</v>
      </c>
      <c r="J2160" t="s" s="17">
        <v>530</v>
      </c>
      <c r="K2160" t="s" s="17">
        <v>16</v>
      </c>
      <c r="L2160" s="15">
        <f>IF(O2160,P2160/O2160,0)</f>
        <v>0.6565</v>
      </c>
      <c r="M2160" s="15">
        <v>0.6565</v>
      </c>
      <c r="N2160" s="15">
        <f>A2160</f>
        <v>2158</v>
      </c>
      <c r="O2160" s="15">
        <v>500</v>
      </c>
      <c r="P2160" s="41">
        <f t="shared" si="7564"/>
        <v>328.25</v>
      </c>
      <c r="Q2160" s="16"/>
    </row>
    <row r="2161" ht="20.05" customHeight="1">
      <c r="A2161" s="13">
        <f>A2160+1</f>
        <v>2159</v>
      </c>
      <c r="B2161" s="14">
        <v>2024</v>
      </c>
      <c r="C2161" s="15">
        <v>2</v>
      </c>
      <c r="D2161" s="15">
        <v>19</v>
      </c>
      <c r="E2161" s="16"/>
      <c r="F2161" t="s" s="17">
        <v>478</v>
      </c>
      <c r="G2161" s="16"/>
      <c r="H2161" t="s" s="17">
        <v>253</v>
      </c>
      <c r="I2161" t="s" s="17">
        <v>19</v>
      </c>
      <c r="J2161" t="s" s="17">
        <v>71</v>
      </c>
      <c r="K2161" t="s" s="17">
        <v>16</v>
      </c>
      <c r="L2161" s="15">
        <f>IF(O2161,P2161/O2161,0)</f>
        <v>0.24745</v>
      </c>
      <c r="M2161" s="15">
        <v>0.24745</v>
      </c>
      <c r="N2161" s="15">
        <f>A2161</f>
        <v>2159</v>
      </c>
      <c r="O2161" s="15">
        <v>1000</v>
      </c>
      <c r="P2161" s="41">
        <f>245+245*1%</f>
        <v>247.45</v>
      </c>
      <c r="Q2161" s="16"/>
    </row>
    <row r="2162" ht="32.05" customHeight="1">
      <c r="A2162" s="13">
        <f>A2161+1</f>
        <v>2160</v>
      </c>
      <c r="B2162" s="14">
        <v>2024</v>
      </c>
      <c r="C2162" s="15">
        <v>2</v>
      </c>
      <c r="D2162" s="15">
        <v>20</v>
      </c>
      <c r="E2162" s="16"/>
      <c r="F2162" t="s" s="17">
        <v>287</v>
      </c>
      <c r="G2162" s="16"/>
      <c r="H2162" t="s" s="17">
        <v>253</v>
      </c>
      <c r="I2162" t="s" s="17">
        <v>17</v>
      </c>
      <c r="J2162" t="s" s="17">
        <v>299</v>
      </c>
      <c r="K2162" t="s" s="17">
        <v>23</v>
      </c>
      <c r="L2162" s="15">
        <f>IF(O2162,P2162/O2162,0)</f>
        <v>44.7345833333333</v>
      </c>
      <c r="M2162" s="15">
        <v>44.7345833333333</v>
      </c>
      <c r="N2162" s="15">
        <f>A2162</f>
        <v>2160</v>
      </c>
      <c r="O2162" s="15">
        <v>24</v>
      </c>
      <c r="P2162" s="41">
        <f t="shared" si="7579"/>
        <v>1073.63</v>
      </c>
      <c r="Q2162" s="16"/>
    </row>
    <row r="2163" ht="20.05" customHeight="1">
      <c r="A2163" s="13">
        <f>A2162+1</f>
        <v>2161</v>
      </c>
      <c r="B2163" s="14">
        <v>2024</v>
      </c>
      <c r="C2163" s="15">
        <v>2</v>
      </c>
      <c r="D2163" s="15">
        <v>20</v>
      </c>
      <c r="E2163" s="16"/>
      <c r="F2163" t="s" s="17">
        <v>400</v>
      </c>
      <c r="G2163" s="16"/>
      <c r="H2163" t="s" s="17">
        <v>253</v>
      </c>
      <c r="I2163" t="s" s="17">
        <v>187</v>
      </c>
      <c r="J2163" t="s" s="17">
        <v>401</v>
      </c>
      <c r="K2163" t="s" s="17">
        <v>23</v>
      </c>
      <c r="L2163" s="15">
        <f>IF(O2163,P2163/O2163,0)</f>
        <v>179.9</v>
      </c>
      <c r="M2163" s="15">
        <v>179.9</v>
      </c>
      <c r="N2163" s="15">
        <f>A2163</f>
        <v>2161</v>
      </c>
      <c r="O2163" s="15">
        <v>1</v>
      </c>
      <c r="P2163" s="15">
        <v>179.9</v>
      </c>
      <c r="Q2163" s="16"/>
    </row>
    <row r="2164" ht="20.05" customHeight="1">
      <c r="A2164" s="13">
        <f>A2163+1</f>
        <v>2162</v>
      </c>
      <c r="B2164" s="14">
        <v>2024</v>
      </c>
      <c r="C2164" s="15">
        <v>2</v>
      </c>
      <c r="D2164" s="15">
        <v>20</v>
      </c>
      <c r="E2164" s="16"/>
      <c r="F2164" t="s" s="17">
        <v>111</v>
      </c>
      <c r="G2164" s="16"/>
      <c r="H2164" t="s" s="17">
        <v>253</v>
      </c>
      <c r="I2164" t="s" s="17">
        <v>19</v>
      </c>
      <c r="J2164" t="s" s="17">
        <v>112</v>
      </c>
      <c r="K2164" t="s" s="17">
        <v>41</v>
      </c>
      <c r="L2164" s="15">
        <f>IF(O2164,P2164/O2164,0)</f>
        <v>0.03037</v>
      </c>
      <c r="M2164" s="15">
        <v>0.03037</v>
      </c>
      <c r="N2164" s="15">
        <f>A2164</f>
        <v>2162</v>
      </c>
      <c r="O2164" s="15">
        <f t="shared" si="6909"/>
        <v>3000</v>
      </c>
      <c r="P2164" s="15">
        <v>91.11</v>
      </c>
      <c r="Q2164" s="16"/>
    </row>
    <row r="2165" ht="20.05" customHeight="1">
      <c r="A2165" s="13">
        <f>A2164+1</f>
        <v>2163</v>
      </c>
      <c r="B2165" s="14">
        <v>2024</v>
      </c>
      <c r="C2165" s="15">
        <v>2</v>
      </c>
      <c r="D2165" s="15">
        <v>20</v>
      </c>
      <c r="E2165" s="16"/>
      <c r="F2165" t="s" s="17">
        <v>111</v>
      </c>
      <c r="G2165" s="16"/>
      <c r="H2165" t="s" s="17">
        <v>253</v>
      </c>
      <c r="I2165" t="s" s="17">
        <v>19</v>
      </c>
      <c r="J2165" t="s" s="17">
        <v>67</v>
      </c>
      <c r="K2165" t="s" s="17">
        <v>23</v>
      </c>
      <c r="L2165" s="15">
        <f>IF(O2165,P2165/O2165,0)</f>
        <v>1.1211</v>
      </c>
      <c r="M2165" s="15">
        <v>1.1211</v>
      </c>
      <c r="N2165" s="15">
        <f>A2165</f>
        <v>2163</v>
      </c>
      <c r="O2165" s="15">
        <f t="shared" si="7790"/>
        <v>400</v>
      </c>
      <c r="P2165" s="15">
        <v>448.44</v>
      </c>
      <c r="Q2165" s="16"/>
    </row>
    <row r="2166" ht="32.05" customHeight="1">
      <c r="A2166" s="13">
        <f>A2165+1</f>
        <v>2164</v>
      </c>
      <c r="B2166" s="14">
        <v>2024</v>
      </c>
      <c r="C2166" s="15">
        <v>2</v>
      </c>
      <c r="D2166" s="15">
        <v>20</v>
      </c>
      <c r="E2166" s="16"/>
      <c r="F2166" t="s" s="17">
        <v>428</v>
      </c>
      <c r="G2166" s="16"/>
      <c r="H2166" t="s" s="17">
        <v>253</v>
      </c>
      <c r="I2166" t="s" s="17">
        <v>19</v>
      </c>
      <c r="J2166" t="s" s="17">
        <v>448</v>
      </c>
      <c r="K2166" t="s" s="17">
        <v>16</v>
      </c>
      <c r="L2166" s="15">
        <f>IF(O2166,P2166/O2166,0)</f>
        <v>0.337286133333333</v>
      </c>
      <c r="M2166" s="15">
        <v>0.337286133333333</v>
      </c>
      <c r="N2166" s="15">
        <f>A2166</f>
        <v>2164</v>
      </c>
      <c r="O2166" s="15">
        <f t="shared" si="8029"/>
        <v>1500</v>
      </c>
      <c r="P2166" s="43">
        <f>500.92+500.92*1%</f>
        <v>505.9292</v>
      </c>
      <c r="Q2166" s="16"/>
    </row>
    <row r="2167" ht="20.05" customHeight="1">
      <c r="A2167" s="13">
        <f>A2166+1</f>
        <v>2165</v>
      </c>
      <c r="B2167" s="14">
        <v>2024</v>
      </c>
      <c r="C2167" s="15">
        <v>2</v>
      </c>
      <c r="D2167" s="15">
        <v>21</v>
      </c>
      <c r="E2167" s="16"/>
      <c r="F2167" t="s" s="17">
        <v>287</v>
      </c>
      <c r="G2167" s="16"/>
      <c r="H2167" t="s" s="17">
        <v>253</v>
      </c>
      <c r="I2167" t="s" s="17">
        <v>14</v>
      </c>
      <c r="J2167" t="s" s="17">
        <v>289</v>
      </c>
      <c r="K2167" t="s" s="17">
        <v>23</v>
      </c>
      <c r="L2167" s="15">
        <f>IF(O2167,P2167/O2167,0)</f>
        <v>44.9955</v>
      </c>
      <c r="M2167" s="15">
        <v>44.9955</v>
      </c>
      <c r="N2167" s="15">
        <f>A2167</f>
        <v>2165</v>
      </c>
      <c r="O2167" s="15">
        <v>10</v>
      </c>
      <c r="P2167" s="42">
        <f>445.5+445.5*1%</f>
        <v>449.955</v>
      </c>
      <c r="Q2167" s="16"/>
    </row>
    <row r="2168" ht="32.05" customHeight="1">
      <c r="A2168" s="13">
        <f>A2167+1</f>
        <v>2166</v>
      </c>
      <c r="B2168" s="14">
        <v>2024</v>
      </c>
      <c r="C2168" s="15">
        <v>2</v>
      </c>
      <c r="D2168" s="15">
        <v>21</v>
      </c>
      <c r="E2168" s="16"/>
      <c r="F2168" t="s" s="17">
        <v>287</v>
      </c>
      <c r="G2168" s="16"/>
      <c r="H2168" t="s" s="17">
        <v>253</v>
      </c>
      <c r="I2168" t="s" s="17">
        <v>14</v>
      </c>
      <c r="J2168" t="s" s="17">
        <v>283</v>
      </c>
      <c r="K2168" t="s" s="17">
        <v>23</v>
      </c>
      <c r="L2168" s="15">
        <f>IF(O2168,P2168/O2168,0)</f>
        <v>53.1765</v>
      </c>
      <c r="M2168" s="15">
        <v>53.1765</v>
      </c>
      <c r="N2168" s="15">
        <f>A2168</f>
        <v>2166</v>
      </c>
      <c r="O2168" s="15">
        <v>10</v>
      </c>
      <c r="P2168" s="42">
        <f t="shared" si="7318"/>
        <v>531.765</v>
      </c>
      <c r="Q2168" s="16"/>
    </row>
    <row r="2169" ht="20.05" customHeight="1">
      <c r="A2169" s="13">
        <f>A2168+1</f>
        <v>2167</v>
      </c>
      <c r="B2169" s="14">
        <v>2024</v>
      </c>
      <c r="C2169" s="15">
        <v>2</v>
      </c>
      <c r="D2169" s="15">
        <v>21</v>
      </c>
      <c r="E2169" s="16"/>
      <c r="F2169" t="s" s="17">
        <v>287</v>
      </c>
      <c r="G2169" s="16"/>
      <c r="H2169" t="s" s="17">
        <v>253</v>
      </c>
      <c r="I2169" t="s" s="17">
        <v>14</v>
      </c>
      <c r="J2169" t="s" s="17">
        <v>279</v>
      </c>
      <c r="K2169" t="s" s="17">
        <v>23</v>
      </c>
      <c r="L2169" s="15">
        <f>IF(O2169,P2169/O2169,0)</f>
        <v>50.7525</v>
      </c>
      <c r="M2169" s="15">
        <v>50.7525</v>
      </c>
      <c r="N2169" s="15">
        <f>A2169</f>
        <v>2167</v>
      </c>
      <c r="O2169" s="15">
        <v>10</v>
      </c>
      <c r="P2169" s="42">
        <f t="shared" si="7326"/>
        <v>507.525</v>
      </c>
      <c r="Q2169" s="16"/>
    </row>
    <row r="2170" ht="20.05" customHeight="1">
      <c r="A2170" s="13">
        <f>A2169+1</f>
        <v>2168</v>
      </c>
      <c r="B2170" s="14">
        <v>2024</v>
      </c>
      <c r="C2170" s="15">
        <v>2</v>
      </c>
      <c r="D2170" s="15">
        <v>21</v>
      </c>
      <c r="E2170" s="16"/>
      <c r="F2170" t="s" s="17">
        <v>150</v>
      </c>
      <c r="G2170" s="16"/>
      <c r="H2170" t="s" s="17">
        <v>253</v>
      </c>
      <c r="I2170" t="s" s="17">
        <v>19</v>
      </c>
      <c r="J2170" t="s" s="17">
        <v>95</v>
      </c>
      <c r="K2170" t="s" s="17">
        <v>41</v>
      </c>
      <c r="L2170" s="15">
        <f>IF(O2170,P2170/O2170,0)</f>
        <v>0.61004</v>
      </c>
      <c r="M2170" s="15">
        <v>0.61004</v>
      </c>
      <c r="N2170" s="15">
        <f>A2170</f>
        <v>2168</v>
      </c>
      <c r="O2170" s="15">
        <v>1000</v>
      </c>
      <c r="P2170" s="41">
        <f t="shared" si="7470"/>
        <v>610.04</v>
      </c>
      <c r="Q2170" s="16"/>
    </row>
    <row r="2171" ht="32.05" customHeight="1">
      <c r="A2171" s="13">
        <f>A2170+1</f>
        <v>2169</v>
      </c>
      <c r="B2171" s="14">
        <v>2024</v>
      </c>
      <c r="C2171" s="15">
        <v>2</v>
      </c>
      <c r="D2171" s="15">
        <v>22</v>
      </c>
      <c r="E2171" s="16"/>
      <c r="F2171" t="s" s="17">
        <v>287</v>
      </c>
      <c r="G2171" s="16"/>
      <c r="H2171" t="s" s="17">
        <v>253</v>
      </c>
      <c r="I2171" t="s" s="17">
        <v>14</v>
      </c>
      <c r="J2171" t="s" s="17">
        <v>283</v>
      </c>
      <c r="K2171" t="s" s="17">
        <v>23</v>
      </c>
      <c r="L2171" s="15">
        <f>IF(O2171,P2171/O2171,0)</f>
        <v>53.1765</v>
      </c>
      <c r="M2171" s="15">
        <v>53.1765</v>
      </c>
      <c r="N2171" s="15">
        <f>A2171</f>
        <v>2169</v>
      </c>
      <c r="O2171" s="15">
        <v>10</v>
      </c>
      <c r="P2171" s="42">
        <f t="shared" si="7318"/>
        <v>531.765</v>
      </c>
      <c r="Q2171" s="16"/>
    </row>
    <row r="2172" ht="20.05" customHeight="1">
      <c r="A2172" s="13">
        <f>A2171+1</f>
        <v>2170</v>
      </c>
      <c r="B2172" s="14">
        <v>2024</v>
      </c>
      <c r="C2172" s="15">
        <v>2</v>
      </c>
      <c r="D2172" s="15">
        <v>22</v>
      </c>
      <c r="E2172" s="16"/>
      <c r="F2172" t="s" s="17">
        <v>287</v>
      </c>
      <c r="G2172" s="16"/>
      <c r="H2172" t="s" s="17">
        <v>253</v>
      </c>
      <c r="I2172" t="s" s="17">
        <v>14</v>
      </c>
      <c r="J2172" t="s" s="17">
        <v>433</v>
      </c>
      <c r="K2172" t="s" s="17">
        <v>23</v>
      </c>
      <c r="L2172" s="15">
        <f>IF(O2172,P2172/O2172,0)</f>
        <v>57.7215</v>
      </c>
      <c r="M2172" s="15">
        <v>57.7215</v>
      </c>
      <c r="N2172" s="15">
        <f>A2172</f>
        <v>2170</v>
      </c>
      <c r="O2172" s="15">
        <v>10</v>
      </c>
      <c r="P2172" s="42">
        <f t="shared" si="7503"/>
        <v>577.215</v>
      </c>
      <c r="Q2172" s="16"/>
    </row>
    <row r="2173" ht="20.05" customHeight="1">
      <c r="A2173" s="13">
        <f>A2172+1</f>
        <v>2171</v>
      </c>
      <c r="B2173" s="14">
        <v>2024</v>
      </c>
      <c r="C2173" s="15">
        <v>2</v>
      </c>
      <c r="D2173" s="15">
        <v>22</v>
      </c>
      <c r="E2173" s="16"/>
      <c r="F2173" t="s" s="17">
        <v>287</v>
      </c>
      <c r="G2173" s="16"/>
      <c r="H2173" t="s" s="17">
        <v>253</v>
      </c>
      <c r="I2173" t="s" s="17">
        <v>14</v>
      </c>
      <c r="J2173" t="s" s="17">
        <v>279</v>
      </c>
      <c r="K2173" t="s" s="17">
        <v>23</v>
      </c>
      <c r="L2173" s="15">
        <f>IF(O2173,P2173/O2173,0)</f>
        <v>50.7525</v>
      </c>
      <c r="M2173" s="15">
        <v>50.7525</v>
      </c>
      <c r="N2173" s="15">
        <f>A2173</f>
        <v>2171</v>
      </c>
      <c r="O2173" s="15">
        <v>10</v>
      </c>
      <c r="P2173" s="42">
        <f t="shared" si="7326"/>
        <v>507.525</v>
      </c>
      <c r="Q2173" s="16"/>
    </row>
    <row r="2174" ht="32.05" customHeight="1">
      <c r="A2174" s="13">
        <f>A2173+1</f>
        <v>2172</v>
      </c>
      <c r="B2174" s="14">
        <v>2024</v>
      </c>
      <c r="C2174" s="15">
        <v>2</v>
      </c>
      <c r="D2174" s="15">
        <v>23</v>
      </c>
      <c r="E2174" s="16"/>
      <c r="F2174" t="s" s="56">
        <v>534</v>
      </c>
      <c r="G2174" s="16"/>
      <c r="H2174" t="s" s="17">
        <v>253</v>
      </c>
      <c r="I2174" t="s" s="17">
        <v>357</v>
      </c>
      <c r="J2174" t="s" s="17">
        <v>535</v>
      </c>
      <c r="K2174" t="s" s="17">
        <v>23</v>
      </c>
      <c r="L2174" s="15">
        <f>IF(O2174,P2174/O2174,0)</f>
        <v>2575</v>
      </c>
      <c r="M2174" s="15">
        <v>2575</v>
      </c>
      <c r="N2174" s="15">
        <f>A2174</f>
        <v>2172</v>
      </c>
      <c r="O2174" s="15">
        <v>100</v>
      </c>
      <c r="P2174" s="15">
        <f>1250+1250*205</f>
        <v>257500</v>
      </c>
      <c r="Q2174" s="16"/>
    </row>
    <row r="2175" ht="20.05" customHeight="1">
      <c r="A2175" s="13">
        <f>A2174+1</f>
        <v>2173</v>
      </c>
      <c r="B2175" s="14">
        <v>2024</v>
      </c>
      <c r="C2175" s="15">
        <v>2</v>
      </c>
      <c r="D2175" s="15">
        <v>24</v>
      </c>
      <c r="E2175" s="16"/>
      <c r="F2175" t="s" s="17">
        <v>287</v>
      </c>
      <c r="G2175" s="16"/>
      <c r="H2175" t="s" s="17">
        <v>253</v>
      </c>
      <c r="I2175" t="s" s="17">
        <v>14</v>
      </c>
      <c r="J2175" t="s" s="17">
        <v>288</v>
      </c>
      <c r="K2175" t="s" s="17">
        <v>23</v>
      </c>
      <c r="L2175" s="15">
        <f>IF(O2175,P2175/O2175,0)</f>
        <v>55.9427777777778</v>
      </c>
      <c r="M2175" s="15">
        <v>55.9427777777778</v>
      </c>
      <c r="N2175" s="15">
        <f>A2175</f>
        <v>2173</v>
      </c>
      <c r="O2175" s="15">
        <v>18</v>
      </c>
      <c r="P2175" s="41">
        <f>997+997*1%</f>
        <v>1006.97</v>
      </c>
      <c r="Q2175" s="16"/>
    </row>
    <row r="2176" ht="32.05" customHeight="1">
      <c r="A2176" s="13">
        <f>A2175+1</f>
        <v>2174</v>
      </c>
      <c r="B2176" s="14">
        <v>2024</v>
      </c>
      <c r="C2176" s="15">
        <v>2</v>
      </c>
      <c r="D2176" s="15">
        <v>24</v>
      </c>
      <c r="E2176" s="16"/>
      <c r="F2176" t="s" s="17">
        <v>287</v>
      </c>
      <c r="G2176" s="16"/>
      <c r="H2176" t="s" s="17">
        <v>253</v>
      </c>
      <c r="I2176" t="s" s="17">
        <v>17</v>
      </c>
      <c r="J2176" t="s" s="17">
        <v>300</v>
      </c>
      <c r="K2176" t="s" s="17">
        <v>23</v>
      </c>
      <c r="L2176" s="15">
        <f>IF(O2176,P2176/O2176,0)</f>
        <v>39.705625</v>
      </c>
      <c r="M2176" s="15">
        <v>39.705625</v>
      </c>
      <c r="N2176" s="15">
        <f>A2176</f>
        <v>2174</v>
      </c>
      <c r="O2176" s="15">
        <v>24</v>
      </c>
      <c r="P2176" s="42">
        <f t="shared" si="7515"/>
        <v>952.9349999999999</v>
      </c>
      <c r="Q2176" s="16"/>
    </row>
    <row r="2177" ht="32.05" customHeight="1">
      <c r="A2177" s="13">
        <f>A2176+1</f>
        <v>2175</v>
      </c>
      <c r="B2177" s="14">
        <v>2024</v>
      </c>
      <c r="C2177" s="15">
        <v>2</v>
      </c>
      <c r="D2177" s="15">
        <v>27</v>
      </c>
      <c r="E2177" s="16"/>
      <c r="F2177" t="s" s="17">
        <v>428</v>
      </c>
      <c r="G2177" s="16"/>
      <c r="H2177" t="s" s="17">
        <v>253</v>
      </c>
      <c r="I2177" t="s" s="17">
        <v>19</v>
      </c>
      <c r="J2177" t="s" s="17">
        <v>437</v>
      </c>
      <c r="K2177" t="s" s="17">
        <v>16</v>
      </c>
      <c r="L2177" s="15">
        <f>IF(O2177,P2177/O2177,0)</f>
        <v>0.361075</v>
      </c>
      <c r="M2177" s="15">
        <v>0.361075</v>
      </c>
      <c r="N2177" s="15">
        <f>A2177</f>
        <v>2175</v>
      </c>
      <c r="O2177" s="15">
        <f t="shared" si="7593"/>
        <v>6000</v>
      </c>
      <c r="P2177" s="41">
        <f t="shared" si="7232"/>
        <v>2166.45</v>
      </c>
      <c r="Q2177" s="16"/>
    </row>
    <row r="2178" ht="20.05" customHeight="1">
      <c r="A2178" s="13">
        <f>A2177+1</f>
        <v>2176</v>
      </c>
      <c r="B2178" s="14">
        <v>2024</v>
      </c>
      <c r="C2178" s="15">
        <v>2</v>
      </c>
      <c r="D2178" s="15">
        <v>27</v>
      </c>
      <c r="E2178" s="16"/>
      <c r="F2178" t="s" s="17">
        <v>293</v>
      </c>
      <c r="G2178" s="16"/>
      <c r="H2178" t="s" s="17">
        <v>253</v>
      </c>
      <c r="I2178" t="s" s="17">
        <v>19</v>
      </c>
      <c r="J2178" t="s" s="17">
        <v>157</v>
      </c>
      <c r="K2178" t="s" s="17">
        <v>16</v>
      </c>
      <c r="L2178" s="15">
        <f>IF(O2178,P2178/O2178,0)</f>
        <v>0.0187522935779817</v>
      </c>
      <c r="M2178" s="15">
        <v>0.0187522935779817</v>
      </c>
      <c r="N2178" s="15">
        <f>A2178</f>
        <v>2176</v>
      </c>
      <c r="O2178" s="15">
        <v>1635</v>
      </c>
      <c r="P2178" s="15">
        <v>30.66</v>
      </c>
      <c r="Q2178" s="16"/>
    </row>
    <row r="2179" ht="20.05" customHeight="1">
      <c r="A2179" s="13">
        <f>A2178+1</f>
        <v>2177</v>
      </c>
      <c r="B2179" s="14">
        <v>2024</v>
      </c>
      <c r="C2179" s="15">
        <v>2</v>
      </c>
      <c r="D2179" s="15">
        <v>27</v>
      </c>
      <c r="E2179" s="16"/>
      <c r="F2179" t="s" s="17">
        <v>478</v>
      </c>
      <c r="G2179" s="16"/>
      <c r="H2179" t="s" s="17">
        <v>253</v>
      </c>
      <c r="I2179" t="s" s="17">
        <v>19</v>
      </c>
      <c r="J2179" t="s" s="17">
        <v>69</v>
      </c>
      <c r="K2179" t="s" s="17">
        <v>16</v>
      </c>
      <c r="L2179" s="15">
        <f>IF(O2179,P2179/O2179,0)</f>
        <v>0.579066666666667</v>
      </c>
      <c r="M2179" s="15">
        <v>0.579066666666667</v>
      </c>
      <c r="N2179" s="15">
        <f>A2179</f>
        <v>2177</v>
      </c>
      <c r="O2179" s="15">
        <v>750</v>
      </c>
      <c r="P2179" s="42">
        <f>430+430*1%</f>
        <v>434.3</v>
      </c>
      <c r="Q2179" s="16"/>
    </row>
    <row r="2180" ht="20.05" customHeight="1">
      <c r="A2180" s="13">
        <f>A2179+1</f>
        <v>2178</v>
      </c>
      <c r="B2180" s="14">
        <v>2024</v>
      </c>
      <c r="C2180" s="15">
        <v>2</v>
      </c>
      <c r="D2180" s="15">
        <v>28</v>
      </c>
      <c r="E2180" s="16"/>
      <c r="F2180" t="s" s="17">
        <v>150</v>
      </c>
      <c r="G2180" s="16"/>
      <c r="H2180" t="s" s="17">
        <v>253</v>
      </c>
      <c r="I2180" t="s" s="17">
        <v>19</v>
      </c>
      <c r="J2180" t="s" s="17">
        <v>56</v>
      </c>
      <c r="K2180" t="s" s="17">
        <v>41</v>
      </c>
      <c r="L2180" s="15">
        <f>IF(O2180,P2180/O2180,0)</f>
        <v>0.45248</v>
      </c>
      <c r="M2180" s="15">
        <v>0.45248</v>
      </c>
      <c r="N2180" s="15">
        <f>A2180</f>
        <v>2178</v>
      </c>
      <c r="O2180" s="15">
        <v>750</v>
      </c>
      <c r="P2180" s="41">
        <f t="shared" si="7466"/>
        <v>339.36</v>
      </c>
      <c r="Q2180" s="16"/>
    </row>
    <row r="2181" ht="20.05" customHeight="1">
      <c r="A2181" s="13">
        <f>A2180+1</f>
        <v>2179</v>
      </c>
      <c r="B2181" s="14">
        <v>2024</v>
      </c>
      <c r="C2181" s="15">
        <v>2</v>
      </c>
      <c r="D2181" s="15">
        <v>28</v>
      </c>
      <c r="E2181" s="16"/>
      <c r="F2181" t="s" s="17">
        <v>150</v>
      </c>
      <c r="G2181" s="16"/>
      <c r="H2181" t="s" s="17">
        <v>253</v>
      </c>
      <c r="I2181" t="s" s="17">
        <v>19</v>
      </c>
      <c r="J2181" t="s" s="17">
        <v>95</v>
      </c>
      <c r="K2181" t="s" s="17">
        <v>41</v>
      </c>
      <c r="L2181" s="15">
        <f>IF(O2181,P2181/O2181,0)</f>
        <v>0.61004</v>
      </c>
      <c r="M2181" s="15">
        <v>0.61004</v>
      </c>
      <c r="N2181" s="15">
        <f>A2181</f>
        <v>2179</v>
      </c>
      <c r="O2181" s="15">
        <v>1000</v>
      </c>
      <c r="P2181" s="41">
        <f t="shared" si="7470"/>
        <v>610.04</v>
      </c>
      <c r="Q2181" s="16"/>
    </row>
    <row r="2182" ht="20.05" customHeight="1">
      <c r="A2182" s="13">
        <f>A2181+1</f>
        <v>2180</v>
      </c>
      <c r="B2182" s="14">
        <v>2024</v>
      </c>
      <c r="C2182" s="15">
        <v>2</v>
      </c>
      <c r="D2182" s="15">
        <v>28</v>
      </c>
      <c r="E2182" s="16"/>
      <c r="F2182" t="s" s="17">
        <v>122</v>
      </c>
      <c r="G2182" s="16"/>
      <c r="H2182" t="s" s="17">
        <v>253</v>
      </c>
      <c r="I2182" t="s" s="17">
        <v>19</v>
      </c>
      <c r="J2182" t="s" s="17">
        <v>60</v>
      </c>
      <c r="K2182" t="s" s="17">
        <v>23</v>
      </c>
      <c r="L2182" s="15">
        <f>IF(O2182,P2182/O2182,0)</f>
        <v>2.9896</v>
      </c>
      <c r="M2182" s="15">
        <v>2.9896</v>
      </c>
      <c r="N2182" s="15">
        <f>A2182</f>
        <v>2180</v>
      </c>
      <c r="O2182" s="15">
        <v>120</v>
      </c>
      <c r="P2182" s="42">
        <f t="shared" si="7598"/>
        <v>358.752</v>
      </c>
      <c r="Q2182" s="42">
        <f t="shared" si="7599"/>
        <v>355.2</v>
      </c>
    </row>
    <row r="2183" ht="20.05" customHeight="1">
      <c r="A2183" s="13">
        <f>A2182+1</f>
        <v>2181</v>
      </c>
      <c r="B2183" s="14">
        <v>2024</v>
      </c>
      <c r="C2183" s="15">
        <v>2</v>
      </c>
      <c r="D2183" s="15">
        <v>28</v>
      </c>
      <c r="E2183" s="16"/>
      <c r="F2183" t="s" s="17">
        <v>122</v>
      </c>
      <c r="G2183" s="16"/>
      <c r="H2183" t="s" s="17">
        <v>253</v>
      </c>
      <c r="I2183" t="s" s="17">
        <v>26</v>
      </c>
      <c r="J2183" t="s" s="17">
        <v>117</v>
      </c>
      <c r="K2183" t="s" s="17">
        <v>23</v>
      </c>
      <c r="L2183" s="15">
        <f>IF(O2183,P2183/O2183,0)</f>
        <v>44.44</v>
      </c>
      <c r="M2183" s="15">
        <v>44.44</v>
      </c>
      <c r="N2183" s="15">
        <f>A2183</f>
        <v>2181</v>
      </c>
      <c r="O2183" s="15">
        <v>14</v>
      </c>
      <c r="P2183" s="41">
        <f t="shared" si="8154" ref="P2183:P2184">616+616*1%</f>
        <v>622.16</v>
      </c>
      <c r="Q2183" s="16"/>
    </row>
    <row r="2184" ht="20.05" customHeight="1">
      <c r="A2184" s="13">
        <f>A2183+1</f>
        <v>2182</v>
      </c>
      <c r="B2184" s="14">
        <v>2024</v>
      </c>
      <c r="C2184" s="15">
        <v>2</v>
      </c>
      <c r="D2184" s="15">
        <v>28</v>
      </c>
      <c r="E2184" s="16"/>
      <c r="F2184" t="s" s="17">
        <v>122</v>
      </c>
      <c r="G2184" s="16"/>
      <c r="H2184" t="s" s="17">
        <v>253</v>
      </c>
      <c r="I2184" t="s" s="17">
        <v>26</v>
      </c>
      <c r="J2184" t="s" s="17">
        <v>118</v>
      </c>
      <c r="K2184" t="s" s="17">
        <v>23</v>
      </c>
      <c r="L2184" s="15">
        <f>IF(O2184,P2184/O2184,0)</f>
        <v>44.44</v>
      </c>
      <c r="M2184" s="15">
        <v>44.44</v>
      </c>
      <c r="N2184" s="15">
        <f>A2184</f>
        <v>2182</v>
      </c>
      <c r="O2184" s="15">
        <v>14</v>
      </c>
      <c r="P2184" s="41">
        <f t="shared" si="8154"/>
        <v>622.16</v>
      </c>
      <c r="Q2184" s="16"/>
    </row>
    <row r="2185" ht="20.05" customHeight="1">
      <c r="A2185" s="13">
        <f>A2184+1</f>
        <v>2183</v>
      </c>
      <c r="B2185" s="14">
        <v>2024</v>
      </c>
      <c r="C2185" s="15">
        <v>2</v>
      </c>
      <c r="D2185" s="15">
        <v>28</v>
      </c>
      <c r="E2185" s="16"/>
      <c r="F2185" t="s" s="17">
        <v>122</v>
      </c>
      <c r="G2185" s="16"/>
      <c r="H2185" t="s" s="17">
        <v>253</v>
      </c>
      <c r="I2185" t="s" s="17">
        <v>19</v>
      </c>
      <c r="J2185" t="s" s="17">
        <v>73</v>
      </c>
      <c r="K2185" t="s" s="17">
        <v>23</v>
      </c>
      <c r="L2185" s="15">
        <f>IF(O2185,P2185/O2185,0)</f>
        <v>6.0095</v>
      </c>
      <c r="M2185" s="15">
        <v>6.0095</v>
      </c>
      <c r="N2185" s="15">
        <f>A2185</f>
        <v>2183</v>
      </c>
      <c r="O2185" s="15">
        <v>24</v>
      </c>
      <c r="P2185" s="42">
        <f t="shared" si="7917"/>
        <v>144.228</v>
      </c>
      <c r="Q2185" s="16"/>
    </row>
    <row r="2186" ht="20.05" customHeight="1">
      <c r="A2186" s="13">
        <f>A2185+1</f>
        <v>2184</v>
      </c>
      <c r="B2186" s="14">
        <v>2024</v>
      </c>
      <c r="C2186" s="15">
        <v>2</v>
      </c>
      <c r="D2186" s="15">
        <v>28</v>
      </c>
      <c r="E2186" s="16"/>
      <c r="F2186" t="s" s="17">
        <v>122</v>
      </c>
      <c r="G2186" s="16"/>
      <c r="H2186" t="s" s="17">
        <v>253</v>
      </c>
      <c r="I2186" t="s" s="17">
        <v>187</v>
      </c>
      <c r="J2186" t="s" s="17">
        <v>161</v>
      </c>
      <c r="K2186" t="s" s="17">
        <v>23</v>
      </c>
      <c r="L2186" s="15">
        <f>IF(O2186,P2186/O2186,0)</f>
        <v>14.4495</v>
      </c>
      <c r="M2186" s="15">
        <v>14.4495</v>
      </c>
      <c r="N2186" s="15">
        <f>A2186</f>
        <v>2184</v>
      </c>
      <c r="O2186" s="15">
        <v>24</v>
      </c>
      <c r="P2186" s="42">
        <f>288.99+288.99*20%</f>
        <v>346.788</v>
      </c>
      <c r="Q2186" s="41">
        <f>577.98-577.98*50%</f>
        <v>288.99</v>
      </c>
    </row>
    <row r="2187" ht="20.05" customHeight="1">
      <c r="A2187" s="13">
        <f>A2186+1</f>
        <v>2185</v>
      </c>
      <c r="B2187" s="14">
        <v>2024</v>
      </c>
      <c r="C2187" s="15">
        <v>2</v>
      </c>
      <c r="D2187" s="15">
        <v>28</v>
      </c>
      <c r="E2187" s="16"/>
      <c r="F2187" t="s" s="17">
        <v>111</v>
      </c>
      <c r="G2187" s="16"/>
      <c r="H2187" t="s" s="17">
        <v>253</v>
      </c>
      <c r="I2187" t="s" s="17">
        <v>26</v>
      </c>
      <c r="J2187" t="s" s="17">
        <v>134</v>
      </c>
      <c r="K2187" t="s" s="17">
        <v>23</v>
      </c>
      <c r="L2187" s="15">
        <f>IF(O2187,P2187/O2187,0)</f>
        <v>41.612</v>
      </c>
      <c r="M2187" s="15">
        <v>41.612</v>
      </c>
      <c r="N2187" s="15">
        <f>A2187</f>
        <v>2185</v>
      </c>
      <c r="O2187" s="15">
        <v>5</v>
      </c>
      <c r="P2187" s="15">
        <v>208.06</v>
      </c>
      <c r="Q2187" s="16"/>
    </row>
    <row r="2188" ht="20.05" customHeight="1">
      <c r="A2188" s="13">
        <f>A2187+1</f>
        <v>2186</v>
      </c>
      <c r="B2188" s="14">
        <v>2024</v>
      </c>
      <c r="C2188" s="15">
        <v>2</v>
      </c>
      <c r="D2188" s="15">
        <v>28</v>
      </c>
      <c r="E2188" s="16"/>
      <c r="F2188" t="s" s="17">
        <v>111</v>
      </c>
      <c r="G2188" s="16"/>
      <c r="H2188" t="s" s="17">
        <v>253</v>
      </c>
      <c r="I2188" t="s" s="17">
        <v>19</v>
      </c>
      <c r="J2188" t="s" s="17">
        <v>81</v>
      </c>
      <c r="K2188" t="s" s="17">
        <v>23</v>
      </c>
      <c r="L2188" s="15">
        <f>IF(O2188,P2188/O2188,0)</f>
        <v>1.29439814814815</v>
      </c>
      <c r="M2188" s="15">
        <v>1.29439814814815</v>
      </c>
      <c r="N2188" s="15">
        <f>A2188</f>
        <v>2186</v>
      </c>
      <c r="O2188" s="15">
        <f t="shared" si="7960"/>
        <v>216</v>
      </c>
      <c r="P2188" s="15">
        <v>279.59</v>
      </c>
      <c r="Q2188" s="16"/>
    </row>
    <row r="2189" ht="32.05" customHeight="1">
      <c r="A2189" s="13">
        <f>A2188+1</f>
        <v>2187</v>
      </c>
      <c r="B2189" s="14">
        <v>2024</v>
      </c>
      <c r="C2189" s="15">
        <v>2</v>
      </c>
      <c r="D2189" s="15">
        <v>29</v>
      </c>
      <c r="E2189" s="16"/>
      <c r="F2189" t="s" s="17">
        <v>406</v>
      </c>
      <c r="G2189" s="16"/>
      <c r="H2189" t="s" s="17">
        <v>253</v>
      </c>
      <c r="I2189" t="s" s="17">
        <v>357</v>
      </c>
      <c r="J2189" t="s" s="17">
        <v>407</v>
      </c>
      <c r="K2189" t="s" s="17">
        <v>23</v>
      </c>
      <c r="L2189" s="15">
        <f>IF(O2189,P2189/O2189,0)</f>
        <v>11284.61</v>
      </c>
      <c r="M2189" s="15">
        <v>11284.61</v>
      </c>
      <c r="N2189" s="15">
        <f>A2189</f>
        <v>2187</v>
      </c>
      <c r="O2189" s="15">
        <v>1</v>
      </c>
      <c r="P2189" s="15">
        <v>11284.61</v>
      </c>
      <c r="Q2189" s="16"/>
    </row>
    <row r="2190" ht="32.05" customHeight="1">
      <c r="A2190" s="13">
        <f>A2189+1</f>
        <v>2188</v>
      </c>
      <c r="B2190" s="14">
        <v>2024</v>
      </c>
      <c r="C2190" s="15">
        <v>2</v>
      </c>
      <c r="D2190" s="15">
        <v>29</v>
      </c>
      <c r="E2190" s="16"/>
      <c r="F2190" t="s" s="17">
        <v>536</v>
      </c>
      <c r="G2190" s="16"/>
      <c r="H2190" t="s" s="17">
        <v>253</v>
      </c>
      <c r="I2190" t="s" s="17">
        <v>357</v>
      </c>
      <c r="J2190" t="s" s="17">
        <v>537</v>
      </c>
      <c r="K2190" t="s" s="17">
        <v>23</v>
      </c>
      <c r="L2190" s="15">
        <f>IF(O2190,P2190/O2190,0)</f>
        <v>0.75</v>
      </c>
      <c r="M2190" s="15">
        <v>0.75</v>
      </c>
      <c r="N2190" s="15">
        <f>A2190</f>
        <v>2188</v>
      </c>
      <c r="O2190" s="15">
        <v>500</v>
      </c>
      <c r="P2190" s="15">
        <f>375</f>
        <v>375</v>
      </c>
      <c r="Q2190" s="16"/>
    </row>
    <row r="2191" ht="32.05" customHeight="1">
      <c r="A2191" s="13">
        <f>A2190+1</f>
        <v>2189</v>
      </c>
      <c r="B2191" s="14">
        <v>2024</v>
      </c>
      <c r="C2191" s="15">
        <v>2</v>
      </c>
      <c r="D2191" s="15">
        <v>29</v>
      </c>
      <c r="E2191" s="16"/>
      <c r="F2191" t="s" s="17">
        <v>536</v>
      </c>
      <c r="G2191" s="16"/>
      <c r="H2191" t="s" s="17">
        <v>253</v>
      </c>
      <c r="I2191" t="s" s="17">
        <v>357</v>
      </c>
      <c r="J2191" t="s" s="17">
        <v>538</v>
      </c>
      <c r="K2191" t="s" s="17">
        <v>23</v>
      </c>
      <c r="L2191" s="15">
        <f>IF(O2191,P2191/O2191,0)</f>
        <v>250</v>
      </c>
      <c r="M2191" s="15">
        <v>250</v>
      </c>
      <c r="N2191" s="15">
        <f>A2191</f>
        <v>2189</v>
      </c>
      <c r="O2191" s="15">
        <v>1</v>
      </c>
      <c r="P2191" s="15">
        <v>250</v>
      </c>
      <c r="Q2191" s="16"/>
    </row>
    <row r="2192" ht="20.05" customHeight="1">
      <c r="A2192" s="13">
        <f>A2191+1</f>
        <v>2190</v>
      </c>
      <c r="B2192" s="14">
        <v>2024</v>
      </c>
      <c r="C2192" s="15">
        <v>2</v>
      </c>
      <c r="D2192" s="15">
        <v>29</v>
      </c>
      <c r="E2192" s="16"/>
      <c r="F2192" t="s" s="17">
        <v>493</v>
      </c>
      <c r="G2192" t="s" s="17">
        <v>539</v>
      </c>
      <c r="H2192" t="s" s="17">
        <v>253</v>
      </c>
      <c r="I2192" t="s" s="17">
        <v>357</v>
      </c>
      <c r="J2192" t="s" s="17">
        <v>493</v>
      </c>
      <c r="K2192" t="s" s="17">
        <v>23</v>
      </c>
      <c r="L2192" s="15">
        <f>IF(O2192,P2192/O2192,0)</f>
        <v>25219.44</v>
      </c>
      <c r="M2192" s="15">
        <v>25219.44</v>
      </c>
      <c r="N2192" s="15">
        <f>A2192</f>
        <v>2190</v>
      </c>
      <c r="O2192" s="15">
        <v>1</v>
      </c>
      <c r="P2192" s="15">
        <v>25219.44</v>
      </c>
      <c r="Q2192" s="16"/>
    </row>
    <row r="2193" ht="20.05" customHeight="1">
      <c r="A2193" s="13">
        <f>A2192+1</f>
        <v>2191</v>
      </c>
      <c r="B2193" s="57"/>
      <c r="C2193" s="16"/>
      <c r="D2193" s="16"/>
      <c r="E2193" s="16"/>
      <c r="F2193" s="16"/>
      <c r="G2193" s="16"/>
      <c r="H2193" s="16"/>
      <c r="I2193" s="16"/>
      <c r="J2193" s="16"/>
      <c r="K2193" s="16"/>
      <c r="L2193" s="15">
        <f>IF(O2193,P2193/O2193,0)</f>
        <v>0</v>
      </c>
      <c r="M2193" s="15">
        <v>0</v>
      </c>
      <c r="N2193" s="15">
        <f>A2193</f>
        <v>2191</v>
      </c>
      <c r="O2193" s="16"/>
      <c r="P2193" s="16"/>
      <c r="Q2193" s="16"/>
    </row>
    <row r="2194" ht="20.05" customHeight="1">
      <c r="A2194" s="13">
        <f>A2193+1</f>
        <v>2192</v>
      </c>
      <c r="B2194" s="57"/>
      <c r="C2194" s="16"/>
      <c r="D2194" s="16"/>
      <c r="E2194" s="16"/>
      <c r="F2194" s="16"/>
      <c r="G2194" s="16"/>
      <c r="H2194" s="16"/>
      <c r="I2194" s="16"/>
      <c r="J2194" s="16"/>
      <c r="K2194" s="16"/>
      <c r="L2194" s="15">
        <f>IF(O2194,P2194/O2194,0)</f>
        <v>0</v>
      </c>
      <c r="M2194" s="15">
        <v>0</v>
      </c>
      <c r="N2194" s="15">
        <f>A2194</f>
        <v>2192</v>
      </c>
      <c r="O2194" s="16"/>
      <c r="P2194" s="16"/>
      <c r="Q2194" s="16"/>
    </row>
    <row r="2195" ht="20.05" customHeight="1">
      <c r="A2195" s="13">
        <f>A2194+1</f>
        <v>2193</v>
      </c>
      <c r="B2195" s="57"/>
      <c r="C2195" s="16"/>
      <c r="D2195" s="16"/>
      <c r="E2195" s="16"/>
      <c r="F2195" s="16"/>
      <c r="G2195" s="16"/>
      <c r="H2195" s="16"/>
      <c r="I2195" s="16"/>
      <c r="J2195" s="16"/>
      <c r="K2195" s="16"/>
      <c r="L2195" s="15">
        <f>IF(O2195,P2195/O2195,0)</f>
        <v>0</v>
      </c>
      <c r="M2195" s="15">
        <v>0</v>
      </c>
      <c r="N2195" s="15">
        <f>A2195</f>
        <v>2193</v>
      </c>
      <c r="O2195" s="16"/>
      <c r="P2195" s="16"/>
      <c r="Q2195" s="16"/>
    </row>
    <row r="2196" ht="20.05" customHeight="1">
      <c r="A2196" s="13">
        <f>A2195+1</f>
        <v>2194</v>
      </c>
      <c r="B2196" s="57"/>
      <c r="C2196" s="16"/>
      <c r="D2196" s="16"/>
      <c r="E2196" s="16"/>
      <c r="F2196" s="16"/>
      <c r="G2196" s="16"/>
      <c r="H2196" s="16"/>
      <c r="I2196" s="16"/>
      <c r="J2196" s="16"/>
      <c r="K2196" s="16"/>
      <c r="L2196" s="15">
        <f>IF(O2196,P2196/O2196,0)</f>
        <v>0</v>
      </c>
      <c r="M2196" s="15">
        <v>0</v>
      </c>
      <c r="N2196" s="15">
        <f>A2196</f>
        <v>2194</v>
      </c>
      <c r="O2196" s="16"/>
      <c r="P2196" s="16"/>
      <c r="Q2196" s="16"/>
    </row>
    <row r="2197" ht="20.05" customHeight="1">
      <c r="A2197" s="13">
        <f>A2196+1</f>
        <v>2195</v>
      </c>
      <c r="B2197" s="57"/>
      <c r="C2197" s="16"/>
      <c r="D2197" s="16"/>
      <c r="E2197" s="16"/>
      <c r="F2197" s="16"/>
      <c r="G2197" s="16"/>
      <c r="H2197" s="16"/>
      <c r="I2197" s="16"/>
      <c r="J2197" s="16"/>
      <c r="K2197" s="16"/>
      <c r="L2197" s="15">
        <f>IF(O2197,P2197/O2197,0)</f>
        <v>0</v>
      </c>
      <c r="M2197" s="15">
        <v>0</v>
      </c>
      <c r="N2197" s="15">
        <f>A2197</f>
        <v>2195</v>
      </c>
      <c r="O2197" s="16"/>
      <c r="P2197" s="16"/>
      <c r="Q2197" s="16"/>
    </row>
    <row r="2198" ht="20.05" customHeight="1">
      <c r="A2198" s="13">
        <f>A2197+1</f>
        <v>2196</v>
      </c>
      <c r="B2198" s="57"/>
      <c r="C2198" s="16"/>
      <c r="D2198" s="16"/>
      <c r="E2198" s="16"/>
      <c r="F2198" s="16"/>
      <c r="G2198" s="16"/>
      <c r="H2198" s="16"/>
      <c r="I2198" s="16"/>
      <c r="J2198" s="16"/>
      <c r="K2198" s="16"/>
      <c r="L2198" s="15">
        <f>IF(O2198,P2198/O2198,0)</f>
        <v>0</v>
      </c>
      <c r="M2198" s="15">
        <v>0</v>
      </c>
      <c r="N2198" s="15">
        <f>A2198</f>
        <v>2196</v>
      </c>
      <c r="O2198" s="16"/>
      <c r="P2198" s="16"/>
      <c r="Q2198" s="16"/>
    </row>
    <row r="2199" ht="20.05" customHeight="1">
      <c r="A2199" s="13">
        <f>A2198+1</f>
        <v>2197</v>
      </c>
      <c r="B2199" s="57"/>
      <c r="C2199" s="16"/>
      <c r="D2199" s="16"/>
      <c r="E2199" s="16"/>
      <c r="F2199" s="16"/>
      <c r="G2199" s="16"/>
      <c r="H2199" s="16"/>
      <c r="I2199" s="16"/>
      <c r="J2199" s="16"/>
      <c r="K2199" s="16"/>
      <c r="L2199" s="15">
        <f>IF(O2199,P2199/O2199,0)</f>
        <v>0</v>
      </c>
      <c r="M2199" s="15">
        <v>0</v>
      </c>
      <c r="N2199" s="15">
        <f>A2199</f>
        <v>2197</v>
      </c>
      <c r="O2199" s="16"/>
      <c r="P2199" s="16"/>
      <c r="Q2199" s="16"/>
    </row>
    <row r="2200" ht="20.05" customHeight="1">
      <c r="A2200" s="13">
        <f>A2199+1</f>
        <v>2198</v>
      </c>
      <c r="B2200" s="57"/>
      <c r="C2200" s="16"/>
      <c r="D2200" s="16"/>
      <c r="E2200" s="16"/>
      <c r="F2200" s="16"/>
      <c r="G2200" s="16"/>
      <c r="H2200" s="16"/>
      <c r="I2200" s="16"/>
      <c r="J2200" s="16"/>
      <c r="K2200" s="16"/>
      <c r="L2200" s="15">
        <f>IF(O2200,P2200/O2200,0)</f>
        <v>0</v>
      </c>
      <c r="M2200" s="15">
        <v>0</v>
      </c>
      <c r="N2200" s="15">
        <f>A2200</f>
        <v>2198</v>
      </c>
      <c r="O2200" s="16"/>
      <c r="P2200" s="16"/>
      <c r="Q2200" s="16"/>
    </row>
    <row r="2201" ht="20.05" customHeight="1">
      <c r="A2201" s="13">
        <f>A2200+1</f>
        <v>2199</v>
      </c>
      <c r="B2201" s="57"/>
      <c r="C2201" s="16"/>
      <c r="D2201" s="16"/>
      <c r="E2201" s="16"/>
      <c r="F2201" s="16"/>
      <c r="G2201" s="16"/>
      <c r="H2201" s="16"/>
      <c r="I2201" s="16"/>
      <c r="J2201" s="16"/>
      <c r="K2201" s="16"/>
      <c r="L2201" s="15">
        <f>IF(O2201,P2201/O2201,0)</f>
        <v>0</v>
      </c>
      <c r="M2201" s="15">
        <v>0</v>
      </c>
      <c r="N2201" s="15">
        <f>A2201</f>
        <v>2199</v>
      </c>
      <c r="O2201" s="16"/>
      <c r="P2201" s="16"/>
      <c r="Q2201" s="16"/>
    </row>
    <row r="2202" ht="20.05" customHeight="1">
      <c r="A2202" s="13">
        <f>A2201+1</f>
        <v>2200</v>
      </c>
      <c r="B2202" s="57"/>
      <c r="C2202" s="16"/>
      <c r="D2202" s="16"/>
      <c r="E2202" s="16"/>
      <c r="F2202" s="16"/>
      <c r="G2202" s="16"/>
      <c r="H2202" s="16"/>
      <c r="I2202" s="16"/>
      <c r="J2202" s="16"/>
      <c r="K2202" s="16"/>
      <c r="L2202" s="15">
        <f>IF(O2202,P2202/O2202,0)</f>
        <v>0</v>
      </c>
      <c r="M2202" s="15">
        <v>0</v>
      </c>
      <c r="N2202" s="15">
        <f>A2202</f>
        <v>2200</v>
      </c>
      <c r="O2202" s="16"/>
      <c r="P2202" s="16"/>
      <c r="Q2202" s="16"/>
    </row>
    <row r="2203" ht="20.05" customHeight="1">
      <c r="A2203" s="13">
        <f>A2202+1</f>
        <v>2201</v>
      </c>
      <c r="B2203" s="57"/>
      <c r="C2203" s="16"/>
      <c r="D2203" s="16"/>
      <c r="E2203" s="16"/>
      <c r="F2203" s="16"/>
      <c r="G2203" s="16"/>
      <c r="H2203" s="16"/>
      <c r="I2203" s="16"/>
      <c r="J2203" s="16"/>
      <c r="K2203" s="16"/>
      <c r="L2203" s="15">
        <f>IF(O2203,P2203/O2203,0)</f>
        <v>0</v>
      </c>
      <c r="M2203" s="15">
        <v>0</v>
      </c>
      <c r="N2203" s="15">
        <f>A2203</f>
        <v>2201</v>
      </c>
      <c r="O2203" s="16"/>
      <c r="P2203" s="16"/>
      <c r="Q2203" s="16"/>
    </row>
    <row r="2204" ht="20.05" customHeight="1">
      <c r="A2204" s="13">
        <f>A2203+1</f>
        <v>2202</v>
      </c>
      <c r="B2204" s="57"/>
      <c r="C2204" s="16"/>
      <c r="D2204" s="16"/>
      <c r="E2204" s="16"/>
      <c r="F2204" s="16"/>
      <c r="G2204" s="16"/>
      <c r="H2204" s="16"/>
      <c r="I2204" s="16"/>
      <c r="J2204" s="16"/>
      <c r="K2204" s="16"/>
      <c r="L2204" s="15">
        <f>IF(O2204,P2204/O2204,0)</f>
        <v>0</v>
      </c>
      <c r="M2204" s="15">
        <v>0</v>
      </c>
      <c r="N2204" s="15">
        <f>A2204</f>
        <v>2202</v>
      </c>
      <c r="O2204" s="16"/>
      <c r="P2204" s="16"/>
      <c r="Q2204" s="16"/>
    </row>
    <row r="2205" ht="20.05" customHeight="1">
      <c r="A2205" s="13">
        <f>A2204+1</f>
        <v>2203</v>
      </c>
      <c r="B2205" s="57"/>
      <c r="C2205" s="16"/>
      <c r="D2205" s="16"/>
      <c r="E2205" s="16"/>
      <c r="F2205" s="16"/>
      <c r="G2205" s="16"/>
      <c r="H2205" s="16"/>
      <c r="I2205" s="16"/>
      <c r="J2205" s="16"/>
      <c r="K2205" s="16"/>
      <c r="L2205" s="15">
        <f>IF(O2205,P2205/O2205,0)</f>
        <v>0</v>
      </c>
      <c r="M2205" s="15">
        <v>0</v>
      </c>
      <c r="N2205" s="15">
        <f>A2205</f>
        <v>2203</v>
      </c>
      <c r="O2205" s="16"/>
      <c r="P2205" s="16"/>
      <c r="Q2205" s="16"/>
    </row>
    <row r="2206" ht="20.05" customHeight="1">
      <c r="A2206" s="13">
        <f>A2205+1</f>
        <v>2204</v>
      </c>
      <c r="B2206" s="57"/>
      <c r="C2206" s="16"/>
      <c r="D2206" s="16"/>
      <c r="E2206" s="16"/>
      <c r="F2206" s="16"/>
      <c r="G2206" s="16"/>
      <c r="H2206" s="16"/>
      <c r="I2206" s="16"/>
      <c r="J2206" s="16"/>
      <c r="K2206" s="16"/>
      <c r="L2206" s="15">
        <f>IF(O2206,P2206/O2206,0)</f>
        <v>0</v>
      </c>
      <c r="M2206" s="15">
        <v>0</v>
      </c>
      <c r="N2206" s="15">
        <f>A2206</f>
        <v>2204</v>
      </c>
      <c r="O2206" s="16"/>
      <c r="P2206" s="16"/>
      <c r="Q2206" s="16"/>
    </row>
    <row r="2207" ht="20.05" customHeight="1">
      <c r="A2207" s="13">
        <f>A2206+1</f>
        <v>2205</v>
      </c>
      <c r="B2207" s="57"/>
      <c r="C2207" s="16"/>
      <c r="D2207" s="16"/>
      <c r="E2207" s="16"/>
      <c r="F2207" s="16"/>
      <c r="G2207" s="16"/>
      <c r="H2207" s="16"/>
      <c r="I2207" s="16"/>
      <c r="J2207" s="16"/>
      <c r="K2207" s="16"/>
      <c r="L2207" s="15">
        <f>IF(O2207,P2207/O2207,0)</f>
        <v>0</v>
      </c>
      <c r="M2207" s="15">
        <v>0</v>
      </c>
      <c r="N2207" s="15">
        <f>A2207</f>
        <v>2205</v>
      </c>
      <c r="O2207" s="16"/>
      <c r="P2207" s="16"/>
      <c r="Q2207" s="16"/>
    </row>
    <row r="2208" ht="20.05" customHeight="1">
      <c r="A2208" s="13">
        <f>A2207+1</f>
        <v>2206</v>
      </c>
      <c r="B2208" s="57"/>
      <c r="C2208" s="16"/>
      <c r="D2208" s="16"/>
      <c r="E2208" s="16"/>
      <c r="F2208" s="16"/>
      <c r="G2208" s="16"/>
      <c r="H2208" s="16"/>
      <c r="I2208" s="16"/>
      <c r="J2208" s="16"/>
      <c r="K2208" s="16"/>
      <c r="L2208" s="15">
        <f>IF(O2208,P2208/O2208,0)</f>
        <v>0</v>
      </c>
      <c r="M2208" s="15">
        <v>0</v>
      </c>
      <c r="N2208" s="15">
        <f>A2208</f>
        <v>2206</v>
      </c>
      <c r="O2208" s="16"/>
      <c r="P2208" s="16"/>
      <c r="Q2208" s="16"/>
    </row>
    <row r="2209" ht="20.05" customHeight="1">
      <c r="A2209" s="13">
        <f>A2208+1</f>
        <v>2207</v>
      </c>
      <c r="B2209" s="57"/>
      <c r="C2209" s="16"/>
      <c r="D2209" s="16"/>
      <c r="E2209" s="16"/>
      <c r="F2209" s="16"/>
      <c r="G2209" s="16"/>
      <c r="H2209" s="16"/>
      <c r="I2209" s="16"/>
      <c r="J2209" s="16"/>
      <c r="K2209" s="16"/>
      <c r="L2209" s="15">
        <f>IF(O2209,P2209/O2209,0)</f>
        <v>0</v>
      </c>
      <c r="M2209" s="15">
        <v>0</v>
      </c>
      <c r="N2209" s="15">
        <f>A2209</f>
        <v>2207</v>
      </c>
      <c r="O2209" s="16"/>
      <c r="P2209" s="16"/>
      <c r="Q2209" s="16"/>
    </row>
    <row r="2210" ht="20.05" customHeight="1">
      <c r="A2210" s="13">
        <f>A2209+1</f>
        <v>2208</v>
      </c>
      <c r="B2210" s="57"/>
      <c r="C2210" s="16"/>
      <c r="D2210" s="16"/>
      <c r="E2210" s="16"/>
      <c r="F2210" s="16"/>
      <c r="G2210" s="16"/>
      <c r="H2210" s="16"/>
      <c r="I2210" s="16"/>
      <c r="J2210" s="16"/>
      <c r="K2210" s="16"/>
      <c r="L2210" s="15">
        <f>IF(O2210,P2210/O2210,0)</f>
        <v>0</v>
      </c>
      <c r="M2210" s="15">
        <v>0</v>
      </c>
      <c r="N2210" s="15">
        <f>A2210</f>
        <v>2208</v>
      </c>
      <c r="O2210" s="16"/>
      <c r="P2210" s="16"/>
      <c r="Q2210" s="16"/>
    </row>
    <row r="2211" ht="20.05" customHeight="1">
      <c r="A2211" s="13">
        <f>A2210+1</f>
        <v>2209</v>
      </c>
      <c r="B2211" s="57"/>
      <c r="C2211" s="16"/>
      <c r="D2211" s="16"/>
      <c r="E2211" s="16"/>
      <c r="F2211" s="16"/>
      <c r="G2211" s="16"/>
      <c r="H2211" s="16"/>
      <c r="I2211" s="16"/>
      <c r="J2211" s="16"/>
      <c r="K2211" s="16"/>
      <c r="L2211" s="15">
        <f>IF(O2211,P2211/O2211,0)</f>
        <v>0</v>
      </c>
      <c r="M2211" s="15">
        <v>0</v>
      </c>
      <c r="N2211" s="15">
        <f>A2211</f>
        <v>2209</v>
      </c>
      <c r="O2211" s="16"/>
      <c r="P2211" s="16"/>
      <c r="Q2211" s="16"/>
    </row>
    <row r="2212" ht="20.05" customHeight="1">
      <c r="A2212" s="13">
        <f>A2211+1</f>
        <v>2210</v>
      </c>
      <c r="B2212" s="57"/>
      <c r="C2212" s="16"/>
      <c r="D2212" s="16"/>
      <c r="E2212" s="16"/>
      <c r="F2212" s="16"/>
      <c r="G2212" s="16"/>
      <c r="H2212" s="16"/>
      <c r="I2212" s="16"/>
      <c r="J2212" s="16"/>
      <c r="K2212" s="16"/>
      <c r="L2212" s="15">
        <f>IF(O2212,P2212/O2212,0)</f>
        <v>0</v>
      </c>
      <c r="M2212" s="15">
        <v>0</v>
      </c>
      <c r="N2212" s="15">
        <f>A2212</f>
        <v>2210</v>
      </c>
      <c r="O2212" s="16"/>
      <c r="P2212" s="16"/>
      <c r="Q2212" s="16"/>
    </row>
    <row r="2213" ht="20.05" customHeight="1">
      <c r="A2213" s="13">
        <f>A2212+1</f>
        <v>2211</v>
      </c>
      <c r="B2213" s="57"/>
      <c r="C2213" s="16"/>
      <c r="D2213" s="16"/>
      <c r="E2213" s="16"/>
      <c r="F2213" s="16"/>
      <c r="G2213" s="16"/>
      <c r="H2213" s="16"/>
      <c r="I2213" s="16"/>
      <c r="J2213" s="16"/>
      <c r="K2213" s="16"/>
      <c r="L2213" s="15">
        <f>IF(O2213,P2213/O2213,0)</f>
        <v>0</v>
      </c>
      <c r="M2213" s="15">
        <v>0</v>
      </c>
      <c r="N2213" s="15">
        <f>A2213</f>
        <v>2211</v>
      </c>
      <c r="O2213" s="16"/>
      <c r="P2213" s="16"/>
      <c r="Q2213" s="16"/>
    </row>
    <row r="2214" ht="20.05" customHeight="1">
      <c r="A2214" s="13">
        <f>A2213+1</f>
        <v>2212</v>
      </c>
      <c r="B2214" s="57"/>
      <c r="C2214" s="16"/>
      <c r="D2214" s="16"/>
      <c r="E2214" s="16"/>
      <c r="F2214" s="16"/>
      <c r="G2214" s="16"/>
      <c r="H2214" s="16"/>
      <c r="I2214" s="16"/>
      <c r="J2214" s="16"/>
      <c r="K2214" s="16"/>
      <c r="L2214" s="15">
        <f>IF(O2214,P2214/O2214,0)</f>
        <v>0</v>
      </c>
      <c r="M2214" s="15">
        <v>0</v>
      </c>
      <c r="N2214" s="15">
        <f>A2214</f>
        <v>2212</v>
      </c>
      <c r="O2214" s="16"/>
      <c r="P2214" s="16"/>
      <c r="Q2214" s="16"/>
    </row>
    <row r="2215" ht="20.05" customHeight="1">
      <c r="A2215" s="13">
        <f>A2214+1</f>
        <v>2213</v>
      </c>
      <c r="B2215" s="57"/>
      <c r="C2215" s="16"/>
      <c r="D2215" s="16"/>
      <c r="E2215" s="16"/>
      <c r="F2215" s="16"/>
      <c r="G2215" s="16"/>
      <c r="H2215" s="16"/>
      <c r="I2215" s="16"/>
      <c r="J2215" s="16"/>
      <c r="K2215" s="16"/>
      <c r="L2215" s="15">
        <f>IF(O2215,P2215/O2215,0)</f>
        <v>0</v>
      </c>
      <c r="M2215" s="15">
        <v>0</v>
      </c>
      <c r="N2215" s="15">
        <f>A2215</f>
        <v>2213</v>
      </c>
      <c r="O2215" s="16"/>
      <c r="P2215" s="16"/>
      <c r="Q2215" s="16"/>
    </row>
    <row r="2216" ht="20.05" customHeight="1">
      <c r="A2216" s="13">
        <f>A2215+1</f>
        <v>2214</v>
      </c>
      <c r="B2216" s="57"/>
      <c r="C2216" s="16"/>
      <c r="D2216" s="16"/>
      <c r="E2216" s="16"/>
      <c r="F2216" s="16"/>
      <c r="G2216" s="16"/>
      <c r="H2216" s="16"/>
      <c r="I2216" s="16"/>
      <c r="J2216" s="16"/>
      <c r="K2216" s="16"/>
      <c r="L2216" s="15">
        <f>IF(O2216,P2216/O2216,0)</f>
        <v>0</v>
      </c>
      <c r="M2216" s="15">
        <v>0</v>
      </c>
      <c r="N2216" s="15">
        <f>A2216</f>
        <v>2214</v>
      </c>
      <c r="O2216" s="16"/>
      <c r="P2216" s="16"/>
      <c r="Q2216" s="16"/>
    </row>
    <row r="2217" ht="20.05" customHeight="1">
      <c r="A2217" s="13">
        <f>A2216+1</f>
        <v>2215</v>
      </c>
      <c r="B2217" s="57"/>
      <c r="C2217" s="16"/>
      <c r="D2217" s="16"/>
      <c r="E2217" s="16"/>
      <c r="F2217" s="16"/>
      <c r="G2217" s="16"/>
      <c r="H2217" s="16"/>
      <c r="I2217" s="16"/>
      <c r="J2217" s="16"/>
      <c r="K2217" s="16"/>
      <c r="L2217" s="15">
        <f>IF(O2217,P2217/O2217,0)</f>
        <v>0</v>
      </c>
      <c r="M2217" s="15">
        <v>0</v>
      </c>
      <c r="N2217" s="15">
        <f>A2217</f>
        <v>2215</v>
      </c>
      <c r="O2217" s="16"/>
      <c r="P2217" s="16"/>
      <c r="Q2217" s="16"/>
    </row>
    <row r="2218" ht="20.05" customHeight="1">
      <c r="A2218" s="13">
        <f>A2217+1</f>
        <v>2216</v>
      </c>
      <c r="B2218" s="57"/>
      <c r="C2218" s="16"/>
      <c r="D2218" s="16"/>
      <c r="E2218" s="16"/>
      <c r="F2218" s="16"/>
      <c r="G2218" s="16"/>
      <c r="H2218" s="16"/>
      <c r="I2218" s="16"/>
      <c r="J2218" s="16"/>
      <c r="K2218" s="16"/>
      <c r="L2218" s="15">
        <f>IF(O2218,P2218/O2218,0)</f>
        <v>0</v>
      </c>
      <c r="M2218" s="15">
        <v>0</v>
      </c>
      <c r="N2218" s="15">
        <f>A2218</f>
        <v>2216</v>
      </c>
      <c r="O2218" s="16"/>
      <c r="P2218" s="16"/>
      <c r="Q2218" s="16"/>
    </row>
    <row r="2219" ht="20.05" customHeight="1">
      <c r="A2219" s="13">
        <f>A2218+1</f>
        <v>2217</v>
      </c>
      <c r="B2219" s="57"/>
      <c r="C2219" s="16"/>
      <c r="D2219" s="16"/>
      <c r="E2219" s="16"/>
      <c r="F2219" s="16"/>
      <c r="G2219" s="16"/>
      <c r="H2219" s="16"/>
      <c r="I2219" s="16"/>
      <c r="J2219" s="16"/>
      <c r="K2219" s="16"/>
      <c r="L2219" s="15">
        <f>IF(O2219,P2219/O2219,0)</f>
        <v>0</v>
      </c>
      <c r="M2219" s="15">
        <v>0</v>
      </c>
      <c r="N2219" s="15">
        <f>A2219</f>
        <v>2217</v>
      </c>
      <c r="O2219" s="16"/>
      <c r="P2219" s="16"/>
      <c r="Q2219" s="16"/>
    </row>
    <row r="2220" ht="20.05" customHeight="1">
      <c r="A2220" s="13">
        <f>A2219+1</f>
        <v>2218</v>
      </c>
      <c r="B2220" s="57"/>
      <c r="C2220" s="16"/>
      <c r="D2220" s="16"/>
      <c r="E2220" s="16"/>
      <c r="F2220" s="16"/>
      <c r="G2220" s="16"/>
      <c r="H2220" s="16"/>
      <c r="I2220" s="16"/>
      <c r="J2220" s="16"/>
      <c r="K2220" s="16"/>
      <c r="L2220" s="15">
        <f>IF(O2220,P2220/O2220,0)</f>
        <v>0</v>
      </c>
      <c r="M2220" s="15">
        <v>0</v>
      </c>
      <c r="N2220" s="15">
        <f>A2220</f>
        <v>2218</v>
      </c>
      <c r="O2220" s="16"/>
      <c r="P2220" s="16"/>
      <c r="Q2220" s="16"/>
    </row>
    <row r="2221" ht="20.05" customHeight="1">
      <c r="A2221" s="13">
        <f>A2220+1</f>
        <v>2219</v>
      </c>
      <c r="B2221" s="57"/>
      <c r="C2221" s="16"/>
      <c r="D2221" s="16"/>
      <c r="E2221" s="16"/>
      <c r="F2221" s="16"/>
      <c r="G2221" s="16"/>
      <c r="H2221" s="16"/>
      <c r="I2221" s="16"/>
      <c r="J2221" s="16"/>
      <c r="K2221" s="16"/>
      <c r="L2221" s="15">
        <f>IF(O2221,P2221/O2221,0)</f>
        <v>0</v>
      </c>
      <c r="M2221" s="15">
        <v>0</v>
      </c>
      <c r="N2221" s="15">
        <f>A2221</f>
        <v>2219</v>
      </c>
      <c r="O2221" s="16"/>
      <c r="P2221" s="16"/>
      <c r="Q2221" s="16"/>
    </row>
    <row r="2222" ht="20.05" customHeight="1">
      <c r="A2222" s="13">
        <f>A2221+1</f>
        <v>2220</v>
      </c>
      <c r="B2222" s="57"/>
      <c r="C2222" s="16"/>
      <c r="D2222" s="16"/>
      <c r="E2222" s="16"/>
      <c r="F2222" s="16"/>
      <c r="G2222" s="16"/>
      <c r="H2222" s="16"/>
      <c r="I2222" s="16"/>
      <c r="J2222" s="16"/>
      <c r="K2222" s="16"/>
      <c r="L2222" s="15">
        <f>IF(O2222,P2222/O2222,0)</f>
        <v>0</v>
      </c>
      <c r="M2222" s="15">
        <v>0</v>
      </c>
      <c r="N2222" s="15">
        <f>A2222</f>
        <v>2220</v>
      </c>
      <c r="O2222" s="16"/>
      <c r="P2222" s="16"/>
      <c r="Q2222" s="16"/>
    </row>
    <row r="2223" ht="20.05" customHeight="1">
      <c r="A2223" s="13">
        <f>A2222+1</f>
        <v>2221</v>
      </c>
      <c r="B2223" s="57"/>
      <c r="C2223" s="16"/>
      <c r="D2223" s="16"/>
      <c r="E2223" s="16"/>
      <c r="F2223" s="16"/>
      <c r="G2223" s="16"/>
      <c r="H2223" s="16"/>
      <c r="I2223" s="16"/>
      <c r="J2223" s="16"/>
      <c r="K2223" s="16"/>
      <c r="L2223" s="15">
        <f>IF(O2223,P2223/O2223,0)</f>
        <v>0</v>
      </c>
      <c r="M2223" s="15">
        <v>0</v>
      </c>
      <c r="N2223" s="15">
        <f>A2223</f>
        <v>2221</v>
      </c>
      <c r="O2223" s="16"/>
      <c r="P2223" s="16"/>
      <c r="Q2223" s="16"/>
    </row>
    <row r="2224" ht="20.05" customHeight="1">
      <c r="A2224" s="13">
        <f>A2223+1</f>
        <v>2222</v>
      </c>
      <c r="B2224" s="57"/>
      <c r="C2224" s="16"/>
      <c r="D2224" s="16"/>
      <c r="E2224" s="16"/>
      <c r="F2224" s="16"/>
      <c r="G2224" s="16"/>
      <c r="H2224" s="16"/>
      <c r="I2224" s="16"/>
      <c r="J2224" s="16"/>
      <c r="K2224" s="16"/>
      <c r="L2224" s="15">
        <f>IF(O2224,P2224/O2224,0)</f>
        <v>0</v>
      </c>
      <c r="M2224" s="15">
        <v>0</v>
      </c>
      <c r="N2224" s="15">
        <f>A2224</f>
        <v>2222</v>
      </c>
      <c r="O2224" s="16"/>
      <c r="P2224" s="16"/>
      <c r="Q2224" s="16"/>
    </row>
    <row r="2225" ht="20.05" customHeight="1">
      <c r="A2225" s="13">
        <f>A2224+1</f>
        <v>2223</v>
      </c>
      <c r="B2225" s="57"/>
      <c r="C2225" s="16"/>
      <c r="D2225" s="16"/>
      <c r="E2225" s="16"/>
      <c r="F2225" s="16"/>
      <c r="G2225" s="16"/>
      <c r="H2225" s="16"/>
      <c r="I2225" s="16"/>
      <c r="J2225" s="16"/>
      <c r="K2225" s="16"/>
      <c r="L2225" s="15">
        <f>IF(O2225,P2225/O2225,0)</f>
        <v>0</v>
      </c>
      <c r="M2225" s="15">
        <v>0</v>
      </c>
      <c r="N2225" s="15">
        <f>A2225</f>
        <v>2223</v>
      </c>
      <c r="O2225" s="16"/>
      <c r="P2225" s="16"/>
      <c r="Q2225" s="16"/>
    </row>
    <row r="2226" ht="20.05" customHeight="1">
      <c r="A2226" s="13">
        <f>A2225+1</f>
        <v>2224</v>
      </c>
      <c r="B2226" s="57"/>
      <c r="C2226" s="16"/>
      <c r="D2226" s="16"/>
      <c r="E2226" s="16"/>
      <c r="F2226" s="16"/>
      <c r="G2226" s="16"/>
      <c r="H2226" s="16"/>
      <c r="I2226" s="16"/>
      <c r="J2226" s="16"/>
      <c r="K2226" s="16"/>
      <c r="L2226" s="15">
        <f>IF(O2226,P2226/O2226,0)</f>
        <v>0</v>
      </c>
      <c r="M2226" s="15">
        <v>0</v>
      </c>
      <c r="N2226" s="15">
        <f>A2226</f>
        <v>2224</v>
      </c>
      <c r="O2226" s="16"/>
      <c r="P2226" s="16"/>
      <c r="Q2226" s="16"/>
    </row>
    <row r="2227" ht="20.05" customHeight="1">
      <c r="A2227" s="13">
        <f>A2226+1</f>
        <v>2225</v>
      </c>
      <c r="B2227" s="57"/>
      <c r="C2227" s="16"/>
      <c r="D2227" s="16"/>
      <c r="E2227" s="16"/>
      <c r="F2227" s="16"/>
      <c r="G2227" s="16"/>
      <c r="H2227" s="16"/>
      <c r="I2227" s="16"/>
      <c r="J2227" s="16"/>
      <c r="K2227" s="16"/>
      <c r="L2227" s="15">
        <f>IF(O2227,P2227/O2227,0)</f>
        <v>0</v>
      </c>
      <c r="M2227" s="15">
        <v>0</v>
      </c>
      <c r="N2227" s="15">
        <f>A2227</f>
        <v>2225</v>
      </c>
      <c r="O2227" s="16"/>
      <c r="P2227" s="16"/>
      <c r="Q2227" s="16"/>
    </row>
    <row r="2228" ht="20.05" customHeight="1">
      <c r="A2228" s="13">
        <f>A2227+1</f>
        <v>2226</v>
      </c>
      <c r="B2228" s="57"/>
      <c r="C2228" s="16"/>
      <c r="D2228" s="16"/>
      <c r="E2228" s="16"/>
      <c r="F2228" s="16"/>
      <c r="G2228" s="16"/>
      <c r="H2228" s="16"/>
      <c r="I2228" s="16"/>
      <c r="J2228" s="16"/>
      <c r="K2228" s="16"/>
      <c r="L2228" s="15">
        <f>IF(O2228,P2228/O2228,0)</f>
        <v>0</v>
      </c>
      <c r="M2228" s="15">
        <v>0</v>
      </c>
      <c r="N2228" s="15">
        <f>A2228</f>
        <v>2226</v>
      </c>
      <c r="O2228" s="16"/>
      <c r="P2228" s="16"/>
      <c r="Q2228" s="16"/>
    </row>
    <row r="2229" ht="20.05" customHeight="1">
      <c r="A2229" s="13">
        <f>A2228+1</f>
        <v>2227</v>
      </c>
      <c r="B2229" s="57"/>
      <c r="C2229" s="16"/>
      <c r="D2229" s="16"/>
      <c r="E2229" s="16"/>
      <c r="F2229" s="16"/>
      <c r="G2229" s="16"/>
      <c r="H2229" s="16"/>
      <c r="I2229" s="16"/>
      <c r="J2229" s="16"/>
      <c r="K2229" s="16"/>
      <c r="L2229" s="15">
        <f>IF(O2229,P2229/O2229,0)</f>
        <v>0</v>
      </c>
      <c r="M2229" s="15">
        <v>0</v>
      </c>
      <c r="N2229" s="15">
        <f>A2229</f>
        <v>2227</v>
      </c>
      <c r="O2229" s="16"/>
      <c r="P2229" s="16"/>
      <c r="Q2229" s="16"/>
    </row>
    <row r="2230" ht="20.05" customHeight="1">
      <c r="A2230" s="13">
        <f>A2229+1</f>
        <v>2228</v>
      </c>
      <c r="B2230" s="57"/>
      <c r="C2230" s="16"/>
      <c r="D2230" s="16"/>
      <c r="E2230" s="16"/>
      <c r="F2230" s="16"/>
      <c r="G2230" s="16"/>
      <c r="H2230" s="16"/>
      <c r="I2230" s="16"/>
      <c r="J2230" s="16"/>
      <c r="K2230" s="16"/>
      <c r="L2230" s="15">
        <f>IF(O2230,P2230/O2230,0)</f>
        <v>0</v>
      </c>
      <c r="M2230" s="15">
        <v>0</v>
      </c>
      <c r="N2230" s="15">
        <f>A2230</f>
        <v>2228</v>
      </c>
      <c r="O2230" s="16"/>
      <c r="P2230" s="16"/>
      <c r="Q2230" s="16"/>
    </row>
    <row r="2231" ht="20.05" customHeight="1">
      <c r="A2231" s="13">
        <f>A2230+1</f>
        <v>2229</v>
      </c>
      <c r="B2231" s="57"/>
      <c r="C2231" s="16"/>
      <c r="D2231" s="16"/>
      <c r="E2231" s="16"/>
      <c r="F2231" s="16"/>
      <c r="G2231" s="16"/>
      <c r="H2231" s="16"/>
      <c r="I2231" s="16"/>
      <c r="J2231" s="16"/>
      <c r="K2231" s="16"/>
      <c r="L2231" s="15">
        <f>IF(O2231,P2231/O2231,0)</f>
        <v>0</v>
      </c>
      <c r="M2231" s="15">
        <v>0</v>
      </c>
      <c r="N2231" s="15">
        <f>A2231</f>
        <v>2229</v>
      </c>
      <c r="O2231" s="16"/>
      <c r="P2231" s="16"/>
      <c r="Q2231" s="16"/>
    </row>
    <row r="2232" ht="20.05" customHeight="1">
      <c r="A2232" s="13">
        <f>A2231+1</f>
        <v>2230</v>
      </c>
      <c r="B2232" s="57"/>
      <c r="C2232" s="16"/>
      <c r="D2232" s="16"/>
      <c r="E2232" s="16"/>
      <c r="F2232" s="16"/>
      <c r="G2232" s="16"/>
      <c r="H2232" s="16"/>
      <c r="I2232" s="16"/>
      <c r="J2232" s="16"/>
      <c r="K2232" s="16"/>
      <c r="L2232" s="15">
        <f>IF(O2232,P2232/O2232,0)</f>
        <v>0</v>
      </c>
      <c r="M2232" s="15">
        <v>0</v>
      </c>
      <c r="N2232" s="15">
        <f>A2232</f>
        <v>2230</v>
      </c>
      <c r="O2232" s="16"/>
      <c r="P2232" s="16"/>
      <c r="Q2232" s="16"/>
    </row>
    <row r="2233" ht="20.05" customHeight="1">
      <c r="A2233" s="13">
        <f>A2232+1</f>
        <v>2231</v>
      </c>
      <c r="B2233" s="57"/>
      <c r="C2233" s="16"/>
      <c r="D2233" s="16"/>
      <c r="E2233" s="16"/>
      <c r="F2233" s="16"/>
      <c r="G2233" s="16"/>
      <c r="H2233" s="16"/>
      <c r="I2233" s="16"/>
      <c r="J2233" s="16"/>
      <c r="K2233" s="16"/>
      <c r="L2233" s="15">
        <f>IF(O2233,P2233/O2233,0)</f>
        <v>0</v>
      </c>
      <c r="M2233" s="15">
        <v>0</v>
      </c>
      <c r="N2233" s="15">
        <f>A2233</f>
        <v>2231</v>
      </c>
      <c r="O2233" s="16"/>
      <c r="P2233" s="16"/>
      <c r="Q2233" s="16"/>
    </row>
    <row r="2234" ht="20.05" customHeight="1">
      <c r="A2234" s="13">
        <f>A2233+1</f>
        <v>2232</v>
      </c>
      <c r="B2234" s="57"/>
      <c r="C2234" s="16"/>
      <c r="D2234" s="16"/>
      <c r="E2234" s="16"/>
      <c r="F2234" s="16"/>
      <c r="G2234" s="16"/>
      <c r="H2234" s="16"/>
      <c r="I2234" s="16"/>
      <c r="J2234" s="16"/>
      <c r="K2234" s="16"/>
      <c r="L2234" s="15">
        <f>IF(O2234,P2234/O2234,0)</f>
        <v>0</v>
      </c>
      <c r="M2234" s="15">
        <v>0</v>
      </c>
      <c r="N2234" s="15">
        <f>A2234</f>
        <v>2232</v>
      </c>
      <c r="O2234" s="16"/>
      <c r="P2234" s="16"/>
      <c r="Q2234" s="16"/>
    </row>
    <row r="2235" ht="20.05" customHeight="1">
      <c r="A2235" s="13">
        <f>A2234+1</f>
        <v>2233</v>
      </c>
      <c r="B2235" s="57"/>
      <c r="C2235" s="16"/>
      <c r="D2235" s="16"/>
      <c r="E2235" s="16"/>
      <c r="F2235" s="16"/>
      <c r="G2235" s="16"/>
      <c r="H2235" s="16"/>
      <c r="I2235" s="16"/>
      <c r="J2235" s="16"/>
      <c r="K2235" s="16"/>
      <c r="L2235" s="15">
        <f>IF(O2235,P2235/O2235,0)</f>
        <v>0</v>
      </c>
      <c r="M2235" s="15">
        <v>0</v>
      </c>
      <c r="N2235" s="15">
        <f>A2235</f>
        <v>2233</v>
      </c>
      <c r="O2235" s="16"/>
      <c r="P2235" s="16"/>
      <c r="Q2235" s="16"/>
    </row>
    <row r="2236" ht="20.05" customHeight="1">
      <c r="A2236" s="13">
        <f>A2235+1</f>
        <v>2234</v>
      </c>
      <c r="B2236" s="57"/>
      <c r="C2236" s="16"/>
      <c r="D2236" s="16"/>
      <c r="E2236" s="16"/>
      <c r="F2236" s="16"/>
      <c r="G2236" s="16"/>
      <c r="H2236" s="16"/>
      <c r="I2236" s="16"/>
      <c r="J2236" s="16"/>
      <c r="K2236" s="16"/>
      <c r="L2236" s="15">
        <f>IF(O2236,P2236/O2236,0)</f>
        <v>0</v>
      </c>
      <c r="M2236" s="15">
        <v>0</v>
      </c>
      <c r="N2236" s="15">
        <f>A2236</f>
        <v>2234</v>
      </c>
      <c r="O2236" s="16"/>
      <c r="P2236" s="16"/>
      <c r="Q2236" s="16"/>
    </row>
    <row r="2237" ht="20.05" customHeight="1">
      <c r="A2237" s="13">
        <f>A2236+1</f>
        <v>2235</v>
      </c>
      <c r="B2237" s="57"/>
      <c r="C2237" s="16"/>
      <c r="D2237" s="16"/>
      <c r="E2237" s="16"/>
      <c r="F2237" s="16"/>
      <c r="G2237" s="16"/>
      <c r="H2237" s="16"/>
      <c r="I2237" s="16"/>
      <c r="J2237" s="16"/>
      <c r="K2237" s="16"/>
      <c r="L2237" s="15">
        <f>IF(O2237,P2237/O2237,0)</f>
        <v>0</v>
      </c>
      <c r="M2237" s="15">
        <v>0</v>
      </c>
      <c r="N2237" s="15">
        <f>A2237</f>
        <v>2235</v>
      </c>
      <c r="O2237" s="16"/>
      <c r="P2237" s="16"/>
      <c r="Q2237" s="16"/>
    </row>
    <row r="2238" ht="20.05" customHeight="1">
      <c r="A2238" s="13">
        <f>A2237+1</f>
        <v>2236</v>
      </c>
      <c r="B2238" s="57"/>
      <c r="C2238" s="16"/>
      <c r="D2238" s="16"/>
      <c r="E2238" s="16"/>
      <c r="F2238" s="16"/>
      <c r="G2238" s="16"/>
      <c r="H2238" s="16"/>
      <c r="I2238" s="16"/>
      <c r="J2238" s="16"/>
      <c r="K2238" s="16"/>
      <c r="L2238" s="15">
        <f>IF(O2238,P2238/O2238,0)</f>
        <v>0</v>
      </c>
      <c r="M2238" s="15">
        <v>0</v>
      </c>
      <c r="N2238" s="15">
        <f>A2238</f>
        <v>2236</v>
      </c>
      <c r="O2238" s="16"/>
      <c r="P2238" s="16"/>
      <c r="Q2238" s="16"/>
    </row>
    <row r="2239" ht="20.05" customHeight="1">
      <c r="A2239" s="13">
        <f>A2238+1</f>
        <v>2237</v>
      </c>
      <c r="B2239" s="57"/>
      <c r="C2239" s="16"/>
      <c r="D2239" s="16"/>
      <c r="E2239" s="16"/>
      <c r="F2239" s="16"/>
      <c r="G2239" s="16"/>
      <c r="H2239" s="16"/>
      <c r="I2239" s="16"/>
      <c r="J2239" s="16"/>
      <c r="K2239" s="16"/>
      <c r="L2239" s="15">
        <f>IF(O2239,P2239/O2239,0)</f>
        <v>0</v>
      </c>
      <c r="M2239" s="15">
        <v>0</v>
      </c>
      <c r="N2239" s="15">
        <f>A2239</f>
        <v>2237</v>
      </c>
      <c r="O2239" s="16"/>
      <c r="P2239" s="16"/>
      <c r="Q2239" s="16"/>
    </row>
    <row r="2240" ht="20.05" customHeight="1">
      <c r="A2240" s="13">
        <f>A2239+1</f>
        <v>2238</v>
      </c>
      <c r="B2240" s="57"/>
      <c r="C2240" s="16"/>
      <c r="D2240" s="16"/>
      <c r="E2240" s="16"/>
      <c r="F2240" s="16"/>
      <c r="G2240" s="16"/>
      <c r="H2240" s="16"/>
      <c r="I2240" s="16"/>
      <c r="J2240" s="16"/>
      <c r="K2240" s="16"/>
      <c r="L2240" s="15">
        <f>IF(O2240,P2240/O2240,0)</f>
        <v>0</v>
      </c>
      <c r="M2240" s="15">
        <v>0</v>
      </c>
      <c r="N2240" s="15">
        <f>A2240</f>
        <v>2238</v>
      </c>
      <c r="O2240" s="16"/>
      <c r="P2240" s="16"/>
      <c r="Q2240" s="16"/>
    </row>
    <row r="2241" ht="20.05" customHeight="1">
      <c r="A2241" s="13">
        <f>A2240+1</f>
        <v>2239</v>
      </c>
      <c r="B2241" s="57"/>
      <c r="C2241" s="16"/>
      <c r="D2241" s="16"/>
      <c r="E2241" s="16"/>
      <c r="F2241" s="16"/>
      <c r="G2241" s="16"/>
      <c r="H2241" s="16"/>
      <c r="I2241" s="16"/>
      <c r="J2241" s="16"/>
      <c r="K2241" s="16"/>
      <c r="L2241" s="15">
        <f>IF(O2241,P2241/O2241,0)</f>
        <v>0</v>
      </c>
      <c r="M2241" s="15">
        <v>0</v>
      </c>
      <c r="N2241" s="15">
        <f>A2241</f>
        <v>2239</v>
      </c>
      <c r="O2241" s="16"/>
      <c r="P2241" s="16"/>
      <c r="Q2241" s="16"/>
    </row>
    <row r="2242" ht="20.05" customHeight="1">
      <c r="A2242" s="13">
        <f>A2241+1</f>
        <v>2240</v>
      </c>
      <c r="B2242" s="57"/>
      <c r="C2242" s="16"/>
      <c r="D2242" s="16"/>
      <c r="E2242" s="16"/>
      <c r="F2242" s="16"/>
      <c r="G2242" s="16"/>
      <c r="H2242" s="16"/>
      <c r="I2242" s="16"/>
      <c r="J2242" s="16"/>
      <c r="K2242" s="16"/>
      <c r="L2242" s="15">
        <f>IF(O2242,P2242/O2242,0)</f>
        <v>0</v>
      </c>
      <c r="M2242" s="15">
        <v>0</v>
      </c>
      <c r="N2242" s="15">
        <f>A2242</f>
        <v>2240</v>
      </c>
      <c r="O2242" s="16"/>
      <c r="P2242" s="16"/>
      <c r="Q2242" s="16"/>
    </row>
    <row r="2243" ht="20.05" customHeight="1">
      <c r="A2243" s="13">
        <f>A2242+1</f>
        <v>2241</v>
      </c>
      <c r="B2243" s="57"/>
      <c r="C2243" s="16"/>
      <c r="D2243" s="16"/>
      <c r="E2243" s="16"/>
      <c r="F2243" s="16"/>
      <c r="G2243" s="16"/>
      <c r="H2243" s="16"/>
      <c r="I2243" s="16"/>
      <c r="J2243" s="16"/>
      <c r="K2243" s="16"/>
      <c r="L2243" s="15">
        <f>IF(O2243,P2243/O2243,0)</f>
        <v>0</v>
      </c>
      <c r="M2243" s="15">
        <v>0</v>
      </c>
      <c r="N2243" s="15">
        <f>A2243</f>
        <v>2241</v>
      </c>
      <c r="O2243" s="16"/>
      <c r="P2243" s="16"/>
      <c r="Q2243" s="16"/>
    </row>
    <row r="2244" ht="20.05" customHeight="1">
      <c r="A2244" s="13">
        <f>A2243+1</f>
        <v>2242</v>
      </c>
      <c r="B2244" s="57"/>
      <c r="C2244" s="16"/>
      <c r="D2244" s="16"/>
      <c r="E2244" s="16"/>
      <c r="F2244" s="16"/>
      <c r="G2244" s="16"/>
      <c r="H2244" s="16"/>
      <c r="I2244" s="16"/>
      <c r="J2244" s="16"/>
      <c r="K2244" s="16"/>
      <c r="L2244" s="15">
        <f>IF(O2244,P2244/O2244,0)</f>
        <v>0</v>
      </c>
      <c r="M2244" s="15">
        <v>0</v>
      </c>
      <c r="N2244" s="15">
        <f>A2244</f>
        <v>2242</v>
      </c>
      <c r="O2244" s="16"/>
      <c r="P2244" s="16"/>
      <c r="Q2244" s="16"/>
    </row>
    <row r="2245" ht="20.05" customHeight="1">
      <c r="A2245" s="13">
        <f>A2244+1</f>
        <v>2243</v>
      </c>
      <c r="B2245" s="57"/>
      <c r="C2245" s="16"/>
      <c r="D2245" s="16"/>
      <c r="E2245" s="16"/>
      <c r="F2245" s="16"/>
      <c r="G2245" s="16"/>
      <c r="H2245" s="16"/>
      <c r="I2245" s="16"/>
      <c r="J2245" s="16"/>
      <c r="K2245" s="16"/>
      <c r="L2245" s="15">
        <f>IF(O2245,P2245/O2245,0)</f>
        <v>0</v>
      </c>
      <c r="M2245" s="15">
        <v>0</v>
      </c>
      <c r="N2245" s="15">
        <f>A2245</f>
        <v>2243</v>
      </c>
      <c r="O2245" s="16"/>
      <c r="P2245" s="16"/>
      <c r="Q2245" s="16"/>
    </row>
    <row r="2246" ht="20.05" customHeight="1">
      <c r="A2246" s="13">
        <f>A2245+1</f>
        <v>2244</v>
      </c>
      <c r="B2246" s="57"/>
      <c r="C2246" s="16"/>
      <c r="D2246" s="16"/>
      <c r="E2246" s="16"/>
      <c r="F2246" s="16"/>
      <c r="G2246" s="16"/>
      <c r="H2246" s="16"/>
      <c r="I2246" s="16"/>
      <c r="J2246" s="16"/>
      <c r="K2246" s="16"/>
      <c r="L2246" s="15">
        <f>IF(O2246,P2246/O2246,0)</f>
        <v>0</v>
      </c>
      <c r="M2246" s="15">
        <v>0</v>
      </c>
      <c r="N2246" s="15">
        <f>A2246</f>
        <v>2244</v>
      </c>
      <c r="O2246" s="16"/>
      <c r="P2246" s="16"/>
      <c r="Q2246" s="16"/>
    </row>
    <row r="2247" ht="20.05" customHeight="1">
      <c r="A2247" s="13">
        <f>A2246+1</f>
        <v>2245</v>
      </c>
      <c r="B2247" s="57"/>
      <c r="C2247" s="16"/>
      <c r="D2247" s="16"/>
      <c r="E2247" s="16"/>
      <c r="F2247" s="16"/>
      <c r="G2247" s="16"/>
      <c r="H2247" s="16"/>
      <c r="I2247" s="16"/>
      <c r="J2247" s="16"/>
      <c r="K2247" s="16"/>
      <c r="L2247" s="15">
        <f>IF(O2247,P2247/O2247,0)</f>
        <v>0</v>
      </c>
      <c r="M2247" s="15">
        <v>0</v>
      </c>
      <c r="N2247" s="15">
        <f>A2247</f>
        <v>2245</v>
      </c>
      <c r="O2247" s="16"/>
      <c r="P2247" s="16"/>
      <c r="Q2247" s="16"/>
    </row>
    <row r="2248" ht="20.05" customHeight="1">
      <c r="A2248" s="13">
        <f>A2247+1</f>
        <v>2246</v>
      </c>
      <c r="B2248" s="57"/>
      <c r="C2248" s="16"/>
      <c r="D2248" s="16"/>
      <c r="E2248" s="16"/>
      <c r="F2248" s="16"/>
      <c r="G2248" s="16"/>
      <c r="H2248" s="16"/>
      <c r="I2248" s="16"/>
      <c r="J2248" s="16"/>
      <c r="K2248" s="16"/>
      <c r="L2248" s="15">
        <f>IF(O2248,P2248/O2248,0)</f>
        <v>0</v>
      </c>
      <c r="M2248" s="15">
        <v>0</v>
      </c>
      <c r="N2248" s="15">
        <f>A2248</f>
        <v>2246</v>
      </c>
      <c r="O2248" s="16"/>
      <c r="P2248" s="16"/>
      <c r="Q2248" s="16"/>
    </row>
    <row r="2249" ht="20.05" customHeight="1">
      <c r="A2249" s="13">
        <f>A2248+1</f>
        <v>2247</v>
      </c>
      <c r="B2249" s="57"/>
      <c r="C2249" s="16"/>
      <c r="D2249" s="16"/>
      <c r="E2249" s="16"/>
      <c r="F2249" s="16"/>
      <c r="G2249" s="16"/>
      <c r="H2249" s="16"/>
      <c r="I2249" s="16"/>
      <c r="J2249" s="16"/>
      <c r="K2249" s="16"/>
      <c r="L2249" s="15">
        <f>IF(O2249,P2249/O2249,0)</f>
        <v>0</v>
      </c>
      <c r="M2249" s="15">
        <v>0</v>
      </c>
      <c r="N2249" s="15">
        <f>A2249</f>
        <v>2247</v>
      </c>
      <c r="O2249" s="16"/>
      <c r="P2249" s="16"/>
      <c r="Q2249" s="16"/>
    </row>
    <row r="2250" ht="20.05" customHeight="1">
      <c r="A2250" s="13">
        <f>A2249+1</f>
        <v>2248</v>
      </c>
      <c r="B2250" s="57"/>
      <c r="C2250" s="16"/>
      <c r="D2250" s="16"/>
      <c r="E2250" s="16"/>
      <c r="F2250" s="16"/>
      <c r="G2250" s="16"/>
      <c r="H2250" s="16"/>
      <c r="I2250" s="16"/>
      <c r="J2250" s="16"/>
      <c r="K2250" s="16"/>
      <c r="L2250" s="15">
        <f>IF(O2250,P2250/O2250,0)</f>
        <v>0</v>
      </c>
      <c r="M2250" s="15">
        <v>0</v>
      </c>
      <c r="N2250" s="15">
        <f>A2250</f>
        <v>2248</v>
      </c>
      <c r="O2250" s="16"/>
      <c r="P2250" s="16"/>
      <c r="Q2250" s="16"/>
    </row>
    <row r="2251" ht="20.05" customHeight="1">
      <c r="A2251" s="13">
        <f>A2250+1</f>
        <v>2249</v>
      </c>
      <c r="B2251" s="57"/>
      <c r="C2251" s="16"/>
      <c r="D2251" s="16"/>
      <c r="E2251" s="16"/>
      <c r="F2251" s="16"/>
      <c r="G2251" s="16"/>
      <c r="H2251" s="16"/>
      <c r="I2251" s="16"/>
      <c r="J2251" s="16"/>
      <c r="K2251" s="16"/>
      <c r="L2251" s="15">
        <f>IF(O2251,P2251/O2251,0)</f>
        <v>0</v>
      </c>
      <c r="M2251" s="15">
        <v>0</v>
      </c>
      <c r="N2251" s="15">
        <f>A2251</f>
        <v>2249</v>
      </c>
      <c r="O2251" s="16"/>
      <c r="P2251" s="16"/>
      <c r="Q2251" s="16"/>
    </row>
    <row r="2252" ht="20.05" customHeight="1">
      <c r="A2252" s="13">
        <f>A2251+1</f>
        <v>2250</v>
      </c>
      <c r="B2252" s="57"/>
      <c r="C2252" s="16"/>
      <c r="D2252" s="16"/>
      <c r="E2252" s="16"/>
      <c r="F2252" s="16"/>
      <c r="G2252" s="16"/>
      <c r="H2252" s="16"/>
      <c r="I2252" s="16"/>
      <c r="J2252" s="16"/>
      <c r="K2252" s="16"/>
      <c r="L2252" s="15">
        <f>IF(O2252,P2252/O2252,0)</f>
        <v>0</v>
      </c>
      <c r="M2252" s="15">
        <v>0</v>
      </c>
      <c r="N2252" s="15">
        <f>A2252</f>
        <v>2250</v>
      </c>
      <c r="O2252" s="16"/>
      <c r="P2252" s="16"/>
      <c r="Q2252" s="16"/>
    </row>
    <row r="2253" ht="20.05" customHeight="1">
      <c r="A2253" s="13">
        <f>A2252+1</f>
        <v>2251</v>
      </c>
      <c r="B2253" s="57"/>
      <c r="C2253" s="16"/>
      <c r="D2253" s="16"/>
      <c r="E2253" s="16"/>
      <c r="F2253" s="16"/>
      <c r="G2253" s="16"/>
      <c r="H2253" s="16"/>
      <c r="I2253" s="16"/>
      <c r="J2253" s="16"/>
      <c r="K2253" s="16"/>
      <c r="L2253" s="15">
        <f>IF(O2253,P2253/O2253,0)</f>
        <v>0</v>
      </c>
      <c r="M2253" s="15">
        <v>0</v>
      </c>
      <c r="N2253" s="15">
        <f>A2253</f>
        <v>2251</v>
      </c>
      <c r="O2253" s="16"/>
      <c r="P2253" s="16"/>
      <c r="Q2253" s="16"/>
    </row>
    <row r="2254" ht="20.05" customHeight="1">
      <c r="A2254" s="13">
        <f>A2253+1</f>
        <v>2252</v>
      </c>
      <c r="B2254" s="57"/>
      <c r="C2254" s="16"/>
      <c r="D2254" s="16"/>
      <c r="E2254" s="16"/>
      <c r="F2254" s="16"/>
      <c r="G2254" s="16"/>
      <c r="H2254" s="16"/>
      <c r="I2254" s="16"/>
      <c r="J2254" s="16"/>
      <c r="K2254" s="16"/>
      <c r="L2254" s="15">
        <f>IF(O2254,P2254/O2254,0)</f>
        <v>0</v>
      </c>
      <c r="M2254" s="15">
        <v>0</v>
      </c>
      <c r="N2254" s="15">
        <f>A2254</f>
        <v>2252</v>
      </c>
      <c r="O2254" s="16"/>
      <c r="P2254" s="16"/>
      <c r="Q2254" s="16"/>
    </row>
    <row r="2255" ht="20.05" customHeight="1">
      <c r="A2255" s="13">
        <f>A2254+1</f>
        <v>2253</v>
      </c>
      <c r="B2255" s="57"/>
      <c r="C2255" s="16"/>
      <c r="D2255" s="16"/>
      <c r="E2255" s="16"/>
      <c r="F2255" s="16"/>
      <c r="G2255" s="16"/>
      <c r="H2255" s="16"/>
      <c r="I2255" s="16"/>
      <c r="J2255" s="16"/>
      <c r="K2255" s="16"/>
      <c r="L2255" s="15">
        <f>IF(O2255,P2255/O2255,0)</f>
        <v>0</v>
      </c>
      <c r="M2255" s="15">
        <v>0</v>
      </c>
      <c r="N2255" s="15">
        <f>A2255</f>
        <v>2253</v>
      </c>
      <c r="O2255" s="16"/>
      <c r="P2255" s="16"/>
      <c r="Q2255" s="16"/>
    </row>
    <row r="2256" ht="20.05" customHeight="1">
      <c r="A2256" s="13">
        <f>A2255+1</f>
        <v>2254</v>
      </c>
      <c r="B2256" s="57"/>
      <c r="C2256" s="16"/>
      <c r="D2256" s="16"/>
      <c r="E2256" s="16"/>
      <c r="F2256" s="16"/>
      <c r="G2256" s="16"/>
      <c r="H2256" s="16"/>
      <c r="I2256" s="16"/>
      <c r="J2256" s="16"/>
      <c r="K2256" s="16"/>
      <c r="L2256" s="15">
        <f>IF(O2256,P2256/O2256,0)</f>
        <v>0</v>
      </c>
      <c r="M2256" s="15">
        <v>0</v>
      </c>
      <c r="N2256" s="15">
        <f>A2256</f>
        <v>2254</v>
      </c>
      <c r="O2256" s="16"/>
      <c r="P2256" s="16"/>
      <c r="Q2256" s="16"/>
    </row>
    <row r="2257" ht="20.05" customHeight="1">
      <c r="A2257" s="13">
        <f>A2256+1</f>
        <v>2255</v>
      </c>
      <c r="B2257" s="57"/>
      <c r="C2257" s="16"/>
      <c r="D2257" s="16"/>
      <c r="E2257" s="16"/>
      <c r="F2257" s="16"/>
      <c r="G2257" s="16"/>
      <c r="H2257" s="16"/>
      <c r="I2257" s="16"/>
      <c r="J2257" s="16"/>
      <c r="K2257" s="16"/>
      <c r="L2257" s="15">
        <f>IF(O2257,P2257/O2257,0)</f>
        <v>0</v>
      </c>
      <c r="M2257" s="15">
        <v>0</v>
      </c>
      <c r="N2257" s="15">
        <f>A2257</f>
        <v>2255</v>
      </c>
      <c r="O2257" s="16"/>
      <c r="P2257" s="16"/>
      <c r="Q2257" s="16"/>
    </row>
    <row r="2258" ht="20.05" customHeight="1">
      <c r="A2258" s="13">
        <f>A2257+1</f>
        <v>2256</v>
      </c>
      <c r="B2258" s="57"/>
      <c r="C2258" s="16"/>
      <c r="D2258" s="16"/>
      <c r="E2258" s="16"/>
      <c r="F2258" s="16"/>
      <c r="G2258" s="16"/>
      <c r="H2258" s="16"/>
      <c r="I2258" s="16"/>
      <c r="J2258" s="16"/>
      <c r="K2258" s="16"/>
      <c r="L2258" s="15">
        <f>IF(O2258,P2258/O2258,0)</f>
        <v>0</v>
      </c>
      <c r="M2258" s="15">
        <v>0</v>
      </c>
      <c r="N2258" s="15">
        <f>A2258</f>
        <v>2256</v>
      </c>
      <c r="O2258" s="16"/>
      <c r="P2258" s="16"/>
      <c r="Q2258" s="16"/>
    </row>
    <row r="2259" ht="20.05" customHeight="1">
      <c r="A2259" s="13">
        <f>A2258+1</f>
        <v>2257</v>
      </c>
      <c r="B2259" s="57"/>
      <c r="C2259" s="16"/>
      <c r="D2259" s="16"/>
      <c r="E2259" s="16"/>
      <c r="F2259" s="16"/>
      <c r="G2259" s="16"/>
      <c r="H2259" s="16"/>
      <c r="I2259" s="16"/>
      <c r="J2259" s="16"/>
      <c r="K2259" s="16"/>
      <c r="L2259" s="15">
        <f>IF(O2259,P2259/O2259,0)</f>
        <v>0</v>
      </c>
      <c r="M2259" s="15">
        <v>0</v>
      </c>
      <c r="N2259" s="15">
        <f>A2259</f>
        <v>2257</v>
      </c>
      <c r="O2259" s="16"/>
      <c r="P2259" s="16"/>
      <c r="Q2259" s="16"/>
    </row>
    <row r="2260" ht="20.05" customHeight="1">
      <c r="A2260" s="13">
        <f>A2259+1</f>
        <v>2258</v>
      </c>
      <c r="B2260" s="57"/>
      <c r="C2260" s="16"/>
      <c r="D2260" s="16"/>
      <c r="E2260" s="16"/>
      <c r="F2260" s="16"/>
      <c r="G2260" s="16"/>
      <c r="H2260" s="16"/>
      <c r="I2260" s="16"/>
      <c r="J2260" s="16"/>
      <c r="K2260" s="16"/>
      <c r="L2260" s="15">
        <f>IF(O2260,P2260/O2260,0)</f>
        <v>0</v>
      </c>
      <c r="M2260" s="15">
        <v>0</v>
      </c>
      <c r="N2260" s="15">
        <f>A2260</f>
        <v>2258</v>
      </c>
      <c r="O2260" s="16"/>
      <c r="P2260" s="16"/>
      <c r="Q2260" s="16"/>
    </row>
    <row r="2261" ht="20.05" customHeight="1">
      <c r="A2261" s="13">
        <f>A2260+1</f>
        <v>2259</v>
      </c>
      <c r="B2261" s="57"/>
      <c r="C2261" s="16"/>
      <c r="D2261" s="16"/>
      <c r="E2261" s="16"/>
      <c r="F2261" s="16"/>
      <c r="G2261" s="16"/>
      <c r="H2261" s="16"/>
      <c r="I2261" s="16"/>
      <c r="J2261" s="16"/>
      <c r="K2261" s="16"/>
      <c r="L2261" s="15">
        <f>IF(O2261,P2261/O2261,0)</f>
        <v>0</v>
      </c>
      <c r="M2261" s="15">
        <v>0</v>
      </c>
      <c r="N2261" s="15">
        <f>A2261</f>
        <v>2259</v>
      </c>
      <c r="O2261" s="16"/>
      <c r="P2261" s="16"/>
      <c r="Q2261" s="16"/>
    </row>
    <row r="2262" ht="20.05" customHeight="1">
      <c r="A2262" s="13">
        <f>A2261+1</f>
        <v>2260</v>
      </c>
      <c r="B2262" s="57"/>
      <c r="C2262" s="16"/>
      <c r="D2262" s="16"/>
      <c r="E2262" s="16"/>
      <c r="F2262" s="16"/>
      <c r="G2262" s="16"/>
      <c r="H2262" s="16"/>
      <c r="I2262" s="16"/>
      <c r="J2262" s="16"/>
      <c r="K2262" s="16"/>
      <c r="L2262" s="15">
        <f>IF(O2262,P2262/O2262,0)</f>
        <v>0</v>
      </c>
      <c r="M2262" s="15">
        <v>0</v>
      </c>
      <c r="N2262" s="15">
        <f>A2262</f>
        <v>2260</v>
      </c>
      <c r="O2262" s="16"/>
      <c r="P2262" s="16"/>
      <c r="Q2262" s="16"/>
    </row>
    <row r="2263" ht="20.05" customHeight="1">
      <c r="A2263" s="13">
        <f>A2262+1</f>
        <v>2261</v>
      </c>
      <c r="B2263" s="57"/>
      <c r="C2263" s="16"/>
      <c r="D2263" s="16"/>
      <c r="E2263" s="16"/>
      <c r="F2263" s="16"/>
      <c r="G2263" s="16"/>
      <c r="H2263" s="16"/>
      <c r="I2263" s="16"/>
      <c r="J2263" s="16"/>
      <c r="K2263" s="16"/>
      <c r="L2263" s="15">
        <f>IF(O2263,P2263/O2263,0)</f>
        <v>0</v>
      </c>
      <c r="M2263" s="15">
        <v>0</v>
      </c>
      <c r="N2263" s="15">
        <f>A2263</f>
        <v>2261</v>
      </c>
      <c r="O2263" s="16"/>
      <c r="P2263" s="16"/>
      <c r="Q2263" s="16"/>
    </row>
    <row r="2264" ht="20.05" customHeight="1">
      <c r="A2264" s="13">
        <f>A2263+1</f>
        <v>2262</v>
      </c>
      <c r="B2264" s="57"/>
      <c r="C2264" s="16"/>
      <c r="D2264" s="16"/>
      <c r="E2264" s="16"/>
      <c r="F2264" s="16"/>
      <c r="G2264" s="16"/>
      <c r="H2264" s="16"/>
      <c r="I2264" s="16"/>
      <c r="J2264" s="16"/>
      <c r="K2264" s="16"/>
      <c r="L2264" s="15">
        <f>IF(O2264,P2264/O2264,0)</f>
        <v>0</v>
      </c>
      <c r="M2264" s="15">
        <v>0</v>
      </c>
      <c r="N2264" s="15">
        <f>A2264</f>
        <v>2262</v>
      </c>
      <c r="O2264" s="16"/>
      <c r="P2264" s="16"/>
      <c r="Q2264" s="16"/>
    </row>
    <row r="2265" ht="20.05" customHeight="1">
      <c r="A2265" s="13">
        <f>A2264+1</f>
        <v>2263</v>
      </c>
      <c r="B2265" s="57"/>
      <c r="C2265" s="16"/>
      <c r="D2265" s="16"/>
      <c r="E2265" s="16"/>
      <c r="F2265" s="16"/>
      <c r="G2265" s="16"/>
      <c r="H2265" s="16"/>
      <c r="I2265" s="16"/>
      <c r="J2265" s="16"/>
      <c r="K2265" s="16"/>
      <c r="L2265" s="15">
        <f>IF(O2265,P2265/O2265,0)</f>
        <v>0</v>
      </c>
      <c r="M2265" s="15">
        <v>0</v>
      </c>
      <c r="N2265" s="15">
        <f>A2265</f>
        <v>2263</v>
      </c>
      <c r="O2265" s="16"/>
      <c r="P2265" s="16"/>
      <c r="Q2265" s="16"/>
    </row>
    <row r="2266" ht="20.05" customHeight="1">
      <c r="A2266" s="13">
        <f>A2265+1</f>
        <v>2264</v>
      </c>
      <c r="B2266" s="57"/>
      <c r="C2266" s="16"/>
      <c r="D2266" s="16"/>
      <c r="E2266" s="16"/>
      <c r="F2266" s="16"/>
      <c r="G2266" s="16"/>
      <c r="H2266" s="16"/>
      <c r="I2266" s="16"/>
      <c r="J2266" s="16"/>
      <c r="K2266" s="16"/>
      <c r="L2266" s="15">
        <f>IF(O2266,P2266/O2266,0)</f>
        <v>0</v>
      </c>
      <c r="M2266" s="15">
        <v>0</v>
      </c>
      <c r="N2266" s="15">
        <f>A2266</f>
        <v>2264</v>
      </c>
      <c r="O2266" s="16"/>
      <c r="P2266" s="16"/>
      <c r="Q2266" s="16"/>
    </row>
    <row r="2267" ht="20.05" customHeight="1">
      <c r="A2267" s="13">
        <f>A2266+1</f>
        <v>2265</v>
      </c>
      <c r="B2267" s="57"/>
      <c r="C2267" s="16"/>
      <c r="D2267" s="16"/>
      <c r="E2267" s="16"/>
      <c r="F2267" s="16"/>
      <c r="G2267" s="16"/>
      <c r="H2267" s="16"/>
      <c r="I2267" s="16"/>
      <c r="J2267" s="16"/>
      <c r="K2267" s="16"/>
      <c r="L2267" s="15">
        <f>IF(O2267,P2267/O2267,0)</f>
        <v>0</v>
      </c>
      <c r="M2267" s="15">
        <v>0</v>
      </c>
      <c r="N2267" s="15">
        <f>A2267</f>
        <v>2265</v>
      </c>
      <c r="O2267" s="16"/>
      <c r="P2267" s="16"/>
      <c r="Q2267" s="16"/>
    </row>
    <row r="2268" ht="20.05" customHeight="1">
      <c r="A2268" s="13">
        <f>A2267+1</f>
        <v>2266</v>
      </c>
      <c r="B2268" s="57"/>
      <c r="C2268" s="16"/>
      <c r="D2268" s="16"/>
      <c r="E2268" s="16"/>
      <c r="F2268" s="16"/>
      <c r="G2268" s="16"/>
      <c r="H2268" s="16"/>
      <c r="I2268" s="16"/>
      <c r="J2268" s="16"/>
      <c r="K2268" s="16"/>
      <c r="L2268" s="15">
        <f>IF(O2268,P2268/O2268,0)</f>
        <v>0</v>
      </c>
      <c r="M2268" s="15">
        <v>0</v>
      </c>
      <c r="N2268" s="15">
        <f>A2268</f>
        <v>2266</v>
      </c>
      <c r="O2268" s="16"/>
      <c r="P2268" s="16"/>
      <c r="Q2268" s="16"/>
    </row>
    <row r="2269" ht="20.05" customHeight="1">
      <c r="A2269" s="13">
        <f>A2268+1</f>
        <v>2267</v>
      </c>
      <c r="B2269" s="57"/>
      <c r="C2269" s="16"/>
      <c r="D2269" s="16"/>
      <c r="E2269" s="16"/>
      <c r="F2269" s="16"/>
      <c r="G2269" s="16"/>
      <c r="H2269" s="16"/>
      <c r="I2269" s="16"/>
      <c r="J2269" s="16"/>
      <c r="K2269" s="16"/>
      <c r="L2269" s="15">
        <f>IF(O2269,P2269/O2269,0)</f>
        <v>0</v>
      </c>
      <c r="M2269" s="15">
        <v>0</v>
      </c>
      <c r="N2269" s="15">
        <f>A2269</f>
        <v>2267</v>
      </c>
      <c r="O2269" s="16"/>
      <c r="P2269" s="16"/>
      <c r="Q2269" s="16"/>
    </row>
    <row r="2270" ht="20.05" customHeight="1">
      <c r="A2270" s="13">
        <f>A2269+1</f>
        <v>2268</v>
      </c>
      <c r="B2270" s="57"/>
      <c r="C2270" s="16"/>
      <c r="D2270" s="16"/>
      <c r="E2270" s="16"/>
      <c r="F2270" s="16"/>
      <c r="G2270" s="16"/>
      <c r="H2270" s="16"/>
      <c r="I2270" s="16"/>
      <c r="J2270" s="16"/>
      <c r="K2270" s="16"/>
      <c r="L2270" s="15">
        <f>IF(O2270,P2270/O2270,0)</f>
        <v>0</v>
      </c>
      <c r="M2270" s="15">
        <v>0</v>
      </c>
      <c r="N2270" s="15">
        <f>A2270</f>
        <v>2268</v>
      </c>
      <c r="O2270" s="16"/>
      <c r="P2270" s="16"/>
      <c r="Q2270" s="16"/>
    </row>
    <row r="2271" ht="20.05" customHeight="1">
      <c r="A2271" s="13">
        <f>A2270+1</f>
        <v>2269</v>
      </c>
      <c r="B2271" s="57"/>
      <c r="C2271" s="16"/>
      <c r="D2271" s="16"/>
      <c r="E2271" s="16"/>
      <c r="F2271" s="16"/>
      <c r="G2271" s="16"/>
      <c r="H2271" s="16"/>
      <c r="I2271" s="16"/>
      <c r="J2271" s="16"/>
      <c r="K2271" s="16"/>
      <c r="L2271" s="15">
        <f>IF(O2271,P2271/O2271,0)</f>
        <v>0</v>
      </c>
      <c r="M2271" s="15">
        <v>0</v>
      </c>
      <c r="N2271" s="15">
        <f>A2271</f>
        <v>2269</v>
      </c>
      <c r="O2271" s="16"/>
      <c r="P2271" s="16"/>
      <c r="Q2271" s="16"/>
    </row>
    <row r="2272" ht="20.05" customHeight="1">
      <c r="A2272" s="13">
        <f>A2271+1</f>
        <v>2270</v>
      </c>
      <c r="B2272" s="57"/>
      <c r="C2272" s="16"/>
      <c r="D2272" s="16"/>
      <c r="E2272" s="16"/>
      <c r="F2272" s="16"/>
      <c r="G2272" s="16"/>
      <c r="H2272" s="16"/>
      <c r="I2272" s="16"/>
      <c r="J2272" s="16"/>
      <c r="K2272" s="16"/>
      <c r="L2272" s="15">
        <f>IF(O2272,P2272/O2272,0)</f>
        <v>0</v>
      </c>
      <c r="M2272" s="15">
        <v>0</v>
      </c>
      <c r="N2272" s="15">
        <f>A2272</f>
        <v>2270</v>
      </c>
      <c r="O2272" s="16"/>
      <c r="P2272" s="16"/>
      <c r="Q2272" s="16"/>
    </row>
    <row r="2273" ht="20.05" customHeight="1">
      <c r="A2273" s="13">
        <f>A2272+1</f>
        <v>2271</v>
      </c>
      <c r="B2273" s="57"/>
      <c r="C2273" s="16"/>
      <c r="D2273" s="16"/>
      <c r="E2273" s="16"/>
      <c r="F2273" s="16"/>
      <c r="G2273" s="16"/>
      <c r="H2273" s="16"/>
      <c r="I2273" s="16"/>
      <c r="J2273" s="16"/>
      <c r="K2273" s="16"/>
      <c r="L2273" s="15">
        <f>IF(O2273,P2273/O2273,0)</f>
        <v>0</v>
      </c>
      <c r="M2273" s="15">
        <v>0</v>
      </c>
      <c r="N2273" s="15">
        <f>A2273</f>
        <v>2271</v>
      </c>
      <c r="O2273" s="16"/>
      <c r="P2273" s="16"/>
      <c r="Q2273" s="16"/>
    </row>
    <row r="2274" ht="20.05" customHeight="1">
      <c r="A2274" s="13">
        <f>A2273+1</f>
        <v>2272</v>
      </c>
      <c r="B2274" s="57"/>
      <c r="C2274" s="16"/>
      <c r="D2274" s="16"/>
      <c r="E2274" s="16"/>
      <c r="F2274" s="16"/>
      <c r="G2274" s="16"/>
      <c r="H2274" s="16"/>
      <c r="I2274" s="16"/>
      <c r="J2274" s="16"/>
      <c r="K2274" s="16"/>
      <c r="L2274" s="15">
        <f>IF(O2274,P2274/O2274,0)</f>
        <v>0</v>
      </c>
      <c r="M2274" s="15">
        <v>0</v>
      </c>
      <c r="N2274" s="15">
        <f>A2274</f>
        <v>2272</v>
      </c>
      <c r="O2274" s="16"/>
      <c r="P2274" s="16"/>
      <c r="Q2274" s="16"/>
    </row>
    <row r="2275" ht="20.05" customHeight="1">
      <c r="A2275" s="13">
        <f>A2274+1</f>
        <v>2273</v>
      </c>
      <c r="B2275" s="57"/>
      <c r="C2275" s="16"/>
      <c r="D2275" s="16"/>
      <c r="E2275" s="16"/>
      <c r="F2275" s="16"/>
      <c r="G2275" s="16"/>
      <c r="H2275" s="16"/>
      <c r="I2275" s="16"/>
      <c r="J2275" s="16"/>
      <c r="K2275" s="16"/>
      <c r="L2275" s="15">
        <f>IF(O2275,P2275/O2275,0)</f>
        <v>0</v>
      </c>
      <c r="M2275" s="15">
        <v>0</v>
      </c>
      <c r="N2275" s="15">
        <f>A2275</f>
        <v>2273</v>
      </c>
      <c r="O2275" s="16"/>
      <c r="P2275" s="16"/>
      <c r="Q2275" s="16"/>
    </row>
    <row r="2276" ht="20.05" customHeight="1">
      <c r="A2276" s="13">
        <f>A2275+1</f>
        <v>2274</v>
      </c>
      <c r="B2276" s="57"/>
      <c r="C2276" s="16"/>
      <c r="D2276" s="16"/>
      <c r="E2276" s="16"/>
      <c r="F2276" s="16"/>
      <c r="G2276" s="16"/>
      <c r="H2276" s="16"/>
      <c r="I2276" s="16"/>
      <c r="J2276" s="16"/>
      <c r="K2276" s="16"/>
      <c r="L2276" s="15">
        <f>IF(O2276,P2276/O2276,0)</f>
        <v>0</v>
      </c>
      <c r="M2276" s="15">
        <v>0</v>
      </c>
      <c r="N2276" s="15">
        <f>A2276</f>
        <v>2274</v>
      </c>
      <c r="O2276" s="16"/>
      <c r="P2276" s="16"/>
      <c r="Q2276" s="16"/>
    </row>
    <row r="2277" ht="20.05" customHeight="1">
      <c r="A2277" s="13">
        <f>A2276+1</f>
        <v>2275</v>
      </c>
      <c r="B2277" s="57"/>
      <c r="C2277" s="16"/>
      <c r="D2277" s="16"/>
      <c r="E2277" s="16"/>
      <c r="F2277" s="16"/>
      <c r="G2277" s="16"/>
      <c r="H2277" s="16"/>
      <c r="I2277" s="16"/>
      <c r="J2277" s="16"/>
      <c r="K2277" s="16"/>
      <c r="L2277" s="15">
        <f>IF(O2277,P2277/O2277,0)</f>
        <v>0</v>
      </c>
      <c r="M2277" s="15">
        <v>0</v>
      </c>
      <c r="N2277" s="15">
        <f>A2277</f>
        <v>2275</v>
      </c>
      <c r="O2277" s="16"/>
      <c r="P2277" s="16"/>
      <c r="Q2277" s="16"/>
    </row>
    <row r="2278" ht="20.05" customHeight="1">
      <c r="A2278" s="13">
        <f>A2277+1</f>
        <v>2276</v>
      </c>
      <c r="B2278" s="57"/>
      <c r="C2278" s="16"/>
      <c r="D2278" s="16"/>
      <c r="E2278" s="16"/>
      <c r="F2278" s="16"/>
      <c r="G2278" s="16"/>
      <c r="H2278" s="16"/>
      <c r="I2278" s="16"/>
      <c r="J2278" s="16"/>
      <c r="K2278" s="16"/>
      <c r="L2278" s="15">
        <f>IF(O2278,P2278/O2278,0)</f>
        <v>0</v>
      </c>
      <c r="M2278" s="15">
        <v>0</v>
      </c>
      <c r="N2278" s="15">
        <f>A2278</f>
        <v>2276</v>
      </c>
      <c r="O2278" s="16"/>
      <c r="P2278" s="16"/>
      <c r="Q2278" s="16"/>
    </row>
    <row r="2279" ht="20.05" customHeight="1">
      <c r="A2279" s="13">
        <f>A2278+1</f>
        <v>2277</v>
      </c>
      <c r="B2279" s="57"/>
      <c r="C2279" s="16"/>
      <c r="D2279" s="16"/>
      <c r="E2279" s="16"/>
      <c r="F2279" s="16"/>
      <c r="G2279" s="16"/>
      <c r="H2279" s="16"/>
      <c r="I2279" s="16"/>
      <c r="J2279" s="16"/>
      <c r="K2279" s="16"/>
      <c r="L2279" s="15">
        <f>IF(O2279,P2279/O2279,0)</f>
        <v>0</v>
      </c>
      <c r="M2279" s="15">
        <v>0</v>
      </c>
      <c r="N2279" s="15">
        <f>A2279</f>
        <v>2277</v>
      </c>
      <c r="O2279" s="16"/>
      <c r="P2279" s="16"/>
      <c r="Q2279" s="16"/>
    </row>
    <row r="2280" ht="20.05" customHeight="1">
      <c r="A2280" s="13">
        <f>A2279+1</f>
        <v>2278</v>
      </c>
      <c r="B2280" s="57"/>
      <c r="C2280" s="16"/>
      <c r="D2280" s="16"/>
      <c r="E2280" s="16"/>
      <c r="F2280" s="16"/>
      <c r="G2280" s="16"/>
      <c r="H2280" s="16"/>
      <c r="I2280" s="16"/>
      <c r="J2280" s="16"/>
      <c r="K2280" s="16"/>
      <c r="L2280" s="15">
        <f>IF(O2280,P2280/O2280,0)</f>
        <v>0</v>
      </c>
      <c r="M2280" s="15">
        <v>0</v>
      </c>
      <c r="N2280" s="15">
        <f>A2280</f>
        <v>2278</v>
      </c>
      <c r="O2280" s="16"/>
      <c r="P2280" s="16"/>
      <c r="Q2280" s="16"/>
    </row>
    <row r="2281" ht="20.05" customHeight="1">
      <c r="A2281" s="13">
        <f>A2280+1</f>
        <v>2279</v>
      </c>
      <c r="B2281" s="57"/>
      <c r="C2281" s="16"/>
      <c r="D2281" s="16"/>
      <c r="E2281" s="16"/>
      <c r="F2281" s="16"/>
      <c r="G2281" s="16"/>
      <c r="H2281" s="16"/>
      <c r="I2281" s="16"/>
      <c r="J2281" s="16"/>
      <c r="K2281" s="16"/>
      <c r="L2281" s="15">
        <f>IF(O2281,P2281/O2281,0)</f>
        <v>0</v>
      </c>
      <c r="M2281" s="15">
        <v>0</v>
      </c>
      <c r="N2281" s="15">
        <f>A2281</f>
        <v>2279</v>
      </c>
      <c r="O2281" s="16"/>
      <c r="P2281" s="16"/>
      <c r="Q2281" s="16"/>
    </row>
    <row r="2282" ht="20.05" customHeight="1">
      <c r="A2282" s="13">
        <f>A2281+1</f>
        <v>2280</v>
      </c>
      <c r="B2282" s="57"/>
      <c r="C2282" s="16"/>
      <c r="D2282" s="16"/>
      <c r="E2282" s="16"/>
      <c r="F2282" s="16"/>
      <c r="G2282" s="16"/>
      <c r="H2282" s="16"/>
      <c r="I2282" s="16"/>
      <c r="J2282" s="16"/>
      <c r="K2282" s="16"/>
      <c r="L2282" s="15">
        <f>IF(O2282,P2282/O2282,0)</f>
        <v>0</v>
      </c>
      <c r="M2282" s="15">
        <v>0</v>
      </c>
      <c r="N2282" s="15">
        <f>A2282</f>
        <v>2280</v>
      </c>
      <c r="O2282" s="16"/>
      <c r="P2282" s="16"/>
      <c r="Q2282" s="16"/>
    </row>
    <row r="2283" ht="20.05" customHeight="1">
      <c r="A2283" s="13">
        <f>A2282+1</f>
        <v>2281</v>
      </c>
      <c r="B2283" s="57"/>
      <c r="C2283" s="16"/>
      <c r="D2283" s="16"/>
      <c r="E2283" s="16"/>
      <c r="F2283" s="16"/>
      <c r="G2283" s="16"/>
      <c r="H2283" s="16"/>
      <c r="I2283" s="16"/>
      <c r="J2283" s="16"/>
      <c r="K2283" s="16"/>
      <c r="L2283" s="15">
        <f>IF(O2283,P2283/O2283,0)</f>
        <v>0</v>
      </c>
      <c r="M2283" s="15">
        <v>0</v>
      </c>
      <c r="N2283" s="15">
        <f>A2283</f>
        <v>2281</v>
      </c>
      <c r="O2283" s="16"/>
      <c r="P2283" s="16"/>
      <c r="Q2283" s="16"/>
    </row>
    <row r="2284" ht="20.05" customHeight="1">
      <c r="A2284" s="13">
        <f>A2283+1</f>
        <v>2282</v>
      </c>
      <c r="B2284" s="57"/>
      <c r="C2284" s="16"/>
      <c r="D2284" s="16"/>
      <c r="E2284" s="16"/>
      <c r="F2284" s="16"/>
      <c r="G2284" s="16"/>
      <c r="H2284" s="16"/>
      <c r="I2284" s="16"/>
      <c r="J2284" s="16"/>
      <c r="K2284" s="16"/>
      <c r="L2284" s="15">
        <f>IF(O2284,P2284/O2284,0)</f>
        <v>0</v>
      </c>
      <c r="M2284" s="15">
        <v>0</v>
      </c>
      <c r="N2284" s="15">
        <f>A2284</f>
        <v>2282</v>
      </c>
      <c r="O2284" s="16"/>
      <c r="P2284" s="16"/>
      <c r="Q2284" s="16"/>
    </row>
    <row r="2285" ht="20.05" customHeight="1">
      <c r="A2285" s="13">
        <f>A2284+1</f>
        <v>2283</v>
      </c>
      <c r="B2285" s="57"/>
      <c r="C2285" s="16"/>
      <c r="D2285" s="16"/>
      <c r="E2285" s="16"/>
      <c r="F2285" s="16"/>
      <c r="G2285" s="16"/>
      <c r="H2285" s="16"/>
      <c r="I2285" s="16"/>
      <c r="J2285" s="16"/>
      <c r="K2285" s="16"/>
      <c r="L2285" s="15">
        <f>IF(O2285,P2285/O2285,0)</f>
        <v>0</v>
      </c>
      <c r="M2285" s="15">
        <v>0</v>
      </c>
      <c r="N2285" s="15">
        <f>A2285</f>
        <v>2283</v>
      </c>
      <c r="O2285" s="16"/>
      <c r="P2285" s="16"/>
      <c r="Q2285" s="16"/>
    </row>
    <row r="2286" ht="20.05" customHeight="1">
      <c r="A2286" s="13">
        <f>A2285+1</f>
        <v>2284</v>
      </c>
      <c r="B2286" s="57"/>
      <c r="C2286" s="16"/>
      <c r="D2286" s="16"/>
      <c r="E2286" s="16"/>
      <c r="F2286" s="16"/>
      <c r="G2286" s="16"/>
      <c r="H2286" s="16"/>
      <c r="I2286" s="16"/>
      <c r="J2286" s="16"/>
      <c r="K2286" s="16"/>
      <c r="L2286" s="15">
        <f>IF(O2286,P2286/O2286,0)</f>
        <v>0</v>
      </c>
      <c r="M2286" s="15">
        <v>0</v>
      </c>
      <c r="N2286" s="15">
        <f>A2286</f>
        <v>2284</v>
      </c>
      <c r="O2286" s="16"/>
      <c r="P2286" s="16"/>
      <c r="Q2286" s="16"/>
    </row>
    <row r="2287" ht="20.05" customHeight="1">
      <c r="A2287" s="13">
        <f>A2286+1</f>
        <v>2285</v>
      </c>
      <c r="B2287" s="57"/>
      <c r="C2287" s="16"/>
      <c r="D2287" s="16"/>
      <c r="E2287" s="16"/>
      <c r="F2287" s="16"/>
      <c r="G2287" s="16"/>
      <c r="H2287" s="16"/>
      <c r="I2287" s="16"/>
      <c r="J2287" s="16"/>
      <c r="K2287" s="16"/>
      <c r="L2287" s="15">
        <f>IF(O2287,P2287/O2287,0)</f>
        <v>0</v>
      </c>
      <c r="M2287" s="15">
        <v>0</v>
      </c>
      <c r="N2287" s="15">
        <f>A2287</f>
        <v>2285</v>
      </c>
      <c r="O2287" s="16"/>
      <c r="P2287" s="16"/>
      <c r="Q2287" s="16"/>
    </row>
    <row r="2288" ht="20.05" customHeight="1">
      <c r="A2288" s="13">
        <f>A2287+1</f>
        <v>2286</v>
      </c>
      <c r="B2288" s="57"/>
      <c r="C2288" s="16"/>
      <c r="D2288" s="16"/>
      <c r="E2288" s="16"/>
      <c r="F2288" s="16"/>
      <c r="G2288" s="16"/>
      <c r="H2288" s="16"/>
      <c r="I2288" s="16"/>
      <c r="J2288" s="16"/>
      <c r="K2288" s="16"/>
      <c r="L2288" s="15">
        <f>IF(O2288,P2288/O2288,0)</f>
        <v>0</v>
      </c>
      <c r="M2288" s="15">
        <v>0</v>
      </c>
      <c r="N2288" s="15">
        <f>A2288</f>
        <v>2286</v>
      </c>
      <c r="O2288" s="16"/>
      <c r="P2288" s="16"/>
      <c r="Q2288" s="16"/>
    </row>
    <row r="2289" ht="20.05" customHeight="1">
      <c r="A2289" s="13">
        <f>A2288+1</f>
        <v>2287</v>
      </c>
      <c r="B2289" s="57"/>
      <c r="C2289" s="16"/>
      <c r="D2289" s="16"/>
      <c r="E2289" s="16"/>
      <c r="F2289" s="16"/>
      <c r="G2289" s="16"/>
      <c r="H2289" s="16"/>
      <c r="I2289" s="16"/>
      <c r="J2289" s="16"/>
      <c r="K2289" s="16"/>
      <c r="L2289" s="15">
        <f>IF(O2289,P2289/O2289,0)</f>
        <v>0</v>
      </c>
      <c r="M2289" s="15">
        <v>0</v>
      </c>
      <c r="N2289" s="15">
        <f>A2289</f>
        <v>2287</v>
      </c>
      <c r="O2289" s="16"/>
      <c r="P2289" s="16"/>
      <c r="Q2289" s="16"/>
    </row>
    <row r="2290" ht="20.05" customHeight="1">
      <c r="A2290" s="13">
        <f>A2289+1</f>
        <v>2288</v>
      </c>
      <c r="B2290" s="57"/>
      <c r="C2290" s="16"/>
      <c r="D2290" s="16"/>
      <c r="E2290" s="16"/>
      <c r="F2290" s="16"/>
      <c r="G2290" s="16"/>
      <c r="H2290" s="16"/>
      <c r="I2290" s="16"/>
      <c r="J2290" s="16"/>
      <c r="K2290" s="16"/>
      <c r="L2290" s="15">
        <f>IF(O2290,P2290/O2290,0)</f>
        <v>0</v>
      </c>
      <c r="M2290" s="15">
        <v>0</v>
      </c>
      <c r="N2290" s="15">
        <f>A2290</f>
        <v>2288</v>
      </c>
      <c r="O2290" s="16"/>
      <c r="P2290" s="16"/>
      <c r="Q2290" s="16"/>
    </row>
    <row r="2291" ht="20.05" customHeight="1">
      <c r="A2291" s="13">
        <f>A2290+1</f>
        <v>2289</v>
      </c>
      <c r="B2291" s="57"/>
      <c r="C2291" s="16"/>
      <c r="D2291" s="16"/>
      <c r="E2291" s="16"/>
      <c r="F2291" s="16"/>
      <c r="G2291" s="16"/>
      <c r="H2291" s="16"/>
      <c r="I2291" s="16"/>
      <c r="J2291" s="16"/>
      <c r="K2291" s="16"/>
      <c r="L2291" s="15">
        <f>IF(O2291,P2291/O2291,0)</f>
        <v>0</v>
      </c>
      <c r="M2291" s="15">
        <v>0</v>
      </c>
      <c r="N2291" s="15">
        <f>A2291</f>
        <v>2289</v>
      </c>
      <c r="O2291" s="16"/>
      <c r="P2291" s="16"/>
      <c r="Q2291" s="16"/>
    </row>
    <row r="2292" ht="20.05" customHeight="1">
      <c r="A2292" s="13">
        <f>A2291+1</f>
        <v>2290</v>
      </c>
      <c r="B2292" s="57"/>
      <c r="C2292" s="16"/>
      <c r="D2292" s="16"/>
      <c r="E2292" s="16"/>
      <c r="F2292" s="16"/>
      <c r="G2292" s="16"/>
      <c r="H2292" s="16"/>
      <c r="I2292" s="16"/>
      <c r="J2292" s="16"/>
      <c r="K2292" s="16"/>
      <c r="L2292" s="15">
        <f>IF(O2292,P2292/O2292,0)</f>
        <v>0</v>
      </c>
      <c r="M2292" s="15">
        <v>0</v>
      </c>
      <c r="N2292" s="15">
        <f>A2292</f>
        <v>2290</v>
      </c>
      <c r="O2292" s="16"/>
      <c r="P2292" s="16"/>
      <c r="Q2292" s="16"/>
    </row>
    <row r="2293" ht="20.05" customHeight="1">
      <c r="A2293" s="13">
        <f>A2292+1</f>
        <v>2291</v>
      </c>
      <c r="B2293" s="57"/>
      <c r="C2293" s="16"/>
      <c r="D2293" s="16"/>
      <c r="E2293" s="16"/>
      <c r="F2293" s="16"/>
      <c r="G2293" s="16"/>
      <c r="H2293" s="16"/>
      <c r="I2293" s="16"/>
      <c r="J2293" s="16"/>
      <c r="K2293" s="16"/>
      <c r="L2293" s="15">
        <f>IF(O2293,P2293/O2293,0)</f>
        <v>0</v>
      </c>
      <c r="M2293" s="15">
        <v>0</v>
      </c>
      <c r="N2293" s="15">
        <f>A2293</f>
        <v>2291</v>
      </c>
      <c r="O2293" s="16"/>
      <c r="P2293" s="16"/>
      <c r="Q2293" s="16"/>
    </row>
    <row r="2294" ht="20.05" customHeight="1">
      <c r="A2294" s="13">
        <f>A2293+1</f>
        <v>2292</v>
      </c>
      <c r="B2294" s="57"/>
      <c r="C2294" s="16"/>
      <c r="D2294" s="16"/>
      <c r="E2294" s="16"/>
      <c r="F2294" s="16"/>
      <c r="G2294" s="16"/>
      <c r="H2294" s="16"/>
      <c r="I2294" s="16"/>
      <c r="J2294" s="16"/>
      <c r="K2294" s="16"/>
      <c r="L2294" s="15">
        <f>IF(O2294,P2294/O2294,0)</f>
        <v>0</v>
      </c>
      <c r="M2294" s="15">
        <v>0</v>
      </c>
      <c r="N2294" s="15">
        <f>A2294</f>
        <v>2292</v>
      </c>
      <c r="O2294" s="16"/>
      <c r="P2294" s="16"/>
      <c r="Q2294" s="16"/>
    </row>
    <row r="2295" ht="20.05" customHeight="1">
      <c r="A2295" s="13">
        <f>A2294+1</f>
        <v>2293</v>
      </c>
      <c r="B2295" s="57"/>
      <c r="C2295" s="16"/>
      <c r="D2295" s="16"/>
      <c r="E2295" s="16"/>
      <c r="F2295" s="16"/>
      <c r="G2295" s="16"/>
      <c r="H2295" s="16"/>
      <c r="I2295" s="16"/>
      <c r="J2295" s="16"/>
      <c r="K2295" s="16"/>
      <c r="L2295" s="15">
        <f>IF(O2295,P2295/O2295,0)</f>
        <v>0</v>
      </c>
      <c r="M2295" s="15">
        <v>0</v>
      </c>
      <c r="N2295" s="15">
        <f>A2295</f>
        <v>2293</v>
      </c>
      <c r="O2295" s="16"/>
      <c r="P2295" s="16"/>
      <c r="Q2295" s="16"/>
    </row>
    <row r="2296" ht="20.05" customHeight="1">
      <c r="A2296" s="13">
        <f>A2295+1</f>
        <v>2294</v>
      </c>
      <c r="B2296" s="57"/>
      <c r="C2296" s="16"/>
      <c r="D2296" s="16"/>
      <c r="E2296" s="16"/>
      <c r="F2296" s="16"/>
      <c r="G2296" s="16"/>
      <c r="H2296" s="16"/>
      <c r="I2296" s="16"/>
      <c r="J2296" s="16"/>
      <c r="K2296" s="16"/>
      <c r="L2296" s="15">
        <f>IF(O2296,P2296/O2296,0)</f>
        <v>0</v>
      </c>
      <c r="M2296" s="15">
        <v>0</v>
      </c>
      <c r="N2296" s="15">
        <f>A2296</f>
        <v>2294</v>
      </c>
      <c r="O2296" s="16"/>
      <c r="P2296" s="16"/>
      <c r="Q2296" s="16"/>
    </row>
    <row r="2297" ht="20.05" customHeight="1">
      <c r="A2297" s="13">
        <f>A2296+1</f>
        <v>2295</v>
      </c>
      <c r="B2297" s="57"/>
      <c r="C2297" s="16"/>
      <c r="D2297" s="16"/>
      <c r="E2297" s="16"/>
      <c r="F2297" s="16"/>
      <c r="G2297" s="16"/>
      <c r="H2297" s="16"/>
      <c r="I2297" s="16"/>
      <c r="J2297" s="16"/>
      <c r="K2297" s="16"/>
      <c r="L2297" s="15">
        <f>IF(O2297,P2297/O2297,0)</f>
        <v>0</v>
      </c>
      <c r="M2297" s="15">
        <v>0</v>
      </c>
      <c r="N2297" s="15">
        <f>A2297</f>
        <v>2295</v>
      </c>
      <c r="O2297" s="16"/>
      <c r="P2297" s="16"/>
      <c r="Q2297" s="16"/>
    </row>
    <row r="2298" ht="20.05" customHeight="1">
      <c r="A2298" s="13">
        <f>A2297+1</f>
        <v>2296</v>
      </c>
      <c r="B2298" s="57"/>
      <c r="C2298" s="16"/>
      <c r="D2298" s="16"/>
      <c r="E2298" s="16"/>
      <c r="F2298" s="16"/>
      <c r="G2298" s="16"/>
      <c r="H2298" s="16"/>
      <c r="I2298" s="16"/>
      <c r="J2298" s="16"/>
      <c r="K2298" s="16"/>
      <c r="L2298" s="15">
        <f>IF(O2298,P2298/O2298,0)</f>
        <v>0</v>
      </c>
      <c r="M2298" s="15">
        <v>0</v>
      </c>
      <c r="N2298" s="15">
        <f>A2298</f>
        <v>2296</v>
      </c>
      <c r="O2298" s="16"/>
      <c r="P2298" s="16"/>
      <c r="Q2298" s="16"/>
    </row>
    <row r="2299" ht="20.05" customHeight="1">
      <c r="A2299" s="13">
        <f>A2298+1</f>
        <v>2297</v>
      </c>
      <c r="B2299" s="57"/>
      <c r="C2299" s="16"/>
      <c r="D2299" s="16"/>
      <c r="E2299" s="16"/>
      <c r="F2299" s="16"/>
      <c r="G2299" s="16"/>
      <c r="H2299" s="16"/>
      <c r="I2299" s="16"/>
      <c r="J2299" s="16"/>
      <c r="K2299" s="16"/>
      <c r="L2299" s="15">
        <f>IF(O2299,P2299/O2299,0)</f>
        <v>0</v>
      </c>
      <c r="M2299" s="15">
        <v>0</v>
      </c>
      <c r="N2299" s="15">
        <f>A2299</f>
        <v>2297</v>
      </c>
      <c r="O2299" s="16"/>
      <c r="P2299" s="16"/>
      <c r="Q2299" s="16"/>
    </row>
    <row r="2300" ht="20.05" customHeight="1">
      <c r="A2300" s="13">
        <f>A2299+1</f>
        <v>2298</v>
      </c>
      <c r="B2300" s="57"/>
      <c r="C2300" s="16"/>
      <c r="D2300" s="16"/>
      <c r="E2300" s="16"/>
      <c r="F2300" s="16"/>
      <c r="G2300" s="16"/>
      <c r="H2300" s="16"/>
      <c r="I2300" s="16"/>
      <c r="J2300" s="16"/>
      <c r="K2300" s="16"/>
      <c r="L2300" s="15">
        <f>IF(O2300,P2300/O2300,0)</f>
        <v>0</v>
      </c>
      <c r="M2300" s="15">
        <v>0</v>
      </c>
      <c r="N2300" s="15">
        <f>A2300</f>
        <v>2298</v>
      </c>
      <c r="O2300" s="16"/>
      <c r="P2300" s="16"/>
      <c r="Q2300" s="16"/>
    </row>
    <row r="2301" ht="20.05" customHeight="1">
      <c r="A2301" s="13">
        <f>A2300+1</f>
        <v>2299</v>
      </c>
      <c r="B2301" s="57"/>
      <c r="C2301" s="16"/>
      <c r="D2301" s="16"/>
      <c r="E2301" s="16"/>
      <c r="F2301" s="16"/>
      <c r="G2301" s="16"/>
      <c r="H2301" s="16"/>
      <c r="I2301" s="16"/>
      <c r="J2301" s="16"/>
      <c r="K2301" s="16"/>
      <c r="L2301" s="15">
        <f>IF(O2301,P2301/O2301,0)</f>
        <v>0</v>
      </c>
      <c r="M2301" s="15">
        <v>0</v>
      </c>
      <c r="N2301" s="15">
        <f>A2301</f>
        <v>2299</v>
      </c>
      <c r="O2301" s="16"/>
      <c r="P2301" s="16"/>
      <c r="Q2301" s="16"/>
    </row>
    <row r="2302" ht="20.05" customHeight="1">
      <c r="A2302" s="13">
        <f>A2301+1</f>
        <v>2300</v>
      </c>
      <c r="B2302" s="57"/>
      <c r="C2302" s="16"/>
      <c r="D2302" s="16"/>
      <c r="E2302" s="16"/>
      <c r="F2302" s="16"/>
      <c r="G2302" s="16"/>
      <c r="H2302" s="16"/>
      <c r="I2302" s="16"/>
      <c r="J2302" s="16"/>
      <c r="K2302" s="16"/>
      <c r="L2302" s="15">
        <f>IF(O2302,P2302/O2302,0)</f>
        <v>0</v>
      </c>
      <c r="M2302" s="15">
        <v>0</v>
      </c>
      <c r="N2302" s="15">
        <f>A2302</f>
        <v>2300</v>
      </c>
      <c r="O2302" s="16"/>
      <c r="P2302" s="16"/>
      <c r="Q2302" s="16"/>
    </row>
    <row r="2303" ht="20.05" customHeight="1">
      <c r="A2303" s="13">
        <f>A2302+1</f>
        <v>2301</v>
      </c>
      <c r="B2303" s="57"/>
      <c r="C2303" s="16"/>
      <c r="D2303" s="16"/>
      <c r="E2303" s="16"/>
      <c r="F2303" s="16"/>
      <c r="G2303" s="16"/>
      <c r="H2303" s="16"/>
      <c r="I2303" s="16"/>
      <c r="J2303" s="16"/>
      <c r="K2303" s="16"/>
      <c r="L2303" s="15">
        <f>IF(O2303,P2303/O2303,0)</f>
        <v>0</v>
      </c>
      <c r="M2303" s="15">
        <v>0</v>
      </c>
      <c r="N2303" s="15">
        <f>A2303</f>
        <v>2301</v>
      </c>
      <c r="O2303" s="16"/>
      <c r="P2303" s="16"/>
      <c r="Q2303" s="16"/>
    </row>
    <row r="2304" ht="20.05" customHeight="1">
      <c r="A2304" s="13">
        <f>A2303+1</f>
        <v>2302</v>
      </c>
      <c r="B2304" s="57"/>
      <c r="C2304" s="16"/>
      <c r="D2304" s="16"/>
      <c r="E2304" s="16"/>
      <c r="F2304" s="16"/>
      <c r="G2304" s="16"/>
      <c r="H2304" s="16"/>
      <c r="I2304" s="16"/>
      <c r="J2304" s="16"/>
      <c r="K2304" s="16"/>
      <c r="L2304" s="15">
        <f>IF(O2304,P2304/O2304,0)</f>
        <v>0</v>
      </c>
      <c r="M2304" s="15">
        <v>0</v>
      </c>
      <c r="N2304" s="15">
        <f>A2304</f>
        <v>2302</v>
      </c>
      <c r="O2304" s="16"/>
      <c r="P2304" s="16"/>
      <c r="Q2304" s="16"/>
    </row>
    <row r="2305" ht="20.05" customHeight="1">
      <c r="A2305" s="13">
        <f>A2304+1</f>
        <v>2303</v>
      </c>
      <c r="B2305" s="57"/>
      <c r="C2305" s="16"/>
      <c r="D2305" s="16"/>
      <c r="E2305" s="16"/>
      <c r="F2305" s="16"/>
      <c r="G2305" s="16"/>
      <c r="H2305" s="16"/>
      <c r="I2305" s="16"/>
      <c r="J2305" s="16"/>
      <c r="K2305" s="16"/>
      <c r="L2305" s="15">
        <f>IF(O2305,P2305/O2305,0)</f>
        <v>0</v>
      </c>
      <c r="M2305" s="15">
        <v>0</v>
      </c>
      <c r="N2305" s="15">
        <f>A2305</f>
        <v>2303</v>
      </c>
      <c r="O2305" s="16"/>
      <c r="P2305" s="16"/>
      <c r="Q2305" s="16"/>
    </row>
    <row r="2306" ht="20.05" customHeight="1">
      <c r="A2306" s="13">
        <f>A2305+1</f>
        <v>2304</v>
      </c>
      <c r="B2306" s="57"/>
      <c r="C2306" s="16"/>
      <c r="D2306" s="16"/>
      <c r="E2306" s="16"/>
      <c r="F2306" s="16"/>
      <c r="G2306" s="16"/>
      <c r="H2306" s="16"/>
      <c r="I2306" s="16"/>
      <c r="J2306" s="16"/>
      <c r="K2306" s="16"/>
      <c r="L2306" s="15">
        <f>IF(O2306,P2306/O2306,0)</f>
        <v>0</v>
      </c>
      <c r="M2306" s="15">
        <v>0</v>
      </c>
      <c r="N2306" s="15">
        <f>A2306</f>
        <v>2304</v>
      </c>
      <c r="O2306" s="16"/>
      <c r="P2306" s="16"/>
      <c r="Q2306" s="16"/>
    </row>
    <row r="2307" ht="20.05" customHeight="1">
      <c r="A2307" s="13">
        <f>A2306+1</f>
        <v>2305</v>
      </c>
      <c r="B2307" s="57"/>
      <c r="C2307" s="16"/>
      <c r="D2307" s="16"/>
      <c r="E2307" s="16"/>
      <c r="F2307" s="16"/>
      <c r="G2307" s="16"/>
      <c r="H2307" s="16"/>
      <c r="I2307" s="16"/>
      <c r="J2307" s="16"/>
      <c r="K2307" s="16"/>
      <c r="L2307" s="15">
        <f>IF(O2307,P2307/O2307,0)</f>
        <v>0</v>
      </c>
      <c r="M2307" s="15">
        <v>0</v>
      </c>
      <c r="N2307" s="15">
        <f>A2307</f>
        <v>2305</v>
      </c>
      <c r="O2307" s="16"/>
      <c r="P2307" s="16"/>
      <c r="Q2307" s="16"/>
    </row>
    <row r="2308" ht="20.05" customHeight="1">
      <c r="A2308" s="13">
        <f>A2307+1</f>
        <v>2306</v>
      </c>
      <c r="B2308" s="57"/>
      <c r="C2308" s="16"/>
      <c r="D2308" s="16"/>
      <c r="E2308" s="16"/>
      <c r="F2308" s="16"/>
      <c r="G2308" s="16"/>
      <c r="H2308" s="16"/>
      <c r="I2308" s="16"/>
      <c r="J2308" s="16"/>
      <c r="K2308" s="16"/>
      <c r="L2308" s="15">
        <f>IF(O2308,P2308/O2308,0)</f>
        <v>0</v>
      </c>
      <c r="M2308" s="15">
        <v>0</v>
      </c>
      <c r="N2308" s="15">
        <f>A2308</f>
        <v>2306</v>
      </c>
      <c r="O2308" s="16"/>
      <c r="P2308" s="16"/>
      <c r="Q2308" s="16"/>
    </row>
    <row r="2309" ht="20.05" customHeight="1">
      <c r="A2309" s="13">
        <f>A2308+1</f>
        <v>2307</v>
      </c>
      <c r="B2309" s="57"/>
      <c r="C2309" s="16"/>
      <c r="D2309" s="16"/>
      <c r="E2309" s="16"/>
      <c r="F2309" s="16"/>
      <c r="G2309" s="16"/>
      <c r="H2309" s="16"/>
      <c r="I2309" s="16"/>
      <c r="J2309" s="16"/>
      <c r="K2309" s="16"/>
      <c r="L2309" s="15">
        <f>IF(O2309,P2309/O2309,0)</f>
        <v>0</v>
      </c>
      <c r="M2309" s="15">
        <v>0</v>
      </c>
      <c r="N2309" s="15">
        <f>A2309</f>
        <v>2307</v>
      </c>
      <c r="O2309" s="16"/>
      <c r="P2309" s="16"/>
      <c r="Q2309" s="16"/>
    </row>
    <row r="2310" ht="20.05" customHeight="1">
      <c r="A2310" s="13">
        <f>A2309+1</f>
        <v>2308</v>
      </c>
      <c r="B2310" s="57"/>
      <c r="C2310" s="16"/>
      <c r="D2310" s="16"/>
      <c r="E2310" s="16"/>
      <c r="F2310" s="16"/>
      <c r="G2310" s="16"/>
      <c r="H2310" s="16"/>
      <c r="I2310" s="16"/>
      <c r="J2310" s="16"/>
      <c r="K2310" s="16"/>
      <c r="L2310" s="15">
        <f>IF(O2310,P2310/O2310,0)</f>
        <v>0</v>
      </c>
      <c r="M2310" s="15">
        <v>0</v>
      </c>
      <c r="N2310" s="15">
        <f>A2310</f>
        <v>2308</v>
      </c>
      <c r="O2310" s="16"/>
      <c r="P2310" s="16"/>
      <c r="Q2310" s="16"/>
    </row>
    <row r="2311" ht="20.05" customHeight="1">
      <c r="A2311" s="13">
        <f>A2310+1</f>
        <v>2309</v>
      </c>
      <c r="B2311" s="57"/>
      <c r="C2311" s="16"/>
      <c r="D2311" s="16"/>
      <c r="E2311" s="16"/>
      <c r="F2311" s="16"/>
      <c r="G2311" s="16"/>
      <c r="H2311" s="16"/>
      <c r="I2311" s="16"/>
      <c r="J2311" s="16"/>
      <c r="K2311" s="16"/>
      <c r="L2311" s="15">
        <f>IF(O2311,P2311/O2311,0)</f>
        <v>0</v>
      </c>
      <c r="M2311" s="15">
        <v>0</v>
      </c>
      <c r="N2311" s="15">
        <f>A2311</f>
        <v>2309</v>
      </c>
      <c r="O2311" s="16"/>
      <c r="P2311" s="16"/>
      <c r="Q2311" s="16"/>
    </row>
    <row r="2312" ht="20.05" customHeight="1">
      <c r="A2312" s="13">
        <f>A2311+1</f>
        <v>2310</v>
      </c>
      <c r="B2312" s="57"/>
      <c r="C2312" s="16"/>
      <c r="D2312" s="16"/>
      <c r="E2312" s="16"/>
      <c r="F2312" s="16"/>
      <c r="G2312" s="16"/>
      <c r="H2312" s="16"/>
      <c r="I2312" s="16"/>
      <c r="J2312" s="16"/>
      <c r="K2312" s="16"/>
      <c r="L2312" s="15">
        <f>IF(O2312,P2312/O2312,0)</f>
        <v>0</v>
      </c>
      <c r="M2312" s="15">
        <v>0</v>
      </c>
      <c r="N2312" s="15">
        <f>A2312</f>
        <v>2310</v>
      </c>
      <c r="O2312" s="16"/>
      <c r="P2312" s="16"/>
      <c r="Q2312" s="16"/>
    </row>
    <row r="2313" ht="20.05" customHeight="1">
      <c r="A2313" s="13">
        <f>A2312+1</f>
        <v>2311</v>
      </c>
      <c r="B2313" s="57"/>
      <c r="C2313" s="16"/>
      <c r="D2313" s="16"/>
      <c r="E2313" s="16"/>
      <c r="F2313" s="16"/>
      <c r="G2313" s="16"/>
      <c r="H2313" s="16"/>
      <c r="I2313" s="16"/>
      <c r="J2313" s="16"/>
      <c r="K2313" s="16"/>
      <c r="L2313" s="15">
        <f>IF(O2313,P2313/O2313,0)</f>
        <v>0</v>
      </c>
      <c r="M2313" s="15">
        <v>0</v>
      </c>
      <c r="N2313" s="15">
        <f>A2313</f>
        <v>2311</v>
      </c>
      <c r="O2313" s="16"/>
      <c r="P2313" s="16"/>
      <c r="Q2313" s="16"/>
    </row>
    <row r="2314" ht="20.05" customHeight="1">
      <c r="A2314" s="13">
        <f>A2313+1</f>
        <v>2312</v>
      </c>
      <c r="B2314" s="57"/>
      <c r="C2314" s="16"/>
      <c r="D2314" s="16"/>
      <c r="E2314" s="16"/>
      <c r="F2314" s="16"/>
      <c r="G2314" s="16"/>
      <c r="H2314" s="16"/>
      <c r="I2314" s="16"/>
      <c r="J2314" s="16"/>
      <c r="K2314" s="16"/>
      <c r="L2314" s="15">
        <f>IF(O2314,P2314/O2314,0)</f>
        <v>0</v>
      </c>
      <c r="M2314" s="15">
        <v>0</v>
      </c>
      <c r="N2314" s="15">
        <f>A2314</f>
        <v>2312</v>
      </c>
      <c r="O2314" s="16"/>
      <c r="P2314" s="16"/>
      <c r="Q2314" s="16"/>
    </row>
    <row r="2315" ht="20.05" customHeight="1">
      <c r="A2315" s="13">
        <f>A2314+1</f>
        <v>2313</v>
      </c>
      <c r="B2315" s="57"/>
      <c r="C2315" s="16"/>
      <c r="D2315" s="16"/>
      <c r="E2315" s="16"/>
      <c r="F2315" s="16"/>
      <c r="G2315" s="16"/>
      <c r="H2315" s="16"/>
      <c r="I2315" s="16"/>
      <c r="J2315" s="16"/>
      <c r="K2315" s="16"/>
      <c r="L2315" s="15">
        <f>IF(O2315,P2315/O2315,0)</f>
        <v>0</v>
      </c>
      <c r="M2315" s="15">
        <v>0</v>
      </c>
      <c r="N2315" s="15">
        <f>A2315</f>
        <v>2313</v>
      </c>
      <c r="O2315" s="16"/>
      <c r="P2315" s="16"/>
      <c r="Q2315" s="16"/>
    </row>
    <row r="2316" ht="20.05" customHeight="1">
      <c r="A2316" s="13">
        <f>A2315+1</f>
        <v>2314</v>
      </c>
      <c r="B2316" s="57"/>
      <c r="C2316" s="16"/>
      <c r="D2316" s="16"/>
      <c r="E2316" s="16"/>
      <c r="F2316" s="16"/>
      <c r="G2316" s="16"/>
      <c r="H2316" s="16"/>
      <c r="I2316" s="16"/>
      <c r="J2316" s="16"/>
      <c r="K2316" s="16"/>
      <c r="L2316" s="15">
        <f>IF(O2316,P2316/O2316,0)</f>
        <v>0</v>
      </c>
      <c r="M2316" s="15">
        <v>0</v>
      </c>
      <c r="N2316" s="15">
        <f>A2316</f>
        <v>2314</v>
      </c>
      <c r="O2316" s="16"/>
      <c r="P2316" s="16"/>
      <c r="Q2316" s="16"/>
    </row>
    <row r="2317" ht="20.05" customHeight="1">
      <c r="A2317" s="13">
        <f>A2316+1</f>
        <v>2315</v>
      </c>
      <c r="B2317" s="57"/>
      <c r="C2317" s="16"/>
      <c r="D2317" s="16"/>
      <c r="E2317" s="16"/>
      <c r="F2317" s="16"/>
      <c r="G2317" s="16"/>
      <c r="H2317" s="16"/>
      <c r="I2317" s="16"/>
      <c r="J2317" s="16"/>
      <c r="K2317" s="16"/>
      <c r="L2317" s="15">
        <f>IF(O2317,P2317/O2317,0)</f>
        <v>0</v>
      </c>
      <c r="M2317" s="15">
        <v>0</v>
      </c>
      <c r="N2317" s="15">
        <f>A2317</f>
        <v>2315</v>
      </c>
      <c r="O2317" s="16"/>
      <c r="P2317" s="16"/>
      <c r="Q2317" s="16"/>
    </row>
    <row r="2318" ht="20.05" customHeight="1">
      <c r="A2318" s="13">
        <f>A2317+1</f>
        <v>2316</v>
      </c>
      <c r="B2318" s="57"/>
      <c r="C2318" s="16"/>
      <c r="D2318" s="16"/>
      <c r="E2318" s="16"/>
      <c r="F2318" s="16"/>
      <c r="G2318" s="16"/>
      <c r="H2318" s="16"/>
      <c r="I2318" s="16"/>
      <c r="J2318" s="16"/>
      <c r="K2318" s="16"/>
      <c r="L2318" s="15">
        <f>IF(O2318,P2318/O2318,0)</f>
        <v>0</v>
      </c>
      <c r="M2318" s="15">
        <v>0</v>
      </c>
      <c r="N2318" s="15">
        <f>A2318</f>
        <v>2316</v>
      </c>
      <c r="O2318" s="16"/>
      <c r="P2318" s="16"/>
      <c r="Q2318" s="16"/>
    </row>
    <row r="2319" ht="20.05" customHeight="1">
      <c r="A2319" s="13">
        <f>A2318+1</f>
        <v>2317</v>
      </c>
      <c r="B2319" s="57"/>
      <c r="C2319" s="16"/>
      <c r="D2319" s="16"/>
      <c r="E2319" s="16"/>
      <c r="F2319" s="16"/>
      <c r="G2319" s="16"/>
      <c r="H2319" s="16"/>
      <c r="I2319" s="16"/>
      <c r="J2319" s="16"/>
      <c r="K2319" s="16"/>
      <c r="L2319" s="15">
        <f>IF(O2319,P2319/O2319,0)</f>
        <v>0</v>
      </c>
      <c r="M2319" s="15">
        <v>0</v>
      </c>
      <c r="N2319" s="15">
        <f>A2319</f>
        <v>2317</v>
      </c>
      <c r="O2319" s="16"/>
      <c r="P2319" s="16"/>
      <c r="Q2319" s="16"/>
    </row>
    <row r="2320" ht="20.05" customHeight="1">
      <c r="A2320" s="13">
        <f>A2319+1</f>
        <v>2318</v>
      </c>
      <c r="B2320" s="57"/>
      <c r="C2320" s="16"/>
      <c r="D2320" s="16"/>
      <c r="E2320" s="16"/>
      <c r="F2320" s="16"/>
      <c r="G2320" s="16"/>
      <c r="H2320" s="16"/>
      <c r="I2320" s="16"/>
      <c r="J2320" s="16"/>
      <c r="K2320" s="16"/>
      <c r="L2320" s="15">
        <f>IF(O2320,P2320/O2320,0)</f>
        <v>0</v>
      </c>
      <c r="M2320" s="15">
        <v>0</v>
      </c>
      <c r="N2320" s="15">
        <f>A2320</f>
        <v>2318</v>
      </c>
      <c r="O2320" s="16"/>
      <c r="P2320" s="16"/>
      <c r="Q2320" s="16"/>
    </row>
    <row r="2321" ht="20.05" customHeight="1">
      <c r="A2321" s="13">
        <f>A2320+1</f>
        <v>2319</v>
      </c>
      <c r="B2321" s="57"/>
      <c r="C2321" s="16"/>
      <c r="D2321" s="16"/>
      <c r="E2321" s="16"/>
      <c r="F2321" s="16"/>
      <c r="G2321" s="16"/>
      <c r="H2321" s="16"/>
      <c r="I2321" s="16"/>
      <c r="J2321" s="16"/>
      <c r="K2321" s="16"/>
      <c r="L2321" s="15">
        <f>IF(O2321,P2321/O2321,0)</f>
        <v>0</v>
      </c>
      <c r="M2321" s="15">
        <v>0</v>
      </c>
      <c r="N2321" s="15">
        <f>A2321</f>
        <v>2319</v>
      </c>
      <c r="O2321" s="16"/>
      <c r="P2321" s="16"/>
      <c r="Q2321" s="16"/>
    </row>
    <row r="2322" ht="20.05" customHeight="1">
      <c r="A2322" s="13">
        <f>A2321+1</f>
        <v>2320</v>
      </c>
      <c r="B2322" s="57"/>
      <c r="C2322" s="16"/>
      <c r="D2322" s="16"/>
      <c r="E2322" s="16"/>
      <c r="F2322" s="16"/>
      <c r="G2322" s="16"/>
      <c r="H2322" s="16"/>
      <c r="I2322" s="16"/>
      <c r="J2322" s="16"/>
      <c r="K2322" s="16"/>
      <c r="L2322" s="15">
        <f>IF(O2322,P2322/O2322,0)</f>
        <v>0</v>
      </c>
      <c r="M2322" s="15">
        <v>0</v>
      </c>
      <c r="N2322" s="15">
        <f>A2322</f>
        <v>2320</v>
      </c>
      <c r="O2322" s="16"/>
      <c r="P2322" s="16"/>
      <c r="Q2322" s="16"/>
    </row>
    <row r="2323" ht="20.05" customHeight="1">
      <c r="A2323" s="13">
        <f>A2322+1</f>
        <v>2321</v>
      </c>
      <c r="B2323" s="57"/>
      <c r="C2323" s="16"/>
      <c r="D2323" s="16"/>
      <c r="E2323" s="16"/>
      <c r="F2323" s="16"/>
      <c r="G2323" s="16"/>
      <c r="H2323" s="16"/>
      <c r="I2323" s="16"/>
      <c r="J2323" s="16"/>
      <c r="K2323" s="16"/>
      <c r="L2323" s="15">
        <f>IF(O2323,P2323/O2323,0)</f>
        <v>0</v>
      </c>
      <c r="M2323" s="15">
        <v>0</v>
      </c>
      <c r="N2323" s="15">
        <f>A2323</f>
        <v>2321</v>
      </c>
      <c r="O2323" s="16"/>
      <c r="P2323" s="16"/>
      <c r="Q2323" s="16"/>
    </row>
    <row r="2324" ht="20.05" customHeight="1">
      <c r="A2324" s="13">
        <f>A2323+1</f>
        <v>2322</v>
      </c>
      <c r="B2324" s="57"/>
      <c r="C2324" s="16"/>
      <c r="D2324" s="16"/>
      <c r="E2324" s="16"/>
      <c r="F2324" s="16"/>
      <c r="G2324" s="16"/>
      <c r="H2324" s="16"/>
      <c r="I2324" s="16"/>
      <c r="J2324" s="16"/>
      <c r="K2324" s="16"/>
      <c r="L2324" s="15">
        <f>IF(O2324,P2324/O2324,0)</f>
        <v>0</v>
      </c>
      <c r="M2324" s="15">
        <v>0</v>
      </c>
      <c r="N2324" s="15">
        <f>A2324</f>
        <v>2322</v>
      </c>
      <c r="O2324" s="16"/>
      <c r="P2324" s="16"/>
      <c r="Q2324" s="16"/>
    </row>
    <row r="2325" ht="20.05" customHeight="1">
      <c r="A2325" s="13">
        <f>A2324+1</f>
        <v>2323</v>
      </c>
      <c r="B2325" s="57"/>
      <c r="C2325" s="16"/>
      <c r="D2325" s="16"/>
      <c r="E2325" s="16"/>
      <c r="F2325" s="16"/>
      <c r="G2325" s="16"/>
      <c r="H2325" s="16"/>
      <c r="I2325" s="16"/>
      <c r="J2325" s="16"/>
      <c r="K2325" s="16"/>
      <c r="L2325" s="15">
        <f>IF(O2325,P2325/O2325,0)</f>
        <v>0</v>
      </c>
      <c r="M2325" s="15">
        <v>0</v>
      </c>
      <c r="N2325" s="15">
        <f>A2325</f>
        <v>2323</v>
      </c>
      <c r="O2325" s="16"/>
      <c r="P2325" s="16"/>
      <c r="Q2325" s="16"/>
    </row>
    <row r="2326" ht="20.05" customHeight="1">
      <c r="A2326" s="13">
        <f>A2325+1</f>
        <v>2324</v>
      </c>
      <c r="B2326" s="57"/>
      <c r="C2326" s="16"/>
      <c r="D2326" s="16"/>
      <c r="E2326" s="16"/>
      <c r="F2326" s="16"/>
      <c r="G2326" s="16"/>
      <c r="H2326" s="16"/>
      <c r="I2326" s="16"/>
      <c r="J2326" s="16"/>
      <c r="K2326" s="16"/>
      <c r="L2326" s="15">
        <f>IF(O2326,P2326/O2326,0)</f>
        <v>0</v>
      </c>
      <c r="M2326" s="15">
        <v>0</v>
      </c>
      <c r="N2326" s="15">
        <f>A2326</f>
        <v>2324</v>
      </c>
      <c r="O2326" s="16"/>
      <c r="P2326" s="16"/>
      <c r="Q2326" s="16"/>
    </row>
    <row r="2327" ht="20.05" customHeight="1">
      <c r="A2327" s="13">
        <f>A2326+1</f>
        <v>2325</v>
      </c>
      <c r="B2327" s="57"/>
      <c r="C2327" s="16"/>
      <c r="D2327" s="16"/>
      <c r="E2327" s="16"/>
      <c r="F2327" s="16"/>
      <c r="G2327" s="16"/>
      <c r="H2327" s="16"/>
      <c r="I2327" s="16"/>
      <c r="J2327" s="16"/>
      <c r="K2327" s="16"/>
      <c r="L2327" s="15">
        <f>IF(O2327,P2327/O2327,0)</f>
        <v>0</v>
      </c>
      <c r="M2327" s="15">
        <v>0</v>
      </c>
      <c r="N2327" s="15">
        <f>A2327</f>
        <v>2325</v>
      </c>
      <c r="O2327" s="16"/>
      <c r="P2327" s="16"/>
      <c r="Q2327" s="16"/>
    </row>
    <row r="2328" ht="20.05" customHeight="1">
      <c r="A2328" s="13">
        <f>A2327+1</f>
        <v>2326</v>
      </c>
      <c r="B2328" s="57"/>
      <c r="C2328" s="16"/>
      <c r="D2328" s="16"/>
      <c r="E2328" s="16"/>
      <c r="F2328" s="16"/>
      <c r="G2328" s="16"/>
      <c r="H2328" s="16"/>
      <c r="I2328" s="16"/>
      <c r="J2328" s="16"/>
      <c r="K2328" s="16"/>
      <c r="L2328" s="15">
        <f>IF(O2328,P2328/O2328,0)</f>
        <v>0</v>
      </c>
      <c r="M2328" s="15">
        <v>0</v>
      </c>
      <c r="N2328" s="15">
        <f>A2328</f>
        <v>2326</v>
      </c>
      <c r="O2328" s="16"/>
      <c r="P2328" s="16"/>
      <c r="Q2328" s="16"/>
    </row>
    <row r="2329" ht="20.05" customHeight="1">
      <c r="A2329" s="13">
        <f>A2328+1</f>
        <v>2327</v>
      </c>
      <c r="B2329" s="57"/>
      <c r="C2329" s="16"/>
      <c r="D2329" s="16"/>
      <c r="E2329" s="16"/>
      <c r="F2329" s="16"/>
      <c r="G2329" s="16"/>
      <c r="H2329" s="16"/>
      <c r="I2329" s="16"/>
      <c r="J2329" s="16"/>
      <c r="K2329" s="16"/>
      <c r="L2329" s="15">
        <f>IF(O2329,P2329/O2329,0)</f>
        <v>0</v>
      </c>
      <c r="M2329" s="15">
        <v>0</v>
      </c>
      <c r="N2329" s="15">
        <f>A2329</f>
        <v>2327</v>
      </c>
      <c r="O2329" s="16"/>
      <c r="P2329" s="16"/>
      <c r="Q2329" s="16"/>
    </row>
    <row r="2330" ht="20.05" customHeight="1">
      <c r="A2330" s="13">
        <f>A2329+1</f>
        <v>2328</v>
      </c>
      <c r="B2330" s="57"/>
      <c r="C2330" s="16"/>
      <c r="D2330" s="16"/>
      <c r="E2330" s="16"/>
      <c r="F2330" s="16"/>
      <c r="G2330" s="16"/>
      <c r="H2330" s="16"/>
      <c r="I2330" s="16"/>
      <c r="J2330" s="16"/>
      <c r="K2330" s="16"/>
      <c r="L2330" s="15">
        <f>IF(O2330,P2330/O2330,0)</f>
        <v>0</v>
      </c>
      <c r="M2330" s="15">
        <v>0</v>
      </c>
      <c r="N2330" s="15">
        <f>A2330</f>
        <v>2328</v>
      </c>
      <c r="O2330" s="16"/>
      <c r="P2330" s="16"/>
      <c r="Q2330" s="16"/>
    </row>
    <row r="2331" ht="20.05" customHeight="1">
      <c r="A2331" s="13">
        <f>A2330+1</f>
        <v>2329</v>
      </c>
      <c r="B2331" s="57"/>
      <c r="C2331" s="16"/>
      <c r="D2331" s="16"/>
      <c r="E2331" s="16"/>
      <c r="F2331" s="16"/>
      <c r="G2331" s="16"/>
      <c r="H2331" s="16"/>
      <c r="I2331" s="16"/>
      <c r="J2331" s="16"/>
      <c r="K2331" s="16"/>
      <c r="L2331" s="15">
        <f>IF(O2331,P2331/O2331,0)</f>
        <v>0</v>
      </c>
      <c r="M2331" s="15">
        <v>0</v>
      </c>
      <c r="N2331" s="15">
        <f>A2331</f>
        <v>2329</v>
      </c>
      <c r="O2331" s="16"/>
      <c r="P2331" s="16"/>
      <c r="Q2331" s="16"/>
    </row>
    <row r="2332" ht="20.05" customHeight="1">
      <c r="A2332" s="13">
        <f>A2331+1</f>
        <v>2330</v>
      </c>
      <c r="B2332" s="57"/>
      <c r="C2332" s="16"/>
      <c r="D2332" s="16"/>
      <c r="E2332" s="16"/>
      <c r="F2332" s="16"/>
      <c r="G2332" s="16"/>
      <c r="H2332" s="16"/>
      <c r="I2332" s="16"/>
      <c r="J2332" s="16"/>
      <c r="K2332" s="16"/>
      <c r="L2332" s="15">
        <f>IF(O2332,P2332/O2332,0)</f>
        <v>0</v>
      </c>
      <c r="M2332" s="15">
        <v>0</v>
      </c>
      <c r="N2332" s="15">
        <f>A2332</f>
        <v>2330</v>
      </c>
      <c r="O2332" s="16"/>
      <c r="P2332" s="16"/>
      <c r="Q2332" s="16"/>
    </row>
    <row r="2333" ht="20.05" customHeight="1">
      <c r="A2333" s="13">
        <f>A2332+1</f>
        <v>2331</v>
      </c>
      <c r="B2333" s="57"/>
      <c r="C2333" s="16"/>
      <c r="D2333" s="16"/>
      <c r="E2333" s="16"/>
      <c r="F2333" s="16"/>
      <c r="G2333" s="16"/>
      <c r="H2333" s="16"/>
      <c r="I2333" s="16"/>
      <c r="J2333" s="16"/>
      <c r="K2333" s="16"/>
      <c r="L2333" s="15">
        <f>IF(O2333,P2333/O2333,0)</f>
        <v>0</v>
      </c>
      <c r="M2333" s="15">
        <v>0</v>
      </c>
      <c r="N2333" s="15">
        <f>A2333</f>
        <v>2331</v>
      </c>
      <c r="O2333" s="16"/>
      <c r="P2333" s="16"/>
      <c r="Q2333" s="16"/>
    </row>
    <row r="2334" ht="20.05" customHeight="1">
      <c r="A2334" s="13">
        <f>A2333+1</f>
        <v>2332</v>
      </c>
      <c r="B2334" s="57"/>
      <c r="C2334" s="16"/>
      <c r="D2334" s="16"/>
      <c r="E2334" s="16"/>
      <c r="F2334" s="16"/>
      <c r="G2334" s="16"/>
      <c r="H2334" s="16"/>
      <c r="I2334" s="16"/>
      <c r="J2334" s="16"/>
      <c r="K2334" s="16"/>
      <c r="L2334" s="15">
        <f>IF(O2334,P2334/O2334,0)</f>
        <v>0</v>
      </c>
      <c r="M2334" s="15">
        <v>0</v>
      </c>
      <c r="N2334" s="15">
        <f>A2334</f>
        <v>2332</v>
      </c>
      <c r="O2334" s="16"/>
      <c r="P2334" s="16"/>
      <c r="Q2334" s="16"/>
    </row>
    <row r="2335" ht="20.05" customHeight="1">
      <c r="A2335" s="13">
        <f>A2334+1</f>
        <v>2333</v>
      </c>
      <c r="B2335" s="57"/>
      <c r="C2335" s="16"/>
      <c r="D2335" s="16"/>
      <c r="E2335" s="16"/>
      <c r="F2335" s="16"/>
      <c r="G2335" s="16"/>
      <c r="H2335" s="16"/>
      <c r="I2335" s="16"/>
      <c r="J2335" s="16"/>
      <c r="K2335" s="16"/>
      <c r="L2335" s="15">
        <f>IF(O2335,P2335/O2335,0)</f>
        <v>0</v>
      </c>
      <c r="M2335" s="15">
        <v>0</v>
      </c>
      <c r="N2335" s="15">
        <f>A2335</f>
        <v>2333</v>
      </c>
      <c r="O2335" s="16"/>
      <c r="P2335" s="16"/>
      <c r="Q2335" s="16"/>
    </row>
    <row r="2336" ht="20.05" customHeight="1">
      <c r="A2336" s="13">
        <f>A2335+1</f>
        <v>2334</v>
      </c>
      <c r="B2336" s="57"/>
      <c r="C2336" s="16"/>
      <c r="D2336" s="16"/>
      <c r="E2336" s="16"/>
      <c r="F2336" s="16"/>
      <c r="G2336" s="16"/>
      <c r="H2336" s="16"/>
      <c r="I2336" s="16"/>
      <c r="J2336" s="16"/>
      <c r="K2336" s="16"/>
      <c r="L2336" s="15">
        <f>IF(O2336,P2336/O2336,0)</f>
        <v>0</v>
      </c>
      <c r="M2336" s="15">
        <v>0</v>
      </c>
      <c r="N2336" s="15">
        <f>A2336</f>
        <v>2334</v>
      </c>
      <c r="O2336" s="16"/>
      <c r="P2336" s="16"/>
      <c r="Q2336" s="16"/>
    </row>
    <row r="2337" ht="20.05" customHeight="1">
      <c r="A2337" s="13">
        <f>A2336+1</f>
        <v>2335</v>
      </c>
      <c r="B2337" s="57"/>
      <c r="C2337" s="16"/>
      <c r="D2337" s="16"/>
      <c r="E2337" s="16"/>
      <c r="F2337" s="16"/>
      <c r="G2337" s="16"/>
      <c r="H2337" s="16"/>
      <c r="I2337" s="16"/>
      <c r="J2337" s="16"/>
      <c r="K2337" s="16"/>
      <c r="L2337" s="15">
        <f>IF(O2337,P2337/O2337,0)</f>
        <v>0</v>
      </c>
      <c r="M2337" s="15">
        <v>0</v>
      </c>
      <c r="N2337" s="15">
        <f>A2337</f>
        <v>2335</v>
      </c>
      <c r="O2337" s="16"/>
      <c r="P2337" s="16"/>
      <c r="Q2337" s="16"/>
    </row>
    <row r="2338" ht="20.05" customHeight="1">
      <c r="A2338" s="13">
        <f>A2337+1</f>
        <v>2336</v>
      </c>
      <c r="B2338" s="57"/>
      <c r="C2338" s="16"/>
      <c r="D2338" s="16"/>
      <c r="E2338" s="16"/>
      <c r="F2338" s="16"/>
      <c r="G2338" s="16"/>
      <c r="H2338" s="16"/>
      <c r="I2338" s="16"/>
      <c r="J2338" s="16"/>
      <c r="K2338" s="16"/>
      <c r="L2338" s="15">
        <f>IF(O2338,P2338/O2338,0)</f>
        <v>0</v>
      </c>
      <c r="M2338" s="15">
        <v>0</v>
      </c>
      <c r="N2338" s="15">
        <f>A2338</f>
        <v>2336</v>
      </c>
      <c r="O2338" s="16"/>
      <c r="P2338" s="16"/>
      <c r="Q2338" s="16"/>
    </row>
    <row r="2339" ht="20.05" customHeight="1">
      <c r="A2339" s="13">
        <f>A2338+1</f>
        <v>2337</v>
      </c>
      <c r="B2339" s="57"/>
      <c r="C2339" s="16"/>
      <c r="D2339" s="16"/>
      <c r="E2339" s="16"/>
      <c r="F2339" s="16"/>
      <c r="G2339" s="16"/>
      <c r="H2339" s="16"/>
      <c r="I2339" s="16"/>
      <c r="J2339" s="16"/>
      <c r="K2339" s="16"/>
      <c r="L2339" s="15">
        <f>IF(O2339,P2339/O2339,0)</f>
        <v>0</v>
      </c>
      <c r="M2339" s="15">
        <v>0</v>
      </c>
      <c r="N2339" s="15">
        <f>A2339</f>
        <v>2337</v>
      </c>
      <c r="O2339" s="16"/>
      <c r="P2339" s="16"/>
      <c r="Q2339" s="16"/>
    </row>
    <row r="2340" ht="20.05" customHeight="1">
      <c r="A2340" s="13">
        <f>A2339+1</f>
        <v>2338</v>
      </c>
      <c r="B2340" s="57"/>
      <c r="C2340" s="16"/>
      <c r="D2340" s="16"/>
      <c r="E2340" s="16"/>
      <c r="F2340" s="16"/>
      <c r="G2340" s="16"/>
      <c r="H2340" s="16"/>
      <c r="I2340" s="16"/>
      <c r="J2340" s="16"/>
      <c r="K2340" s="16"/>
      <c r="L2340" s="15">
        <f>IF(O2340,P2340/O2340,0)</f>
        <v>0</v>
      </c>
      <c r="M2340" s="15">
        <v>0</v>
      </c>
      <c r="N2340" s="15">
        <f>A2340</f>
        <v>2338</v>
      </c>
      <c r="O2340" s="16"/>
      <c r="P2340" s="16"/>
      <c r="Q2340" s="16"/>
    </row>
    <row r="2341" ht="20.05" customHeight="1">
      <c r="A2341" s="13">
        <f>A2340+1</f>
        <v>2339</v>
      </c>
      <c r="B2341" s="57"/>
      <c r="C2341" s="16"/>
      <c r="D2341" s="16"/>
      <c r="E2341" s="16"/>
      <c r="F2341" s="16"/>
      <c r="G2341" s="16"/>
      <c r="H2341" s="16"/>
      <c r="I2341" s="16"/>
      <c r="J2341" s="16"/>
      <c r="K2341" s="16"/>
      <c r="L2341" s="15">
        <f>IF(O2341,P2341/O2341,0)</f>
        <v>0</v>
      </c>
      <c r="M2341" s="15">
        <v>0</v>
      </c>
      <c r="N2341" s="15">
        <f>A2341</f>
        <v>2339</v>
      </c>
      <c r="O2341" s="16"/>
      <c r="P2341" s="16"/>
      <c r="Q2341" s="16"/>
    </row>
    <row r="2342" ht="20.05" customHeight="1">
      <c r="A2342" s="13">
        <f>A2341+1</f>
        <v>2340</v>
      </c>
      <c r="B2342" s="57"/>
      <c r="C2342" s="16"/>
      <c r="D2342" s="16"/>
      <c r="E2342" s="16"/>
      <c r="F2342" s="16"/>
      <c r="G2342" s="16"/>
      <c r="H2342" s="16"/>
      <c r="I2342" s="16"/>
      <c r="J2342" s="16"/>
      <c r="K2342" s="16"/>
      <c r="L2342" s="15">
        <f>IF(O2342,P2342/O2342,0)</f>
        <v>0</v>
      </c>
      <c r="M2342" s="15">
        <v>0</v>
      </c>
      <c r="N2342" s="15">
        <f>A2342</f>
        <v>2340</v>
      </c>
      <c r="O2342" s="16"/>
      <c r="P2342" s="16"/>
      <c r="Q2342" s="16"/>
    </row>
    <row r="2343" ht="20.05" customHeight="1">
      <c r="A2343" s="13">
        <f>A2342+1</f>
        <v>2341</v>
      </c>
      <c r="B2343" s="57"/>
      <c r="C2343" s="16"/>
      <c r="D2343" s="16"/>
      <c r="E2343" s="16"/>
      <c r="F2343" s="16"/>
      <c r="G2343" s="16"/>
      <c r="H2343" s="16"/>
      <c r="I2343" s="16"/>
      <c r="J2343" s="16"/>
      <c r="K2343" s="16"/>
      <c r="L2343" s="15">
        <f>IF(O2343,P2343/O2343,0)</f>
        <v>0</v>
      </c>
      <c r="M2343" s="15">
        <v>0</v>
      </c>
      <c r="N2343" s="15">
        <f>A2343</f>
        <v>2341</v>
      </c>
      <c r="O2343" s="16"/>
      <c r="P2343" s="16"/>
      <c r="Q2343" s="16"/>
    </row>
    <row r="2344" ht="20.05" customHeight="1">
      <c r="A2344" s="13">
        <f>A2343+1</f>
        <v>2342</v>
      </c>
      <c r="B2344" s="57"/>
      <c r="C2344" s="16"/>
      <c r="D2344" s="16"/>
      <c r="E2344" s="16"/>
      <c r="F2344" s="16"/>
      <c r="G2344" s="16"/>
      <c r="H2344" s="16"/>
      <c r="I2344" s="16"/>
      <c r="J2344" s="16"/>
      <c r="K2344" s="16"/>
      <c r="L2344" s="15">
        <f>IF(O2344,P2344/O2344,0)</f>
        <v>0</v>
      </c>
      <c r="M2344" s="15">
        <v>0</v>
      </c>
      <c r="N2344" s="15">
        <f>A2344</f>
        <v>2342</v>
      </c>
      <c r="O2344" s="16"/>
      <c r="P2344" s="16"/>
      <c r="Q2344" s="16"/>
    </row>
    <row r="2345" ht="20.05" customHeight="1">
      <c r="A2345" s="13">
        <f>A2344+1</f>
        <v>2343</v>
      </c>
      <c r="B2345" s="57"/>
      <c r="C2345" s="16"/>
      <c r="D2345" s="16"/>
      <c r="E2345" s="16"/>
      <c r="F2345" s="16"/>
      <c r="G2345" s="16"/>
      <c r="H2345" s="16"/>
      <c r="I2345" s="16"/>
      <c r="J2345" s="16"/>
      <c r="K2345" s="16"/>
      <c r="L2345" s="15">
        <f>IF(O2345,P2345/O2345,0)</f>
        <v>0</v>
      </c>
      <c r="M2345" s="15">
        <v>0</v>
      </c>
      <c r="N2345" s="15">
        <f>A2345</f>
        <v>2343</v>
      </c>
      <c r="O2345" s="16"/>
      <c r="P2345" s="16"/>
      <c r="Q2345" s="16"/>
    </row>
    <row r="2346" ht="20.05" customHeight="1">
      <c r="A2346" s="13">
        <f>A2345+1</f>
        <v>2344</v>
      </c>
      <c r="B2346" s="57"/>
      <c r="C2346" s="16"/>
      <c r="D2346" s="16"/>
      <c r="E2346" s="16"/>
      <c r="F2346" s="16"/>
      <c r="G2346" s="16"/>
      <c r="H2346" s="16"/>
      <c r="I2346" s="16"/>
      <c r="J2346" s="16"/>
      <c r="K2346" s="16"/>
      <c r="L2346" s="15">
        <f>IF(O2346,P2346/O2346,0)</f>
        <v>0</v>
      </c>
      <c r="M2346" s="15">
        <v>0</v>
      </c>
      <c r="N2346" s="15">
        <f>A2346</f>
        <v>2344</v>
      </c>
      <c r="O2346" s="16"/>
      <c r="P2346" s="16"/>
      <c r="Q2346" s="16"/>
    </row>
    <row r="2347" ht="20.05" customHeight="1">
      <c r="A2347" s="13">
        <f>A2346+1</f>
        <v>2345</v>
      </c>
      <c r="B2347" s="57"/>
      <c r="C2347" s="16"/>
      <c r="D2347" s="16"/>
      <c r="E2347" s="16"/>
      <c r="F2347" s="16"/>
      <c r="G2347" s="16"/>
      <c r="H2347" s="16"/>
      <c r="I2347" s="16"/>
      <c r="J2347" s="16"/>
      <c r="K2347" s="16"/>
      <c r="L2347" s="15">
        <f>IF(O2347,P2347/O2347,0)</f>
        <v>0</v>
      </c>
      <c r="M2347" s="15">
        <v>0</v>
      </c>
      <c r="N2347" s="15">
        <f>A2347</f>
        <v>2345</v>
      </c>
      <c r="O2347" s="16"/>
      <c r="P2347" s="16"/>
      <c r="Q2347" s="16"/>
    </row>
    <row r="2348" ht="20.05" customHeight="1">
      <c r="A2348" s="13">
        <f>A2347+1</f>
        <v>2346</v>
      </c>
      <c r="B2348" s="57"/>
      <c r="C2348" s="16"/>
      <c r="D2348" s="16"/>
      <c r="E2348" s="16"/>
      <c r="F2348" s="16"/>
      <c r="G2348" s="16"/>
      <c r="H2348" s="16"/>
      <c r="I2348" s="16"/>
      <c r="J2348" s="16"/>
      <c r="K2348" s="16"/>
      <c r="L2348" s="15">
        <f>IF(O2348,P2348/O2348,0)</f>
        <v>0</v>
      </c>
      <c r="M2348" s="15">
        <v>0</v>
      </c>
      <c r="N2348" s="15">
        <f>A2348</f>
        <v>2346</v>
      </c>
      <c r="O2348" s="16"/>
      <c r="P2348" s="16"/>
      <c r="Q2348" s="16"/>
    </row>
    <row r="2349" ht="20.05" customHeight="1">
      <c r="A2349" s="13">
        <f>A2348+1</f>
        <v>2347</v>
      </c>
      <c r="B2349" s="57"/>
      <c r="C2349" s="16"/>
      <c r="D2349" s="16"/>
      <c r="E2349" s="16"/>
      <c r="F2349" s="16"/>
      <c r="G2349" s="16"/>
      <c r="H2349" s="16"/>
      <c r="I2349" s="16"/>
      <c r="J2349" s="16"/>
      <c r="K2349" s="16"/>
      <c r="L2349" s="15">
        <f>IF(O2349,P2349/O2349,0)</f>
        <v>0</v>
      </c>
      <c r="M2349" s="15">
        <v>0</v>
      </c>
      <c r="N2349" s="15">
        <f>A2349</f>
        <v>2347</v>
      </c>
      <c r="O2349" s="16"/>
      <c r="P2349" s="16"/>
      <c r="Q2349" s="16"/>
    </row>
    <row r="2350" ht="20.05" customHeight="1">
      <c r="A2350" s="13">
        <f>A2349+1</f>
        <v>2348</v>
      </c>
      <c r="B2350" s="57"/>
      <c r="C2350" s="16"/>
      <c r="D2350" s="16"/>
      <c r="E2350" s="16"/>
      <c r="F2350" s="16"/>
      <c r="G2350" s="16"/>
      <c r="H2350" s="16"/>
      <c r="I2350" s="16"/>
      <c r="J2350" s="16"/>
      <c r="K2350" s="16"/>
      <c r="L2350" s="15">
        <f>IF(O2350,P2350/O2350,0)</f>
        <v>0</v>
      </c>
      <c r="M2350" s="15">
        <v>0</v>
      </c>
      <c r="N2350" s="15">
        <f>A2350</f>
        <v>2348</v>
      </c>
      <c r="O2350" s="16"/>
      <c r="P2350" s="16"/>
      <c r="Q2350" s="16"/>
    </row>
    <row r="2351" ht="20.05" customHeight="1">
      <c r="A2351" s="13">
        <f>A2350+1</f>
        <v>2349</v>
      </c>
      <c r="B2351" s="57"/>
      <c r="C2351" s="16"/>
      <c r="D2351" s="16"/>
      <c r="E2351" s="16"/>
      <c r="F2351" s="16"/>
      <c r="G2351" s="16"/>
      <c r="H2351" s="16"/>
      <c r="I2351" s="16"/>
      <c r="J2351" s="16"/>
      <c r="K2351" s="16"/>
      <c r="L2351" s="15">
        <f>IF(O2351,P2351/O2351,0)</f>
        <v>0</v>
      </c>
      <c r="M2351" s="15">
        <v>0</v>
      </c>
      <c r="N2351" s="15">
        <f>A2351</f>
        <v>2349</v>
      </c>
      <c r="O2351" s="16"/>
      <c r="P2351" s="16"/>
      <c r="Q2351" s="16"/>
    </row>
    <row r="2352" ht="20.05" customHeight="1">
      <c r="A2352" s="13">
        <f>A2351+1</f>
        <v>2350</v>
      </c>
      <c r="B2352" s="57"/>
      <c r="C2352" s="16"/>
      <c r="D2352" s="16"/>
      <c r="E2352" s="16"/>
      <c r="F2352" s="16"/>
      <c r="G2352" s="16"/>
      <c r="H2352" s="16"/>
      <c r="I2352" s="16"/>
      <c r="J2352" s="16"/>
      <c r="K2352" s="16"/>
      <c r="L2352" s="15">
        <f>IF(O2352,P2352/O2352,0)</f>
        <v>0</v>
      </c>
      <c r="M2352" s="15">
        <v>0</v>
      </c>
      <c r="N2352" s="15">
        <f>A2352</f>
        <v>2350</v>
      </c>
      <c r="O2352" s="16"/>
      <c r="P2352" s="16"/>
      <c r="Q2352" s="16"/>
    </row>
    <row r="2353" ht="20.05" customHeight="1">
      <c r="A2353" s="13">
        <f>A2352+1</f>
        <v>2351</v>
      </c>
      <c r="B2353" s="57"/>
      <c r="C2353" s="16"/>
      <c r="D2353" s="16"/>
      <c r="E2353" s="16"/>
      <c r="F2353" s="16"/>
      <c r="G2353" s="16"/>
      <c r="H2353" s="16"/>
      <c r="I2353" s="16"/>
      <c r="J2353" s="16"/>
      <c r="K2353" s="16"/>
      <c r="L2353" s="15">
        <f>IF(O2353,P2353/O2353,0)</f>
        <v>0</v>
      </c>
      <c r="M2353" s="15">
        <v>0</v>
      </c>
      <c r="N2353" s="15">
        <f>A2353</f>
        <v>2351</v>
      </c>
      <c r="O2353" s="16"/>
      <c r="P2353" s="16"/>
      <c r="Q2353" s="16"/>
    </row>
    <row r="2354" ht="20.05" customHeight="1">
      <c r="A2354" s="13">
        <f>A2353+1</f>
        <v>2352</v>
      </c>
      <c r="B2354" s="57"/>
      <c r="C2354" s="16"/>
      <c r="D2354" s="16"/>
      <c r="E2354" s="16"/>
      <c r="F2354" s="16"/>
      <c r="G2354" s="16"/>
      <c r="H2354" s="16"/>
      <c r="I2354" s="16"/>
      <c r="J2354" s="16"/>
      <c r="K2354" s="16"/>
      <c r="L2354" s="15">
        <f>IF(O2354,P2354/O2354,0)</f>
        <v>0</v>
      </c>
      <c r="M2354" s="15">
        <v>0</v>
      </c>
      <c r="N2354" s="15">
        <f>A2354</f>
        <v>2352</v>
      </c>
      <c r="O2354" s="16"/>
      <c r="P2354" s="16"/>
      <c r="Q2354" s="16"/>
    </row>
    <row r="2355" ht="20.05" customHeight="1">
      <c r="A2355" s="13">
        <f>A2354+1</f>
        <v>2353</v>
      </c>
      <c r="B2355" s="57"/>
      <c r="C2355" s="16"/>
      <c r="D2355" s="16"/>
      <c r="E2355" s="16"/>
      <c r="F2355" s="16"/>
      <c r="G2355" s="16"/>
      <c r="H2355" s="16"/>
      <c r="I2355" s="16"/>
      <c r="J2355" s="16"/>
      <c r="K2355" s="16"/>
      <c r="L2355" s="15">
        <f>IF(O2355,P2355/O2355,0)</f>
        <v>0</v>
      </c>
      <c r="M2355" s="15">
        <v>0</v>
      </c>
      <c r="N2355" s="15">
        <f>A2355</f>
        <v>2353</v>
      </c>
      <c r="O2355" s="16"/>
      <c r="P2355" s="16"/>
      <c r="Q2355" s="16"/>
    </row>
    <row r="2356" ht="20.05" customHeight="1">
      <c r="A2356" s="13">
        <f>A2355+1</f>
        <v>2354</v>
      </c>
      <c r="B2356" s="57"/>
      <c r="C2356" s="16"/>
      <c r="D2356" s="16"/>
      <c r="E2356" s="16"/>
      <c r="F2356" s="16"/>
      <c r="G2356" s="16"/>
      <c r="H2356" s="16"/>
      <c r="I2356" s="16"/>
      <c r="J2356" s="16"/>
      <c r="K2356" s="16"/>
      <c r="L2356" s="15">
        <f>IF(O2356,P2356/O2356,0)</f>
        <v>0</v>
      </c>
      <c r="M2356" s="15">
        <v>0</v>
      </c>
      <c r="N2356" s="15">
        <f>A2356</f>
        <v>2354</v>
      </c>
      <c r="O2356" s="16"/>
      <c r="P2356" s="16"/>
      <c r="Q2356" s="16"/>
    </row>
    <row r="2357" ht="20.05" customHeight="1">
      <c r="A2357" s="13">
        <f>A2356+1</f>
        <v>2355</v>
      </c>
      <c r="B2357" s="57"/>
      <c r="C2357" s="16"/>
      <c r="D2357" s="16"/>
      <c r="E2357" s="16"/>
      <c r="F2357" s="16"/>
      <c r="G2357" s="16"/>
      <c r="H2357" s="16"/>
      <c r="I2357" s="16"/>
      <c r="J2357" s="16"/>
      <c r="K2357" s="16"/>
      <c r="L2357" s="15">
        <f>IF(O2357,P2357/O2357,0)</f>
        <v>0</v>
      </c>
      <c r="M2357" s="15">
        <v>0</v>
      </c>
      <c r="N2357" s="15">
        <f>A2357</f>
        <v>2355</v>
      </c>
      <c r="O2357" s="16"/>
      <c r="P2357" s="16"/>
      <c r="Q2357" s="16"/>
    </row>
    <row r="2358" ht="20.05" customHeight="1">
      <c r="A2358" s="13">
        <f>A2357+1</f>
        <v>2356</v>
      </c>
      <c r="B2358" s="57"/>
      <c r="C2358" s="16"/>
      <c r="D2358" s="16"/>
      <c r="E2358" s="16"/>
      <c r="F2358" s="16"/>
      <c r="G2358" s="16"/>
      <c r="H2358" s="16"/>
      <c r="I2358" s="16"/>
      <c r="J2358" s="16"/>
      <c r="K2358" s="16"/>
      <c r="L2358" s="15">
        <f>IF(O2358,P2358/O2358,0)</f>
        <v>0</v>
      </c>
      <c r="M2358" s="15">
        <v>0</v>
      </c>
      <c r="N2358" s="15">
        <f>A2358</f>
        <v>2356</v>
      </c>
      <c r="O2358" s="16"/>
      <c r="P2358" s="16"/>
      <c r="Q2358" s="16"/>
    </row>
    <row r="2359" ht="20.05" customHeight="1">
      <c r="A2359" s="13">
        <f>A2358+1</f>
        <v>2357</v>
      </c>
      <c r="B2359" s="57"/>
      <c r="C2359" s="16"/>
      <c r="D2359" s="16"/>
      <c r="E2359" s="16"/>
      <c r="F2359" s="16"/>
      <c r="G2359" s="16"/>
      <c r="H2359" s="16"/>
      <c r="I2359" s="16"/>
      <c r="J2359" s="16"/>
      <c r="K2359" s="16"/>
      <c r="L2359" s="15">
        <f>IF(O2359,P2359/O2359,0)</f>
        <v>0</v>
      </c>
      <c r="M2359" s="15">
        <v>0</v>
      </c>
      <c r="N2359" s="15">
        <f>A2359</f>
        <v>2357</v>
      </c>
      <c r="O2359" s="16"/>
      <c r="P2359" s="16"/>
      <c r="Q2359" s="16"/>
    </row>
    <row r="2360" ht="20.05" customHeight="1">
      <c r="A2360" s="13">
        <f>A2359+1</f>
        <v>2358</v>
      </c>
      <c r="B2360" s="57"/>
      <c r="C2360" s="16"/>
      <c r="D2360" s="16"/>
      <c r="E2360" s="16"/>
      <c r="F2360" s="16"/>
      <c r="G2360" s="16"/>
      <c r="H2360" s="16"/>
      <c r="I2360" s="16"/>
      <c r="J2360" s="16"/>
      <c r="K2360" s="16"/>
      <c r="L2360" s="15">
        <f>IF(O2360,P2360/O2360,0)</f>
        <v>0</v>
      </c>
      <c r="M2360" s="15">
        <v>0</v>
      </c>
      <c r="N2360" s="15">
        <f>A2360</f>
        <v>2358</v>
      </c>
      <c r="O2360" s="16"/>
      <c r="P2360" s="16"/>
      <c r="Q2360" s="16"/>
    </row>
    <row r="2361" ht="20.05" customHeight="1">
      <c r="A2361" s="13">
        <f>A2360+1</f>
        <v>2359</v>
      </c>
      <c r="B2361" s="57"/>
      <c r="C2361" s="16"/>
      <c r="D2361" s="16"/>
      <c r="E2361" s="16"/>
      <c r="F2361" s="16"/>
      <c r="G2361" s="16"/>
      <c r="H2361" s="16"/>
      <c r="I2361" s="16"/>
      <c r="J2361" s="16"/>
      <c r="K2361" s="16"/>
      <c r="L2361" s="15">
        <f>IF(O2361,P2361/O2361,0)</f>
        <v>0</v>
      </c>
      <c r="M2361" s="15">
        <v>0</v>
      </c>
      <c r="N2361" s="15">
        <f>A2361</f>
        <v>2359</v>
      </c>
      <c r="O2361" s="16"/>
      <c r="P2361" s="16"/>
      <c r="Q2361" s="16"/>
    </row>
    <row r="2362" ht="20.05" customHeight="1">
      <c r="A2362" s="13">
        <f>A2361+1</f>
        <v>2360</v>
      </c>
      <c r="B2362" s="57"/>
      <c r="C2362" s="16"/>
      <c r="D2362" s="16"/>
      <c r="E2362" s="16"/>
      <c r="F2362" s="16"/>
      <c r="G2362" s="16"/>
      <c r="H2362" s="16"/>
      <c r="I2362" s="16"/>
      <c r="J2362" s="16"/>
      <c r="K2362" s="16"/>
      <c r="L2362" s="15">
        <f>IF(O2362,P2362/O2362,0)</f>
        <v>0</v>
      </c>
      <c r="M2362" s="15">
        <v>0</v>
      </c>
      <c r="N2362" s="15">
        <f>A2362</f>
        <v>2360</v>
      </c>
      <c r="O2362" s="16"/>
      <c r="P2362" s="16"/>
      <c r="Q2362" s="16"/>
    </row>
    <row r="2363" ht="20.05" customHeight="1">
      <c r="A2363" s="13">
        <f>A2362+1</f>
        <v>2361</v>
      </c>
      <c r="B2363" s="57"/>
      <c r="C2363" s="16"/>
      <c r="D2363" s="16"/>
      <c r="E2363" s="16"/>
      <c r="F2363" s="16"/>
      <c r="G2363" s="16"/>
      <c r="H2363" s="16"/>
      <c r="I2363" s="16"/>
      <c r="J2363" s="16"/>
      <c r="K2363" s="16"/>
      <c r="L2363" s="15">
        <f>IF(O2363,P2363/O2363,0)</f>
        <v>0</v>
      </c>
      <c r="M2363" s="15">
        <v>0</v>
      </c>
      <c r="N2363" s="15">
        <f>A2363</f>
        <v>2361</v>
      </c>
      <c r="O2363" s="16"/>
      <c r="P2363" s="16"/>
      <c r="Q2363" s="16"/>
    </row>
    <row r="2364" ht="20.05" customHeight="1">
      <c r="A2364" s="13">
        <f>A2363+1</f>
        <v>2362</v>
      </c>
      <c r="B2364" s="57"/>
      <c r="C2364" s="16"/>
      <c r="D2364" s="16"/>
      <c r="E2364" s="16"/>
      <c r="F2364" s="16"/>
      <c r="G2364" s="16"/>
      <c r="H2364" s="16"/>
      <c r="I2364" s="16"/>
      <c r="J2364" s="16"/>
      <c r="K2364" s="16"/>
      <c r="L2364" s="15">
        <f>IF(O2364,P2364/O2364,0)</f>
        <v>0</v>
      </c>
      <c r="M2364" s="15">
        <v>0</v>
      </c>
      <c r="N2364" s="15">
        <f>A2364</f>
        <v>2362</v>
      </c>
      <c r="O2364" s="16"/>
      <c r="P2364" s="16"/>
      <c r="Q2364" s="16"/>
    </row>
    <row r="2365" ht="20.05" customHeight="1">
      <c r="A2365" s="13">
        <f>A2364+1</f>
        <v>2363</v>
      </c>
      <c r="B2365" s="57"/>
      <c r="C2365" s="16"/>
      <c r="D2365" s="16"/>
      <c r="E2365" s="16"/>
      <c r="F2365" s="16"/>
      <c r="G2365" s="16"/>
      <c r="H2365" s="16"/>
      <c r="I2365" s="16"/>
      <c r="J2365" s="16"/>
      <c r="K2365" s="16"/>
      <c r="L2365" s="15">
        <f>IF(O2365,P2365/O2365,0)</f>
        <v>0</v>
      </c>
      <c r="M2365" s="15">
        <v>0</v>
      </c>
      <c r="N2365" s="15">
        <f>A2365</f>
        <v>2363</v>
      </c>
      <c r="O2365" s="16"/>
      <c r="P2365" s="16"/>
      <c r="Q2365" s="16"/>
    </row>
    <row r="2366" ht="20.05" customHeight="1">
      <c r="A2366" s="13">
        <f>A2365+1</f>
        <v>2364</v>
      </c>
      <c r="B2366" s="57"/>
      <c r="C2366" s="16"/>
      <c r="D2366" s="16"/>
      <c r="E2366" s="16"/>
      <c r="F2366" s="16"/>
      <c r="G2366" s="16"/>
      <c r="H2366" s="16"/>
      <c r="I2366" s="16"/>
      <c r="J2366" s="16"/>
      <c r="K2366" s="16"/>
      <c r="L2366" s="15">
        <f>IF(O2366,P2366/O2366,0)</f>
        <v>0</v>
      </c>
      <c r="M2366" s="15">
        <v>0</v>
      </c>
      <c r="N2366" s="15">
        <f>A2366</f>
        <v>2364</v>
      </c>
      <c r="O2366" s="16"/>
      <c r="P2366" s="16"/>
      <c r="Q2366" s="16"/>
    </row>
    <row r="2367" ht="20.05" customHeight="1">
      <c r="A2367" s="13">
        <f>A2366+1</f>
        <v>2365</v>
      </c>
      <c r="B2367" s="57"/>
      <c r="C2367" s="16"/>
      <c r="D2367" s="16"/>
      <c r="E2367" s="16"/>
      <c r="F2367" s="16"/>
      <c r="G2367" s="16"/>
      <c r="H2367" s="16"/>
      <c r="I2367" s="16"/>
      <c r="J2367" s="16"/>
      <c r="K2367" s="16"/>
      <c r="L2367" s="15">
        <f>IF(O2367,P2367/O2367,0)</f>
        <v>0</v>
      </c>
      <c r="M2367" s="15">
        <v>0</v>
      </c>
      <c r="N2367" s="15">
        <f>A2367</f>
        <v>2365</v>
      </c>
      <c r="O2367" s="16"/>
      <c r="P2367" s="16"/>
      <c r="Q2367" s="16"/>
    </row>
    <row r="2368" ht="20.05" customHeight="1">
      <c r="A2368" s="13">
        <f>A2367+1</f>
        <v>2366</v>
      </c>
      <c r="B2368" s="57"/>
      <c r="C2368" s="16"/>
      <c r="D2368" s="16"/>
      <c r="E2368" s="16"/>
      <c r="F2368" s="16"/>
      <c r="G2368" s="16"/>
      <c r="H2368" s="16"/>
      <c r="I2368" s="16"/>
      <c r="J2368" s="16"/>
      <c r="K2368" s="16"/>
      <c r="L2368" s="15">
        <f>IF(O2368,P2368/O2368,0)</f>
        <v>0</v>
      </c>
      <c r="M2368" s="15">
        <v>0</v>
      </c>
      <c r="N2368" s="15">
        <f>A2368</f>
        <v>2366</v>
      </c>
      <c r="O2368" s="16"/>
      <c r="P2368" s="16"/>
      <c r="Q2368" s="16"/>
    </row>
    <row r="2369" ht="20.05" customHeight="1">
      <c r="A2369" s="13">
        <f>A2368+1</f>
        <v>2367</v>
      </c>
      <c r="B2369" s="57"/>
      <c r="C2369" s="16"/>
      <c r="D2369" s="16"/>
      <c r="E2369" s="16"/>
      <c r="F2369" s="16"/>
      <c r="G2369" s="16"/>
      <c r="H2369" s="16"/>
      <c r="I2369" s="16"/>
      <c r="J2369" s="16"/>
      <c r="K2369" s="16"/>
      <c r="L2369" s="15">
        <f>IF(O2369,P2369/O2369,0)</f>
        <v>0</v>
      </c>
      <c r="M2369" s="15">
        <v>0</v>
      </c>
      <c r="N2369" s="15">
        <f>A2369</f>
        <v>2367</v>
      </c>
      <c r="O2369" s="16"/>
      <c r="P2369" s="16"/>
      <c r="Q2369" s="16"/>
    </row>
    <row r="2370" ht="20.05" customHeight="1">
      <c r="A2370" s="13">
        <f>A2369+1</f>
        <v>2368</v>
      </c>
      <c r="B2370" s="57"/>
      <c r="C2370" s="16"/>
      <c r="D2370" s="16"/>
      <c r="E2370" s="16"/>
      <c r="F2370" s="16"/>
      <c r="G2370" s="16"/>
      <c r="H2370" s="16"/>
      <c r="I2370" s="16"/>
      <c r="J2370" s="16"/>
      <c r="K2370" s="16"/>
      <c r="L2370" s="15">
        <f>IF(O2370,P2370/O2370,0)</f>
        <v>0</v>
      </c>
      <c r="M2370" s="15">
        <v>0</v>
      </c>
      <c r="N2370" s="15">
        <f>A2370</f>
        <v>2368</v>
      </c>
      <c r="O2370" s="16"/>
      <c r="P2370" s="16"/>
      <c r="Q2370" s="16"/>
    </row>
    <row r="2371" ht="20.05" customHeight="1">
      <c r="A2371" s="13">
        <f>A2370+1</f>
        <v>2369</v>
      </c>
      <c r="B2371" s="57"/>
      <c r="C2371" s="16"/>
      <c r="D2371" s="16"/>
      <c r="E2371" s="16"/>
      <c r="F2371" s="16"/>
      <c r="G2371" s="16"/>
      <c r="H2371" s="16"/>
      <c r="I2371" s="16"/>
      <c r="J2371" s="16"/>
      <c r="K2371" s="16"/>
      <c r="L2371" s="15">
        <f>IF(O2371,P2371/O2371,0)</f>
        <v>0</v>
      </c>
      <c r="M2371" s="15">
        <v>0</v>
      </c>
      <c r="N2371" s="15">
        <f>A2371</f>
        <v>2369</v>
      </c>
      <c r="O2371" s="16"/>
      <c r="P2371" s="16"/>
      <c r="Q2371" s="16"/>
    </row>
    <row r="2372" ht="20.05" customHeight="1">
      <c r="A2372" s="13">
        <f>A2371+1</f>
        <v>2370</v>
      </c>
      <c r="B2372" s="57"/>
      <c r="C2372" s="16"/>
      <c r="D2372" s="16"/>
      <c r="E2372" s="16"/>
      <c r="F2372" s="16"/>
      <c r="G2372" s="16"/>
      <c r="H2372" s="16"/>
      <c r="I2372" s="16"/>
      <c r="J2372" s="16"/>
      <c r="K2372" s="16"/>
      <c r="L2372" s="15">
        <f>IF(O2372,P2372/O2372,0)</f>
        <v>0</v>
      </c>
      <c r="M2372" s="15">
        <v>0</v>
      </c>
      <c r="N2372" s="15">
        <f>A2372</f>
        <v>2370</v>
      </c>
      <c r="O2372" s="16"/>
      <c r="P2372" s="16"/>
      <c r="Q2372" s="16"/>
    </row>
    <row r="2373" ht="20.05" customHeight="1">
      <c r="A2373" s="13">
        <f>A2372+1</f>
        <v>2371</v>
      </c>
      <c r="B2373" s="57"/>
      <c r="C2373" s="16"/>
      <c r="D2373" s="16"/>
      <c r="E2373" s="16"/>
      <c r="F2373" s="16"/>
      <c r="G2373" s="16"/>
      <c r="H2373" s="16"/>
      <c r="I2373" s="16"/>
      <c r="J2373" s="16"/>
      <c r="K2373" s="16"/>
      <c r="L2373" s="15">
        <f>IF(O2373,P2373/O2373,0)</f>
        <v>0</v>
      </c>
      <c r="M2373" s="15">
        <v>0</v>
      </c>
      <c r="N2373" s="15">
        <f>A2373</f>
        <v>2371</v>
      </c>
      <c r="O2373" s="16"/>
      <c r="P2373" s="16"/>
      <c r="Q2373" s="16"/>
    </row>
    <row r="2374" ht="20.05" customHeight="1">
      <c r="A2374" s="13">
        <f>A2373+1</f>
        <v>2372</v>
      </c>
      <c r="B2374" s="57"/>
      <c r="C2374" s="16"/>
      <c r="D2374" s="16"/>
      <c r="E2374" s="16"/>
      <c r="F2374" s="16"/>
      <c r="G2374" s="16"/>
      <c r="H2374" s="16"/>
      <c r="I2374" s="16"/>
      <c r="J2374" s="16"/>
      <c r="K2374" s="16"/>
      <c r="L2374" s="15">
        <f>IF(O2374,P2374/O2374,0)</f>
        <v>0</v>
      </c>
      <c r="M2374" s="15">
        <v>0</v>
      </c>
      <c r="N2374" s="15">
        <f>A2374</f>
        <v>2372</v>
      </c>
      <c r="O2374" s="16"/>
      <c r="P2374" s="16"/>
      <c r="Q2374" s="16"/>
    </row>
    <row r="2375" ht="20.05" customHeight="1">
      <c r="A2375" s="13">
        <f>A2374+1</f>
        <v>2373</v>
      </c>
      <c r="B2375" s="57"/>
      <c r="C2375" s="16"/>
      <c r="D2375" s="16"/>
      <c r="E2375" s="16"/>
      <c r="F2375" s="16"/>
      <c r="G2375" s="16"/>
      <c r="H2375" s="16"/>
      <c r="I2375" s="16"/>
      <c r="J2375" s="16"/>
      <c r="K2375" s="16"/>
      <c r="L2375" s="15">
        <f>IF(O2375,P2375/O2375,0)</f>
        <v>0</v>
      </c>
      <c r="M2375" s="15">
        <v>0</v>
      </c>
      <c r="N2375" s="15">
        <f>A2375</f>
        <v>2373</v>
      </c>
      <c r="O2375" s="16"/>
      <c r="P2375" s="16"/>
      <c r="Q2375" s="16"/>
    </row>
    <row r="2376" ht="20.05" customHeight="1">
      <c r="A2376" s="13">
        <f>A2375+1</f>
        <v>2374</v>
      </c>
      <c r="B2376" s="57"/>
      <c r="C2376" s="16"/>
      <c r="D2376" s="16"/>
      <c r="E2376" s="16"/>
      <c r="F2376" s="16"/>
      <c r="G2376" s="16"/>
      <c r="H2376" s="16"/>
      <c r="I2376" s="16"/>
      <c r="J2376" s="16"/>
      <c r="K2376" s="16"/>
      <c r="L2376" s="15">
        <f>IF(O2376,P2376/O2376,0)</f>
        <v>0</v>
      </c>
      <c r="M2376" s="15">
        <v>0</v>
      </c>
      <c r="N2376" s="15">
        <f>A2376</f>
        <v>2374</v>
      </c>
      <c r="O2376" s="16"/>
      <c r="P2376" s="16"/>
      <c r="Q2376" s="16"/>
    </row>
    <row r="2377" ht="20.05" customHeight="1">
      <c r="A2377" s="13">
        <f>A2376+1</f>
        <v>2375</v>
      </c>
      <c r="B2377" s="57"/>
      <c r="C2377" s="16"/>
      <c r="D2377" s="16"/>
      <c r="E2377" s="16"/>
      <c r="F2377" s="16"/>
      <c r="G2377" s="16"/>
      <c r="H2377" s="16"/>
      <c r="I2377" s="16"/>
      <c r="J2377" s="16"/>
      <c r="K2377" s="16"/>
      <c r="L2377" s="15">
        <f>IF(O2377,P2377/O2377,0)</f>
        <v>0</v>
      </c>
      <c r="M2377" s="15">
        <v>0</v>
      </c>
      <c r="N2377" s="15">
        <f>A2377</f>
        <v>2375</v>
      </c>
      <c r="O2377" s="16"/>
      <c r="P2377" s="16"/>
      <c r="Q2377" s="16"/>
    </row>
    <row r="2378" ht="20.05" customHeight="1">
      <c r="A2378" s="13">
        <f>A2377+1</f>
        <v>2376</v>
      </c>
      <c r="B2378" s="57"/>
      <c r="C2378" s="16"/>
      <c r="D2378" s="16"/>
      <c r="E2378" s="16"/>
      <c r="F2378" s="16"/>
      <c r="G2378" s="16"/>
      <c r="H2378" s="16"/>
      <c r="I2378" s="16"/>
      <c r="J2378" s="16"/>
      <c r="K2378" s="16"/>
      <c r="L2378" s="15">
        <f>IF(O2378,P2378/O2378,0)</f>
        <v>0</v>
      </c>
      <c r="M2378" s="15">
        <v>0</v>
      </c>
      <c r="N2378" s="15">
        <f>A2378</f>
        <v>2376</v>
      </c>
      <c r="O2378" s="16"/>
      <c r="P2378" s="16"/>
      <c r="Q2378" s="16"/>
    </row>
    <row r="2379" ht="20.05" customHeight="1">
      <c r="A2379" s="13">
        <f>A2378+1</f>
        <v>2377</v>
      </c>
      <c r="B2379" s="57"/>
      <c r="C2379" s="16"/>
      <c r="D2379" s="16"/>
      <c r="E2379" s="16"/>
      <c r="F2379" s="16"/>
      <c r="G2379" s="16"/>
      <c r="H2379" s="16"/>
      <c r="I2379" s="16"/>
      <c r="J2379" s="16"/>
      <c r="K2379" s="16"/>
      <c r="L2379" s="15">
        <f>IF(O2379,P2379/O2379,0)</f>
        <v>0</v>
      </c>
      <c r="M2379" s="15">
        <v>0</v>
      </c>
      <c r="N2379" s="15">
        <f>A2379</f>
        <v>2377</v>
      </c>
      <c r="O2379" s="16"/>
      <c r="P2379" s="16"/>
      <c r="Q2379" s="16"/>
    </row>
    <row r="2380" ht="20.05" customHeight="1">
      <c r="A2380" s="13">
        <f>A2379+1</f>
        <v>2378</v>
      </c>
      <c r="B2380" s="57"/>
      <c r="C2380" s="16"/>
      <c r="D2380" s="16"/>
      <c r="E2380" s="16"/>
      <c r="F2380" s="16"/>
      <c r="G2380" s="16"/>
      <c r="H2380" s="16"/>
      <c r="I2380" s="16"/>
      <c r="J2380" s="16"/>
      <c r="K2380" s="16"/>
      <c r="L2380" s="15">
        <f>IF(O2380,P2380/O2380,0)</f>
        <v>0</v>
      </c>
      <c r="M2380" s="15">
        <v>0</v>
      </c>
      <c r="N2380" s="15">
        <f>A2380</f>
        <v>2378</v>
      </c>
      <c r="O2380" s="16"/>
      <c r="P2380" s="16"/>
      <c r="Q2380" s="16"/>
    </row>
    <row r="2381" ht="20.05" customHeight="1">
      <c r="A2381" s="13">
        <f>A2380+1</f>
        <v>2379</v>
      </c>
      <c r="B2381" s="57"/>
      <c r="C2381" s="16"/>
      <c r="D2381" s="16"/>
      <c r="E2381" s="16"/>
      <c r="F2381" s="16"/>
      <c r="G2381" s="16"/>
      <c r="H2381" s="16"/>
      <c r="I2381" s="16"/>
      <c r="J2381" s="16"/>
      <c r="K2381" s="16"/>
      <c r="L2381" s="15">
        <f>IF(O2381,P2381/O2381,0)</f>
        <v>0</v>
      </c>
      <c r="M2381" s="15">
        <v>0</v>
      </c>
      <c r="N2381" s="15">
        <f>A2381</f>
        <v>2379</v>
      </c>
      <c r="O2381" s="16"/>
      <c r="P2381" s="16"/>
      <c r="Q2381" s="16"/>
    </row>
    <row r="2382" ht="20.05" customHeight="1">
      <c r="A2382" s="13">
        <f>A2381+1</f>
        <v>2380</v>
      </c>
      <c r="B2382" s="57"/>
      <c r="C2382" s="16"/>
      <c r="D2382" s="16"/>
      <c r="E2382" s="16"/>
      <c r="F2382" s="16"/>
      <c r="G2382" s="16"/>
      <c r="H2382" s="16"/>
      <c r="I2382" s="16"/>
      <c r="J2382" s="16"/>
      <c r="K2382" s="16"/>
      <c r="L2382" s="15">
        <f>IF(O2382,P2382/O2382,0)</f>
        <v>0</v>
      </c>
      <c r="M2382" s="15">
        <v>0</v>
      </c>
      <c r="N2382" s="15">
        <f>A2382</f>
        <v>2380</v>
      </c>
      <c r="O2382" s="16"/>
      <c r="P2382" s="16"/>
      <c r="Q2382" s="16"/>
    </row>
    <row r="2383" ht="20.05" customHeight="1">
      <c r="A2383" s="13">
        <f>A2382+1</f>
        <v>2381</v>
      </c>
      <c r="B2383" s="57"/>
      <c r="C2383" s="16"/>
      <c r="D2383" s="16"/>
      <c r="E2383" s="16"/>
      <c r="F2383" s="16"/>
      <c r="G2383" s="16"/>
      <c r="H2383" s="16"/>
      <c r="I2383" s="16"/>
      <c r="J2383" s="16"/>
      <c r="K2383" s="16"/>
      <c r="L2383" s="15">
        <f>IF(O2383,P2383/O2383,0)</f>
        <v>0</v>
      </c>
      <c r="M2383" s="15">
        <v>0</v>
      </c>
      <c r="N2383" s="15">
        <f>A2383</f>
        <v>2381</v>
      </c>
      <c r="O2383" s="16"/>
      <c r="P2383" s="16"/>
      <c r="Q2383" s="16"/>
    </row>
    <row r="2384" ht="20.05" customHeight="1">
      <c r="A2384" s="13">
        <f>A2383+1</f>
        <v>2382</v>
      </c>
      <c r="B2384" s="57"/>
      <c r="C2384" s="16"/>
      <c r="D2384" s="16"/>
      <c r="E2384" s="16"/>
      <c r="F2384" s="16"/>
      <c r="G2384" s="16"/>
      <c r="H2384" s="16"/>
      <c r="I2384" s="16"/>
      <c r="J2384" s="16"/>
      <c r="K2384" s="16"/>
      <c r="L2384" s="15">
        <f>IF(O2384,P2384/O2384,0)</f>
        <v>0</v>
      </c>
      <c r="M2384" s="15">
        <v>0</v>
      </c>
      <c r="N2384" s="15">
        <f>A2384</f>
        <v>2382</v>
      </c>
      <c r="O2384" s="16"/>
      <c r="P2384" s="16"/>
      <c r="Q2384" s="16"/>
    </row>
    <row r="2385" ht="20.05" customHeight="1">
      <c r="A2385" s="13">
        <f>A2384+1</f>
        <v>2383</v>
      </c>
      <c r="B2385" s="57"/>
      <c r="C2385" s="16"/>
      <c r="D2385" s="16"/>
      <c r="E2385" s="16"/>
      <c r="F2385" s="16"/>
      <c r="G2385" s="16"/>
      <c r="H2385" s="16"/>
      <c r="I2385" s="16"/>
      <c r="J2385" s="16"/>
      <c r="K2385" s="16"/>
      <c r="L2385" s="15">
        <f>IF(O2385,P2385/O2385,0)</f>
        <v>0</v>
      </c>
      <c r="M2385" s="15">
        <v>0</v>
      </c>
      <c r="N2385" s="15">
        <f>A2385</f>
        <v>2383</v>
      </c>
      <c r="O2385" s="16"/>
      <c r="P2385" s="16"/>
      <c r="Q2385" s="16"/>
    </row>
    <row r="2386" ht="20.05" customHeight="1">
      <c r="A2386" s="13">
        <f>A2385+1</f>
        <v>2384</v>
      </c>
      <c r="B2386" s="57"/>
      <c r="C2386" s="16"/>
      <c r="D2386" s="16"/>
      <c r="E2386" s="16"/>
      <c r="F2386" s="16"/>
      <c r="G2386" s="16"/>
      <c r="H2386" s="16"/>
      <c r="I2386" s="16"/>
      <c r="J2386" s="16"/>
      <c r="K2386" s="16"/>
      <c r="L2386" s="15">
        <f>IF(O2386,P2386/O2386,0)</f>
        <v>0</v>
      </c>
      <c r="M2386" s="15">
        <v>0</v>
      </c>
      <c r="N2386" s="15">
        <f>A2386</f>
        <v>2384</v>
      </c>
      <c r="O2386" s="16"/>
      <c r="P2386" s="16"/>
      <c r="Q2386" s="16"/>
    </row>
    <row r="2387" ht="20.05" customHeight="1">
      <c r="A2387" s="13">
        <f>A2386+1</f>
        <v>2385</v>
      </c>
      <c r="B2387" s="57"/>
      <c r="C2387" s="16"/>
      <c r="D2387" s="16"/>
      <c r="E2387" s="16"/>
      <c r="F2387" s="16"/>
      <c r="G2387" s="16"/>
      <c r="H2387" s="16"/>
      <c r="I2387" s="16"/>
      <c r="J2387" s="16"/>
      <c r="K2387" s="16"/>
      <c r="L2387" s="15">
        <f>IF(O2387,P2387/O2387,0)</f>
        <v>0</v>
      </c>
      <c r="M2387" s="15">
        <v>0</v>
      </c>
      <c r="N2387" s="15">
        <f>A2387</f>
        <v>2385</v>
      </c>
      <c r="O2387" s="16"/>
      <c r="P2387" s="16"/>
      <c r="Q2387" s="16"/>
    </row>
    <row r="2388" ht="20.05" customHeight="1">
      <c r="A2388" s="13">
        <f>A2387+1</f>
        <v>2386</v>
      </c>
      <c r="B2388" s="57"/>
      <c r="C2388" s="16"/>
      <c r="D2388" s="16"/>
      <c r="E2388" s="16"/>
      <c r="F2388" s="16"/>
      <c r="G2388" s="16"/>
      <c r="H2388" s="16"/>
      <c r="I2388" s="16"/>
      <c r="J2388" s="16"/>
      <c r="K2388" s="16"/>
      <c r="L2388" s="15">
        <f>IF(O2388,P2388/O2388,0)</f>
        <v>0</v>
      </c>
      <c r="M2388" s="15">
        <v>0</v>
      </c>
      <c r="N2388" s="15">
        <f>A2388</f>
        <v>2386</v>
      </c>
      <c r="O2388" s="16"/>
      <c r="P2388" s="16"/>
      <c r="Q2388" s="16"/>
    </row>
    <row r="2389" ht="20.05" customHeight="1">
      <c r="A2389" s="13">
        <f>A2388+1</f>
        <v>2387</v>
      </c>
      <c r="B2389" s="57"/>
      <c r="C2389" s="16"/>
      <c r="D2389" s="16"/>
      <c r="E2389" s="16"/>
      <c r="F2389" s="16"/>
      <c r="G2389" s="16"/>
      <c r="H2389" s="16"/>
      <c r="I2389" s="16"/>
      <c r="J2389" s="16"/>
      <c r="K2389" s="16"/>
      <c r="L2389" s="15">
        <f>IF(O2389,P2389/O2389,0)</f>
        <v>0</v>
      </c>
      <c r="M2389" s="15">
        <v>0</v>
      </c>
      <c r="N2389" s="15">
        <f>A2389</f>
        <v>2387</v>
      </c>
      <c r="O2389" s="16"/>
      <c r="P2389" s="16"/>
      <c r="Q2389" s="16"/>
    </row>
    <row r="2390" ht="20.05" customHeight="1">
      <c r="A2390" s="13">
        <f>A2389+1</f>
        <v>2388</v>
      </c>
      <c r="B2390" s="57"/>
      <c r="C2390" s="16"/>
      <c r="D2390" s="16"/>
      <c r="E2390" s="16"/>
      <c r="F2390" s="16"/>
      <c r="G2390" s="16"/>
      <c r="H2390" s="16"/>
      <c r="I2390" s="16"/>
      <c r="J2390" s="16"/>
      <c r="K2390" s="16"/>
      <c r="L2390" s="15">
        <f>IF(O2390,P2390/O2390,0)</f>
        <v>0</v>
      </c>
      <c r="M2390" s="15">
        <v>0</v>
      </c>
      <c r="N2390" s="15">
        <f>A2390</f>
        <v>2388</v>
      </c>
      <c r="O2390" s="16"/>
      <c r="P2390" s="16"/>
      <c r="Q2390" s="16"/>
    </row>
    <row r="2391" ht="20.05" customHeight="1">
      <c r="A2391" s="13">
        <f>A2390+1</f>
        <v>2389</v>
      </c>
      <c r="B2391" s="57"/>
      <c r="C2391" s="16"/>
      <c r="D2391" s="16"/>
      <c r="E2391" s="16"/>
      <c r="F2391" s="16"/>
      <c r="G2391" s="16"/>
      <c r="H2391" s="16"/>
      <c r="I2391" s="16"/>
      <c r="J2391" s="16"/>
      <c r="K2391" s="16"/>
      <c r="L2391" s="15">
        <f>IF(O2391,P2391/O2391,0)</f>
        <v>0</v>
      </c>
      <c r="M2391" s="15">
        <v>0</v>
      </c>
      <c r="N2391" s="15">
        <f>A2391</f>
        <v>2389</v>
      </c>
      <c r="O2391" s="16"/>
      <c r="P2391" s="16"/>
      <c r="Q2391" s="16"/>
    </row>
    <row r="2392" ht="20.05" customHeight="1">
      <c r="A2392" s="13">
        <f>A2391+1</f>
        <v>2390</v>
      </c>
      <c r="B2392" s="57"/>
      <c r="C2392" s="16"/>
      <c r="D2392" s="16"/>
      <c r="E2392" s="16"/>
      <c r="F2392" s="16"/>
      <c r="G2392" s="16"/>
      <c r="H2392" s="16"/>
      <c r="I2392" s="16"/>
      <c r="J2392" s="16"/>
      <c r="K2392" s="16"/>
      <c r="L2392" s="15">
        <f>IF(O2392,P2392/O2392,0)</f>
        <v>0</v>
      </c>
      <c r="M2392" s="15">
        <v>0</v>
      </c>
      <c r="N2392" s="15">
        <f>A2392</f>
        <v>2390</v>
      </c>
      <c r="O2392" s="16"/>
      <c r="P2392" s="16"/>
      <c r="Q2392" s="16"/>
    </row>
    <row r="2393" ht="20.05" customHeight="1">
      <c r="A2393" s="13">
        <f>A2392+1</f>
        <v>2391</v>
      </c>
      <c r="B2393" s="57"/>
      <c r="C2393" s="16"/>
      <c r="D2393" s="16"/>
      <c r="E2393" s="16"/>
      <c r="F2393" s="16"/>
      <c r="G2393" s="16"/>
      <c r="H2393" s="16"/>
      <c r="I2393" s="16"/>
      <c r="J2393" s="16"/>
      <c r="K2393" s="16"/>
      <c r="L2393" s="15">
        <f>IF(O2393,P2393/O2393,0)</f>
        <v>0</v>
      </c>
      <c r="M2393" s="15">
        <v>0</v>
      </c>
      <c r="N2393" s="15">
        <f>A2393</f>
        <v>2391</v>
      </c>
      <c r="O2393" s="16"/>
      <c r="P2393" s="16"/>
      <c r="Q2393" s="16"/>
    </row>
    <row r="2394" ht="20.05" customHeight="1">
      <c r="A2394" s="13">
        <f>A2393+1</f>
        <v>2392</v>
      </c>
      <c r="B2394" s="57"/>
      <c r="C2394" s="16"/>
      <c r="D2394" s="16"/>
      <c r="E2394" s="16"/>
      <c r="F2394" s="16"/>
      <c r="G2394" s="16"/>
      <c r="H2394" s="16"/>
      <c r="I2394" s="16"/>
      <c r="J2394" s="16"/>
      <c r="K2394" s="16"/>
      <c r="L2394" s="15">
        <f>IF(O2394,P2394/O2394,0)</f>
        <v>0</v>
      </c>
      <c r="M2394" s="15">
        <v>0</v>
      </c>
      <c r="N2394" s="15">
        <f>A2394</f>
        <v>2392</v>
      </c>
      <c r="O2394" s="16"/>
      <c r="P2394" s="16"/>
      <c r="Q2394" s="16"/>
    </row>
    <row r="2395" ht="20.05" customHeight="1">
      <c r="A2395" s="13">
        <f>A2394+1</f>
        <v>2393</v>
      </c>
      <c r="B2395" s="57"/>
      <c r="C2395" s="16"/>
      <c r="D2395" s="16"/>
      <c r="E2395" s="16"/>
      <c r="F2395" s="16"/>
      <c r="G2395" s="16"/>
      <c r="H2395" s="16"/>
      <c r="I2395" s="16"/>
      <c r="J2395" s="16"/>
      <c r="K2395" s="16"/>
      <c r="L2395" s="15">
        <f>IF(O2395,P2395/O2395,0)</f>
        <v>0</v>
      </c>
      <c r="M2395" s="15">
        <v>0</v>
      </c>
      <c r="N2395" s="15">
        <f>A2395</f>
        <v>2393</v>
      </c>
      <c r="O2395" s="16"/>
      <c r="P2395" s="16"/>
      <c r="Q2395" s="16"/>
    </row>
    <row r="2396" ht="20.05" customHeight="1">
      <c r="A2396" s="13">
        <f>A2395+1</f>
        <v>2394</v>
      </c>
      <c r="B2396" s="57"/>
      <c r="C2396" s="16"/>
      <c r="D2396" s="16"/>
      <c r="E2396" s="16"/>
      <c r="F2396" s="16"/>
      <c r="G2396" s="16"/>
      <c r="H2396" s="16"/>
      <c r="I2396" s="16"/>
      <c r="J2396" s="16"/>
      <c r="K2396" s="16"/>
      <c r="L2396" s="15">
        <f>IF(O2396,P2396/O2396,0)</f>
        <v>0</v>
      </c>
      <c r="M2396" s="15">
        <v>0</v>
      </c>
      <c r="N2396" s="15">
        <f>A2396</f>
        <v>2394</v>
      </c>
      <c r="O2396" s="16"/>
      <c r="P2396" s="16"/>
      <c r="Q2396" s="16"/>
    </row>
    <row r="2397" ht="20.05" customHeight="1">
      <c r="A2397" s="13">
        <f>A2396+1</f>
        <v>2395</v>
      </c>
      <c r="B2397" s="57"/>
      <c r="C2397" s="16"/>
      <c r="D2397" s="16"/>
      <c r="E2397" s="16"/>
      <c r="F2397" s="16"/>
      <c r="G2397" s="16"/>
      <c r="H2397" s="16"/>
      <c r="I2397" s="16"/>
      <c r="J2397" s="16"/>
      <c r="K2397" s="16"/>
      <c r="L2397" s="15">
        <f>IF(O2397,P2397/O2397,0)</f>
        <v>0</v>
      </c>
      <c r="M2397" s="15">
        <v>0</v>
      </c>
      <c r="N2397" s="15">
        <f>A2397</f>
        <v>2395</v>
      </c>
      <c r="O2397" s="16"/>
      <c r="P2397" s="16"/>
      <c r="Q2397" s="16"/>
    </row>
    <row r="2398" ht="20.05" customHeight="1">
      <c r="A2398" s="13">
        <f>A2397+1</f>
        <v>2396</v>
      </c>
      <c r="B2398" s="57"/>
      <c r="C2398" s="16"/>
      <c r="D2398" s="16"/>
      <c r="E2398" s="16"/>
      <c r="F2398" s="16"/>
      <c r="G2398" s="16"/>
      <c r="H2398" s="16"/>
      <c r="I2398" s="16"/>
      <c r="J2398" s="16"/>
      <c r="K2398" s="16"/>
      <c r="L2398" s="15">
        <f>IF(O2398,P2398/O2398,0)</f>
        <v>0</v>
      </c>
      <c r="M2398" s="15">
        <v>0</v>
      </c>
      <c r="N2398" s="15">
        <f>A2398</f>
        <v>2396</v>
      </c>
      <c r="O2398" s="16"/>
      <c r="P2398" s="16"/>
      <c r="Q2398" s="16"/>
    </row>
    <row r="2399" ht="20.05" customHeight="1">
      <c r="A2399" s="13">
        <f>A2398+1</f>
        <v>2397</v>
      </c>
      <c r="B2399" s="57"/>
      <c r="C2399" s="16"/>
      <c r="D2399" s="16"/>
      <c r="E2399" s="16"/>
      <c r="F2399" s="16"/>
      <c r="G2399" s="16"/>
      <c r="H2399" s="16"/>
      <c r="I2399" s="16"/>
      <c r="J2399" s="16"/>
      <c r="K2399" s="16"/>
      <c r="L2399" s="15">
        <f>IF(O2399,P2399/O2399,0)</f>
        <v>0</v>
      </c>
      <c r="M2399" s="15">
        <v>0</v>
      </c>
      <c r="N2399" s="15">
        <f>A2399</f>
        <v>2397</v>
      </c>
      <c r="O2399" s="16"/>
      <c r="P2399" s="16"/>
      <c r="Q2399" s="16"/>
    </row>
    <row r="2400" ht="20.05" customHeight="1">
      <c r="A2400" s="13">
        <f>A2399+1</f>
        <v>2398</v>
      </c>
      <c r="B2400" s="57"/>
      <c r="C2400" s="16"/>
      <c r="D2400" s="16"/>
      <c r="E2400" s="16"/>
      <c r="F2400" s="16"/>
      <c r="G2400" s="16"/>
      <c r="H2400" s="16"/>
      <c r="I2400" s="16"/>
      <c r="J2400" s="16"/>
      <c r="K2400" s="16"/>
      <c r="L2400" s="15">
        <f>IF(O2400,P2400/O2400,0)</f>
        <v>0</v>
      </c>
      <c r="M2400" s="15">
        <v>0</v>
      </c>
      <c r="N2400" s="15">
        <f>A2400</f>
        <v>2398</v>
      </c>
      <c r="O2400" s="16"/>
      <c r="P2400" s="16"/>
      <c r="Q2400" s="16"/>
    </row>
    <row r="2401" ht="20.05" customHeight="1">
      <c r="A2401" s="13">
        <f>A2400+1</f>
        <v>2399</v>
      </c>
      <c r="B2401" s="57"/>
      <c r="C2401" s="16"/>
      <c r="D2401" s="16"/>
      <c r="E2401" s="16"/>
      <c r="F2401" s="16"/>
      <c r="G2401" s="16"/>
      <c r="H2401" s="16"/>
      <c r="I2401" s="16"/>
      <c r="J2401" s="16"/>
      <c r="K2401" s="16"/>
      <c r="L2401" s="15">
        <f>IF(O2401,P2401/O2401,0)</f>
        <v>0</v>
      </c>
      <c r="M2401" s="15">
        <v>0</v>
      </c>
      <c r="N2401" s="15">
        <f>A2401</f>
        <v>2399</v>
      </c>
      <c r="O2401" s="16"/>
      <c r="P2401" s="16"/>
      <c r="Q2401" s="16"/>
    </row>
    <row r="2402" ht="20.05" customHeight="1">
      <c r="A2402" s="13">
        <f>A2401+1</f>
        <v>2400</v>
      </c>
      <c r="B2402" s="57"/>
      <c r="C2402" s="16"/>
      <c r="D2402" s="16"/>
      <c r="E2402" s="16"/>
      <c r="F2402" s="16"/>
      <c r="G2402" s="16"/>
      <c r="H2402" s="16"/>
      <c r="I2402" s="16"/>
      <c r="J2402" s="16"/>
      <c r="K2402" s="16"/>
      <c r="L2402" s="15">
        <f>IF(O2402,P2402/O2402,0)</f>
        <v>0</v>
      </c>
      <c r="M2402" s="15">
        <v>0</v>
      </c>
      <c r="N2402" s="15">
        <f>A2402</f>
        <v>2400</v>
      </c>
      <c r="O2402" s="16"/>
      <c r="P2402" s="16"/>
      <c r="Q2402" s="16"/>
    </row>
    <row r="2403" ht="20.05" customHeight="1">
      <c r="A2403" s="13">
        <f>A2402+1</f>
        <v>2401</v>
      </c>
      <c r="B2403" s="57"/>
      <c r="C2403" s="16"/>
      <c r="D2403" s="16"/>
      <c r="E2403" s="16"/>
      <c r="F2403" s="16"/>
      <c r="G2403" s="16"/>
      <c r="H2403" s="16"/>
      <c r="I2403" s="16"/>
      <c r="J2403" s="16"/>
      <c r="K2403" s="16"/>
      <c r="L2403" s="15">
        <f>IF(O2403,P2403/O2403,0)</f>
        <v>0</v>
      </c>
      <c r="M2403" s="15">
        <v>0</v>
      </c>
      <c r="N2403" s="15">
        <f>A2403</f>
        <v>2401</v>
      </c>
      <c r="O2403" s="16"/>
      <c r="P2403" s="16"/>
      <c r="Q2403" s="16"/>
    </row>
    <row r="2404" ht="20.05" customHeight="1">
      <c r="A2404" s="13">
        <f>A2403+1</f>
        <v>2402</v>
      </c>
      <c r="B2404" s="57"/>
      <c r="C2404" s="16"/>
      <c r="D2404" s="16"/>
      <c r="E2404" s="16"/>
      <c r="F2404" s="16"/>
      <c r="G2404" s="16"/>
      <c r="H2404" s="16"/>
      <c r="I2404" s="16"/>
      <c r="J2404" s="16"/>
      <c r="K2404" s="16"/>
      <c r="L2404" s="15">
        <f>IF(O2404,P2404/O2404,0)</f>
        <v>0</v>
      </c>
      <c r="M2404" s="15">
        <v>0</v>
      </c>
      <c r="N2404" s="15">
        <f>A2404</f>
        <v>2402</v>
      </c>
      <c r="O2404" s="16"/>
      <c r="P2404" s="16"/>
      <c r="Q2404" s="16"/>
    </row>
    <row r="2405" ht="20.05" customHeight="1">
      <c r="A2405" s="13">
        <f>A2404+1</f>
        <v>2403</v>
      </c>
      <c r="B2405" s="57"/>
      <c r="C2405" s="16"/>
      <c r="D2405" s="16"/>
      <c r="E2405" s="16"/>
      <c r="F2405" s="16"/>
      <c r="G2405" s="16"/>
      <c r="H2405" s="16"/>
      <c r="I2405" s="16"/>
      <c r="J2405" s="16"/>
      <c r="K2405" s="16"/>
      <c r="L2405" s="15">
        <f>IF(O2405,P2405/O2405,0)</f>
        <v>0</v>
      </c>
      <c r="M2405" s="15">
        <v>0</v>
      </c>
      <c r="N2405" s="15">
        <f>A2405</f>
        <v>2403</v>
      </c>
      <c r="O2405" s="16"/>
      <c r="P2405" s="16"/>
      <c r="Q2405" s="16"/>
    </row>
    <row r="2406" ht="20.05" customHeight="1">
      <c r="A2406" s="13">
        <f>A2405+1</f>
        <v>2404</v>
      </c>
      <c r="B2406" s="57"/>
      <c r="C2406" s="16"/>
      <c r="D2406" s="16"/>
      <c r="E2406" s="16"/>
      <c r="F2406" s="16"/>
      <c r="G2406" s="16"/>
      <c r="H2406" s="16"/>
      <c r="I2406" s="16"/>
      <c r="J2406" s="16"/>
      <c r="K2406" s="16"/>
      <c r="L2406" s="15">
        <f>IF(O2406,P2406/O2406,0)</f>
        <v>0</v>
      </c>
      <c r="M2406" s="15">
        <v>0</v>
      </c>
      <c r="N2406" s="15">
        <f>A2406</f>
        <v>2404</v>
      </c>
      <c r="O2406" s="16"/>
      <c r="P2406" s="16"/>
      <c r="Q2406" s="16"/>
    </row>
    <row r="2407" ht="20.05" customHeight="1">
      <c r="A2407" s="13">
        <f>A2406+1</f>
        <v>2405</v>
      </c>
      <c r="B2407" s="57"/>
      <c r="C2407" s="16"/>
      <c r="D2407" s="16"/>
      <c r="E2407" s="16"/>
      <c r="F2407" s="16"/>
      <c r="G2407" s="16"/>
      <c r="H2407" s="16"/>
      <c r="I2407" s="16"/>
      <c r="J2407" s="16"/>
      <c r="K2407" s="16"/>
      <c r="L2407" s="15">
        <f>IF(O2407,P2407/O2407,0)</f>
        <v>0</v>
      </c>
      <c r="M2407" s="15">
        <v>0</v>
      </c>
      <c r="N2407" s="15">
        <f>A2407</f>
        <v>2405</v>
      </c>
      <c r="O2407" s="16"/>
      <c r="P2407" s="16"/>
      <c r="Q2407" s="16"/>
    </row>
    <row r="2408" ht="20.05" customHeight="1">
      <c r="A2408" s="13">
        <f>A2407+1</f>
        <v>2406</v>
      </c>
      <c r="B2408" s="57"/>
      <c r="C2408" s="16"/>
      <c r="D2408" s="16"/>
      <c r="E2408" s="16"/>
      <c r="F2408" s="16"/>
      <c r="G2408" s="16"/>
      <c r="H2408" s="16"/>
      <c r="I2408" s="16"/>
      <c r="J2408" s="16"/>
      <c r="K2408" s="16"/>
      <c r="L2408" s="15">
        <f>IF(O2408,P2408/O2408,0)</f>
        <v>0</v>
      </c>
      <c r="M2408" s="15">
        <v>0</v>
      </c>
      <c r="N2408" s="15">
        <f>A2408</f>
        <v>2406</v>
      </c>
      <c r="O2408" s="16"/>
      <c r="P2408" s="16"/>
      <c r="Q2408" s="16"/>
    </row>
    <row r="2409" ht="20.05" customHeight="1">
      <c r="A2409" s="13">
        <f>A2408+1</f>
        <v>2407</v>
      </c>
      <c r="B2409" s="57"/>
      <c r="C2409" s="16"/>
      <c r="D2409" s="16"/>
      <c r="E2409" s="16"/>
      <c r="F2409" s="16"/>
      <c r="G2409" s="16"/>
      <c r="H2409" s="16"/>
      <c r="I2409" s="16"/>
      <c r="J2409" s="16"/>
      <c r="K2409" s="16"/>
      <c r="L2409" s="15">
        <f>IF(O2409,P2409/O2409,0)</f>
        <v>0</v>
      </c>
      <c r="M2409" s="15">
        <v>0</v>
      </c>
      <c r="N2409" s="15">
        <f>A2409</f>
        <v>2407</v>
      </c>
      <c r="O2409" s="16"/>
      <c r="P2409" s="16"/>
      <c r="Q2409" s="16"/>
    </row>
    <row r="2410" ht="20.05" customHeight="1">
      <c r="A2410" s="13">
        <f>A2409+1</f>
        <v>2408</v>
      </c>
      <c r="B2410" s="57"/>
      <c r="C2410" s="16"/>
      <c r="D2410" s="16"/>
      <c r="E2410" s="16"/>
      <c r="F2410" s="16"/>
      <c r="G2410" s="16"/>
      <c r="H2410" s="16"/>
      <c r="I2410" s="16"/>
      <c r="J2410" s="16"/>
      <c r="K2410" s="16"/>
      <c r="L2410" s="15">
        <f>IF(O2410,P2410/O2410,0)</f>
        <v>0</v>
      </c>
      <c r="M2410" s="15">
        <v>0</v>
      </c>
      <c r="N2410" s="15">
        <f>A2410</f>
        <v>2408</v>
      </c>
      <c r="O2410" s="16"/>
      <c r="P2410" s="16"/>
      <c r="Q2410" s="16"/>
    </row>
    <row r="2411" ht="20.05" customHeight="1">
      <c r="A2411" s="13">
        <f>A2410+1</f>
        <v>2409</v>
      </c>
      <c r="B2411" s="57"/>
      <c r="C2411" s="16"/>
      <c r="D2411" s="16"/>
      <c r="E2411" s="16"/>
      <c r="F2411" s="16"/>
      <c r="G2411" s="16"/>
      <c r="H2411" s="16"/>
      <c r="I2411" s="16"/>
      <c r="J2411" s="16"/>
      <c r="K2411" s="16"/>
      <c r="L2411" s="15">
        <f>IF(O2411,P2411/O2411,0)</f>
        <v>0</v>
      </c>
      <c r="M2411" s="15">
        <v>0</v>
      </c>
      <c r="N2411" s="15">
        <f>A2411</f>
        <v>2409</v>
      </c>
      <c r="O2411" s="16"/>
      <c r="P2411" s="16"/>
      <c r="Q2411" s="16"/>
    </row>
    <row r="2412" ht="20.05" customHeight="1">
      <c r="A2412" s="13">
        <f>A2411+1</f>
        <v>2410</v>
      </c>
      <c r="B2412" s="57"/>
      <c r="C2412" s="16"/>
      <c r="D2412" s="16"/>
      <c r="E2412" s="16"/>
      <c r="F2412" s="16"/>
      <c r="G2412" s="16"/>
      <c r="H2412" s="16"/>
      <c r="I2412" s="16"/>
      <c r="J2412" s="16"/>
      <c r="K2412" s="16"/>
      <c r="L2412" s="15">
        <f>IF(O2412,P2412/O2412,0)</f>
        <v>0</v>
      </c>
      <c r="M2412" s="15">
        <v>0</v>
      </c>
      <c r="N2412" s="15">
        <f>A2412</f>
        <v>2410</v>
      </c>
      <c r="O2412" s="16"/>
      <c r="P2412" s="16"/>
      <c r="Q2412" s="16"/>
    </row>
    <row r="2413" ht="20.05" customHeight="1">
      <c r="A2413" s="13">
        <f>A2412+1</f>
        <v>2411</v>
      </c>
      <c r="B2413" s="57"/>
      <c r="C2413" s="16"/>
      <c r="D2413" s="16"/>
      <c r="E2413" s="16"/>
      <c r="F2413" s="16"/>
      <c r="G2413" s="16"/>
      <c r="H2413" s="16"/>
      <c r="I2413" s="16"/>
      <c r="J2413" s="16"/>
      <c r="K2413" s="16"/>
      <c r="L2413" s="15">
        <f>IF(O2413,P2413/O2413,0)</f>
        <v>0</v>
      </c>
      <c r="M2413" s="15">
        <v>0</v>
      </c>
      <c r="N2413" s="15">
        <f>A2413</f>
        <v>2411</v>
      </c>
      <c r="O2413" s="16"/>
      <c r="P2413" s="16"/>
      <c r="Q2413" s="16"/>
    </row>
    <row r="2414" ht="20.05" customHeight="1">
      <c r="A2414" s="13">
        <f>A2413+1</f>
        <v>2412</v>
      </c>
      <c r="B2414" s="57"/>
      <c r="C2414" s="16"/>
      <c r="D2414" s="16"/>
      <c r="E2414" s="16"/>
      <c r="F2414" s="16"/>
      <c r="G2414" s="16"/>
      <c r="H2414" s="16"/>
      <c r="I2414" s="16"/>
      <c r="J2414" s="16"/>
      <c r="K2414" s="16"/>
      <c r="L2414" s="15">
        <f>IF(O2414,P2414/O2414,0)</f>
        <v>0</v>
      </c>
      <c r="M2414" s="15">
        <v>0</v>
      </c>
      <c r="N2414" s="15">
        <f>A2414</f>
        <v>2412</v>
      </c>
      <c r="O2414" s="16"/>
      <c r="P2414" s="16"/>
      <c r="Q2414" s="16"/>
    </row>
    <row r="2415" ht="20.05" customHeight="1">
      <c r="A2415" s="13">
        <f>A2414+1</f>
        <v>2413</v>
      </c>
      <c r="B2415" s="57"/>
      <c r="C2415" s="16"/>
      <c r="D2415" s="16"/>
      <c r="E2415" s="16"/>
      <c r="F2415" s="16"/>
      <c r="G2415" s="16"/>
      <c r="H2415" s="16"/>
      <c r="I2415" s="16"/>
      <c r="J2415" s="16"/>
      <c r="K2415" s="16"/>
      <c r="L2415" s="15">
        <f>IF(O2415,P2415/O2415,0)</f>
        <v>0</v>
      </c>
      <c r="M2415" s="15">
        <v>0</v>
      </c>
      <c r="N2415" s="15">
        <f>A2415</f>
        <v>2413</v>
      </c>
      <c r="O2415" s="16"/>
      <c r="P2415" s="16"/>
      <c r="Q2415" s="16"/>
    </row>
    <row r="2416" ht="20.05" customHeight="1">
      <c r="A2416" s="13">
        <f>A2415+1</f>
        <v>2414</v>
      </c>
      <c r="B2416" s="57"/>
      <c r="C2416" s="16"/>
      <c r="D2416" s="16"/>
      <c r="E2416" s="16"/>
      <c r="F2416" s="16"/>
      <c r="G2416" s="16"/>
      <c r="H2416" s="16"/>
      <c r="I2416" s="16"/>
      <c r="J2416" s="16"/>
      <c r="K2416" s="16"/>
      <c r="L2416" s="15">
        <f>IF(O2416,P2416/O2416,0)</f>
        <v>0</v>
      </c>
      <c r="M2416" s="15">
        <v>0</v>
      </c>
      <c r="N2416" s="15">
        <f>A2416</f>
        <v>2414</v>
      </c>
      <c r="O2416" s="16"/>
      <c r="P2416" s="16"/>
      <c r="Q2416" s="16"/>
    </row>
    <row r="2417" ht="20.05" customHeight="1">
      <c r="A2417" s="13">
        <f>A2416+1</f>
        <v>2415</v>
      </c>
      <c r="B2417" s="57"/>
      <c r="C2417" s="16"/>
      <c r="D2417" s="16"/>
      <c r="E2417" s="16"/>
      <c r="F2417" s="16"/>
      <c r="G2417" s="16"/>
      <c r="H2417" s="16"/>
      <c r="I2417" s="16"/>
      <c r="J2417" s="16"/>
      <c r="K2417" s="16"/>
      <c r="L2417" s="15">
        <f>IF(O2417,P2417/O2417,0)</f>
        <v>0</v>
      </c>
      <c r="M2417" s="15">
        <v>0</v>
      </c>
      <c r="N2417" s="15">
        <f>A2417</f>
        <v>2415</v>
      </c>
      <c r="O2417" s="16"/>
      <c r="P2417" s="16"/>
      <c r="Q2417" s="16"/>
    </row>
    <row r="2418" ht="20.05" customHeight="1">
      <c r="A2418" s="13">
        <f>A2417+1</f>
        <v>2416</v>
      </c>
      <c r="B2418" s="57"/>
      <c r="C2418" s="16"/>
      <c r="D2418" s="16"/>
      <c r="E2418" s="16"/>
      <c r="F2418" s="16"/>
      <c r="G2418" s="16"/>
      <c r="H2418" s="16"/>
      <c r="I2418" s="16"/>
      <c r="J2418" s="16"/>
      <c r="K2418" s="16"/>
      <c r="L2418" s="15">
        <f>IF(O2418,P2418/O2418,0)</f>
        <v>0</v>
      </c>
      <c r="M2418" s="15">
        <v>0</v>
      </c>
      <c r="N2418" s="15">
        <f>A2418</f>
        <v>2416</v>
      </c>
      <c r="O2418" s="16"/>
      <c r="P2418" s="16"/>
      <c r="Q2418" s="16"/>
    </row>
    <row r="2419" ht="20.05" customHeight="1">
      <c r="A2419" s="13">
        <f>A2418+1</f>
        <v>2417</v>
      </c>
      <c r="B2419" s="57"/>
      <c r="C2419" s="16"/>
      <c r="D2419" s="16"/>
      <c r="E2419" s="16"/>
      <c r="F2419" s="16"/>
      <c r="G2419" s="16"/>
      <c r="H2419" s="16"/>
      <c r="I2419" s="16"/>
      <c r="J2419" s="16"/>
      <c r="K2419" s="16"/>
      <c r="L2419" s="15">
        <f>IF(O2419,P2419/O2419,0)</f>
        <v>0</v>
      </c>
      <c r="M2419" s="15">
        <v>0</v>
      </c>
      <c r="N2419" s="15">
        <f>A2419</f>
        <v>2417</v>
      </c>
      <c r="O2419" s="16"/>
      <c r="P2419" s="16"/>
      <c r="Q2419" s="16"/>
    </row>
    <row r="2420" ht="20.05" customHeight="1">
      <c r="A2420" s="13">
        <f>A2419+1</f>
        <v>2418</v>
      </c>
      <c r="B2420" s="57"/>
      <c r="C2420" s="16"/>
      <c r="D2420" s="16"/>
      <c r="E2420" s="16"/>
      <c r="F2420" s="16"/>
      <c r="G2420" s="16"/>
      <c r="H2420" s="16"/>
      <c r="I2420" s="16"/>
      <c r="J2420" s="16"/>
      <c r="K2420" s="16"/>
      <c r="L2420" s="15">
        <f>IF(O2420,P2420/O2420,0)</f>
        <v>0</v>
      </c>
      <c r="M2420" s="15">
        <v>0</v>
      </c>
      <c r="N2420" s="15">
        <f>A2420</f>
        <v>2418</v>
      </c>
      <c r="O2420" s="16"/>
      <c r="P2420" s="16"/>
      <c r="Q2420" s="16"/>
    </row>
    <row r="2421" ht="20.05" customHeight="1">
      <c r="A2421" s="13">
        <f>A2420+1</f>
        <v>2419</v>
      </c>
      <c r="B2421" s="57"/>
      <c r="C2421" s="16"/>
      <c r="D2421" s="16"/>
      <c r="E2421" s="16"/>
      <c r="F2421" s="16"/>
      <c r="G2421" s="16"/>
      <c r="H2421" s="16"/>
      <c r="I2421" s="16"/>
      <c r="J2421" s="16"/>
      <c r="K2421" s="16"/>
      <c r="L2421" s="15">
        <f>IF(O2421,P2421/O2421,0)</f>
        <v>0</v>
      </c>
      <c r="M2421" s="15">
        <v>0</v>
      </c>
      <c r="N2421" s="15">
        <f>A2421</f>
        <v>2419</v>
      </c>
      <c r="O2421" s="16"/>
      <c r="P2421" s="16"/>
      <c r="Q2421" s="16"/>
    </row>
    <row r="2422" ht="20.05" customHeight="1">
      <c r="A2422" s="13">
        <f>A2421+1</f>
        <v>2420</v>
      </c>
      <c r="B2422" s="57"/>
      <c r="C2422" s="16"/>
      <c r="D2422" s="16"/>
      <c r="E2422" s="16"/>
      <c r="F2422" s="16"/>
      <c r="G2422" s="16"/>
      <c r="H2422" s="16"/>
      <c r="I2422" s="16"/>
      <c r="J2422" s="16"/>
      <c r="K2422" s="16"/>
      <c r="L2422" s="15">
        <f>IF(O2422,P2422/O2422,0)</f>
        <v>0</v>
      </c>
      <c r="M2422" s="15">
        <v>0</v>
      </c>
      <c r="N2422" s="15">
        <f>A2422</f>
        <v>2420</v>
      </c>
      <c r="O2422" s="16"/>
      <c r="P2422" s="16"/>
      <c r="Q2422" s="16"/>
    </row>
    <row r="2423" ht="20.05" customHeight="1">
      <c r="A2423" s="13">
        <f>A2422+1</f>
        <v>2421</v>
      </c>
      <c r="B2423" s="57"/>
      <c r="C2423" s="16"/>
      <c r="D2423" s="16"/>
      <c r="E2423" s="16"/>
      <c r="F2423" s="16"/>
      <c r="G2423" s="16"/>
      <c r="H2423" s="16"/>
      <c r="I2423" s="16"/>
      <c r="J2423" s="16"/>
      <c r="K2423" s="16"/>
      <c r="L2423" s="15">
        <f>IF(O2423,P2423/O2423,0)</f>
        <v>0</v>
      </c>
      <c r="M2423" s="15">
        <v>0</v>
      </c>
      <c r="N2423" s="15">
        <f>A2423</f>
        <v>2421</v>
      </c>
      <c r="O2423" s="16"/>
      <c r="P2423" s="16"/>
      <c r="Q2423" s="16"/>
    </row>
    <row r="2424" ht="20.05" customHeight="1">
      <c r="A2424" s="13">
        <f>A2423+1</f>
        <v>2422</v>
      </c>
      <c r="B2424" s="57"/>
      <c r="C2424" s="16"/>
      <c r="D2424" s="16"/>
      <c r="E2424" s="16"/>
      <c r="F2424" s="16"/>
      <c r="G2424" s="16"/>
      <c r="H2424" s="16"/>
      <c r="I2424" s="16"/>
      <c r="J2424" s="16"/>
      <c r="K2424" s="16"/>
      <c r="L2424" s="15">
        <f>IF(O2424,P2424/O2424,0)</f>
        <v>0</v>
      </c>
      <c r="M2424" s="15">
        <v>0</v>
      </c>
      <c r="N2424" s="15">
        <f>A2424</f>
        <v>2422</v>
      </c>
      <c r="O2424" s="16"/>
      <c r="P2424" s="16"/>
      <c r="Q2424" s="16"/>
    </row>
    <row r="2425" ht="20.05" customHeight="1">
      <c r="A2425" s="13">
        <f>A2424+1</f>
        <v>2423</v>
      </c>
      <c r="B2425" s="57"/>
      <c r="C2425" s="16"/>
      <c r="D2425" s="16"/>
      <c r="E2425" s="16"/>
      <c r="F2425" s="16"/>
      <c r="G2425" s="16"/>
      <c r="H2425" s="16"/>
      <c r="I2425" s="16"/>
      <c r="J2425" s="16"/>
      <c r="K2425" s="16"/>
      <c r="L2425" s="15">
        <f>IF(O2425,P2425/O2425,0)</f>
        <v>0</v>
      </c>
      <c r="M2425" s="15">
        <v>0</v>
      </c>
      <c r="N2425" s="15">
        <f>A2425</f>
        <v>2423</v>
      </c>
      <c r="O2425" s="16"/>
      <c r="P2425" s="16"/>
      <c r="Q2425" s="16"/>
    </row>
    <row r="2426" ht="20.05" customHeight="1">
      <c r="A2426" s="13">
        <f>A2425+1</f>
        <v>2424</v>
      </c>
      <c r="B2426" s="57"/>
      <c r="C2426" s="16"/>
      <c r="D2426" s="16"/>
      <c r="E2426" s="16"/>
      <c r="F2426" s="16"/>
      <c r="G2426" s="16"/>
      <c r="H2426" s="16"/>
      <c r="I2426" s="16"/>
      <c r="J2426" s="16"/>
      <c r="K2426" s="16"/>
      <c r="L2426" s="15">
        <f>IF(O2426,P2426/O2426,0)</f>
        <v>0</v>
      </c>
      <c r="M2426" s="15">
        <v>0</v>
      </c>
      <c r="N2426" s="15">
        <f>A2426</f>
        <v>2424</v>
      </c>
      <c r="O2426" s="16"/>
      <c r="P2426" s="16"/>
      <c r="Q2426" s="16"/>
    </row>
    <row r="2427" ht="20.05" customHeight="1">
      <c r="A2427" s="13">
        <f>A2426+1</f>
        <v>2425</v>
      </c>
      <c r="B2427" s="57"/>
      <c r="C2427" s="16"/>
      <c r="D2427" s="16"/>
      <c r="E2427" s="16"/>
      <c r="F2427" s="16"/>
      <c r="G2427" s="16"/>
      <c r="H2427" s="16"/>
      <c r="I2427" s="16"/>
      <c r="J2427" s="16"/>
      <c r="K2427" s="16"/>
      <c r="L2427" s="15">
        <f>IF(O2427,P2427/O2427,0)</f>
        <v>0</v>
      </c>
      <c r="M2427" s="15">
        <v>0</v>
      </c>
      <c r="N2427" s="15">
        <f>A2427</f>
        <v>2425</v>
      </c>
      <c r="O2427" s="16"/>
      <c r="P2427" s="16"/>
      <c r="Q2427" s="16"/>
    </row>
    <row r="2428" ht="20.05" customHeight="1">
      <c r="A2428" s="13">
        <f>A2427+1</f>
        <v>2426</v>
      </c>
      <c r="B2428" s="57"/>
      <c r="C2428" s="16"/>
      <c r="D2428" s="16"/>
      <c r="E2428" s="16"/>
      <c r="F2428" s="16"/>
      <c r="G2428" s="16"/>
      <c r="H2428" s="16"/>
      <c r="I2428" s="16"/>
      <c r="J2428" s="16"/>
      <c r="K2428" s="16"/>
      <c r="L2428" s="15">
        <f>IF(O2428,P2428/O2428,0)</f>
        <v>0</v>
      </c>
      <c r="M2428" s="15">
        <v>0</v>
      </c>
      <c r="N2428" s="15">
        <f>A2428</f>
        <v>2426</v>
      </c>
      <c r="O2428" s="16"/>
      <c r="P2428" s="16"/>
      <c r="Q2428" s="16"/>
    </row>
    <row r="2429" ht="20.05" customHeight="1">
      <c r="A2429" s="13">
        <f>A2428+1</f>
        <v>2427</v>
      </c>
      <c r="B2429" s="57"/>
      <c r="C2429" s="16"/>
      <c r="D2429" s="16"/>
      <c r="E2429" s="16"/>
      <c r="F2429" s="16"/>
      <c r="G2429" s="16"/>
      <c r="H2429" s="16"/>
      <c r="I2429" s="16"/>
      <c r="J2429" s="16"/>
      <c r="K2429" s="16"/>
      <c r="L2429" s="15">
        <f>IF(O2429,P2429/O2429,0)</f>
        <v>0</v>
      </c>
      <c r="M2429" s="15">
        <v>0</v>
      </c>
      <c r="N2429" s="15">
        <f>A2429</f>
        <v>2427</v>
      </c>
      <c r="O2429" s="16"/>
      <c r="P2429" s="16"/>
      <c r="Q2429" s="16"/>
    </row>
    <row r="2430" ht="20.05" customHeight="1">
      <c r="A2430" s="13">
        <f>A2429+1</f>
        <v>2428</v>
      </c>
      <c r="B2430" s="57"/>
      <c r="C2430" s="16"/>
      <c r="D2430" s="16"/>
      <c r="E2430" s="16"/>
      <c r="F2430" s="16"/>
      <c r="G2430" s="16"/>
      <c r="H2430" s="16"/>
      <c r="I2430" s="16"/>
      <c r="J2430" s="16"/>
      <c r="K2430" s="16"/>
      <c r="L2430" s="15">
        <f>IF(O2430,P2430/O2430,0)</f>
        <v>0</v>
      </c>
      <c r="M2430" s="15">
        <v>0</v>
      </c>
      <c r="N2430" s="15">
        <f>A2430</f>
        <v>2428</v>
      </c>
      <c r="O2430" s="16"/>
      <c r="P2430" s="16"/>
      <c r="Q2430" s="16"/>
    </row>
    <row r="2431" ht="20.05" customHeight="1">
      <c r="A2431" s="13">
        <f>A2430+1</f>
        <v>2429</v>
      </c>
      <c r="B2431" s="57"/>
      <c r="C2431" s="16"/>
      <c r="D2431" s="16"/>
      <c r="E2431" s="16"/>
      <c r="F2431" s="16"/>
      <c r="G2431" s="16"/>
      <c r="H2431" s="16"/>
      <c r="I2431" s="16"/>
      <c r="J2431" s="16"/>
      <c r="K2431" s="16"/>
      <c r="L2431" s="15">
        <f>IF(O2431,P2431/O2431,0)</f>
        <v>0</v>
      </c>
      <c r="M2431" s="15">
        <v>0</v>
      </c>
      <c r="N2431" s="15">
        <f>A2431</f>
        <v>2429</v>
      </c>
      <c r="O2431" s="16"/>
      <c r="P2431" s="16"/>
      <c r="Q2431" s="16"/>
    </row>
    <row r="2432" ht="20.05" customHeight="1">
      <c r="A2432" s="13">
        <f>A2431+1</f>
        <v>2430</v>
      </c>
      <c r="B2432" s="57"/>
      <c r="C2432" s="16"/>
      <c r="D2432" s="16"/>
      <c r="E2432" s="16"/>
      <c r="F2432" s="16"/>
      <c r="G2432" s="16"/>
      <c r="H2432" s="16"/>
      <c r="I2432" s="16"/>
      <c r="J2432" s="16"/>
      <c r="K2432" s="16"/>
      <c r="L2432" s="15">
        <f>IF(O2432,P2432/O2432,0)</f>
        <v>0</v>
      </c>
      <c r="M2432" s="15">
        <v>0</v>
      </c>
      <c r="N2432" s="15">
        <f>A2432</f>
        <v>2430</v>
      </c>
      <c r="O2432" s="16"/>
      <c r="P2432" s="16"/>
      <c r="Q2432" s="16"/>
    </row>
    <row r="2433" ht="20.05" customHeight="1">
      <c r="A2433" s="13">
        <f>A2432+1</f>
        <v>2431</v>
      </c>
      <c r="B2433" s="57"/>
      <c r="C2433" s="16"/>
      <c r="D2433" s="16"/>
      <c r="E2433" s="16"/>
      <c r="F2433" s="16"/>
      <c r="G2433" s="16"/>
      <c r="H2433" s="16"/>
      <c r="I2433" s="16"/>
      <c r="J2433" s="16"/>
      <c r="K2433" s="16"/>
      <c r="L2433" s="15">
        <f>IF(O2433,P2433/O2433,0)</f>
        <v>0</v>
      </c>
      <c r="M2433" s="15">
        <v>0</v>
      </c>
      <c r="N2433" s="15">
        <f>A2433</f>
        <v>2431</v>
      </c>
      <c r="O2433" s="16"/>
      <c r="P2433" s="16"/>
      <c r="Q2433" s="16"/>
    </row>
    <row r="2434" ht="20.05" customHeight="1">
      <c r="A2434" s="13">
        <f>A2433+1</f>
        <v>2432</v>
      </c>
      <c r="B2434" s="57"/>
      <c r="C2434" s="16"/>
      <c r="D2434" s="16"/>
      <c r="E2434" s="16"/>
      <c r="F2434" s="16"/>
      <c r="G2434" s="16"/>
      <c r="H2434" s="16"/>
      <c r="I2434" s="16"/>
      <c r="J2434" s="16"/>
      <c r="K2434" s="16"/>
      <c r="L2434" s="15">
        <f>IF(O2434,P2434/O2434,0)</f>
        <v>0</v>
      </c>
      <c r="M2434" s="15">
        <v>0</v>
      </c>
      <c r="N2434" s="15">
        <f>A2434</f>
        <v>2432</v>
      </c>
      <c r="O2434" s="16"/>
      <c r="P2434" s="16"/>
      <c r="Q2434" s="16"/>
    </row>
    <row r="2435" ht="20.05" customHeight="1">
      <c r="A2435" s="13">
        <f>A2434+1</f>
        <v>2433</v>
      </c>
      <c r="B2435" s="57"/>
      <c r="C2435" s="16"/>
      <c r="D2435" s="16"/>
      <c r="E2435" s="16"/>
      <c r="F2435" s="16"/>
      <c r="G2435" s="16"/>
      <c r="H2435" s="16"/>
      <c r="I2435" s="16"/>
      <c r="J2435" s="16"/>
      <c r="K2435" s="16"/>
      <c r="L2435" s="15">
        <f>IF(O2435,P2435/O2435,0)</f>
        <v>0</v>
      </c>
      <c r="M2435" s="15">
        <v>0</v>
      </c>
      <c r="N2435" s="15">
        <f>A2435</f>
        <v>2433</v>
      </c>
      <c r="O2435" s="16"/>
      <c r="P2435" s="16"/>
      <c r="Q2435" s="16"/>
    </row>
    <row r="2436" ht="20.05" customHeight="1">
      <c r="A2436" s="13">
        <f>A2435+1</f>
        <v>2434</v>
      </c>
      <c r="B2436" s="57"/>
      <c r="C2436" s="16"/>
      <c r="D2436" s="16"/>
      <c r="E2436" s="16"/>
      <c r="F2436" s="16"/>
      <c r="G2436" s="16"/>
      <c r="H2436" s="16"/>
      <c r="I2436" s="16"/>
      <c r="J2436" s="16"/>
      <c r="K2436" s="16"/>
      <c r="L2436" s="15">
        <f>IF(O2436,P2436/O2436,0)</f>
        <v>0</v>
      </c>
      <c r="M2436" s="15">
        <v>0</v>
      </c>
      <c r="N2436" s="15">
        <f>A2436</f>
        <v>2434</v>
      </c>
      <c r="O2436" s="16"/>
      <c r="P2436" s="16"/>
      <c r="Q2436" s="16"/>
    </row>
    <row r="2437" ht="20.05" customHeight="1">
      <c r="A2437" s="13">
        <f>A2436+1</f>
        <v>2435</v>
      </c>
      <c r="B2437" s="57"/>
      <c r="C2437" s="16"/>
      <c r="D2437" s="16"/>
      <c r="E2437" s="16"/>
      <c r="F2437" s="16"/>
      <c r="G2437" s="16"/>
      <c r="H2437" s="16"/>
      <c r="I2437" s="16"/>
      <c r="J2437" s="16"/>
      <c r="K2437" s="16"/>
      <c r="L2437" s="15">
        <f>IF(O2437,P2437/O2437,0)</f>
        <v>0</v>
      </c>
      <c r="M2437" s="15">
        <v>0</v>
      </c>
      <c r="N2437" s="15">
        <f>A2437</f>
        <v>2435</v>
      </c>
      <c r="O2437" s="16"/>
      <c r="P2437" s="16"/>
      <c r="Q2437" s="16"/>
    </row>
    <row r="2438" ht="20.05" customHeight="1">
      <c r="A2438" s="13">
        <f>A2437+1</f>
        <v>2436</v>
      </c>
      <c r="B2438" s="57"/>
      <c r="C2438" s="16"/>
      <c r="D2438" s="16"/>
      <c r="E2438" s="16"/>
      <c r="F2438" s="16"/>
      <c r="G2438" s="16"/>
      <c r="H2438" s="16"/>
      <c r="I2438" s="16"/>
      <c r="J2438" s="16"/>
      <c r="K2438" s="16"/>
      <c r="L2438" s="15">
        <f>IF(O2438,P2438/O2438,0)</f>
        <v>0</v>
      </c>
      <c r="M2438" s="15">
        <v>0</v>
      </c>
      <c r="N2438" s="15">
        <f>A2438</f>
        <v>2436</v>
      </c>
      <c r="O2438" s="16"/>
      <c r="P2438" s="16"/>
      <c r="Q2438" s="16"/>
    </row>
    <row r="2439" ht="20.05" customHeight="1">
      <c r="A2439" s="13">
        <f>A2438+1</f>
        <v>2437</v>
      </c>
      <c r="B2439" s="57"/>
      <c r="C2439" s="16"/>
      <c r="D2439" s="16"/>
      <c r="E2439" s="16"/>
      <c r="F2439" s="16"/>
      <c r="G2439" s="16"/>
      <c r="H2439" s="16"/>
      <c r="I2439" s="16"/>
      <c r="J2439" s="16"/>
      <c r="K2439" s="16"/>
      <c r="L2439" s="15">
        <f>IF(O2439,P2439/O2439,0)</f>
        <v>0</v>
      </c>
      <c r="M2439" s="15">
        <v>0</v>
      </c>
      <c r="N2439" s="15">
        <f>A2439</f>
        <v>2437</v>
      </c>
      <c r="O2439" s="16"/>
      <c r="P2439" s="16"/>
      <c r="Q2439" s="16"/>
    </row>
    <row r="2440" ht="20.05" customHeight="1">
      <c r="A2440" s="13">
        <f>A2439+1</f>
        <v>2438</v>
      </c>
      <c r="B2440" s="57"/>
      <c r="C2440" s="16"/>
      <c r="D2440" s="16"/>
      <c r="E2440" s="16"/>
      <c r="F2440" s="16"/>
      <c r="G2440" s="16"/>
      <c r="H2440" s="16"/>
      <c r="I2440" s="16"/>
      <c r="J2440" s="16"/>
      <c r="K2440" s="16"/>
      <c r="L2440" s="15">
        <f>IF(O2440,P2440/O2440,0)</f>
        <v>0</v>
      </c>
      <c r="M2440" s="15">
        <v>0</v>
      </c>
      <c r="N2440" s="15">
        <f>A2440</f>
        <v>2438</v>
      </c>
      <c r="O2440" s="16"/>
      <c r="P2440" s="16"/>
      <c r="Q2440" s="16"/>
    </row>
    <row r="2441" ht="20.05" customHeight="1">
      <c r="A2441" s="13">
        <f>A2440+1</f>
        <v>2439</v>
      </c>
      <c r="B2441" s="57"/>
      <c r="C2441" s="16"/>
      <c r="D2441" s="16"/>
      <c r="E2441" s="16"/>
      <c r="F2441" s="16"/>
      <c r="G2441" s="16"/>
      <c r="H2441" s="16"/>
      <c r="I2441" s="16"/>
      <c r="J2441" s="16"/>
      <c r="K2441" s="16"/>
      <c r="L2441" s="15">
        <f>IF(O2441,P2441/O2441,0)</f>
        <v>0</v>
      </c>
      <c r="M2441" s="15">
        <v>0</v>
      </c>
      <c r="N2441" s="15">
        <f>A2441</f>
        <v>2439</v>
      </c>
      <c r="O2441" s="16"/>
      <c r="P2441" s="16"/>
      <c r="Q2441" s="16"/>
    </row>
    <row r="2442" ht="20.05" customHeight="1">
      <c r="A2442" s="13">
        <f>A2441+1</f>
        <v>2440</v>
      </c>
      <c r="B2442" s="57"/>
      <c r="C2442" s="16"/>
      <c r="D2442" s="16"/>
      <c r="E2442" s="16"/>
      <c r="F2442" s="16"/>
      <c r="G2442" s="16"/>
      <c r="H2442" s="16"/>
      <c r="I2442" s="16"/>
      <c r="J2442" s="16"/>
      <c r="K2442" s="16"/>
      <c r="L2442" s="15">
        <f>IF(O2442,P2442/O2442,0)</f>
        <v>0</v>
      </c>
      <c r="M2442" s="15">
        <v>0</v>
      </c>
      <c r="N2442" s="15">
        <f>A2442</f>
        <v>2440</v>
      </c>
      <c r="O2442" s="16"/>
      <c r="P2442" s="16"/>
      <c r="Q2442" s="16"/>
    </row>
    <row r="2443" ht="20.05" customHeight="1">
      <c r="A2443" s="13">
        <f>A2442+1</f>
        <v>2441</v>
      </c>
      <c r="B2443" s="57"/>
      <c r="C2443" s="16"/>
      <c r="D2443" s="16"/>
      <c r="E2443" s="16"/>
      <c r="F2443" s="16"/>
      <c r="G2443" s="16"/>
      <c r="H2443" s="16"/>
      <c r="I2443" s="16"/>
      <c r="J2443" s="16"/>
      <c r="K2443" s="16"/>
      <c r="L2443" s="15">
        <f>IF(O2443,P2443/O2443,0)</f>
        <v>0</v>
      </c>
      <c r="M2443" s="15">
        <v>0</v>
      </c>
      <c r="N2443" s="15">
        <f>A2443</f>
        <v>2441</v>
      </c>
      <c r="O2443" s="16"/>
      <c r="P2443" s="16"/>
      <c r="Q2443" s="16"/>
    </row>
    <row r="2444" ht="20.05" customHeight="1">
      <c r="A2444" s="13">
        <f>A2443+1</f>
        <v>2442</v>
      </c>
      <c r="B2444" s="57"/>
      <c r="C2444" s="16"/>
      <c r="D2444" s="16"/>
      <c r="E2444" s="16"/>
      <c r="F2444" s="16"/>
      <c r="G2444" s="16"/>
      <c r="H2444" s="16"/>
      <c r="I2444" s="16"/>
      <c r="J2444" s="16"/>
      <c r="K2444" s="16"/>
      <c r="L2444" s="15">
        <f>IF(O2444,P2444/O2444,0)</f>
        <v>0</v>
      </c>
      <c r="M2444" s="15">
        <v>0</v>
      </c>
      <c r="N2444" s="15">
        <f>A2444</f>
        <v>2442</v>
      </c>
      <c r="O2444" s="16"/>
      <c r="P2444" s="16"/>
      <c r="Q2444" s="16"/>
    </row>
    <row r="2445" ht="20.05" customHeight="1">
      <c r="A2445" s="13">
        <f>A2444+1</f>
        <v>2443</v>
      </c>
      <c r="B2445" s="57"/>
      <c r="C2445" s="16"/>
      <c r="D2445" s="16"/>
      <c r="E2445" s="16"/>
      <c r="F2445" s="16"/>
      <c r="G2445" s="16"/>
      <c r="H2445" s="16"/>
      <c r="I2445" s="16"/>
      <c r="J2445" s="16"/>
      <c r="K2445" s="16"/>
      <c r="L2445" s="15">
        <f>IF(O2445,P2445/O2445,0)</f>
        <v>0</v>
      </c>
      <c r="M2445" s="15">
        <v>0</v>
      </c>
      <c r="N2445" s="15">
        <f>A2445</f>
        <v>2443</v>
      </c>
      <c r="O2445" s="16"/>
      <c r="P2445" s="16"/>
      <c r="Q2445" s="16"/>
    </row>
    <row r="2446" ht="20.05" customHeight="1">
      <c r="A2446" s="13">
        <f>A2445+1</f>
        <v>2444</v>
      </c>
      <c r="B2446" s="57"/>
      <c r="C2446" s="16"/>
      <c r="D2446" s="16"/>
      <c r="E2446" s="16"/>
      <c r="F2446" s="16"/>
      <c r="G2446" s="16"/>
      <c r="H2446" s="16"/>
      <c r="I2446" s="16"/>
      <c r="J2446" s="16"/>
      <c r="K2446" s="16"/>
      <c r="L2446" s="15">
        <f>IF(O2446,P2446/O2446,0)</f>
        <v>0</v>
      </c>
      <c r="M2446" s="15">
        <v>0</v>
      </c>
      <c r="N2446" s="15">
        <f>A2446</f>
        <v>2444</v>
      </c>
      <c r="O2446" s="16"/>
      <c r="P2446" s="16"/>
      <c r="Q2446" s="16"/>
    </row>
    <row r="2447" ht="20.05" customHeight="1">
      <c r="A2447" s="13">
        <f>A2446+1</f>
        <v>2445</v>
      </c>
      <c r="B2447" s="57"/>
      <c r="C2447" s="16"/>
      <c r="D2447" s="16"/>
      <c r="E2447" s="16"/>
      <c r="F2447" s="16"/>
      <c r="G2447" s="16"/>
      <c r="H2447" s="16"/>
      <c r="I2447" s="16"/>
      <c r="J2447" s="16"/>
      <c r="K2447" s="16"/>
      <c r="L2447" s="15">
        <f>IF(O2447,P2447/O2447,0)</f>
        <v>0</v>
      </c>
      <c r="M2447" s="15">
        <v>0</v>
      </c>
      <c r="N2447" s="15">
        <f>A2447</f>
        <v>2445</v>
      </c>
      <c r="O2447" s="16"/>
      <c r="P2447" s="16"/>
      <c r="Q2447" s="16"/>
    </row>
    <row r="2448" ht="20.05" customHeight="1">
      <c r="A2448" s="13">
        <f>A2447+1</f>
        <v>2446</v>
      </c>
      <c r="B2448" s="57"/>
      <c r="C2448" s="16"/>
      <c r="D2448" s="16"/>
      <c r="E2448" s="16"/>
      <c r="F2448" s="16"/>
      <c r="G2448" s="16"/>
      <c r="H2448" s="16"/>
      <c r="I2448" s="16"/>
      <c r="J2448" s="16"/>
      <c r="K2448" s="16"/>
      <c r="L2448" s="15">
        <f>IF(O2448,P2448/O2448,0)</f>
        <v>0</v>
      </c>
      <c r="M2448" s="15">
        <v>0</v>
      </c>
      <c r="N2448" s="15">
        <f>A2448</f>
        <v>2446</v>
      </c>
      <c r="O2448" s="16"/>
      <c r="P2448" s="16"/>
      <c r="Q2448" s="16"/>
    </row>
    <row r="2449" ht="20.05" customHeight="1">
      <c r="A2449" s="13">
        <f>A2448+1</f>
        <v>2447</v>
      </c>
      <c r="B2449" s="57"/>
      <c r="C2449" s="16"/>
      <c r="D2449" s="16"/>
      <c r="E2449" s="16"/>
      <c r="F2449" s="16"/>
      <c r="G2449" s="16"/>
      <c r="H2449" s="16"/>
      <c r="I2449" s="16"/>
      <c r="J2449" s="16"/>
      <c r="K2449" s="16"/>
      <c r="L2449" s="15">
        <f>IF(O2449,P2449/O2449,0)</f>
        <v>0</v>
      </c>
      <c r="M2449" s="15">
        <v>0</v>
      </c>
      <c r="N2449" s="15">
        <f>A2449</f>
        <v>2447</v>
      </c>
      <c r="O2449" s="16"/>
      <c r="P2449" s="16"/>
      <c r="Q2449" s="16"/>
    </row>
    <row r="2450" ht="20.05" customHeight="1">
      <c r="A2450" s="13">
        <f>A2449+1</f>
        <v>2448</v>
      </c>
      <c r="B2450" s="57"/>
      <c r="C2450" s="16"/>
      <c r="D2450" s="16"/>
      <c r="E2450" s="16"/>
      <c r="F2450" s="16"/>
      <c r="G2450" s="16"/>
      <c r="H2450" s="16"/>
      <c r="I2450" s="16"/>
      <c r="J2450" s="16"/>
      <c r="K2450" s="16"/>
      <c r="L2450" s="15">
        <f>IF(O2450,P2450/O2450,0)</f>
        <v>0</v>
      </c>
      <c r="M2450" s="15">
        <v>0</v>
      </c>
      <c r="N2450" s="15">
        <f>A2450</f>
        <v>2448</v>
      </c>
      <c r="O2450" s="16"/>
      <c r="P2450" s="16"/>
      <c r="Q2450" s="16"/>
    </row>
    <row r="2451" ht="20.05" customHeight="1">
      <c r="A2451" s="13">
        <f>A2450+1</f>
        <v>2449</v>
      </c>
      <c r="B2451" s="57"/>
      <c r="C2451" s="16"/>
      <c r="D2451" s="16"/>
      <c r="E2451" s="16"/>
      <c r="F2451" s="16"/>
      <c r="G2451" s="16"/>
      <c r="H2451" s="16"/>
      <c r="I2451" s="16"/>
      <c r="J2451" s="16"/>
      <c r="K2451" s="16"/>
      <c r="L2451" s="15">
        <f>IF(O2451,P2451/O2451,0)</f>
        <v>0</v>
      </c>
      <c r="M2451" s="15">
        <v>0</v>
      </c>
      <c r="N2451" s="15">
        <f>A2451</f>
        <v>2449</v>
      </c>
      <c r="O2451" s="16"/>
      <c r="P2451" s="16"/>
      <c r="Q2451" s="16"/>
    </row>
    <row r="2452" ht="20.05" customHeight="1">
      <c r="A2452" s="13">
        <f>A2451+1</f>
        <v>2450</v>
      </c>
      <c r="B2452" s="57"/>
      <c r="C2452" s="16"/>
      <c r="D2452" s="16"/>
      <c r="E2452" s="16"/>
      <c r="F2452" s="16"/>
      <c r="G2452" s="16"/>
      <c r="H2452" s="16"/>
      <c r="I2452" s="16"/>
      <c r="J2452" s="16"/>
      <c r="K2452" s="16"/>
      <c r="L2452" s="15">
        <f>IF(O2452,P2452/O2452,0)</f>
        <v>0</v>
      </c>
      <c r="M2452" s="15">
        <v>0</v>
      </c>
      <c r="N2452" s="15">
        <f>A2452</f>
        <v>2450</v>
      </c>
      <c r="O2452" s="16"/>
      <c r="P2452" s="16"/>
      <c r="Q2452" s="16"/>
    </row>
    <row r="2453" ht="20.05" customHeight="1">
      <c r="A2453" s="13">
        <f>A2452+1</f>
        <v>2451</v>
      </c>
      <c r="B2453" s="57"/>
      <c r="C2453" s="16"/>
      <c r="D2453" s="16"/>
      <c r="E2453" s="16"/>
      <c r="F2453" s="16"/>
      <c r="G2453" s="16"/>
      <c r="H2453" s="16"/>
      <c r="I2453" s="16"/>
      <c r="J2453" s="16"/>
      <c r="K2453" s="16"/>
      <c r="L2453" s="15">
        <f>IF(O2453,P2453/O2453,0)</f>
        <v>0</v>
      </c>
      <c r="M2453" s="15">
        <v>0</v>
      </c>
      <c r="N2453" s="15">
        <f>A2453</f>
        <v>2451</v>
      </c>
      <c r="O2453" s="16"/>
      <c r="P2453" s="16"/>
      <c r="Q2453" s="16"/>
    </row>
    <row r="2454" ht="20.05" customHeight="1">
      <c r="A2454" s="13">
        <f>A2453+1</f>
        <v>2452</v>
      </c>
      <c r="B2454" s="57"/>
      <c r="C2454" s="16"/>
      <c r="D2454" s="16"/>
      <c r="E2454" s="16"/>
      <c r="F2454" s="16"/>
      <c r="G2454" s="16"/>
      <c r="H2454" s="16"/>
      <c r="I2454" s="16"/>
      <c r="J2454" s="16"/>
      <c r="K2454" s="16"/>
      <c r="L2454" s="15">
        <f>IF(O2454,P2454/O2454,0)</f>
        <v>0</v>
      </c>
      <c r="M2454" s="15">
        <v>0</v>
      </c>
      <c r="N2454" s="15">
        <f>A2454</f>
        <v>2452</v>
      </c>
      <c r="O2454" s="16"/>
      <c r="P2454" s="16"/>
      <c r="Q2454" s="16"/>
    </row>
    <row r="2455" ht="20.05" customHeight="1">
      <c r="A2455" s="13">
        <f>A2454+1</f>
        <v>2453</v>
      </c>
      <c r="B2455" s="57"/>
      <c r="C2455" s="16"/>
      <c r="D2455" s="16"/>
      <c r="E2455" s="16"/>
      <c r="F2455" s="16"/>
      <c r="G2455" s="16"/>
      <c r="H2455" s="16"/>
      <c r="I2455" s="16"/>
      <c r="J2455" s="16"/>
      <c r="K2455" s="16"/>
      <c r="L2455" s="15">
        <f>IF(O2455,P2455/O2455,0)</f>
        <v>0</v>
      </c>
      <c r="M2455" s="15">
        <v>0</v>
      </c>
      <c r="N2455" s="15">
        <f>A2455</f>
        <v>2453</v>
      </c>
      <c r="O2455" s="16"/>
      <c r="P2455" s="16"/>
      <c r="Q2455" s="16"/>
    </row>
    <row r="2456" ht="20.05" customHeight="1">
      <c r="A2456" s="13">
        <f>A2455+1</f>
        <v>2454</v>
      </c>
      <c r="B2456" s="57"/>
      <c r="C2456" s="16"/>
      <c r="D2456" s="16"/>
      <c r="E2456" s="16"/>
      <c r="F2456" s="16"/>
      <c r="G2456" s="16"/>
      <c r="H2456" s="16"/>
      <c r="I2456" s="16"/>
      <c r="J2456" s="16"/>
      <c r="K2456" s="16"/>
      <c r="L2456" s="15">
        <f>IF(O2456,P2456/O2456,0)</f>
        <v>0</v>
      </c>
      <c r="M2456" s="15">
        <v>0</v>
      </c>
      <c r="N2456" s="15">
        <f>A2456</f>
        <v>2454</v>
      </c>
      <c r="O2456" s="16"/>
      <c r="P2456" s="16"/>
      <c r="Q2456" s="16"/>
    </row>
    <row r="2457" ht="20.05" customHeight="1">
      <c r="A2457" s="13">
        <f>A2456+1</f>
        <v>2455</v>
      </c>
      <c r="B2457" s="57"/>
      <c r="C2457" s="16"/>
      <c r="D2457" s="16"/>
      <c r="E2457" s="16"/>
      <c r="F2457" s="16"/>
      <c r="G2457" s="16"/>
      <c r="H2457" s="16"/>
      <c r="I2457" s="16"/>
      <c r="J2457" s="16"/>
      <c r="K2457" s="16"/>
      <c r="L2457" s="15">
        <f>IF(O2457,P2457/O2457,0)</f>
        <v>0</v>
      </c>
      <c r="M2457" s="15">
        <v>0</v>
      </c>
      <c r="N2457" s="15">
        <f>A2457</f>
        <v>2455</v>
      </c>
      <c r="O2457" s="16"/>
      <c r="P2457" s="16"/>
      <c r="Q2457" s="16"/>
    </row>
    <row r="2458" ht="20.05" customHeight="1">
      <c r="A2458" s="13">
        <f>A2457+1</f>
        <v>2456</v>
      </c>
      <c r="B2458" s="57"/>
      <c r="C2458" s="16"/>
      <c r="D2458" s="16"/>
      <c r="E2458" s="16"/>
      <c r="F2458" s="16"/>
      <c r="G2458" s="16"/>
      <c r="H2458" s="16"/>
      <c r="I2458" s="16"/>
      <c r="J2458" s="16"/>
      <c r="K2458" s="16"/>
      <c r="L2458" s="15">
        <f>IF(O2458,P2458/O2458,0)</f>
        <v>0</v>
      </c>
      <c r="M2458" s="15">
        <v>0</v>
      </c>
      <c r="N2458" s="15">
        <f>A2458</f>
        <v>2456</v>
      </c>
      <c r="O2458" s="16"/>
      <c r="P2458" s="16"/>
      <c r="Q2458" s="16"/>
    </row>
    <row r="2459" ht="20.05" customHeight="1">
      <c r="A2459" s="13">
        <f>A2458+1</f>
        <v>2457</v>
      </c>
      <c r="B2459" s="57"/>
      <c r="C2459" s="16"/>
      <c r="D2459" s="16"/>
      <c r="E2459" s="16"/>
      <c r="F2459" s="16"/>
      <c r="G2459" s="16"/>
      <c r="H2459" s="16"/>
      <c r="I2459" s="16"/>
      <c r="J2459" s="16"/>
      <c r="K2459" s="16"/>
      <c r="L2459" s="15">
        <f>IF(O2459,P2459/O2459,0)</f>
        <v>0</v>
      </c>
      <c r="M2459" s="15">
        <v>0</v>
      </c>
      <c r="N2459" s="15">
        <f>A2459</f>
        <v>2457</v>
      </c>
      <c r="O2459" s="16"/>
      <c r="P2459" s="16"/>
      <c r="Q2459" s="16"/>
    </row>
    <row r="2460" ht="20.05" customHeight="1">
      <c r="A2460" s="13">
        <f>A2459+1</f>
        <v>2458</v>
      </c>
      <c r="B2460" s="57"/>
      <c r="C2460" s="16"/>
      <c r="D2460" s="16"/>
      <c r="E2460" s="16"/>
      <c r="F2460" s="16"/>
      <c r="G2460" s="16"/>
      <c r="H2460" s="16"/>
      <c r="I2460" s="16"/>
      <c r="J2460" s="16"/>
      <c r="K2460" s="16"/>
      <c r="L2460" s="15">
        <f>IF(O2460,P2460/O2460,0)</f>
        <v>0</v>
      </c>
      <c r="M2460" s="15">
        <v>0</v>
      </c>
      <c r="N2460" s="15">
        <f>A2460</f>
        <v>2458</v>
      </c>
      <c r="O2460" s="16"/>
      <c r="P2460" s="16"/>
      <c r="Q2460" s="16"/>
    </row>
    <row r="2461" ht="20.05" customHeight="1">
      <c r="A2461" s="13">
        <f>A2460+1</f>
        <v>2459</v>
      </c>
      <c r="B2461" s="57"/>
      <c r="C2461" s="16"/>
      <c r="D2461" s="16"/>
      <c r="E2461" s="16"/>
      <c r="F2461" s="16"/>
      <c r="G2461" s="16"/>
      <c r="H2461" s="16"/>
      <c r="I2461" s="16"/>
      <c r="J2461" s="16"/>
      <c r="K2461" s="16"/>
      <c r="L2461" s="15">
        <f>IF(O2461,P2461/O2461,0)</f>
        <v>0</v>
      </c>
      <c r="M2461" s="15">
        <v>0</v>
      </c>
      <c r="N2461" s="15">
        <f>A2461</f>
        <v>2459</v>
      </c>
      <c r="O2461" s="16"/>
      <c r="P2461" s="16"/>
      <c r="Q2461" s="16"/>
    </row>
    <row r="2462" ht="20.05" customHeight="1">
      <c r="A2462" s="13">
        <f>A2461+1</f>
        <v>2460</v>
      </c>
      <c r="B2462" s="57"/>
      <c r="C2462" s="16"/>
      <c r="D2462" s="16"/>
      <c r="E2462" s="16"/>
      <c r="F2462" s="16"/>
      <c r="G2462" s="16"/>
      <c r="H2462" s="16"/>
      <c r="I2462" s="16"/>
      <c r="J2462" s="16"/>
      <c r="K2462" s="16"/>
      <c r="L2462" s="15">
        <f>IF(O2462,P2462/O2462,0)</f>
        <v>0</v>
      </c>
      <c r="M2462" s="15">
        <v>0</v>
      </c>
      <c r="N2462" s="15">
        <f>A2462</f>
        <v>2460</v>
      </c>
      <c r="O2462" s="16"/>
      <c r="P2462" s="16"/>
      <c r="Q2462" s="16"/>
    </row>
    <row r="2463" ht="20.05" customHeight="1">
      <c r="A2463" s="13">
        <f>A2462+1</f>
        <v>2461</v>
      </c>
      <c r="B2463" s="57"/>
      <c r="C2463" s="16"/>
      <c r="D2463" s="16"/>
      <c r="E2463" s="16"/>
      <c r="F2463" s="16"/>
      <c r="G2463" s="16"/>
      <c r="H2463" s="16"/>
      <c r="I2463" s="16"/>
      <c r="J2463" s="16"/>
      <c r="K2463" s="16"/>
      <c r="L2463" s="15">
        <f>IF(O2463,P2463/O2463,0)</f>
        <v>0</v>
      </c>
      <c r="M2463" s="15">
        <v>0</v>
      </c>
      <c r="N2463" s="15">
        <f>A2463</f>
        <v>2461</v>
      </c>
      <c r="O2463" s="16"/>
      <c r="P2463" s="16"/>
      <c r="Q2463" s="16"/>
    </row>
    <row r="2464" ht="20.05" customHeight="1">
      <c r="A2464" s="13">
        <f>A2463+1</f>
        <v>2462</v>
      </c>
      <c r="B2464" s="57"/>
      <c r="C2464" s="16"/>
      <c r="D2464" s="16"/>
      <c r="E2464" s="16"/>
      <c r="F2464" s="16"/>
      <c r="G2464" s="16"/>
      <c r="H2464" s="16"/>
      <c r="I2464" s="16"/>
      <c r="J2464" s="16"/>
      <c r="K2464" s="16"/>
      <c r="L2464" s="15">
        <f>IF(O2464,P2464/O2464,0)</f>
        <v>0</v>
      </c>
      <c r="M2464" s="15">
        <v>0</v>
      </c>
      <c r="N2464" s="15">
        <f>A2464</f>
        <v>2462</v>
      </c>
      <c r="O2464" s="16"/>
      <c r="P2464" s="16"/>
      <c r="Q2464" s="16"/>
    </row>
    <row r="2465" ht="20.05" customHeight="1">
      <c r="A2465" s="13">
        <f>A2464+1</f>
        <v>2463</v>
      </c>
      <c r="B2465" s="57"/>
      <c r="C2465" s="16"/>
      <c r="D2465" s="16"/>
      <c r="E2465" s="16"/>
      <c r="F2465" s="16"/>
      <c r="G2465" s="16"/>
      <c r="H2465" s="16"/>
      <c r="I2465" s="16"/>
      <c r="J2465" s="16"/>
      <c r="K2465" s="16"/>
      <c r="L2465" s="15">
        <f>IF(O2465,P2465/O2465,0)</f>
        <v>0</v>
      </c>
      <c r="M2465" s="15">
        <v>0</v>
      </c>
      <c r="N2465" s="15">
        <f>A2465</f>
        <v>2463</v>
      </c>
      <c r="O2465" s="16"/>
      <c r="P2465" s="16"/>
      <c r="Q2465" s="16"/>
    </row>
    <row r="2466" ht="20.05" customHeight="1">
      <c r="A2466" s="13">
        <f>A2465+1</f>
        <v>2464</v>
      </c>
      <c r="B2466" s="57"/>
      <c r="C2466" s="16"/>
      <c r="D2466" s="16"/>
      <c r="E2466" s="16"/>
      <c r="F2466" s="16"/>
      <c r="G2466" s="16"/>
      <c r="H2466" s="16"/>
      <c r="I2466" s="16"/>
      <c r="J2466" s="16"/>
      <c r="K2466" s="16"/>
      <c r="L2466" s="15">
        <f>IF(O2466,P2466/O2466,0)</f>
        <v>0</v>
      </c>
      <c r="M2466" s="15">
        <v>0</v>
      </c>
      <c r="N2466" s="15">
        <f>A2466</f>
        <v>2464</v>
      </c>
      <c r="O2466" s="16"/>
      <c r="P2466" s="16"/>
      <c r="Q2466" s="16"/>
    </row>
    <row r="2467" ht="20.05" customHeight="1">
      <c r="A2467" s="13">
        <f>A2466+1</f>
        <v>2465</v>
      </c>
      <c r="B2467" s="57"/>
      <c r="C2467" s="16"/>
      <c r="D2467" s="16"/>
      <c r="E2467" s="16"/>
      <c r="F2467" s="16"/>
      <c r="G2467" s="16"/>
      <c r="H2467" s="16"/>
      <c r="I2467" s="16"/>
      <c r="J2467" s="16"/>
      <c r="K2467" s="16"/>
      <c r="L2467" s="15">
        <f>IF(O2467,P2467/O2467,0)</f>
        <v>0</v>
      </c>
      <c r="M2467" s="15">
        <v>0</v>
      </c>
      <c r="N2467" s="15">
        <f>A2467</f>
        <v>2465</v>
      </c>
      <c r="O2467" s="16"/>
      <c r="P2467" s="16"/>
      <c r="Q2467" s="16"/>
    </row>
    <row r="2468" ht="20.05" customHeight="1">
      <c r="A2468" s="13">
        <f>A2467+1</f>
        <v>2466</v>
      </c>
      <c r="B2468" s="57"/>
      <c r="C2468" s="16"/>
      <c r="D2468" s="16"/>
      <c r="E2468" s="16"/>
      <c r="F2468" s="16"/>
      <c r="G2468" s="16"/>
      <c r="H2468" s="16"/>
      <c r="I2468" s="16"/>
      <c r="J2468" s="16"/>
      <c r="K2468" s="16"/>
      <c r="L2468" s="15">
        <f>IF(O2468,P2468/O2468,0)</f>
        <v>0</v>
      </c>
      <c r="M2468" s="15">
        <v>0</v>
      </c>
      <c r="N2468" s="15">
        <f>A2468</f>
        <v>2466</v>
      </c>
      <c r="O2468" s="16"/>
      <c r="P2468" s="16"/>
      <c r="Q2468" s="16"/>
    </row>
    <row r="2469" ht="20.05" customHeight="1">
      <c r="A2469" s="13">
        <f>A2468+1</f>
        <v>2467</v>
      </c>
      <c r="B2469" s="57"/>
      <c r="C2469" s="16"/>
      <c r="D2469" s="16"/>
      <c r="E2469" s="16"/>
      <c r="F2469" s="16"/>
      <c r="G2469" s="16"/>
      <c r="H2469" s="16"/>
      <c r="I2469" s="16"/>
      <c r="J2469" s="16"/>
      <c r="K2469" s="16"/>
      <c r="L2469" s="15">
        <f>IF(O2469,P2469/O2469,0)</f>
        <v>0</v>
      </c>
      <c r="M2469" s="15">
        <v>0</v>
      </c>
      <c r="N2469" s="15">
        <f>A2469</f>
        <v>2467</v>
      </c>
      <c r="O2469" s="16"/>
      <c r="P2469" s="16"/>
      <c r="Q2469" s="16"/>
    </row>
    <row r="2470" ht="20.05" customHeight="1">
      <c r="A2470" s="13">
        <f>A2469+1</f>
        <v>2468</v>
      </c>
      <c r="B2470" s="57"/>
      <c r="C2470" s="16"/>
      <c r="D2470" s="16"/>
      <c r="E2470" s="16"/>
      <c r="F2470" s="16"/>
      <c r="G2470" s="16"/>
      <c r="H2470" s="16"/>
      <c r="I2470" s="16"/>
      <c r="J2470" s="16"/>
      <c r="K2470" s="16"/>
      <c r="L2470" s="15">
        <f>IF(O2470,P2470/O2470,0)</f>
        <v>0</v>
      </c>
      <c r="M2470" s="15">
        <v>0</v>
      </c>
      <c r="N2470" s="15">
        <f>A2470</f>
        <v>2468</v>
      </c>
      <c r="O2470" s="16"/>
      <c r="P2470" s="16"/>
      <c r="Q2470" s="16"/>
    </row>
    <row r="2471" ht="20.05" customHeight="1">
      <c r="A2471" s="13">
        <f>A2470+1</f>
        <v>2469</v>
      </c>
      <c r="B2471" s="57"/>
      <c r="C2471" s="16"/>
      <c r="D2471" s="16"/>
      <c r="E2471" s="16"/>
      <c r="F2471" s="16"/>
      <c r="G2471" s="16"/>
      <c r="H2471" s="16"/>
      <c r="I2471" s="16"/>
      <c r="J2471" s="16"/>
      <c r="K2471" s="16"/>
      <c r="L2471" s="15">
        <f>IF(O2471,P2471/O2471,0)</f>
        <v>0</v>
      </c>
      <c r="M2471" s="15">
        <v>0</v>
      </c>
      <c r="N2471" s="15">
        <f>A2471</f>
        <v>2469</v>
      </c>
      <c r="O2471" s="16"/>
      <c r="P2471" s="16"/>
      <c r="Q2471" s="16"/>
    </row>
    <row r="2472" ht="20.05" customHeight="1">
      <c r="A2472" s="13">
        <f>A2471+1</f>
        <v>2470</v>
      </c>
      <c r="B2472" s="57"/>
      <c r="C2472" s="16"/>
      <c r="D2472" s="16"/>
      <c r="E2472" s="16"/>
      <c r="F2472" s="16"/>
      <c r="G2472" s="16"/>
      <c r="H2472" s="16"/>
      <c r="I2472" s="16"/>
      <c r="J2472" s="16"/>
      <c r="K2472" s="16"/>
      <c r="L2472" s="15">
        <f>IF(O2472,P2472/O2472,0)</f>
        <v>0</v>
      </c>
      <c r="M2472" s="15">
        <v>0</v>
      </c>
      <c r="N2472" s="15">
        <f>A2472</f>
        <v>2470</v>
      </c>
      <c r="O2472" s="16"/>
      <c r="P2472" s="16"/>
      <c r="Q2472" s="16"/>
    </row>
    <row r="2473" ht="20.05" customHeight="1">
      <c r="A2473" s="13">
        <f>A2472+1</f>
        <v>2471</v>
      </c>
      <c r="B2473" s="57"/>
      <c r="C2473" s="16"/>
      <c r="D2473" s="16"/>
      <c r="E2473" s="16"/>
      <c r="F2473" s="16"/>
      <c r="G2473" s="16"/>
      <c r="H2473" s="16"/>
      <c r="I2473" s="16"/>
      <c r="J2473" s="16"/>
      <c r="K2473" s="16"/>
      <c r="L2473" s="15">
        <f>IF(O2473,P2473/O2473,0)</f>
        <v>0</v>
      </c>
      <c r="M2473" s="15">
        <v>0</v>
      </c>
      <c r="N2473" s="15">
        <f>A2473</f>
        <v>2471</v>
      </c>
      <c r="O2473" s="16"/>
      <c r="P2473" s="16"/>
      <c r="Q2473" s="16"/>
    </row>
    <row r="2474" ht="20.05" customHeight="1">
      <c r="A2474" s="13">
        <f>A2473+1</f>
        <v>2472</v>
      </c>
      <c r="B2474" s="57"/>
      <c r="C2474" s="16"/>
      <c r="D2474" s="16"/>
      <c r="E2474" s="16"/>
      <c r="F2474" s="16"/>
      <c r="G2474" s="16"/>
      <c r="H2474" s="16"/>
      <c r="I2474" s="16"/>
      <c r="J2474" s="16"/>
      <c r="K2474" s="16"/>
      <c r="L2474" s="15">
        <f>IF(O2474,P2474/O2474,0)</f>
        <v>0</v>
      </c>
      <c r="M2474" s="15">
        <v>0</v>
      </c>
      <c r="N2474" s="15">
        <f>A2474</f>
        <v>2472</v>
      </c>
      <c r="O2474" s="16"/>
      <c r="P2474" s="16"/>
      <c r="Q2474" s="16"/>
    </row>
    <row r="2475" ht="20.05" customHeight="1">
      <c r="A2475" s="13">
        <f>A2474+1</f>
        <v>2473</v>
      </c>
      <c r="B2475" s="57"/>
      <c r="C2475" s="16"/>
      <c r="D2475" s="16"/>
      <c r="E2475" s="16"/>
      <c r="F2475" s="16"/>
      <c r="G2475" s="16"/>
      <c r="H2475" s="16"/>
      <c r="I2475" s="16"/>
      <c r="J2475" s="16"/>
      <c r="K2475" s="16"/>
      <c r="L2475" s="15">
        <f>IF(O2475,P2475/O2475,0)</f>
        <v>0</v>
      </c>
      <c r="M2475" s="15">
        <v>0</v>
      </c>
      <c r="N2475" s="15">
        <f>A2475</f>
        <v>2473</v>
      </c>
      <c r="O2475" s="16"/>
      <c r="P2475" s="16"/>
      <c r="Q2475" s="16"/>
    </row>
    <row r="2476" ht="20.05" customHeight="1">
      <c r="A2476" s="13">
        <f>A2475+1</f>
        <v>2474</v>
      </c>
      <c r="B2476" s="57"/>
      <c r="C2476" s="16"/>
      <c r="D2476" s="16"/>
      <c r="E2476" s="16"/>
      <c r="F2476" s="16"/>
      <c r="G2476" s="16"/>
      <c r="H2476" s="16"/>
      <c r="I2476" s="16"/>
      <c r="J2476" s="16"/>
      <c r="K2476" s="16"/>
      <c r="L2476" s="15">
        <f>IF(O2476,P2476/O2476,0)</f>
        <v>0</v>
      </c>
      <c r="M2476" s="15">
        <v>0</v>
      </c>
      <c r="N2476" s="15">
        <f>A2476</f>
        <v>2474</v>
      </c>
      <c r="O2476" s="16"/>
      <c r="P2476" s="16"/>
      <c r="Q2476" s="16"/>
    </row>
    <row r="2477" ht="20.05" customHeight="1">
      <c r="A2477" s="13">
        <f>A2476+1</f>
        <v>2475</v>
      </c>
      <c r="B2477" s="57"/>
      <c r="C2477" s="16"/>
      <c r="D2477" s="16"/>
      <c r="E2477" s="16"/>
      <c r="F2477" s="16"/>
      <c r="G2477" s="16"/>
      <c r="H2477" s="16"/>
      <c r="I2477" s="16"/>
      <c r="J2477" s="16"/>
      <c r="K2477" s="16"/>
      <c r="L2477" s="15">
        <f>IF(O2477,P2477/O2477,0)</f>
        <v>0</v>
      </c>
      <c r="M2477" s="15">
        <v>0</v>
      </c>
      <c r="N2477" s="15">
        <f>A2477</f>
        <v>2475</v>
      </c>
      <c r="O2477" s="16"/>
      <c r="P2477" s="16"/>
      <c r="Q2477" s="16"/>
    </row>
    <row r="2478" ht="20.05" customHeight="1">
      <c r="A2478" s="13">
        <f>A2477+1</f>
        <v>2476</v>
      </c>
      <c r="B2478" s="57"/>
      <c r="C2478" s="16"/>
      <c r="D2478" s="16"/>
      <c r="E2478" s="16"/>
      <c r="F2478" s="16"/>
      <c r="G2478" s="16"/>
      <c r="H2478" s="16"/>
      <c r="I2478" s="16"/>
      <c r="J2478" s="16"/>
      <c r="K2478" s="16"/>
      <c r="L2478" s="15">
        <f>IF(O2478,P2478/O2478,0)</f>
        <v>0</v>
      </c>
      <c r="M2478" s="15">
        <v>0</v>
      </c>
      <c r="N2478" s="15">
        <f>A2478</f>
        <v>2476</v>
      </c>
      <c r="O2478" s="16"/>
      <c r="P2478" s="16"/>
      <c r="Q2478" s="16"/>
    </row>
    <row r="2479" ht="20.05" customHeight="1">
      <c r="A2479" s="13">
        <f>A2478+1</f>
        <v>2477</v>
      </c>
      <c r="B2479" s="57"/>
      <c r="C2479" s="16"/>
      <c r="D2479" s="16"/>
      <c r="E2479" s="16"/>
      <c r="F2479" s="16"/>
      <c r="G2479" s="16"/>
      <c r="H2479" s="16"/>
      <c r="I2479" s="16"/>
      <c r="J2479" s="16"/>
      <c r="K2479" s="16"/>
      <c r="L2479" s="15">
        <f>IF(O2479,P2479/O2479,0)</f>
        <v>0</v>
      </c>
      <c r="M2479" s="15">
        <v>0</v>
      </c>
      <c r="N2479" s="15">
        <f>A2479</f>
        <v>2477</v>
      </c>
      <c r="O2479" s="16"/>
      <c r="P2479" s="16"/>
      <c r="Q2479" s="16"/>
    </row>
    <row r="2480" ht="20.05" customHeight="1">
      <c r="A2480" s="13">
        <f>A2479+1</f>
        <v>2478</v>
      </c>
      <c r="B2480" s="57"/>
      <c r="C2480" s="16"/>
      <c r="D2480" s="16"/>
      <c r="E2480" s="16"/>
      <c r="F2480" s="16"/>
      <c r="G2480" s="16"/>
      <c r="H2480" s="16"/>
      <c r="I2480" s="16"/>
      <c r="J2480" s="16"/>
      <c r="K2480" s="16"/>
      <c r="L2480" s="15">
        <f>IF(O2480,P2480/O2480,0)</f>
        <v>0</v>
      </c>
      <c r="M2480" s="15">
        <v>0</v>
      </c>
      <c r="N2480" s="15">
        <f>A2480</f>
        <v>2478</v>
      </c>
      <c r="O2480" s="16"/>
      <c r="P2480" s="16"/>
      <c r="Q2480" s="16"/>
    </row>
    <row r="2481" ht="20.05" customHeight="1">
      <c r="A2481" s="13">
        <f>A2480+1</f>
        <v>2479</v>
      </c>
      <c r="B2481" s="57"/>
      <c r="C2481" s="16"/>
      <c r="D2481" s="16"/>
      <c r="E2481" s="16"/>
      <c r="F2481" s="16"/>
      <c r="G2481" s="16"/>
      <c r="H2481" s="16"/>
      <c r="I2481" s="16"/>
      <c r="J2481" s="16"/>
      <c r="K2481" s="16"/>
      <c r="L2481" s="15">
        <f>IF(O2481,P2481/O2481,0)</f>
        <v>0</v>
      </c>
      <c r="M2481" s="15">
        <v>0</v>
      </c>
      <c r="N2481" s="15">
        <f>A2481</f>
        <v>2479</v>
      </c>
      <c r="O2481" s="16"/>
      <c r="P2481" s="16"/>
      <c r="Q2481" s="16"/>
    </row>
    <row r="2482" ht="20.05" customHeight="1">
      <c r="A2482" s="13">
        <f>A2481+1</f>
        <v>2480</v>
      </c>
      <c r="B2482" s="57"/>
      <c r="C2482" s="16"/>
      <c r="D2482" s="16"/>
      <c r="E2482" s="16"/>
      <c r="F2482" s="16"/>
      <c r="G2482" s="16"/>
      <c r="H2482" s="16"/>
      <c r="I2482" s="16"/>
      <c r="J2482" s="16"/>
      <c r="K2482" s="16"/>
      <c r="L2482" s="15">
        <f>IF(O2482,P2482/O2482,0)</f>
        <v>0</v>
      </c>
      <c r="M2482" s="15">
        <v>0</v>
      </c>
      <c r="N2482" s="15">
        <f>A2482</f>
        <v>2480</v>
      </c>
      <c r="O2482" s="16"/>
      <c r="P2482" s="16"/>
      <c r="Q2482" s="16"/>
    </row>
    <row r="2483" ht="20.05" customHeight="1">
      <c r="A2483" s="13">
        <f>A2482+1</f>
        <v>2481</v>
      </c>
      <c r="B2483" s="57"/>
      <c r="C2483" s="16"/>
      <c r="D2483" s="16"/>
      <c r="E2483" s="16"/>
      <c r="F2483" s="16"/>
      <c r="G2483" s="16"/>
      <c r="H2483" s="16"/>
      <c r="I2483" s="16"/>
      <c r="J2483" s="16"/>
      <c r="K2483" s="16"/>
      <c r="L2483" s="15">
        <f>IF(O2483,P2483/O2483,0)</f>
        <v>0</v>
      </c>
      <c r="M2483" s="15">
        <v>0</v>
      </c>
      <c r="N2483" s="15">
        <f>A2483</f>
        <v>2481</v>
      </c>
      <c r="O2483" s="16"/>
      <c r="P2483" s="16"/>
      <c r="Q2483" s="16"/>
    </row>
    <row r="2484" ht="20.05" customHeight="1">
      <c r="A2484" s="13">
        <f>A2483+1</f>
        <v>2482</v>
      </c>
      <c r="B2484" s="57"/>
      <c r="C2484" s="16"/>
      <c r="D2484" s="16"/>
      <c r="E2484" s="16"/>
      <c r="F2484" s="16"/>
      <c r="G2484" s="16"/>
      <c r="H2484" s="16"/>
      <c r="I2484" s="16"/>
      <c r="J2484" s="16"/>
      <c r="K2484" s="16"/>
      <c r="L2484" s="15">
        <f>IF(O2484,P2484/O2484,0)</f>
        <v>0</v>
      </c>
      <c r="M2484" s="15">
        <v>0</v>
      </c>
      <c r="N2484" s="15">
        <f>A2484</f>
        <v>2482</v>
      </c>
      <c r="O2484" s="16"/>
      <c r="P2484" s="16"/>
      <c r="Q2484" s="16"/>
    </row>
    <row r="2485" ht="20.05" customHeight="1">
      <c r="A2485" s="13">
        <f>A2484+1</f>
        <v>2483</v>
      </c>
      <c r="B2485" s="57"/>
      <c r="C2485" s="16"/>
      <c r="D2485" s="16"/>
      <c r="E2485" s="16"/>
      <c r="F2485" s="16"/>
      <c r="G2485" s="16"/>
      <c r="H2485" s="16"/>
      <c r="I2485" s="16"/>
      <c r="J2485" s="16"/>
      <c r="K2485" s="16"/>
      <c r="L2485" s="15">
        <f>IF(O2485,P2485/O2485,0)</f>
        <v>0</v>
      </c>
      <c r="M2485" s="15">
        <v>0</v>
      </c>
      <c r="N2485" s="15">
        <f>A2485</f>
        <v>2483</v>
      </c>
      <c r="O2485" s="16"/>
      <c r="P2485" s="16"/>
      <c r="Q2485" s="16"/>
    </row>
  </sheetData>
  <mergeCells count="1">
    <mergeCell ref="A1:Q1"/>
  </mergeCells>
  <dataValidations count="78">
    <dataValidation type="list" allowBlank="1" showInputMessage="1" showErrorMessage="1" sqref="B3:B2485">
      <formula1>"2023,2024,2025,2026"</formula1>
    </dataValidation>
    <dataValidation type="list" allowBlank="1" showInputMessage="1" showErrorMessage="1" sqref="C3:C2485">
      <formula1>"1,2,3,4,5,6,7,8,9,10,11,12"</formula1>
    </dataValidation>
    <dataValidation type="list" allowBlank="1" showInputMessage="1" showErrorMessage="1" sqref="J3:J1166 J1168:J1180 J1182:J1207 J1209:J1211 J1213:J1227 J1229:J1230 J1233:J1249 J1251:J1262 J1265:J1285 J1287:J1301 J1303:J1315 J1317 J1321:J1322 J1324 J1326:J1349 J1353 J1355 J1357:J1361 J1363:J1366 J1368:J1381 J1383 J1386:J1393 J1395 J1398:J1419 J1423:J1426 J1429:J1431 J1433:J1436 J1438:J1442 J1444 J1446:J1460 J1463:J1510 J1512:J1532 J1534:J1535 J1537:J1540 J1542:J1549 J1551 J1553:J1557 J1559:J1569 J1575:J1576 J1580:J1596 J1598:J1600 J1603:J1609 J1611:J1630 J1632:J1654 J1656:J1663 J1665:J1668 J1671:J1680 J1682 J1684:J1693 J1695 J1698:J1699 J1702:J1703 J1708 J1710 J1712:J1715 J1717:J1723 J1725:J1728 J1733:J1737 J1739 J1743:J1755 J1757 J1759:J1785 J1788:J1793 J1795:J1808 J1813:J1819 J1822:J1826 J1828:J1839 J1843:J1844 J1846:J1856 J1858:J1874 J1876:J1881 J1883:J1886 J1893:J1897 J1900:J1904 J1906:J1912 J1914:J1920 J1928:J1946 J1948 J1951:J1962 J1964:J1966 J1968:J1984 J1987:J1991 J1993:J2009 J2011:J2016 J2018:J2019 J2021:J2023 J2025:J2036 J2038:J2042 J2045:J2064 J2066:J2069 J2071:J2073 J2075:J2083 J2085 J2089:J2104 J2108:J2109 J2112:J2116 J2118:J2120 J2122:J2151 J2153:J2157 J2159 J2161:J2165 J2167:J2171 J2173 J2175:J2176 J2178:J2188 J2193:J2485">
      <formula1>"Buzdolabı Poşeti,Tuz,Şeker,Un,Kekik,Kajun,Sütlü Çikolata,Bitter Çikolata,Beyaz Çikolata,Pudra Şekeri,Mısır Nişastası,Karbonat,Tarçın,Kabartma Tozu,Şekerli Vanilin,İnstant Maya,Esmer Şeker,Yaprak Jelatin,Tereyağ,Labne,Suda Mozarella,Ezine Peyniri,Krema"</formula1>
    </dataValidation>
    <dataValidation type="list" allowBlank="1" showInputMessage="1" showErrorMessage="1" sqref="J1167 J1570 J1857 J2189">
      <formula1>"Buzdolabı Poşeti,Tuz,Şeker,Un,Kekik,Kajun,Sütlü Çikolata,Bitter Çikolata,Beyaz Çikolata,Pudra Şekeri,Mısır Nişastası,Karbonat,Tarçın,Kabartma Tozu,Şekerli Vanilin,İnstant Maya,Esmer Şeker,Yaprak Jelatin,Tereyağ,Labne,Suda Mozarella,Ezine Peyniri,Krema"</formula1>
    </dataValidation>
    <dataValidation type="list" allowBlank="1" showInputMessage="1" showErrorMessage="1" sqref="J1181">
      <formula1>"Buzdolabı Poşeti,Tuz,Şeker,Un,Kekik,Kajun,Sütlü Çikolata,Bitter Çikolata,Beyaz Çikolata,Pudra Şekeri,Mısır Nişastası,Karbonat,Tarçın,Kabartma Tozu,Şekerli Vanilin,İnstant Maya,Esmer Şeker,Yaprak Jelatin,Tereyağ,Labne,Suda Mozarella,Ezine Peyniri,Krema"</formula1>
    </dataValidation>
    <dataValidation type="list" allowBlank="1" showInputMessage="1" showErrorMessage="1" sqref="J1208 J1700">
      <formula1>"Buzdolabı Poşeti,Tuz,Şeker,Un,Kekik,Kajun,Sütlü Çikolata,Bitter Çikolata,Beyaz Çikolata,Pudra Şekeri,Mısır Nişastası,Karbonat,Tarçın,Kabartma Tozu,Şekerli Vanilin,İnstant Maya,Esmer Şeker,Yaprak Jelatin,Tereyağ,Labne,Suda Mozarella,Ezine Peyniri,Krema"</formula1>
    </dataValidation>
    <dataValidation type="list" allowBlank="1" showInputMessage="1" showErrorMessage="1" sqref="J1212">
      <formula1>"Buzdolabı Poşeti,Tuz,Şeker,Un,Kekik,Kajun,Sütlü Çikolata,Bitter Çikolata,Beyaz Çikolata,Pudra Şekeri,Mısır Nişastası,Karbonat,Tarçın,Kabartma Tozu,Şekerli Vanilin,İnstant Maya,Esmer Şeker,Yaprak Jelatin,Tereyağ,Labne,Suda Mozarella,Ezine Peyniri,Krema"</formula1>
    </dataValidation>
    <dataValidation type="list" allowBlank="1" showInputMessage="1" showErrorMessage="1" sqref="J1228">
      <formula1>"Buzdolabı Poşeti,Tuz,Şeker,Un,Kekik,Kajun,Sütlü Çikolata,Bitter Çikolata,Beyaz Çikolata,Pudra Şekeri,Mısır Nişastası,Karbonat,Tarçın,Kabartma Tozu,Şekerli Vanilin,İnstant Maya,Esmer Şeker,Yaprak Jelatin,Tereyağ,Labne,Suda Mozarella,Ezine Peyniri,Krema"</formula1>
    </dataValidation>
    <dataValidation type="list" allowBlank="1" showInputMessage="1" showErrorMessage="1" sqref="J1231 J1286 J1316 J1462 J1631 J1913">
      <formula1>"Buzdolabı Poşeti,Tuz,Şeker,Un,Kekik,Kajun,Sütlü Çikolata,Bitter Çikolata,Beyaz Çikolata,Pudra Şekeri,Mısır Nişastası,Karbonat,Tarçın,Kabartma Tozu,Şekerli Vanilin,İnstant Maya,Esmer Şeker,Yaprak Jelatin,Tereyağ,Labne,Suda Mozarella,Ezine Peyniri,Krema"</formula1>
    </dataValidation>
    <dataValidation type="list" allowBlank="1" showInputMessage="1" showErrorMessage="1" sqref="J1232">
      <formula1>"Buzdolabı Poşeti,Tuz,Şeker,Un,Kekik,Kajun,Sütlü Çikolata,Bitter Çikolata,Beyaz Çikolata,Pudra Şekeri,Mısır Nişastası,Karbonat,Tarçın,Kabartma Tozu,Şekerli Vanilin,İnstant Maya,Esmer Şeker,Yaprak Jelatin,Tereyağ,Labne,Suda Mozarella,Ezine Peyniri,Krema"</formula1>
    </dataValidation>
    <dataValidation type="list" allowBlank="1" showInputMessage="1" showErrorMessage="1" sqref="J1250 J1394">
      <formula1>"Buzdolabı Poşeti,Tuz,Şeker,Un,Kekik,Kajun,Sütlü Çikolata,Bitter Çikolata,Beyaz Çikolata,Pudra Şekeri,Mısır Nişastası,Karbonat,Tarçın,Kabartma Tozu,Şekerli Vanilin,İnstant Maya,Esmer Şeker,Yaprak Jelatin,Tereyağ,Labne,Suda Mozarella,Ezine Peyniri,Krema"</formula1>
    </dataValidation>
    <dataValidation type="list" allowBlank="1" showInputMessage="1" showErrorMessage="1" sqref="J1263">
      <formula1>"Buzdolabı Poşeti,Tuz,Şeker,Un,Kekik,Kajun,Sütlü Çikolata,Bitter Çikolata,Beyaz Çikolata,Pudra Şekeri,Mısır Nişastası,Karbonat,Tarçın,Kabartma Tozu,Şekerli Vanilin,İnstant Maya,Esmer Şeker,Yaprak Jelatin,Tereyağ,Labne,Suda Mozarella,Ezine Peyniri,Krema"</formula1>
    </dataValidation>
    <dataValidation type="list" allowBlank="1" showInputMessage="1" showErrorMessage="1" sqref="J1264 J1445 J1664 J2074">
      <formula1>"Buzdolabı Poşeti,Tuz,Şeker,Un,Kekik,Kajun,Sütlü Çikolata,Bitter Çikolata,Beyaz Çikolata,Pudra Şekeri,Mısır Nişastası,Karbonat,Tarçın,Kabartma Tozu,Şekerli Vanilin,İnstant Maya,Esmer Şeker,Yaprak Jelatin,Tereyağ,Labne,Suda Mozarella,Ezine Peyniri,Krema"</formula1>
    </dataValidation>
    <dataValidation type="list" allowBlank="1" showInputMessage="1" showErrorMessage="1" sqref="J1302">
      <formula1>"Buzdolabı Poşeti,Tuz,Şeker,Un,Kekik,Kajun,Sütlü Çikolata,Bitter Çikolata,Beyaz Çikolata,Pudra Şekeri,Mısır Nişastası,Karbonat,Tarçın,Kabartma Tozu,Şekerli Vanilin,İnstant Maya,Esmer Şeker,Yaprak Jelatin,Tereyağ,Labne,Suda Mozarella,Ezine Peyniri,Krema"</formula1>
    </dataValidation>
    <dataValidation type="list" allowBlank="1" showInputMessage="1" showErrorMessage="1" sqref="J1318">
      <formula1>"Buzdolabı Poşeti,Tuz,Şeker,Un,Kekik,Kajun,Sütlü Çikolata,Bitter Çikolata,Beyaz Çikolata,Pudra Şekeri,Mısır Nişastası,Karbonat,Tarçın,Kabartma Tozu,Şekerli Vanilin,İnstant Maya,Esmer Şeker,Yaprak Jelatin,Tereyağ,Labne,Suda Mozarella,Ezine Peyniri,Krema"</formula1>
    </dataValidation>
    <dataValidation type="list" allowBlank="1" showInputMessage="1" showErrorMessage="1" sqref="J1319">
      <formula1>"Buzdolabı Poşeti,Tuz,Şeker,Un,Kekik,Kajun,Sütlü Çikolata,Bitter Çikolata,Beyaz Çikolata,Pudra Şekeri,Mısır Nişastası,Karbonat,Tarçın,Kabartma Tozu,Şekerli Vanilin,İnstant Maya,Esmer Şeker,Yaprak Jelatin,Tereyağ,Labne,Suda Mozarella,Ezine Peyniri,Krema"</formula1>
    </dataValidation>
    <dataValidation type="list" allowBlank="1" showInputMessage="1" showErrorMessage="1" sqref="J1320 J1758">
      <formula1>"Buzdolabı Poşeti,Tuz,Şeker,Un,Kekik,Kajun,Sütlü Çikolata,Bitter Çikolata,Beyaz Çikolata,Pudra Şekeri,Mısır Nişastası,Karbonat,Tarçın,Kabartma Tozu,Şekerli Vanilin,İnstant Maya,Esmer Şeker,Yaprak Jelatin,Tereyağ,Labne,Suda Mozarella,Ezine Peyniri,Krema"</formula1>
    </dataValidation>
    <dataValidation type="list" allowBlank="1" showInputMessage="1" showErrorMessage="1" sqref="J1323 J1437 J1533 J1550 J1683 J1696 J1787 J1963 J2020 J2065 J2105 J2172">
      <formula1>"Buzdolabı Poşeti,Tuz,Şeker,Un,Kekik,Kajun,Sütlü Çikolata,Bitter Çikolata,Beyaz Çikolata,Pudra Şekeri,Mısır Nişastası,Karbonat,Tarçın,Kabartma Tozu,Şekerli Vanilin,İnstant Maya,Esmer Şeker,Yaprak Jelatin,Tereyağ,Labne,Suda Mozarella,Ezine Peyniri,Krema"</formula1>
    </dataValidation>
    <dataValidation type="list" allowBlank="1" showInputMessage="1" showErrorMessage="1" sqref="J1325 J1552 J1697 J1827 J1882 J1905 J2024 J2070 J2106 J2117 J2158">
      <formula1>"Buzdolabı Poşeti,Tuz,Şeker,Un,Kekik,Kajun,Sütlü Çikolata,Bitter Çikolata,Beyaz Çikolata,Pudra Şekeri,Mısır Nişastası,Karbonat,Tarçın,Kabartma Tozu,Şekerli Vanilin,İnstant Maya,Esmer Şeker,Yaprak Jelatin,Tereyağ,Labne,Suda Mozarella,Ezine Peyniri,Krema"</formula1>
    </dataValidation>
    <dataValidation type="list" allowBlank="1" showInputMessage="1" showErrorMessage="1" sqref="J1350 J1352 J1367">
      <formula1>"Buzdolabı Poşeti,Tuz,Şeker,Un,Kekik,Kajun,Sütlü Çikolata,Bitter Çikolata,Beyaz Çikolata,Pudra Şekeri,Mısır Nişastası,Karbonat,Tarçın,Kabartma Tozu,Şekerli Vanilin,İnstant Maya,Esmer Şeker,Yaprak Jelatin,Tereyağ,Labne,Suda Mozarella,Ezine Peyniri,Krema"</formula1>
    </dataValidation>
    <dataValidation type="list" allowBlank="1" showInputMessage="1" showErrorMessage="1" sqref="J1351 J1382 J1385">
      <formula1>"Buzdolabı Poşeti,Tuz,Şeker,Un,Kekik,Kajun,Sütlü Çikolata,Bitter Çikolata,Beyaz Çikolata,Pudra Şekeri,Mısır Nişastası,Karbonat,Tarçın,Kabartma Tozu,Şekerli Vanilin,İnstant Maya,Esmer Şeker,Yaprak Jelatin,Tereyağ,Labne,Suda Mozarella,Ezine Peyniri,Krema"</formula1>
    </dataValidation>
    <dataValidation type="list" allowBlank="1" showInputMessage="1" showErrorMessage="1" sqref="J1354 J1422 J1541 J1602 J1694 J1709 J1742 J1786 J1892 J1950 J2044 J2084 J2121 J2177">
      <formula1>"Buzdolabı Poşeti,Tuz,Şeker,Un,Kekik,Kajun,Sütlü Çikolata,Bitter Çikolata,Beyaz Çikolata,Pudra Şekeri,Mısır Nişastası,Karbonat,Tarçın,Kabartma Tozu,Şekerli Vanilin,İnstant Maya,Esmer Şeker,Yaprak Jelatin,Tereyağ,Labne,Suda Mozarella,Ezine Peyniri,Krema"</formula1>
    </dataValidation>
    <dataValidation type="list" allowBlank="1" showInputMessage="1" showErrorMessage="1" sqref="J1356 J1362">
      <formula1>"Buzdolabı Poşeti,Tuz,Şeker,Un,Kekik,Kajun,Sütlü Çikolata,Bitter Çikolata,Beyaz Çikolata,Pudra Şekeri,Mısır Nişastası,Karbonat,Tarçın,Kabartma Tozu,Şekerli Vanilin,İnstant Maya,Esmer Şeker,Yaprak Jelatin,Tereyağ,Labne,Suda Mozarella,Ezine Peyniri,Krema"</formula1>
    </dataValidation>
    <dataValidation type="list" allowBlank="1" showInputMessage="1" showErrorMessage="1" sqref="J1384">
      <formula1>"Buzdolabı Poşeti,Tuz,Şeker,Un,Kekik,Kajun,Sütlü Çikolata,Bitter Çikolata,Beyaz Çikolata,Pudra Şekeri,Mısır Nişastası,Karbonat,Tarçın,Kabartma Tozu,Şekerli Vanilin,İnstant Maya,Esmer Şeker,Yaprak Jelatin,Tereyağ,Labne,Suda Mozarella,Ezine Peyniri,Krema"</formula1>
    </dataValidation>
    <dataValidation type="list" allowBlank="1" showInputMessage="1" showErrorMessage="1" sqref="J1396">
      <formula1>"Buzdolabı Poşeti,Tuz,Şeker,Un,Kekik,Kajun,Sütlü Çikolata,Bitter Çikolata,Beyaz Çikolata,Pudra Şekeri,Mısır Nişastası,Karbonat,Tarçın,Kabartma Tozu,Şekerli Vanilin,İnstant Maya,Esmer Şeker,Yaprak Jelatin,Tereyağ,Labne,Suda Mozarella,Ezine Peyniri,Krema"</formula1>
    </dataValidation>
    <dataValidation type="list" allowBlank="1" showInputMessage="1" showErrorMessage="1" sqref="J1397 J1571:J1573 J1670 J1738 J1921:J1922 J1926 J2088">
      <formula1>"Buzdolabı Poşeti,Tuz,Şeker,Un,Kekik,Kajun,Sütlü Çikolata,Bitter Çikolata,Beyaz Çikolata,Pudra Şekeri,Mısır Nişastası,Karbonat,Tarçın,Kabartma Tozu,Şekerli Vanilin,İnstant Maya,Esmer Şeker,Yaprak Jelatin,Tereyağ,Labne,Suda Mozarella,Ezine Peyniri,Krema"</formula1>
    </dataValidation>
    <dataValidation type="list" allowBlank="1" showInputMessage="1" showErrorMessage="1" sqref="J1420 J1432 J1845">
      <formula1>"Buzdolabı Poşeti,Tuz,Şeker,Un,Kekik,Kajun,Sütlü Çikolata,Bitter Çikolata,Beyaz Çikolata,Pudra Şekeri,Mısır Nişastası,Karbonat,Tarçın,Kabartma Tozu,Şekerli Vanilin,İnstant Maya,Esmer Şeker,Yaprak Jelatin,Tereyağ,Labne,Suda Mozarella,Ezine Peyniri,Krema"</formula1>
    </dataValidation>
    <dataValidation type="list" allowBlank="1" showInputMessage="1" showErrorMessage="1" sqref="J1421 J1461 J1601 J1741 J1821 J1891 J1949 J2043 J2152 J2166">
      <formula1>"Buzdolabı Poşeti,Tuz,Şeker,Un,Kekik,Kajun,Sütlü Çikolata,Bitter Çikolata,Beyaz Çikolata,Pudra Şekeri,Mısır Nişastası,Karbonat,Tarçın,Kabartma Tozu,Şekerli Vanilin,İnstant Maya,Esmer Şeker,Yaprak Jelatin,Tereyağ,Labne,Suda Mozarella,Ezine Peyniri,Krema"</formula1>
    </dataValidation>
    <dataValidation type="list" allowBlank="1" showInputMessage="1" showErrorMessage="1" sqref="J1427">
      <formula1>"Buzdolabı Poşeti,Tuz,Şeker,Un,Kekik,Kajun,Sütlü Çikolata,Bitter Çikolata,Beyaz Çikolata,Pudra Şekeri,Mısır Nişastası,Karbonat,Tarçın,Kabartma Tozu,Şekerli Vanilin,İnstant Maya,Esmer Şeker,Yaprak Jelatin,Tereyağ,Labne,Suda Mozarella,Ezine Peyniri,Krema"</formula1>
    </dataValidation>
    <dataValidation type="list" allowBlank="1" showInputMessage="1" showErrorMessage="1" sqref="J1428">
      <formula1>"Buzdolabı Poşeti,Tuz,Şeker,Un,Kekik,Kajun,Sütlü Çikolata,Bitter Çikolata,Beyaz Çikolata,Pudra Şekeri,Mısır Nişastası,Karbonat,Tarçın,Kabartma Tozu,Şekerli Vanilin,İnstant Maya,Esmer Şeker,Yaprak Jelatin,Tereyağ,Labne,Suda Mozarella,Ezine Peyniri,Krema"</formula1>
    </dataValidation>
    <dataValidation type="list" allowBlank="1" showInputMessage="1" showErrorMessage="1" sqref="J1443">
      <formula1>"Buzdolabı Poşeti,Tuz,Şeker,Un,Kekik,Kajun,Sütlü Çikolata,Bitter Çikolata,Beyaz Çikolata,Pudra Şekeri,Mısır Nişastası,Karbonat,Tarçın,Kabartma Tozu,Şekerli Vanilin,İnstant Maya,Esmer Şeker,Yaprak Jelatin,Tereyağ,Labne,Suda Mozarella,Ezine Peyniri,Krema"</formula1>
    </dataValidation>
    <dataValidation type="list" allowBlank="1" showInputMessage="1" showErrorMessage="1" sqref="J1511 J1820">
      <formula1>"Buzdolabı Poşeti,Tuz,Şeker,Un,Kekik,Kajun,Sütlü Çikolata,Bitter Çikolata,Beyaz Çikolata,Pudra Şekeri,Mısır Nişastası,Karbonat,Tarçın,Kabartma Tozu,Şekerli Vanilin,İnstant Maya,Esmer Şeker,Yaprak Jelatin,Tereyağ,Labne,Suda Mozarella,Ezine Peyniri,Krema"</formula1>
    </dataValidation>
    <dataValidation type="list" allowBlank="1" showInputMessage="1" showErrorMessage="1" sqref="J1536">
      <formula1>"Buzdolabı Poşeti,Tuz,Şeker,Un,Kekik,Kajun,Sütlü Çikolata,Bitter Çikolata,Beyaz Çikolata,Pudra Şekeri,Mısır Nişastası,Karbonat,Tarçın,Kabartma Tozu,Şekerli Vanilin,İnstant Maya,Esmer Şeker,Yaprak Jelatin,Tereyağ,Labne,Suda Mozarella,Ezine Peyniri,Krema"</formula1>
    </dataValidation>
    <dataValidation type="list" allowBlank="1" showInputMessage="1" showErrorMessage="1" sqref="J1558">
      <formula1>"Buzdolabı Poşeti,Tuz,Şeker,Un,Kekik,Kajun,Sütlü Çikolata,Bitter Çikolata,Beyaz Çikolata,Pudra Şekeri,Mısır Nişastası,Karbonat,Tarçın,Kabartma Tozu,Şekerli Vanilin,İnstant Maya,Esmer Şeker,Yaprak Jelatin,Tereyağ,Labne,Suda Mozarella,Ezine Peyniri,Krema"</formula1>
    </dataValidation>
    <dataValidation type="list" allowBlank="1" showInputMessage="1" showErrorMessage="1" sqref="J1574">
      <formula1>"Buzdolabı Poşeti,Tuz,Şeker,Un,Kekik,Kajun,Sütlü Çikolata,Bitter Çikolata,Beyaz Çikolata,Pudra Şekeri,Mısır Nişastası,Karbonat,Tarçın,Kabartma Tozu,Şekerli Vanilin,İnstant Maya,Esmer Şeker,Yaprak Jelatin,Tereyağ,Labne,Suda Mozarella,Ezine Peyniri,Krema"</formula1>
    </dataValidation>
    <dataValidation type="list" allowBlank="1" showInputMessage="1" showErrorMessage="1" sqref="J1577 J1812">
      <formula1>"Buzdolabı Poşeti,Tuz,Şeker,Un,Kekik,Kajun,Sütlü Çikolata,Bitter Çikolata,Beyaz Çikolata,Pudra Şekeri,Mısır Nişastası,Karbonat,Tarçın,Kabartma Tozu,Şekerli Vanilin,İnstant Maya,Esmer Şeker,Yaprak Jelatin,Tereyağ,Labne,Suda Mozarella,Ezine Peyniri,Krema"</formula1>
    </dataValidation>
    <dataValidation type="list" allowBlank="1" showInputMessage="1" showErrorMessage="1" sqref="J1578">
      <formula1>"Buzdolabı Poşeti,Tuz,Şeker,Un,Kekik,Kajun,Sütlü Çikolata,Bitter Çikolata,Beyaz Çikolata,Pudra Şekeri,Mısır Nişastası,Karbonat,Tarçın,Kabartma Tozu,Şekerli Vanilin,İnstant Maya,Esmer Şeker,Yaprak Jelatin,Tereyağ,Labne,Suda Mozarella,Ezine Peyniri,Krema"</formula1>
    </dataValidation>
    <dataValidation type="list" allowBlank="1" showInputMessage="1" showErrorMessage="1" sqref="J1579 J1811">
      <formula1>"Buzdolabı Poşeti,Tuz,Şeker,Un,Kekik,Kajun,Sütlü Çikolata,Bitter Çikolata,Beyaz Çikolata,Pudra Şekeri,Mısır Nişastası,Karbonat,Tarçın,Kabartma Tozu,Şekerli Vanilin,İnstant Maya,Esmer Şeker,Yaprak Jelatin,Tereyağ,Labne,Suda Mozarella,Ezine Peyniri,Krema"</formula1>
    </dataValidation>
    <dataValidation type="list" allowBlank="1" showInputMessage="1" showErrorMessage="1" sqref="J1597 J1711 J1794">
      <formula1>"Buzdolabı Poşeti,Tuz,Şeker,Un,Kekik,Kajun,Sütlü Çikolata,Bitter Çikolata,Beyaz Çikolata,Pudra Şekeri,Mısır Nişastası,Karbonat,Tarçın,Kabartma Tozu,Şekerli Vanilin,İnstant Maya,Esmer Şeker,Yaprak Jelatin,Tereyağ,Labne,Suda Mozarella,Ezine Peyniri,Krema"</formula1>
    </dataValidation>
    <dataValidation type="list" allowBlank="1" showInputMessage="1" showErrorMessage="1" sqref="J1610 J1681 J1716 J1724 J1740 J2086 J2107">
      <formula1>"Buzdolabı Poşeti,Tuz,Şeker,Un,Kekik,Kajun,Sütlü Çikolata,Bitter Çikolata,Beyaz Çikolata,Pudra Şekeri,Mısır Nişastası,Karbonat,Tarçın,Kabartma Tozu,Şekerli Vanilin,İnstant Maya,Esmer Şeker,Yaprak Jelatin,Tereyağ,Labne,Suda Mozarella,Ezine Peyniri,Krema"</formula1>
    </dataValidation>
    <dataValidation type="list" allowBlank="1" showInputMessage="1" showErrorMessage="1" sqref="J1655">
      <formula1>"Buzdolabı Poşeti,Tuz,Şeker,Un,Kekik,Kajun,Sütlü Çikolata,Bitter Çikolata,Beyaz Çikolata,Pudra Şekeri,Mısır Nişastası,Karbonat,Tarçın,Kabartma Tozu,Şekerli Vanilin,İnstant Maya,Esmer Şeker,Yaprak Jelatin,Tereyağ,Labne,Suda Mozarella,Ezine Peyniri,Krema"</formula1>
    </dataValidation>
    <dataValidation type="list" allowBlank="1" showInputMessage="1" showErrorMessage="1" sqref="J1669 J1887">
      <formula1>"Buzdolabı Poşeti,Tuz,Şeker,Un,Kekik,Kajun,Sütlü Çikolata,Bitter Çikolata,Beyaz Çikolata,Pudra Şekeri,Mısır Nişastası,Karbonat,Tarçın,Kabartma Tozu,Şekerli Vanilin,İnstant Maya,Esmer Şeker,Yaprak Jelatin,Tereyağ,Labne,Suda Mozarella,Ezine Peyniri,Krema"</formula1>
    </dataValidation>
    <dataValidation type="list" allowBlank="1" showInputMessage="1" showErrorMessage="1" sqref="J1701">
      <formula1>"Buzdolabı Poşeti,Tuz,Şeker,Un,Kekik,Kajun,Sütlü Çikolata,Bitter Çikolata,Beyaz Çikolata,Pudra Şekeri,Mısır Nişastası,Karbonat,Tarçın,Kabartma Tozu,Şekerli Vanilin,İnstant Maya,Esmer Şeker,Yaprak Jelatin,Tereyağ,Labne,Suda Mozarella,Ezine Peyniri,Krema"</formula1>
    </dataValidation>
    <dataValidation type="list" allowBlank="1" showInputMessage="1" showErrorMessage="1" sqref="J1704">
      <formula1>"Buzdolabı Poşeti,Tuz,Şeker,Un,Kekik,Kajun,Sütlü Çikolata,Bitter Çikolata,Beyaz Çikolata,Pudra Şekeri,Mısır Nişastası,Karbonat,Tarçın,Kabartma Tozu,Şekerli Vanilin,İnstant Maya,Esmer Şeker,Yaprak Jelatin,Tereyağ,Labne,Suda Mozarella,Ezine Peyniri,Krema"</formula1>
    </dataValidation>
    <dataValidation type="list" allowBlank="1" showInputMessage="1" showErrorMessage="1" sqref="J1705">
      <formula1>"Buzdolabı Poşeti,Tuz,Şeker,Un,Kekik,Kajun,Sütlü Çikolata,Bitter Çikolata,Beyaz Çikolata,Pudra Şekeri,Mısır Nişastası,Karbonat,Tarçın,Kabartma Tozu,Şekerli Vanilin,İnstant Maya,Esmer Şeker,Yaprak Jelatin,Tereyağ,Labne,Suda Mozarella,Ezine Peyniri,Krema"</formula1>
    </dataValidation>
    <dataValidation type="list" allowBlank="1" showInputMessage="1" showErrorMessage="1" sqref="J1706">
      <formula1>"Buzdolabı Poşeti,Tuz,Şeker,Un,Kekik,Kajun,Sütlü Çikolata,Bitter Çikolata,Beyaz Çikolata,Pudra Şekeri,Mısır Nişastası,Karbonat,Tarçın,Kabartma Tozu,Şekerli Vanilin,İnstant Maya,Esmer Şeker,Yaprak Jelatin,Tereyağ,Labne,Suda Mozarella,Ezine Peyniri,Krema"</formula1>
    </dataValidation>
    <dataValidation type="list" allowBlank="1" showInputMessage="1" showErrorMessage="1" sqref="J1707">
      <formula1>"Buzdolabı Poşeti,Tuz,Şeker,Un,Kekik,Kajun,Sütlü Çikolata,Bitter Çikolata,Beyaz Çikolata,Pudra Şekeri,Mısır Nişastası,Karbonat,Tarçın,Kabartma Tozu,Şekerli Vanilin,İnstant Maya,Esmer Şeker,Yaprak Jelatin,Tereyağ,Labne,Suda Mozarella,Ezine Peyniri,Krema"</formula1>
    </dataValidation>
    <dataValidation type="list" allowBlank="1" showInputMessage="1" showErrorMessage="1" sqref="J1729">
      <formula1>"Buzdolabı Poşeti,Tuz,Şeker,Un,Kekik,Kajun,Sütlü Çikolata,Bitter Çikolata,Beyaz Çikolata,Pudra Şekeri,Mısır Nişastası,Karbonat,Tarçın,Kabartma Tozu,Şekerli Vanilin,İnstant Maya,Esmer Şeker,Yaprak Jelatin,Tereyağ,Labne,Suda Mozarella,Ezine Peyniri,Krema"</formula1>
    </dataValidation>
    <dataValidation type="list" allowBlank="1" showInputMessage="1" showErrorMessage="1" sqref="J1730">
      <formula1>"Buzdolabı Poşeti,Tuz,Şeker,Un,Kekik,Kajun,Sütlü Çikolata,Bitter Çikolata,Beyaz Çikolata,Pudra Şekeri,Mısır Nişastası,Karbonat,Tarçın,Kabartma Tozu,Şekerli Vanilin,İnstant Maya,Esmer Şeker,Yaprak Jelatin,Tereyağ,Labne,Suda Mozarella,Ezine Peyniri,Krema"</formula1>
    </dataValidation>
    <dataValidation type="list" allowBlank="1" showInputMessage="1" showErrorMessage="1" sqref="J1731">
      <formula1>"Buzdolabı Poşeti,Tuz,Şeker,Un,Kekik,Kajun,Sütlü Çikolata,Bitter Çikolata,Beyaz Çikolata,Pudra Şekeri,Mısır Nişastası,Karbonat,Tarçın,Kabartma Tozu,Şekerli Vanilin,İnstant Maya,Esmer Şeker,Yaprak Jelatin,Tereyağ,Labne,Suda Mozarella,Ezine Peyniri,Krema"</formula1>
    </dataValidation>
    <dataValidation type="list" allowBlank="1" showInputMessage="1" showErrorMessage="1" sqref="J1732">
      <formula1>"Buzdolabı Poşeti,Tuz,Şeker,Un,Kekik,Kajun,Sütlü Çikolata,Bitter Çikolata,Beyaz Çikolata,Pudra Şekeri,Mısır Nişastası,Karbonat,Tarçın,Kabartma Tozu,Şekerli Vanilin,İnstant Maya,Esmer Şeker,Yaprak Jelatin,Tereyağ,Labne,Suda Mozarella,Ezine Peyniri,Krema"</formula1>
    </dataValidation>
    <dataValidation type="list" allowBlank="1" showInputMessage="1" showErrorMessage="1" sqref="J1756">
      <formula1>"Buzdolabı Poşeti,Tuz,Şeker,Un,Kekik,Kajun,Sütlü Çikolata,Bitter Çikolata,Beyaz Çikolata,Pudra Şekeri,Mısır Nişastası,Karbonat,Tarçın,Kabartma Tozu,Şekerli Vanilin,İnstant Maya,Esmer Şeker,Yaprak Jelatin,Tereyağ,Labne,Suda Mozarella,Ezine Peyniri,Krema"</formula1>
    </dataValidation>
    <dataValidation type="list" allowBlank="1" showInputMessage="1" showErrorMessage="1" sqref="J1809 J1840:J1841 J2192">
      <formula1>"Buzdolabı Poşeti,Tuz,Şeker,Un,Kekik,Kajun,Sütlü Çikolata,Bitter Çikolata,Beyaz Çikolata,Pudra Şekeri,Mısır Nişastası,Karbonat,Tarçın,Kabartma Tozu,Şekerli Vanilin,İnstant Maya,Esmer Şeker,Yaprak Jelatin,Tereyağ,Labne,Suda Mozarella,Ezine Peyniri,Krema"</formula1>
    </dataValidation>
    <dataValidation type="list" allowBlank="1" showInputMessage="1" showErrorMessage="1" sqref="J1810">
      <formula1>"Buzdolabı Poşeti,Tuz,Şeker,Un,Kekik,Kajun,Sütlü Çikolata,Bitter Çikolata,Beyaz Çikolata,Pudra Şekeri,Mısır Nişastası,Karbonat,Tarçın,Kabartma Tozu,Şekerli Vanilin,İnstant Maya,Esmer Şeker,Yaprak Jelatin,Tereyağ,Labne,Suda Mozarella,Ezine Peyniri,Krema"</formula1>
    </dataValidation>
    <dataValidation type="list" allowBlank="1" showInputMessage="1" showErrorMessage="1" sqref="J1842">
      <formula1>"Buzdolabı Poşeti,Tuz,Şeker,Un,Kekik,Kajun,Sütlü Çikolata,Bitter Çikolata,Beyaz Çikolata,Pudra Şekeri,Mısır Nişastası,Karbonat,Tarçın,Kabartma Tozu,Şekerli Vanilin,İnstant Maya,Esmer Şeker,Yaprak Jelatin,Tereyağ,Labne,Suda Mozarella,Ezine Peyniri,Krema"</formula1>
    </dataValidation>
    <dataValidation type="list" allowBlank="1" showInputMessage="1" showErrorMessage="1" sqref="J1875">
      <formula1>"Buzdolabı Poşeti,Tuz,Şeker,Un,Kekik,Kajun,Sütlü Çikolata,Bitter Çikolata,Beyaz Çikolata,Pudra Şekeri,Mısır Nişastası,Karbonat,Tarçın,Kabartma Tozu,Şekerli Vanilin,İnstant Maya,Esmer Şeker,Yaprak Jelatin,Tereyağ,Labne,Suda Mozarella,Ezine Peyniri,Krema"</formula1>
    </dataValidation>
    <dataValidation type="list" allowBlank="1" showInputMessage="1" showErrorMessage="1" sqref="J1888">
      <formula1>"Buzdolabı Poşeti,Tuz,Şeker,Un,Kekik,Kajun,Sütlü Çikolata,Bitter Çikolata,Beyaz Çikolata,Pudra Şekeri,Mısır Nişastası,Karbonat,Tarçın,Kabartma Tozu,Şekerli Vanilin,İnstant Maya,Esmer Şeker,Yaprak Jelatin,Tereyağ,Labne,Suda Mozarella,Ezine Peyniri,Krema"</formula1>
    </dataValidation>
    <dataValidation type="list" allowBlank="1" showInputMessage="1" showErrorMessage="1" sqref="J1889">
      <formula1>"Buzdolabı Poşeti,Tuz,Şeker,Un,Kekik,Kajun,Sütlü Çikolata,Bitter Çikolata,Beyaz Çikolata,Pudra Şekeri,Mısır Nişastası,Karbonat,Tarçın,Kabartma Tozu,Şekerli Vanilin,İnstant Maya,Esmer Şeker,Yaprak Jelatin,Tereyağ,Labne,Suda Mozarella,Ezine Peyniri,Krema"</formula1>
    </dataValidation>
    <dataValidation type="list" allowBlank="1" showInputMessage="1" showErrorMessage="1" sqref="J1890">
      <formula1>"Buzdolabı Poşeti,Tuz,Şeker,Un,Kekik,Kajun,Sütlü Çikolata,Bitter Çikolata,Beyaz Çikolata,Pudra Şekeri,Mısır Nişastası,Karbonat,Tarçın,Kabartma Tozu,Şekerli Vanilin,İnstant Maya,Esmer Şeker,Yaprak Jelatin,Tereyağ,Labne,Suda Mozarella,Ezine Peyniri,Krema"</formula1>
    </dataValidation>
    <dataValidation type="list" allowBlank="1" showInputMessage="1" showErrorMessage="1" sqref="J1898">
      <formula1>"Buzdolabı Poşeti,Tuz,Şeker,Un,Kekik,Kajun,Sütlü Çikolata,Bitter Çikolata,Beyaz Çikolata,Pudra Şekeri,Mısır Nişastası,Karbonat,Tarçın,Kabartma Tozu,Şekerli Vanilin,İnstant Maya,Esmer Şeker,Yaprak Jelatin,Tereyağ,Labne,Suda Mozarella,Ezine Peyniri,Krema"</formula1>
    </dataValidation>
    <dataValidation type="list" allowBlank="1" showInputMessage="1" showErrorMessage="1" sqref="J1899">
      <formula1>"Buzdolabı Poşeti,Tuz,Şeker,Un,Kekik,Kajun,Sütlü Çikolata,Bitter Çikolata,Beyaz Çikolata,Pudra Şekeri,Mısır Nişastası,Karbonat,Tarçın,Kabartma Tozu,Şekerli Vanilin,İnstant Maya,Esmer Şeker,Yaprak Jelatin,Tereyağ,Labne,Suda Mozarella,Ezine Peyniri,Krema"</formula1>
    </dataValidation>
    <dataValidation type="list" allowBlank="1" showInputMessage="1" showErrorMessage="1" sqref="J1923 J2110">
      <formula1>"Buzdolabı Poşeti,Tuz,Şeker,Un,Kekik,Kajun,Sütlü Çikolata,Bitter Çikolata,Beyaz Çikolata,Pudra Şekeri,Mısır Nişastası,Karbonat,Tarçın,Kabartma Tozu,Şekerli Vanilin,İnstant Maya,Esmer Şeker,Yaprak Jelatin,Tereyağ,Labne,Suda Mozarella,Ezine Peyniri,Krema"</formula1>
    </dataValidation>
    <dataValidation type="list" allowBlank="1" showInputMessage="1" showErrorMessage="1" sqref="J1924">
      <formula1>"Buzdolabı Poşeti,Tuz,Şeker,Un,Kekik,Kajun,Sütlü Çikolata,Bitter Çikolata,Beyaz Çikolata,Pudra Şekeri,Mısır Nişastası,Karbonat,Tarçın,Kabartma Tozu,Şekerli Vanilin,İnstant Maya,Esmer Şeker,Yaprak Jelatin,Tereyağ,Labne,Suda Mozarella,Ezine Peyniri,Krema"</formula1>
    </dataValidation>
    <dataValidation type="list" allowBlank="1" showInputMessage="1" showErrorMessage="1" sqref="J1925">
      <formula1>"Buzdolabı Poşeti,Tuz,Şeker,Un,Kekik,Kajun,Sütlü Çikolata,Bitter Çikolata,Beyaz Çikolata,Pudra Şekeri,Mısır Nişastası,Karbonat,Tarçın,Kabartma Tozu,Şekerli Vanilin,İnstant Maya,Esmer Şeker,Yaprak Jelatin,Tereyağ,Labne,Suda Mozarella,Ezine Peyniri,Krema"</formula1>
    </dataValidation>
    <dataValidation type="list" allowBlank="1" showInputMessage="1" showErrorMessage="1" sqref="J1927">
      <formula1>"Buzdolabı Poşeti,Tuz,Şeker,Un,Kekik,Kajun,Sütlü Çikolata,Bitter Çikolata,Beyaz Çikolata,Pudra Şekeri,Mısır Nişastası,Karbonat,Tarçın,Kabartma Tozu,Şekerli Vanilin,İnstant Maya,Esmer Şeker,Yaprak Jelatin,Tereyağ,Labne,Suda Mozarella,Ezine Peyniri,Krema"</formula1>
    </dataValidation>
    <dataValidation type="list" allowBlank="1" showInputMessage="1" showErrorMessage="1" sqref="J1947">
      <formula1>"Buzdolabı Poşeti,Tuz,Şeker,Un,Kekik,Kajun,Sütlü Çikolata,Bitter Çikolata,Beyaz Çikolata,Pudra Şekeri,Mısır Nişastası,Karbonat,Tarçın,Kabartma Tozu,Şekerli Vanilin,İnstant Maya,Esmer Şeker,Yaprak Jelatin,Tereyağ,Labne,Suda Mozarella,Ezine Peyniri,Krema"</formula1>
    </dataValidation>
    <dataValidation type="list" allowBlank="1" showInputMessage="1" showErrorMessage="1" sqref="J1967">
      <formula1>"Buzdolabı Poşeti,Tuz,Şeker,Un,Kekik,Kajun,Sütlü Çikolata,Bitter Çikolata,Beyaz Çikolata,Pudra Şekeri,Mısır Nişastası,Karbonat,Tarçın,Kabartma Tozu,Şekerli Vanilin,İnstant Maya,Esmer Şeker,Yaprak Jelatin,Tereyağ,Labne,Suda Mozarella,Ezine Peyniri,Krema"</formula1>
    </dataValidation>
    <dataValidation type="list" allowBlank="1" showInputMessage="1" showErrorMessage="1" sqref="J1985">
      <formula1>"Buzdolabı Poşeti,Tuz,Şeker,Un,Kekik,Kajun,Sütlü Çikolata,Bitter Çikolata,Beyaz Çikolata,Pudra Şekeri,Mısır Nişastası,Karbonat,Tarçın,Kabartma Tozu,Şekerli Vanilin,İnstant Maya,Esmer Şeker,Yaprak Jelatin,Tereyağ,Labne,Suda Mozarella,Ezine Peyniri,Krema"</formula1>
    </dataValidation>
    <dataValidation type="list" allowBlank="1" showInputMessage="1" showErrorMessage="1" sqref="J1986">
      <formula1>"Buzdolabı Poşeti,Tuz,Şeker,Un,Kekik,Kajun,Sütlü Çikolata,Bitter Çikolata,Beyaz Çikolata,Pudra Şekeri,Mısır Nişastası,Karbonat,Tarçın,Kabartma Tozu,Şekerli Vanilin,İnstant Maya,Esmer Şeker,Yaprak Jelatin,Tereyağ,Labne,Suda Mozarella,Ezine Peyniri,Krema"</formula1>
    </dataValidation>
    <dataValidation type="list" allowBlank="1" showInputMessage="1" showErrorMessage="1" sqref="J1992">
      <formula1>"Buzdolabı Poşeti,Tuz,Şeker,Un,Kekik,Kajun,Sütlü Çikolata,Bitter Çikolata,Beyaz Çikolata,Pudra Şekeri,Mısır Nişastası,Karbonat,Tarçın,Kabartma Tozu,Şekerli Vanilin,İnstant Maya,Esmer Şeker,Yaprak Jelatin,Tereyağ,Labne,Suda Mozarella,Ezine Peyniri,Krema"</formula1>
    </dataValidation>
    <dataValidation type="list" allowBlank="1" showInputMessage="1" showErrorMessage="1" sqref="J2010">
      <formula1>"Buzdolabı Poşeti,Tuz,Şeker,Un,Kekik,Kajun,Sütlü Çikolata,Bitter Çikolata,Beyaz Çikolata,Pudra Şekeri,Mısır Nişastası,Karbonat,Tarçın,Kabartma Tozu,Şekerli Vanilin,İnstant Maya,Esmer Şeker,Yaprak Jelatin,Tereyağ,Labne,Suda Mozarella,Ezine Peyniri,Krema"</formula1>
    </dataValidation>
    <dataValidation type="list" allowBlank="1" showInputMessage="1" showErrorMessage="1" sqref="J2017">
      <formula1>"Buzdolabı Poşeti,Tuz,Şeker,Un,Kekik,Kajun,Sütlü Çikolata,Bitter Çikolata,Beyaz Çikolata,Pudra Şekeri,Mısır Nişastası,Karbonat,Tarçın,Kabartma Tozu,Şekerli Vanilin,İnstant Maya,Esmer Şeker,Yaprak Jelatin,Tereyağ,Labne,Suda Mozarella,Ezine Peyniri,Krema"</formula1>
    </dataValidation>
    <dataValidation type="list" allowBlank="1" showInputMessage="1" showErrorMessage="1" sqref="J2037 J2160">
      <formula1>"Buzdolabı Poşeti,Tuz,Şeker,Un,Kekik,Kajun,Sütlü Çikolata,Bitter Çikolata,Beyaz Çikolata,Pudra Şekeri,Mısır Nişastası,Karbonat,Tarçın,Kabartma Tozu,Şekerli Vanilin,İnstant Maya,Esmer Şeker,Yaprak Jelatin,Tereyağ,Labne,Suda Mozarella,Ezine Peyniri,Krema"</formula1>
    </dataValidation>
    <dataValidation type="list" allowBlank="1" showInputMessage="1" showErrorMessage="1" sqref="J2087">
      <formula1>"Buzdolabı Poşeti,Tuz,Şeker,Un,Kekik,Kajun,Sütlü Çikolata,Bitter Çikolata,Beyaz Çikolata,Pudra Şekeri,Mısır Nişastası,Karbonat,Tarçın,Kabartma Tozu,Şekerli Vanilin,İnstant Maya,Esmer Şeker,Yaprak Jelatin,Tereyağ,Labne,Suda Mozarella,Ezine Peyniri,Krema"</formula1>
    </dataValidation>
    <dataValidation type="list" allowBlank="1" showInputMessage="1" showErrorMessage="1" sqref="J2111">
      <formula1>"Buzdolabı Poşeti,Tuz,Şeker,Un,Kekik,Kajun,Sütlü Çikolata,Bitter Çikolata,Beyaz Çikolata,Pudra Şekeri,Mısır Nişastası,Karbonat,Tarçın,Kabartma Tozu,Şekerli Vanilin,İnstant Maya,Esmer Şeker,Yaprak Jelatin,Tereyağ,Labne,Suda Mozarella,Ezine Peyniri,Krema"</formula1>
    </dataValidation>
    <dataValidation type="list" allowBlank="1" showInputMessage="1" showErrorMessage="1" sqref="J2174">
      <formula1>"Buzdolabı Poşeti,Tuz,Şeker,Un,Kekik,Kajun,Sütlü Çikolata,Bitter Çikolata,Beyaz Çikolata,Pudra Şekeri,Mısır Nişastası,Karbonat,Tarçın,Kabartma Tozu,Şekerli Vanilin,İnstant Maya,Esmer Şeker,Yaprak Jelatin,Tereyağ,Labne,Suda Mozarella,Ezine Peyniri,Krema"</formula1>
    </dataValidation>
    <dataValidation type="list" allowBlank="1" showInputMessage="1" showErrorMessage="1" sqref="J2190">
      <formula1>"Buzdolabı Poşeti,Tuz,Şeker,Un,Kekik,Kajun,Sütlü Çikolata,Bitter Çikolata,Beyaz Çikolata,Pudra Şekeri,Mısır Nişastası,Karbonat,Tarçın,Kabartma Tozu,Şekerli Vanilin,İnstant Maya,Esmer Şeker,Yaprak Jelatin,Tereyağ,Labne,Suda Mozarella,Ezine Peyniri,Krema"</formula1>
    </dataValidation>
    <dataValidation type="list" allowBlank="1" showInputMessage="1" showErrorMessage="1" sqref="J2191">
      <formula1>"Buzdolabı Poşeti,Tuz,Şeker,Un,Kekik,Kajun,Sütlü Çikolata,Bitter Çikolata,Beyaz Çikolata,Pudra Şekeri,Mısır Nişastası,Karbonat,Tarçın,Kabartma Tozu,Şekerli Vanilin,İnstant Maya,Esmer Şeker,Yaprak Jelatin,Tereyağ,Labne,Suda Mozarella,Ezine Peyniri,Krema"</formula1>
    </dataValidation>
  </dataValidations>
  <hyperlinks>
    <hyperlink ref="F2174" r:id="rId1" location="" tooltip="" display="Kolici.com"/>
  </hyperlink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