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e\Downloads\"/>
    </mc:Choice>
  </mc:AlternateContent>
  <xr:revisionPtr revIDLastSave="0" documentId="8_{9EB838E0-57C9-49B9-80F4-2E8646913FFF}" xr6:coauthVersionLast="47" xr6:coauthVersionMax="47" xr10:uidLastSave="{00000000-0000-0000-0000-000000000000}"/>
  <bookViews>
    <workbookView xWindow="-120" yWindow="-120" windowWidth="29040" windowHeight="15840" xr2:uid="{F8EB26C7-B9FB-4041-AEA8-6D6CDC2E4B34}"/>
  </bookViews>
  <sheets>
    <sheet name="Data" sheetId="1" r:id="rId1"/>
    <sheet name="Motifs" sheetId="3" r:id="rId2"/>
    <sheet name="Proteins" sheetId="5" r:id="rId3"/>
    <sheet name="Visualisation" sheetId="2" r:id="rId4"/>
    <sheet name="Attributes" sheetId="6" r:id="rId5"/>
    <sheet name="Consensus" sheetId="7" r:id="rId6"/>
  </sheets>
  <definedNames>
    <definedName name="_xlnm._FilterDatabase" localSheetId="0" hidden="1">Data!$AB$1:$AG$28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7" l="1"/>
  <c r="AQ8" i="7"/>
  <c r="AM8" i="7"/>
  <c r="AK8" i="7"/>
  <c r="AS7" i="7"/>
  <c r="AQ7" i="7"/>
  <c r="AM7" i="7"/>
  <c r="AK7" i="7"/>
  <c r="AS6" i="7"/>
  <c r="AQ6" i="7"/>
  <c r="AO6" i="7"/>
  <c r="AM6" i="7"/>
  <c r="AK6" i="7"/>
  <c r="AS5" i="7"/>
  <c r="AQ5" i="7"/>
  <c r="AO5" i="7"/>
  <c r="AM5" i="7"/>
  <c r="AK5" i="7"/>
  <c r="AS4" i="7"/>
  <c r="AQ4" i="7"/>
  <c r="AO4" i="7"/>
  <c r="AM4" i="7"/>
  <c r="AK4" i="7"/>
  <c r="AS3" i="7"/>
  <c r="AQ3" i="7"/>
  <c r="AO3" i="7"/>
  <c r="AM3" i="7"/>
  <c r="AK3" i="7"/>
  <c r="AH27" i="7"/>
  <c r="AH26" i="7"/>
  <c r="AH25" i="7"/>
  <c r="AH24" i="7"/>
  <c r="AH23" i="7"/>
  <c r="AH22" i="7"/>
  <c r="AH30" i="7" s="1"/>
  <c r="AF27" i="7"/>
  <c r="AF26" i="7"/>
  <c r="AF25" i="7"/>
  <c r="AF24" i="7"/>
  <c r="AF23" i="7"/>
  <c r="AF22" i="7"/>
  <c r="AF30" i="7" s="1"/>
  <c r="AD25" i="7"/>
  <c r="AD24" i="7"/>
  <c r="AD23" i="7"/>
  <c r="AD22" i="7"/>
  <c r="AD30" i="7" s="1"/>
  <c r="AB27" i="7"/>
  <c r="AB26" i="7"/>
  <c r="AB25" i="7"/>
  <c r="AB24" i="7"/>
  <c r="AB23" i="7"/>
  <c r="AB22" i="7"/>
  <c r="Z27" i="7"/>
  <c r="Z26" i="7"/>
  <c r="Z25" i="7"/>
  <c r="Z24" i="7"/>
  <c r="Z23" i="7"/>
  <c r="Z22" i="7"/>
  <c r="AF6" i="7"/>
  <c r="AH8" i="7"/>
  <c r="AH7" i="7"/>
  <c r="AH6" i="7"/>
  <c r="AH5" i="7"/>
  <c r="AH4" i="7"/>
  <c r="AH3" i="7"/>
  <c r="AF8" i="7"/>
  <c r="AF7" i="7"/>
  <c r="AF5" i="7"/>
  <c r="AF4" i="7"/>
  <c r="AF3" i="7"/>
  <c r="AD6" i="7"/>
  <c r="AD5" i="7"/>
  <c r="AD4" i="7"/>
  <c r="AD3" i="7"/>
  <c r="AB7" i="7"/>
  <c r="AB8" i="7"/>
  <c r="AB6" i="7"/>
  <c r="AB5" i="7"/>
  <c r="AB4" i="7"/>
  <c r="AB3" i="7"/>
  <c r="Z8" i="7"/>
  <c r="Z7" i="7"/>
  <c r="Z6" i="7"/>
  <c r="Z5" i="7"/>
  <c r="Z4" i="7"/>
  <c r="Z3" i="7"/>
  <c r="AD32" i="7"/>
  <c r="AB30" i="7"/>
  <c r="Z30" i="7"/>
  <c r="U36" i="7"/>
  <c r="U38" i="7" s="1"/>
  <c r="S36" i="7"/>
  <c r="S38" i="7" s="1"/>
  <c r="Q36" i="7"/>
  <c r="Q38" i="7" s="1"/>
  <c r="O36" i="7"/>
  <c r="O38" i="7" s="1"/>
  <c r="M36" i="7"/>
  <c r="M38" i="7" s="1"/>
  <c r="K36" i="7"/>
  <c r="K38" i="7" s="1"/>
  <c r="I36" i="7"/>
  <c r="I38" i="7" s="1"/>
  <c r="G36" i="7"/>
  <c r="G38" i="7" s="1"/>
  <c r="E36" i="7"/>
  <c r="E38" i="7" s="1"/>
  <c r="C36" i="7"/>
  <c r="C38" i="7" s="1"/>
  <c r="U35" i="7"/>
  <c r="S35" i="7"/>
  <c r="Q35" i="7"/>
  <c r="O35" i="7"/>
  <c r="M35" i="7"/>
  <c r="K35" i="7"/>
  <c r="I35" i="7"/>
  <c r="G35" i="7"/>
  <c r="E35" i="7"/>
  <c r="C35" i="7"/>
  <c r="U16" i="7"/>
  <c r="U18" i="7" s="1"/>
  <c r="S16" i="7"/>
  <c r="S18" i="7" s="1"/>
  <c r="Q16" i="7"/>
  <c r="Q18" i="7" s="1"/>
  <c r="O16" i="7"/>
  <c r="O18" i="7" s="1"/>
  <c r="M16" i="7"/>
  <c r="M18" i="7" s="1"/>
  <c r="K16" i="7"/>
  <c r="K18" i="7" s="1"/>
  <c r="I16" i="7"/>
  <c r="I18" i="7" s="1"/>
  <c r="G16" i="7"/>
  <c r="G18" i="7" s="1"/>
  <c r="E16" i="7"/>
  <c r="E18" i="7" s="1"/>
  <c r="C16" i="7"/>
  <c r="C18" i="7" s="1"/>
  <c r="U15" i="7"/>
  <c r="S15" i="7"/>
  <c r="Q15" i="7"/>
  <c r="O15" i="7"/>
  <c r="M15" i="7"/>
  <c r="K15" i="7"/>
  <c r="I15" i="7"/>
  <c r="G15" i="7"/>
  <c r="E15" i="7"/>
  <c r="C15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V18" i="1"/>
  <c r="V14" i="1"/>
  <c r="V17" i="1"/>
  <c r="J18" i="1"/>
  <c r="J20" i="1"/>
  <c r="J14" i="1"/>
  <c r="J17" i="1"/>
  <c r="Y6" i="1" l="1"/>
  <c r="X7" i="1"/>
  <c r="W3" i="1"/>
  <c r="X3" i="1" s="1"/>
  <c r="W4" i="1"/>
  <c r="X4" i="1" s="1"/>
  <c r="W5" i="1"/>
  <c r="X5" i="1" s="1"/>
  <c r="W6" i="1"/>
  <c r="X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X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X20" i="1" s="1"/>
  <c r="W21" i="1"/>
  <c r="Y21" i="1" s="1"/>
  <c r="W2" i="1"/>
  <c r="Y2" i="1" s="1"/>
  <c r="U2" i="1"/>
  <c r="T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S21" i="1"/>
  <c r="R20" i="1"/>
  <c r="R18" i="1"/>
  <c r="R17" i="1"/>
  <c r="N20" i="1"/>
  <c r="N18" i="1"/>
  <c r="K2" i="1" s="1"/>
  <c r="N14" i="1"/>
  <c r="S15" i="1" s="1"/>
  <c r="N17" i="1"/>
  <c r="S11" i="1" s="1"/>
  <c r="U16" i="6"/>
  <c r="U18" i="6" s="1"/>
  <c r="Q16" i="6"/>
  <c r="Q18" i="6" s="1"/>
  <c r="M16" i="6"/>
  <c r="M18" i="6" s="1"/>
  <c r="I16" i="6"/>
  <c r="I18" i="6" s="1"/>
  <c r="E16" i="6"/>
  <c r="E18" i="6" s="1"/>
  <c r="S16" i="6"/>
  <c r="S18" i="6" s="1"/>
  <c r="O16" i="6"/>
  <c r="O18" i="6" s="1"/>
  <c r="K16" i="6"/>
  <c r="K18" i="6" s="1"/>
  <c r="G16" i="6"/>
  <c r="G18" i="6" s="1"/>
  <c r="C16" i="6"/>
  <c r="C18" i="6" s="1"/>
  <c r="U15" i="6"/>
  <c r="S15" i="6"/>
  <c r="Q15" i="6"/>
  <c r="O15" i="6"/>
  <c r="M15" i="6"/>
  <c r="K15" i="6"/>
  <c r="I15" i="6"/>
  <c r="G15" i="6"/>
  <c r="E15" i="6"/>
  <c r="C15" i="6"/>
  <c r="Y20" i="1" l="1"/>
  <c r="X19" i="1"/>
  <c r="X15" i="1"/>
  <c r="X14" i="1"/>
  <c r="X11" i="1"/>
  <c r="X10" i="1"/>
  <c r="Y4" i="1"/>
  <c r="X8" i="1"/>
  <c r="Y3" i="1"/>
  <c r="X18" i="1"/>
  <c r="X21" i="1"/>
  <c r="Y13" i="1"/>
  <c r="X12" i="1"/>
  <c r="X17" i="1"/>
  <c r="Y5" i="1"/>
  <c r="X9" i="1"/>
  <c r="X16" i="1"/>
  <c r="X2" i="1"/>
  <c r="S20" i="1"/>
  <c r="S3" i="1"/>
  <c r="K3" i="1"/>
  <c r="K7" i="1"/>
  <c r="S12" i="1"/>
  <c r="K11" i="1"/>
  <c r="S18" i="1"/>
  <c r="K13" i="1"/>
  <c r="K20" i="1"/>
  <c r="S16" i="1"/>
  <c r="U16" i="1" s="1"/>
  <c r="S10" i="1"/>
  <c r="S17" i="1"/>
  <c r="U17" i="1" s="1"/>
  <c r="S19" i="1"/>
  <c r="U10" i="1"/>
  <c r="U20" i="1"/>
  <c r="U18" i="1"/>
  <c r="S4" i="1"/>
  <c r="K12" i="1"/>
  <c r="K16" i="1"/>
  <c r="K21" i="1"/>
  <c r="S5" i="1"/>
  <c r="S13" i="1"/>
  <c r="K4" i="1"/>
  <c r="K8" i="1"/>
  <c r="K17" i="1"/>
  <c r="S6" i="1"/>
  <c r="S14" i="1"/>
  <c r="U15" i="1"/>
  <c r="U21" i="1"/>
  <c r="K9" i="1"/>
  <c r="K18" i="1"/>
  <c r="S7" i="1"/>
  <c r="K5" i="1"/>
  <c r="S8" i="1"/>
  <c r="K10" i="1"/>
  <c r="K14" i="1"/>
  <c r="K19" i="1"/>
  <c r="S9" i="1"/>
  <c r="U12" i="1"/>
  <c r="K6" i="1"/>
  <c r="K15" i="1"/>
  <c r="S2" i="1"/>
  <c r="U19" i="1"/>
  <c r="U11" i="1"/>
  <c r="U3" i="1"/>
  <c r="O3" i="1"/>
  <c r="Q3" i="1" s="1"/>
  <c r="O17" i="1"/>
  <c r="Q17" i="1" s="1"/>
  <c r="O20" i="1"/>
  <c r="Q20" i="1" s="1"/>
  <c r="O18" i="1"/>
  <c r="O10" i="1"/>
  <c r="O16" i="1"/>
  <c r="O15" i="1"/>
  <c r="O7" i="1"/>
  <c r="O2" i="1"/>
  <c r="O14" i="1"/>
  <c r="O13" i="1"/>
  <c r="O5" i="1"/>
  <c r="O12" i="1"/>
  <c r="O4" i="1"/>
  <c r="O9" i="1"/>
  <c r="O8" i="1"/>
  <c r="O6" i="1"/>
  <c r="O21" i="1"/>
  <c r="O19" i="1"/>
  <c r="O11" i="1"/>
  <c r="Y43" i="5"/>
  <c r="U43" i="5"/>
  <c r="Q43" i="5"/>
  <c r="M43" i="5"/>
  <c r="I43" i="5"/>
  <c r="E43" i="5"/>
  <c r="A43" i="5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I15" i="1"/>
  <c r="AJ15" i="1" s="1"/>
  <c r="AI16" i="1"/>
  <c r="AJ16" i="1" s="1"/>
  <c r="AI17" i="1"/>
  <c r="T17" i="1" s="1"/>
  <c r="AI18" i="1"/>
  <c r="T18" i="1" s="1"/>
  <c r="AI19" i="1"/>
  <c r="AJ19" i="1" s="1"/>
  <c r="AI20" i="1"/>
  <c r="AI21" i="1"/>
  <c r="AJ21" i="1" s="1"/>
  <c r="AI22" i="1"/>
  <c r="AI23" i="1"/>
  <c r="AI24" i="1"/>
  <c r="AI25" i="1"/>
  <c r="AI2" i="1"/>
  <c r="AJ2" i="1" s="1"/>
  <c r="T20" i="1" l="1"/>
  <c r="T16" i="1"/>
  <c r="T14" i="1"/>
  <c r="U14" i="1"/>
  <c r="U8" i="1"/>
  <c r="T8" i="1"/>
  <c r="T7" i="1"/>
  <c r="U7" i="1"/>
  <c r="T6" i="1"/>
  <c r="U6" i="1"/>
  <c r="T19" i="1"/>
  <c r="T11" i="1"/>
  <c r="U9" i="1"/>
  <c r="T9" i="1"/>
  <c r="T12" i="1"/>
  <c r="T4" i="1"/>
  <c r="U4" i="1"/>
  <c r="T15" i="1"/>
  <c r="T3" i="1"/>
  <c r="T13" i="1"/>
  <c r="U13" i="1"/>
  <c r="T10" i="1"/>
  <c r="T5" i="1"/>
  <c r="U5" i="1"/>
  <c r="T21" i="1"/>
  <c r="Q10" i="1"/>
  <c r="Q11" i="1"/>
  <c r="Q5" i="1"/>
  <c r="Q18" i="1"/>
  <c r="Q19" i="1"/>
  <c r="Q13" i="1"/>
  <c r="Q12" i="1"/>
  <c r="Q21" i="1"/>
  <c r="Q14" i="1"/>
  <c r="Q6" i="1"/>
  <c r="Q2" i="1"/>
  <c r="Q8" i="1"/>
  <c r="Q7" i="1"/>
  <c r="Q9" i="1"/>
  <c r="Q15" i="1"/>
  <c r="Q4" i="1"/>
  <c r="Q16" i="1"/>
  <c r="AJ20" i="1"/>
  <c r="AJ14" i="1"/>
  <c r="AJ18" i="1"/>
  <c r="AJ17" i="1"/>
</calcChain>
</file>

<file path=xl/sharedStrings.xml><?xml version="1.0" encoding="utf-8"?>
<sst xmlns="http://schemas.openxmlformats.org/spreadsheetml/2006/main" count="1555" uniqueCount="557">
  <si>
    <t>Ala</t>
  </si>
  <si>
    <t>A</t>
  </si>
  <si>
    <r>
      <t>C</t>
    </r>
    <r>
      <rPr>
        <sz val="8.25"/>
        <color rgb="FF000000"/>
        <rFont val="Lato"/>
        <family val="2"/>
      </rPr>
      <t>3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7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</si>
  <si>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–</t>
  </si>
  <si>
    <t>Arg</t>
  </si>
  <si>
    <t>R</t>
  </si>
  <si>
    <r>
      <t>C</t>
    </r>
    <r>
      <rPr>
        <sz val="8.25"/>
        <color rgb="FF000000"/>
        <rFont val="Lato"/>
        <family val="2"/>
      </rPr>
      <t>6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14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4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2</t>
    </r>
  </si>
  <si>
    <t>Asn</t>
  </si>
  <si>
    <t>N</t>
  </si>
  <si>
    <r>
      <t>C</t>
    </r>
    <r>
      <rPr>
        <sz val="8.25"/>
        <color rgb="FF000000"/>
        <rFont val="Lato"/>
        <family val="2"/>
      </rPr>
      <t>4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8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3</t>
    </r>
  </si>
  <si>
    <t>Asp</t>
  </si>
  <si>
    <t>D</t>
  </si>
  <si>
    <r>
      <t>C</t>
    </r>
    <r>
      <rPr>
        <sz val="8.25"/>
        <color rgb="FF000000"/>
        <rFont val="Lato"/>
        <family val="2"/>
      </rPr>
      <t>4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7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4</t>
    </r>
  </si>
  <si>
    <t>Cys</t>
  </si>
  <si>
    <t>C</t>
  </si>
  <si>
    <r>
      <t>C</t>
    </r>
    <r>
      <rPr>
        <sz val="8.25"/>
        <color rgb="FF000000"/>
        <rFont val="Lato"/>
        <family val="2"/>
      </rPr>
      <t>3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7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S</t>
    </r>
  </si>
  <si>
    <t>Glu</t>
  </si>
  <si>
    <t>E</t>
  </si>
  <si>
    <r>
      <t>C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4</t>
    </r>
  </si>
  <si>
    <t>Gln</t>
  </si>
  <si>
    <t>Q</t>
  </si>
  <si>
    <r>
      <t>C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10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3</t>
    </r>
  </si>
  <si>
    <t>Gly</t>
  </si>
  <si>
    <t>G</t>
  </si>
  <si>
    <r>
      <t>C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</si>
  <si>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His</t>
  </si>
  <si>
    <t>H</t>
  </si>
  <si>
    <r>
      <t>C</t>
    </r>
    <r>
      <rPr>
        <sz val="8.25"/>
        <color rgb="FF000000"/>
        <rFont val="Lato"/>
        <family val="2"/>
      </rPr>
      <t>6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3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2</t>
    </r>
  </si>
  <si>
    <t>Ile</t>
  </si>
  <si>
    <t>I</t>
  </si>
  <si>
    <r>
      <t>C</t>
    </r>
    <r>
      <rPr>
        <sz val="8.25"/>
        <color rgb="FF000000"/>
        <rFont val="Lato"/>
        <family val="2"/>
      </rPr>
      <t>6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13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</si>
  <si>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Leucin</t>
  </si>
  <si>
    <t>Leu</t>
  </si>
  <si>
    <t>L</t>
  </si>
  <si>
    <t>Lysin</t>
  </si>
  <si>
    <t>Lys</t>
  </si>
  <si>
    <t>K</t>
  </si>
  <si>
    <r>
      <t>C</t>
    </r>
    <r>
      <rPr>
        <sz val="8.25"/>
        <color rgb="FF000000"/>
        <rFont val="Lato"/>
        <family val="2"/>
      </rPr>
      <t>6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14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2</t>
    </r>
  </si>
  <si>
    <t>Met</t>
  </si>
  <si>
    <t>M</t>
  </si>
  <si>
    <r>
      <t>C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11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S</t>
    </r>
  </si>
  <si>
    <t>Phe</t>
  </si>
  <si>
    <t>F</t>
  </si>
  <si>
    <r>
      <t>C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11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</si>
  <si>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Pro</t>
  </si>
  <si>
    <t>P</t>
  </si>
  <si>
    <r>
      <t>C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</si>
  <si>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Serin</t>
  </si>
  <si>
    <t>Ser</t>
  </si>
  <si>
    <t>S</t>
  </si>
  <si>
    <r>
      <t>C</t>
    </r>
    <r>
      <rPr>
        <sz val="8.25"/>
        <color rgb="FF000000"/>
        <rFont val="Lato"/>
        <family val="2"/>
      </rPr>
      <t>3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7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3</t>
    </r>
  </si>
  <si>
    <t>Thr</t>
  </si>
  <si>
    <t>T</t>
  </si>
  <si>
    <r>
      <t>C</t>
    </r>
    <r>
      <rPr>
        <sz val="8.25"/>
        <color rgb="FF000000"/>
        <rFont val="Lato"/>
        <family val="2"/>
      </rPr>
      <t>4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3</t>
    </r>
  </si>
  <si>
    <t>Tryptophan</t>
  </si>
  <si>
    <t>Trp</t>
  </si>
  <si>
    <t>W</t>
  </si>
  <si>
    <r>
      <t>C</t>
    </r>
    <r>
      <rPr>
        <sz val="8.25"/>
        <color rgb="FF000000"/>
        <rFont val="Lato"/>
        <family val="2"/>
      </rPr>
      <t>11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12</t>
    </r>
    <r>
      <rPr>
        <sz val="12"/>
        <color rgb="FF000000"/>
        <rFont val="Lato"/>
        <family val="2"/>
      </rPr>
      <t>N</t>
    </r>
    <r>
      <rPr>
        <sz val="8.25"/>
        <color rgb="FF000000"/>
        <rFont val="Lato"/>
        <family val="2"/>
      </rPr>
      <t>2</t>
    </r>
    <r>
      <rPr>
        <sz val="12"/>
        <color rgb="FF000000"/>
        <rFont val="Lato"/>
        <family val="2"/>
      </rPr>
      <t>O</t>
    </r>
    <r>
      <rPr>
        <sz val="8.25"/>
        <color rgb="FF000000"/>
        <rFont val="Lato"/>
        <family val="2"/>
      </rPr>
      <t>2</t>
    </r>
  </si>
  <si>
    <t>Tyr</t>
  </si>
  <si>
    <t>Y</t>
  </si>
  <si>
    <r>
      <t>C</t>
    </r>
    <r>
      <rPr>
        <sz val="8.25"/>
        <color rgb="FF000000"/>
        <rFont val="Lato"/>
        <family val="2"/>
      </rPr>
      <t>9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11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3</t>
    </r>
  </si>
  <si>
    <t>Valin</t>
  </si>
  <si>
    <t>Val</t>
  </si>
  <si>
    <t>V</t>
  </si>
  <si>
    <r>
      <t>C</t>
    </r>
    <r>
      <rPr>
        <sz val="8.25"/>
        <color rgb="FF000000"/>
        <rFont val="Lato"/>
        <family val="2"/>
      </rPr>
      <t>5</t>
    </r>
    <r>
      <rPr>
        <sz val="12"/>
        <color rgb="FF000000"/>
        <rFont val="Lato"/>
        <family val="2"/>
      </rPr>
      <t>H</t>
    </r>
    <r>
      <rPr>
        <sz val="8.25"/>
        <color rgb="FF000000"/>
        <rFont val="Lato"/>
        <family val="2"/>
      </rPr>
      <t>11</t>
    </r>
    <r>
      <rPr>
        <sz val="12"/>
        <color rgb="FF000000"/>
        <rFont val="Lato"/>
        <family val="2"/>
      </rPr>
      <t>NO</t>
    </r>
    <r>
      <rPr>
        <sz val="8.25"/>
        <color rgb="FF000000"/>
        <rFont val="Lato"/>
        <family val="2"/>
      </rPr>
      <t>2</t>
    </r>
  </si>
  <si>
    <t>Phosphorylation / Metionin sulfoxidataion</t>
  </si>
  <si>
    <t>Hydophobicity</t>
  </si>
  <si>
    <t>Name</t>
  </si>
  <si>
    <t>Abbreviation</t>
  </si>
  <si>
    <t>1-Letter code</t>
  </si>
  <si>
    <t>Molecular weight</t>
  </si>
  <si>
    <t>Formula1</t>
  </si>
  <si>
    <t>pKa</t>
  </si>
  <si>
    <t>pKb</t>
  </si>
  <si>
    <t>pKx</t>
  </si>
  <si>
    <t>pI</t>
  </si>
  <si>
    <t>h</t>
  </si>
  <si>
    <t>Basic/Acidic sidechain</t>
  </si>
  <si>
    <t>B</t>
  </si>
  <si>
    <t>Charged</t>
  </si>
  <si>
    <t>Polar/Neutral sidechain</t>
  </si>
  <si>
    <t>p</t>
  </si>
  <si>
    <t>Side Chain Class aLiphatic/aRomatic/Basic/Acidic/amiNe/Sulfur c./Hydroxyl c./Cyclic</t>
  </si>
  <si>
    <t>s</t>
  </si>
  <si>
    <t>Phosphothreonine</t>
  </si>
  <si>
    <t>t</t>
  </si>
  <si>
    <t>y</t>
  </si>
  <si>
    <t>m</t>
  </si>
  <si>
    <t>-</t>
  </si>
  <si>
    <t>Occurence in peptides</t>
  </si>
  <si>
    <t>Frequency distribution</t>
  </si>
  <si>
    <t>Swissprot</t>
  </si>
  <si>
    <t>Complete Human Genebank</t>
  </si>
  <si>
    <t>Hydrophobicity rank</t>
  </si>
  <si>
    <t>https://bmcresnotes.biomedcentral.com/articles/10.1186/1756-0500-4-20</t>
  </si>
  <si>
    <t>Mouse essential</t>
  </si>
  <si>
    <t>Mouse viable</t>
  </si>
  <si>
    <t>Unphosphorylated frequency</t>
  </si>
  <si>
    <t>Lsp1</t>
  </si>
  <si>
    <t>Ybx1</t>
  </si>
  <si>
    <t>EDtVE</t>
  </si>
  <si>
    <t>tPsPL</t>
  </si>
  <si>
    <t>ELssP</t>
  </si>
  <si>
    <t>VRtPs</t>
  </si>
  <si>
    <t>sPsPP</t>
  </si>
  <si>
    <t>QNsES</t>
  </si>
  <si>
    <t>EGsEs</t>
  </si>
  <si>
    <t>sEsAP</t>
  </si>
  <si>
    <t>PLsPt</t>
  </si>
  <si>
    <t>sPtTK</t>
  </si>
  <si>
    <t>PsP</t>
  </si>
  <si>
    <t>GsP</t>
  </si>
  <si>
    <t>SsP</t>
  </si>
  <si>
    <t>LsP</t>
  </si>
  <si>
    <t>RsP</t>
  </si>
  <si>
    <t>AsP</t>
  </si>
  <si>
    <t>ssP</t>
  </si>
  <si>
    <t>KsP</t>
  </si>
  <si>
    <t>DsP</t>
  </si>
  <si>
    <t>DsE</t>
  </si>
  <si>
    <t>Pi4k2a</t>
  </si>
  <si>
    <t>Evl</t>
  </si>
  <si>
    <t>Sptbn1</t>
  </si>
  <si>
    <t>Gpsm3</t>
  </si>
  <si>
    <t>Mtss1</t>
  </si>
  <si>
    <t>Bin1</t>
  </si>
  <si>
    <t>Srrm2</t>
  </si>
  <si>
    <t>Mid1ip1</t>
  </si>
  <si>
    <t>Map4</t>
  </si>
  <si>
    <t>Map7d1</t>
  </si>
  <si>
    <t>Sfr1</t>
  </si>
  <si>
    <t>Baiap2l1</t>
  </si>
  <si>
    <t>Ncbp3</t>
  </si>
  <si>
    <t>Crkl</t>
  </si>
  <si>
    <t>Irf2bp2</t>
  </si>
  <si>
    <t>Ankrd17</t>
  </si>
  <si>
    <t>Rbm15</t>
  </si>
  <si>
    <t>Dtx3l</t>
  </si>
  <si>
    <t>Gphn</t>
  </si>
  <si>
    <t>Prr12</t>
  </si>
  <si>
    <t>Gatad2a</t>
  </si>
  <si>
    <t>Sf1</t>
  </si>
  <si>
    <t>Evl, Pi4k2a, Sptbn1, Gpsm3, Mtss1, Bin1, Srrm2, Mid1ip1, Map4, Map7d1, Sfr1, Baiap2l1, Lsp1, Ncbp3, Crkl, Irf2bp2, Ankrd17, Rbm15, Dtx3l, Gphn, Prr12, Gatad2a, Sf1</t>
  </si>
  <si>
    <t>Specc1</t>
  </si>
  <si>
    <t>Aspscr1</t>
  </si>
  <si>
    <t>Srsf9</t>
  </si>
  <si>
    <t>Larp1</t>
  </si>
  <si>
    <t>Trim28</t>
  </si>
  <si>
    <t>Tbc1d5</t>
  </si>
  <si>
    <t>Coil</t>
  </si>
  <si>
    <t>Epn3</t>
  </si>
  <si>
    <t>Pcdh1</t>
  </si>
  <si>
    <t>Tns1</t>
  </si>
  <si>
    <t>Unc13d</t>
  </si>
  <si>
    <t>Lmo7</t>
  </si>
  <si>
    <t>Pkp4</t>
  </si>
  <si>
    <t>Arhgef2</t>
  </si>
  <si>
    <t>Cgn</t>
  </si>
  <si>
    <t>Mapt</t>
  </si>
  <si>
    <t>Epn2</t>
  </si>
  <si>
    <t>Pcif1</t>
  </si>
  <si>
    <t>Jup</t>
  </si>
  <si>
    <t>Add3</t>
  </si>
  <si>
    <t>Sorbs3</t>
  </si>
  <si>
    <t>Patj</t>
  </si>
  <si>
    <t>Add2</t>
  </si>
  <si>
    <t>GsP (+)</t>
  </si>
  <si>
    <t>GsP (-)</t>
  </si>
  <si>
    <t>Unique (+) GsP</t>
  </si>
  <si>
    <t>Unique (-) GsP</t>
  </si>
  <si>
    <t>PSP (+)</t>
  </si>
  <si>
    <t>PSP (-)</t>
  </si>
  <si>
    <t>Rras2</t>
  </si>
  <si>
    <t>Sp1</t>
  </si>
  <si>
    <t>Jcad</t>
  </si>
  <si>
    <t>Pxn</t>
  </si>
  <si>
    <t>Afdn</t>
  </si>
  <si>
    <t>Limch1</t>
  </si>
  <si>
    <t>Tbx2</t>
  </si>
  <si>
    <t>Synm</t>
  </si>
  <si>
    <t>Myzap</t>
  </si>
  <si>
    <t>Tns2</t>
  </si>
  <si>
    <t>Rasgrp2</t>
  </si>
  <si>
    <t>Nfib</t>
  </si>
  <si>
    <t>Akap2</t>
  </si>
  <si>
    <t>Eif4b</t>
  </si>
  <si>
    <t>Tgfb1i1</t>
  </si>
  <si>
    <t>Etl4</t>
  </si>
  <si>
    <t>Scaf11</t>
  </si>
  <si>
    <t>Unique (+) PSP</t>
  </si>
  <si>
    <t>Unique (-) PSP</t>
  </si>
  <si>
    <t>3-Motif</t>
  </si>
  <si>
    <t>5-Motif</t>
  </si>
  <si>
    <t>Phosphoprotein (+)</t>
  </si>
  <si>
    <t xml:space="preserve"> </t>
  </si>
  <si>
    <t>Rras2, Sp1, Jcad, Pxn, Afdn, Limch1, Tbx2, Pcdh1, Tns1, Synm, Myzap, Tns2, Rasgrp2, Nfib, Akap2, Eif4b, Tgfb1i1, Etl4, Scaf11</t>
  </si>
  <si>
    <t>Pcdh1, Tns1, Unc13d, Lmo7, Pkp4, Arhgef2, Cgn, Mapt, Epn2, Pcif1, Jup, Add3, Sorbs3, Patj, Add2</t>
  </si>
  <si>
    <t>Frequency</t>
  </si>
  <si>
    <t>Bin1, Arhgap17</t>
  </si>
  <si>
    <t>Dab2</t>
  </si>
  <si>
    <t>Golga3</t>
  </si>
  <si>
    <t>Arhgap30</t>
  </si>
  <si>
    <t>Atxn2l</t>
  </si>
  <si>
    <t>Lrrfip1</t>
  </si>
  <si>
    <t>Dab2, Golga3, Arhgap30, Atxn2l, Lrrfip, Srsf9, Specc1, Bin1, Aspscr1, Srsf9, Larp1, Trim28, Tbc1d5, Coil, Epn3</t>
  </si>
  <si>
    <t>SsP (+)</t>
  </si>
  <si>
    <t>SsP (-)</t>
  </si>
  <si>
    <t>Unique (+) SsP</t>
  </si>
  <si>
    <t>Unique (-) SsP</t>
  </si>
  <si>
    <t>LsP (+)</t>
  </si>
  <si>
    <t>LsP (-)</t>
  </si>
  <si>
    <t>Unique (+) LsP</t>
  </si>
  <si>
    <t>Unique (-) LsP</t>
  </si>
  <si>
    <t>RsP (+)</t>
  </si>
  <si>
    <t>RsP (-)</t>
  </si>
  <si>
    <t>Unique (+) RsP</t>
  </si>
  <si>
    <t>Unique (-) RsP</t>
  </si>
  <si>
    <t>AsP (+)</t>
  </si>
  <si>
    <t>AsP (-)</t>
  </si>
  <si>
    <t>Unique (+) AsP</t>
  </si>
  <si>
    <t>Unique (-) AsP</t>
  </si>
  <si>
    <t>Sh2d3c</t>
  </si>
  <si>
    <t>Shank3</t>
  </si>
  <si>
    <t>Kank3</t>
  </si>
  <si>
    <t>Gprc5a</t>
  </si>
  <si>
    <t>Suds3</t>
  </si>
  <si>
    <t>Rasip1</t>
  </si>
  <si>
    <t>Tacc2</t>
  </si>
  <si>
    <t>Synpo</t>
  </si>
  <si>
    <t>Tln1</t>
  </si>
  <si>
    <t>Pard3b</t>
  </si>
  <si>
    <t>Pum2</t>
  </si>
  <si>
    <t>Nufip2</t>
  </si>
  <si>
    <t>Nfatc2</t>
  </si>
  <si>
    <t>4833439L19Rik</t>
  </si>
  <si>
    <t>Ahnak</t>
  </si>
  <si>
    <t>Tfpt</t>
  </si>
  <si>
    <t>Marcks</t>
  </si>
  <si>
    <t>Fnbp4</t>
  </si>
  <si>
    <t>Ptpn23</t>
  </si>
  <si>
    <t>Washc2</t>
  </si>
  <si>
    <t>Comt</t>
  </si>
  <si>
    <t>Purb</t>
  </si>
  <si>
    <t>Txlna</t>
  </si>
  <si>
    <t>Caap1</t>
  </si>
  <si>
    <t>Aldh1a1</t>
  </si>
  <si>
    <t>Carmil1</t>
  </si>
  <si>
    <t>Fyb</t>
  </si>
  <si>
    <t>Nfic</t>
  </si>
  <si>
    <t>Ablim1</t>
  </si>
  <si>
    <t>Cavin2</t>
  </si>
  <si>
    <t>Vgll4</t>
  </si>
  <si>
    <t>Kiaa1522</t>
  </si>
  <si>
    <t>Thrap3</t>
  </si>
  <si>
    <t>Ranbp3</t>
  </si>
  <si>
    <t>Cnot4</t>
  </si>
  <si>
    <t>U2af2</t>
  </si>
  <si>
    <t>Arhgap17</t>
  </si>
  <si>
    <t>Rbm17</t>
  </si>
  <si>
    <t>Ncor1</t>
  </si>
  <si>
    <t>Hnrnpul1</t>
  </si>
  <si>
    <t>Ppil4</t>
  </si>
  <si>
    <t>Tjp1</t>
  </si>
  <si>
    <t>Afap1l1</t>
  </si>
  <si>
    <t>Zyx</t>
  </si>
  <si>
    <t>Sec61b</t>
  </si>
  <si>
    <t>Gmip</t>
  </si>
  <si>
    <t>Phc3</t>
  </si>
  <si>
    <t>Tp53bp1</t>
  </si>
  <si>
    <t>Mia2</t>
  </si>
  <si>
    <t>Stmn1</t>
  </si>
  <si>
    <t>Asap1</t>
  </si>
  <si>
    <t>Tnks1bp1</t>
  </si>
  <si>
    <t>Zc3h13</t>
  </si>
  <si>
    <t>Lima1</t>
  </si>
  <si>
    <t>Mprip</t>
  </si>
  <si>
    <t>Ppp1r14a</t>
  </si>
  <si>
    <t>Arhgap32</t>
  </si>
  <si>
    <t>Lmod1</t>
  </si>
  <si>
    <t>Arhgap31</t>
  </si>
  <si>
    <t>ssP (+)</t>
  </si>
  <si>
    <t>ssP (-)</t>
  </si>
  <si>
    <t>Unique (+) ssP</t>
  </si>
  <si>
    <t>Unique (-) ssP</t>
  </si>
  <si>
    <t>KsP (+)</t>
  </si>
  <si>
    <t>KsP (-)</t>
  </si>
  <si>
    <t>Unique (+) KsP</t>
  </si>
  <si>
    <t>Unique (-) KsP</t>
  </si>
  <si>
    <t>DsP (+)</t>
  </si>
  <si>
    <t>DsP (-)</t>
  </si>
  <si>
    <t>Unique (+) DsP</t>
  </si>
  <si>
    <t>Unique (-) DsP</t>
  </si>
  <si>
    <t>DsE (+)</t>
  </si>
  <si>
    <t>DsE (-)</t>
  </si>
  <si>
    <t>Unique (+) DsE</t>
  </si>
  <si>
    <t>Unique (-) DsE</t>
  </si>
  <si>
    <t>Vim</t>
  </si>
  <si>
    <t>Hnrnpd</t>
  </si>
  <si>
    <t>H1f5</t>
  </si>
  <si>
    <t>Prx</t>
  </si>
  <si>
    <t>Tppp</t>
  </si>
  <si>
    <t>Sowahc</t>
  </si>
  <si>
    <t>Slc9a3r1</t>
  </si>
  <si>
    <t>Cebpd</t>
  </si>
  <si>
    <t>Gorasp1</t>
  </si>
  <si>
    <t>Arhgap12</t>
  </si>
  <si>
    <t>Eps15</t>
  </si>
  <si>
    <t>Hps4</t>
  </si>
  <si>
    <t>Arhgef11</t>
  </si>
  <si>
    <t>Ccar2</t>
  </si>
  <si>
    <t>Ripor1</t>
  </si>
  <si>
    <t>Sntb1</t>
  </si>
  <si>
    <t>Stim1</t>
  </si>
  <si>
    <t>Slc4a1</t>
  </si>
  <si>
    <t>Ctnnd1</t>
  </si>
  <si>
    <t>Nucks1</t>
  </si>
  <si>
    <t>Tubb1</t>
  </si>
  <si>
    <t>Hnrnpul2</t>
  </si>
  <si>
    <t>1110059G10Rik</t>
  </si>
  <si>
    <t>Cbx3</t>
  </si>
  <si>
    <t>Eif5b</t>
  </si>
  <si>
    <t>Ddx54</t>
  </si>
  <si>
    <t>Abcf1</t>
  </si>
  <si>
    <t>Paxbp1</t>
  </si>
  <si>
    <t>Focal Adhesion</t>
  </si>
  <si>
    <t>Cell junction</t>
  </si>
  <si>
    <t>Actin binding</t>
  </si>
  <si>
    <t>NA</t>
  </si>
  <si>
    <t>Membrane coat</t>
  </si>
  <si>
    <t>Cell junction assembly</t>
  </si>
  <si>
    <t>Molecular fiber organization</t>
  </si>
  <si>
    <t>acetylation</t>
  </si>
  <si>
    <t>Tissue: lymphocytic leukemia cell</t>
  </si>
  <si>
    <t>mRNA splicing</t>
  </si>
  <si>
    <t>Vibrio infection</t>
  </si>
  <si>
    <t>Marcks, Ahnak, Evl, Fnbp4, Tns1, Specc1, Ptpn23, Srrm2, Lsp1, Washc2, Comt, Purb, Gatad2a, Txlna, Caap1</t>
  </si>
  <si>
    <t>Aldh1a1, Afdn, Carmil1, Fyb, Tln1, Sorbs3, Nfic, Ablim1, Cavin2, Pard3b, Vgll4</t>
  </si>
  <si>
    <t>Srrm2, Gmip, Lsp1, Thrap3, Nfatc2, Phc3, Tp53bp1, Mia2, Stmn1, Asap1, Tnks1bp1, Zc3h13, Lima1</t>
  </si>
  <si>
    <t>Mprip, Ppp1r14a, Arhgap32, Lmod1, Arhgap31</t>
  </si>
  <si>
    <t>Kiaa1522, Srrm2, Tns1, Thrap3, Ranbp3, Cnot4, U2af2, Arhgap17, Rbm17, Irf2bp2, Ncor1, Hnrnpul1, Ppil4, Sf1</t>
  </si>
  <si>
    <t>Tjp1, Shank3, Afap1l1, Tns2, Tacc2, Zyx, Sec61b</t>
  </si>
  <si>
    <t>Pum2, Nufip2, Nfatc2, Bin1, Map7d1, 4833439L19Rik, Ahnak, Tfpt</t>
  </si>
  <si>
    <t>Sh2d3c, Shank3, Tns2, Kank3, Gprc5a, Suds3, Rasip1, Tacc2, Synpo, Tgfb1i1, Tln1, Pard3b</t>
  </si>
  <si>
    <t>Srrm2, Lsp1, Sptbn1, Lsp1, Irf2bp2, Dtx3l, Vim, Gatad2a, Hnrnpd</t>
  </si>
  <si>
    <t>Cavin2, Mapt, Kank3</t>
  </si>
  <si>
    <t>Thrap3, Bin1, Eif4b, Synpo, H1f5</t>
  </si>
  <si>
    <t>Mprip, Mapt, Shank3, Limch1, Add3, Prx, Tppp</t>
  </si>
  <si>
    <t>Sowahc, Slc9a3r1, Srsf9, Cebpd, Gorasp1, Arhgap12, Eps15, Lrrfip1, Hps4, Arhgef11</t>
  </si>
  <si>
    <t>Tjp1, Ccar2, Limch1, Carmil1, Ripor1, Sntb1, Stim1</t>
  </si>
  <si>
    <t>Eif5b, Ddx54, Abcf1, Paxbp1, Gatad2a</t>
  </si>
  <si>
    <t>Slc4a1, Ctnnd1, Lmo7, Nucks1, Limch1, Tubb1, Hnrnpul2, 1110059G10Rik, Cbx3</t>
  </si>
  <si>
    <t>Cumulated expression (%)</t>
  </si>
  <si>
    <t>Phosphoprotein downregulated in KO mice (-)</t>
  </si>
  <si>
    <t>Phosphoprotein upregulated in KO mice (+)</t>
  </si>
  <si>
    <t>Phosphoprotein  
(-)</t>
  </si>
  <si>
    <t>Achoring junction</t>
  </si>
  <si>
    <t>Ubl conjugation</t>
  </si>
  <si>
    <t>Node degree</t>
  </si>
  <si>
    <t>Functional enrichment</t>
  </si>
  <si>
    <t>Focal adhesion, cell-junction</t>
  </si>
  <si>
    <t>Cell-junction,
Molecular fiber organization</t>
  </si>
  <si>
    <t>Cell-junction,
Acetylation</t>
  </si>
  <si>
    <t>lymphocytic leukemia cell (tissue)</t>
  </si>
  <si>
    <t>Anchoring junction</t>
  </si>
  <si>
    <t>(-) reg. of tubulin deacetylation, actin binding, cytoskeletal protein binding, supra-molecular fiber organisation</t>
  </si>
  <si>
    <t>Rank</t>
  </si>
  <si>
    <t>NsN</t>
  </si>
  <si>
    <t>BsN</t>
  </si>
  <si>
    <t>AsN</t>
  </si>
  <si>
    <t>NsA</t>
  </si>
  <si>
    <t>NtN</t>
  </si>
  <si>
    <t>AsA</t>
  </si>
  <si>
    <t>Nss</t>
  </si>
  <si>
    <t>ssN</t>
  </si>
  <si>
    <t>NsB</t>
  </si>
  <si>
    <t>BtN</t>
  </si>
  <si>
    <t>Acidity-5</t>
  </si>
  <si>
    <t>Acidity-3</t>
  </si>
  <si>
    <t>NNsNN</t>
  </si>
  <si>
    <t>NNsAN</t>
  </si>
  <si>
    <t>NNtNN</t>
  </si>
  <si>
    <t>NNsNA</t>
  </si>
  <si>
    <t>BNsNN</t>
  </si>
  <si>
    <t>NBsNN</t>
  </si>
  <si>
    <t>NAsNN</t>
  </si>
  <si>
    <t>NNsNB</t>
  </si>
  <si>
    <t>BNsNA</t>
  </si>
  <si>
    <t>ANsNN</t>
  </si>
  <si>
    <t>557 have at least 3 Neutrals</t>
  </si>
  <si>
    <t>1136 have a neutral</t>
  </si>
  <si>
    <t>Class-3</t>
  </si>
  <si>
    <t>Class-5</t>
  </si>
  <si>
    <t>Consensus</t>
  </si>
  <si>
    <t>LsC</t>
  </si>
  <si>
    <t>LsL</t>
  </si>
  <si>
    <t>CsC</t>
  </si>
  <si>
    <t>LsA</t>
  </si>
  <si>
    <t>BsC</t>
  </si>
  <si>
    <t>AsL</t>
  </si>
  <si>
    <t>BsL</t>
  </si>
  <si>
    <t>AsC</t>
  </si>
  <si>
    <t>LsN</t>
  </si>
  <si>
    <t>Unique motifs</t>
  </si>
  <si>
    <t>Charge-3</t>
  </si>
  <si>
    <t>Charge-5</t>
  </si>
  <si>
    <t>Total motifs</t>
  </si>
  <si>
    <t>Unique aa Motifs</t>
  </si>
  <si>
    <t>tCsCL</t>
  </si>
  <si>
    <t>LLsLA</t>
  </si>
  <si>
    <t>AAtLA</t>
  </si>
  <si>
    <t>LLsCL</t>
  </si>
  <si>
    <t>CLsCL</t>
  </si>
  <si>
    <t>BLsLA</t>
  </si>
  <si>
    <t>BLsLL</t>
  </si>
  <si>
    <t>BLsCL</t>
  </si>
  <si>
    <t>LCsCC</t>
  </si>
  <si>
    <t>ALssC</t>
  </si>
  <si>
    <t>CsN</t>
  </si>
  <si>
    <t>NsC</t>
  </si>
  <si>
    <t>CtN</t>
  </si>
  <si>
    <t>ssC</t>
  </si>
  <si>
    <t>Css</t>
  </si>
  <si>
    <t>NPsNN</t>
  </si>
  <si>
    <t>PNsNN</t>
  </si>
  <si>
    <t>NNsNP</t>
  </si>
  <si>
    <t>pNsNN</t>
  </si>
  <si>
    <t>PNsNP</t>
  </si>
  <si>
    <t>NNsNp</t>
  </si>
  <si>
    <t>pNsNP</t>
  </si>
  <si>
    <t>NPsNP</t>
  </si>
  <si>
    <t>NpsNP</t>
  </si>
  <si>
    <t>Polarity-3</t>
  </si>
  <si>
    <t>Polarity-5</t>
  </si>
  <si>
    <t>Hydrophobicity-3</t>
  </si>
  <si>
    <t>Hydrophobicity-5</t>
  </si>
  <si>
    <t>PsN</t>
  </si>
  <si>
    <t>psN</t>
  </si>
  <si>
    <t>NsP</t>
  </si>
  <si>
    <t>Nsp</t>
  </si>
  <si>
    <t>Psp</t>
  </si>
  <si>
    <t>PtN</t>
  </si>
  <si>
    <t>psP</t>
  </si>
  <si>
    <t>WsW</t>
  </si>
  <si>
    <t>NsW</t>
  </si>
  <si>
    <t>HsW</t>
  </si>
  <si>
    <t>WsH</t>
  </si>
  <si>
    <t>WsN</t>
  </si>
  <si>
    <t>hsW</t>
  </si>
  <si>
    <t>ssW</t>
  </si>
  <si>
    <t>WtW</t>
  </si>
  <si>
    <t>HsH</t>
  </si>
  <si>
    <t>WWsWW</t>
  </si>
  <si>
    <t>NNsWW</t>
  </si>
  <si>
    <t>NWsWW</t>
  </si>
  <si>
    <t>WNsWN</t>
  </si>
  <si>
    <t>WWsWN</t>
  </si>
  <si>
    <t>WHsWW</t>
  </si>
  <si>
    <t>NWsWN</t>
  </si>
  <si>
    <t>WNsWH</t>
  </si>
  <si>
    <t>WNsNW</t>
  </si>
  <si>
    <t>Coverage of total</t>
  </si>
  <si>
    <t>Aliphatic</t>
  </si>
  <si>
    <t>Frequency of first 10 motifs</t>
  </si>
  <si>
    <t>neutral acidity, aliphatic sidechain, neutral charge, neutral polarity, hydrophilic</t>
  </si>
  <si>
    <t>neutral acidity, circular sidechain, neutral polarity, neutral charge, hydrophilic</t>
  </si>
  <si>
    <t>neutral acidity, aliphatic sidechain, neutral polarity, neutral charge, hydrophilic</t>
  </si>
  <si>
    <t>phosphoserine</t>
  </si>
  <si>
    <t>Freq (-1)</t>
  </si>
  <si>
    <t>Prop(Peptide)</t>
  </si>
  <si>
    <t>Prop(Mouse Essential)</t>
  </si>
  <si>
    <t>Freq (+1)</t>
  </si>
  <si>
    <t>+1</t>
  </si>
  <si>
    <t>+2</t>
  </si>
  <si>
    <t>https://web.archive.org/web/20170707163449/http://www.frontiersin.org/files/Articles/175411/fimmu-07-00024-HTML/image_m/fimmu-07-00024-g001.jpg</t>
  </si>
  <si>
    <t>https://www.ncbi.nlm.nih.gov/pmc/articles/PMC5394987/#R18</t>
  </si>
  <si>
    <t>shows the number of unique attribute-motifs obtained</t>
  </si>
  <si>
    <t>shows the total number of unique aa motifs</t>
  </si>
  <si>
    <t>percentage of all motifs covered by the top 10 attribute motifs</t>
  </si>
  <si>
    <t>total number of phosphorylated differentially regulated sites</t>
  </si>
  <si>
    <t>the sum of the top 10 attribute motif frequencies</t>
  </si>
  <si>
    <t>shows the percentage of reduction of aa motifs as result of conversion to attribute motifs</t>
  </si>
  <si>
    <t>Attribute/aa motifs</t>
  </si>
  <si>
    <t>RtP</t>
  </si>
  <si>
    <t>DtV</t>
  </si>
  <si>
    <t>TsP</t>
  </si>
  <si>
    <t>AtN</t>
  </si>
  <si>
    <t>NNsAA</t>
  </si>
  <si>
    <t>AAtNA</t>
  </si>
  <si>
    <t>HsC</t>
  </si>
  <si>
    <t>BtC</t>
  </si>
  <si>
    <t>ALsCA</t>
  </si>
  <si>
    <t>LBsCL</t>
  </si>
  <si>
    <t>LHsCB</t>
  </si>
  <si>
    <t>LBsBt</t>
  </si>
  <si>
    <t>NNsAH</t>
  </si>
  <si>
    <t>NpN</t>
  </si>
  <si>
    <t>NNsNC</t>
  </si>
  <si>
    <t>NCsNN</t>
  </si>
  <si>
    <t>CNsNN</t>
  </si>
  <si>
    <t>CNsNC</t>
  </si>
  <si>
    <t>CCsNN</t>
  </si>
  <si>
    <t>NCsNC</t>
  </si>
  <si>
    <t>NNsCC</t>
  </si>
  <si>
    <t>NNsCN</t>
  </si>
  <si>
    <t>CCtNC</t>
  </si>
  <si>
    <t>422 peptides</t>
  </si>
  <si>
    <t>805 Total phosphosites (motifs)</t>
  </si>
  <si>
    <t>Compression</t>
  </si>
  <si>
    <t>734 Motifs</t>
  </si>
  <si>
    <t>370 Peptides</t>
  </si>
  <si>
    <t>Rank (Up)</t>
  </si>
  <si>
    <t>Rank (Down)</t>
  </si>
  <si>
    <t>LLsCA</t>
  </si>
  <si>
    <t>Motifs of upregulated phosphopeptides</t>
  </si>
  <si>
    <t>Motifs of downregulated phosphopeptides</t>
  </si>
  <si>
    <t>Glutamic acid</t>
  </si>
  <si>
    <t>Asparagic acid</t>
  </si>
  <si>
    <t>Alanine</t>
  </si>
  <si>
    <t>Arginine</t>
  </si>
  <si>
    <t>Asparagine</t>
  </si>
  <si>
    <t>Cysteine</t>
  </si>
  <si>
    <t>Glutamine</t>
  </si>
  <si>
    <t>Glycine</t>
  </si>
  <si>
    <t>Histidine</t>
  </si>
  <si>
    <t>Isoleucine</t>
  </si>
  <si>
    <t>Methionine</t>
  </si>
  <si>
    <t>Phenylalanine</t>
  </si>
  <si>
    <t>Proline</t>
  </si>
  <si>
    <t>Threonine</t>
  </si>
  <si>
    <t>Tyrosine</t>
  </si>
  <si>
    <t>Phosphoserine</t>
  </si>
  <si>
    <t>Methionine sulfoxide</t>
  </si>
  <si>
    <t>Phosphotyrosine</t>
  </si>
  <si>
    <t>ssA</t>
  </si>
  <si>
    <t>sNsNN</t>
  </si>
  <si>
    <t>ALssA</t>
  </si>
  <si>
    <t>LssAA</t>
  </si>
  <si>
    <t>CCsCL</t>
  </si>
  <si>
    <t>sAsAH</t>
  </si>
  <si>
    <t>LLsLs</t>
  </si>
  <si>
    <t>CLsCH</t>
  </si>
  <si>
    <t>QsP</t>
  </si>
  <si>
    <t>ssD</t>
  </si>
  <si>
    <t>DsD</t>
  </si>
  <si>
    <t>NmN</t>
  </si>
  <si>
    <t>PPsNP</t>
  </si>
  <si>
    <t>WWsWH</t>
  </si>
  <si>
    <t>sWsWW</t>
  </si>
  <si>
    <t>WWsNW</t>
  </si>
  <si>
    <t>WWsHN</t>
  </si>
  <si>
    <t>LLsCL/A</t>
  </si>
  <si>
    <t>Consensus features per position:</t>
  </si>
  <si>
    <t>consensus amino acids: SSsPS</t>
  </si>
  <si>
    <t>References</t>
  </si>
  <si>
    <t>https://www.sigmaaldrich.com/DE/de/technical-documents/technical-article/protein-biology/protein-structural-analysis/amino-acid-reference-chart</t>
  </si>
  <si>
    <t>https://www.ncbi.nlm.nih.gov/pmc/articles/PMC7127678/</t>
  </si>
  <si>
    <t>Links for motif preference: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</si>
</sst>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sz val="8.25"/>
      <color rgb="FF000000"/>
      <name val="Lato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textRotation="90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textRotation="90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0" xfId="1" applyFont="1" applyFill="1" applyBorder="1" applyAlignment="1">
      <alignment horizontal="left"/>
    </xf>
    <xf numFmtId="9" fontId="0" fillId="0" borderId="0" xfId="1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9" fontId="0" fillId="2" borderId="0" xfId="1" applyFont="1" applyFill="1" applyAlignment="1">
      <alignment horizontal="right"/>
    </xf>
    <xf numFmtId="9" fontId="0" fillId="2" borderId="0" xfId="1" applyFont="1" applyFill="1" applyBorder="1" applyAlignment="1">
      <alignment horizontal="left"/>
    </xf>
    <xf numFmtId="9" fontId="0" fillId="2" borderId="0" xfId="1" applyFont="1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lef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0" fontId="0" fillId="0" borderId="3" xfId="0" applyBorder="1"/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164" fontId="6" fillId="0" borderId="0" xfId="1" applyNumberFormat="1" applyFont="1"/>
    <xf numFmtId="13" fontId="6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6" fillId="0" borderId="0" xfId="0" applyNumberFormat="1" applyFon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9" fontId="0" fillId="0" borderId="4" xfId="1" applyFont="1" applyBorder="1" applyAlignment="1">
      <alignment horizontal="left"/>
    </xf>
    <xf numFmtId="9" fontId="2" fillId="0" borderId="4" xfId="1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9" fontId="1" fillId="0" borderId="4" xfId="1" applyFont="1" applyBorder="1" applyAlignment="1">
      <alignment horizontal="left"/>
    </xf>
    <xf numFmtId="0" fontId="2" fillId="0" borderId="4" xfId="0" quotePrefix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left"/>
    </xf>
    <xf numFmtId="9" fontId="2" fillId="0" borderId="11" xfId="1" applyFont="1" applyBorder="1" applyAlignment="1">
      <alignment horizontal="left"/>
    </xf>
    <xf numFmtId="9" fontId="0" fillId="0" borderId="11" xfId="1" applyFont="1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9" fontId="0" fillId="0" borderId="13" xfId="1" applyFont="1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/>
    </xf>
    <xf numFmtId="9" fontId="0" fillId="0" borderId="15" xfId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wrapText="1"/>
    </xf>
    <xf numFmtId="0" fontId="5" fillId="0" borderId="0" xfId="2" applyAlignment="1">
      <alignment horizontal="left"/>
    </xf>
    <xf numFmtId="0" fontId="2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Unphosphorylated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Glu</c:v>
                </c:pt>
                <c:pt idx="6">
                  <c:v>Gln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Data!$AJ$2:$AJ$28</c:f>
              <c:numCache>
                <c:formatCode>0.0%</c:formatCode>
                <c:ptCount val="27"/>
                <c:pt idx="0">
                  <c:v>7.0598006644518277E-2</c:v>
                </c:pt>
                <c:pt idx="1">
                  <c:v>7.6121262458471756E-2</c:v>
                </c:pt>
                <c:pt idx="2">
                  <c:v>2.6536544850498337E-2</c:v>
                </c:pt>
                <c:pt idx="3">
                  <c:v>5.855481727574751E-2</c:v>
                </c:pt>
                <c:pt idx="4">
                  <c:v>5.6478405315614618E-3</c:v>
                </c:pt>
                <c:pt idx="5">
                  <c:v>8.6503322259136206E-2</c:v>
                </c:pt>
                <c:pt idx="6">
                  <c:v>4.455980066445183E-2</c:v>
                </c:pt>
                <c:pt idx="7">
                  <c:v>6.8978405315614624E-2</c:v>
                </c:pt>
                <c:pt idx="8">
                  <c:v>1.6154485049833887E-2</c:v>
                </c:pt>
                <c:pt idx="9">
                  <c:v>2.5332225913621262E-2</c:v>
                </c:pt>
                <c:pt idx="10">
                  <c:v>7.1594684385382065E-2</c:v>
                </c:pt>
                <c:pt idx="11">
                  <c:v>6.6860465116279064E-2</c:v>
                </c:pt>
                <c:pt idx="12">
                  <c:v>1.2998338870431895E-2</c:v>
                </c:pt>
                <c:pt idx="13">
                  <c:v>1.9393687707641195E-2</c:v>
                </c:pt>
                <c:pt idx="14">
                  <c:v>9.647009966777409E-2</c:v>
                </c:pt>
                <c:pt idx="15">
                  <c:v>0.14032392026578072</c:v>
                </c:pt>
                <c:pt idx="16">
                  <c:v>5.1245847176079731E-2</c:v>
                </c:pt>
                <c:pt idx="17">
                  <c:v>4.4019933554817273E-3</c:v>
                </c:pt>
                <c:pt idx="18">
                  <c:v>1.3455149501661129E-2</c:v>
                </c:pt>
                <c:pt idx="19">
                  <c:v>4.426910299003322E-2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7-4C6D-B627-5A90929F7ECD}"/>
            </c:ext>
          </c:extLst>
        </c:ser>
        <c:ser>
          <c:idx val="1"/>
          <c:order val="1"/>
          <c:tx>
            <c:strRef>
              <c:f>Data!$AM$1</c:f>
              <c:strCache>
                <c:ptCount val="1"/>
                <c:pt idx="0">
                  <c:v>Mouse essential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Glu</c:v>
                </c:pt>
                <c:pt idx="6">
                  <c:v>Gln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Data!$AM$2:$AM$28</c:f>
              <c:numCache>
                <c:formatCode>0.0%</c:formatCode>
                <c:ptCount val="27"/>
                <c:pt idx="0">
                  <c:v>6.8699999999999997E-2</c:v>
                </c:pt>
                <c:pt idx="1">
                  <c:v>5.4100000000000002E-2</c:v>
                </c:pt>
                <c:pt idx="2">
                  <c:v>3.6299999999999999E-2</c:v>
                </c:pt>
                <c:pt idx="3">
                  <c:v>4.9100000000000005E-2</c:v>
                </c:pt>
                <c:pt idx="4">
                  <c:v>1.8799999999999997E-2</c:v>
                </c:pt>
                <c:pt idx="5">
                  <c:v>6.6799999999999998E-2</c:v>
                </c:pt>
                <c:pt idx="6">
                  <c:v>4.4800000000000006E-2</c:v>
                </c:pt>
                <c:pt idx="7">
                  <c:v>6.4299999999999996E-2</c:v>
                </c:pt>
                <c:pt idx="8">
                  <c:v>2.4799999999999999E-2</c:v>
                </c:pt>
                <c:pt idx="9">
                  <c:v>4.0599999999999997E-2</c:v>
                </c:pt>
                <c:pt idx="10">
                  <c:v>9.3100000000000002E-2</c:v>
                </c:pt>
                <c:pt idx="11">
                  <c:v>5.67E-2</c:v>
                </c:pt>
                <c:pt idx="12">
                  <c:v>2.1899999999999999E-2</c:v>
                </c:pt>
                <c:pt idx="13">
                  <c:v>3.39E-2</c:v>
                </c:pt>
                <c:pt idx="14">
                  <c:v>5.8600000000000006E-2</c:v>
                </c:pt>
                <c:pt idx="15">
                  <c:v>8.0100000000000005E-2</c:v>
                </c:pt>
                <c:pt idx="16">
                  <c:v>5.1399999999999994E-2</c:v>
                </c:pt>
                <c:pt idx="17">
                  <c:v>1.01E-2</c:v>
                </c:pt>
                <c:pt idx="18">
                  <c:v>2.7300000000000001E-2</c:v>
                </c:pt>
                <c:pt idx="19">
                  <c:v>5.8899999999999994E-2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7-4C6D-B627-5A90929F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3279"/>
        <c:axId val="658972863"/>
      </c:lineChart>
      <c:catAx>
        <c:axId val="658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72863"/>
        <c:crosses val="autoZero"/>
        <c:auto val="1"/>
        <c:lblAlgn val="ctr"/>
        <c:lblOffset val="100"/>
        <c:noMultiLvlLbl val="0"/>
      </c:catAx>
      <c:valAx>
        <c:axId val="6589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Frequency distribution of aminoacids in murine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lung tissue phosphopeptides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Visualisation!$B$1</c:f>
              <c:strCache>
                <c:ptCount val="1"/>
                <c:pt idx="0">
                  <c:v>Unphosphorylated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Visualisation!$A$2:$A$21</c:f>
              <c:strCache>
                <c:ptCount val="20"/>
                <c:pt idx="0">
                  <c:v>Trp</c:v>
                </c:pt>
                <c:pt idx="1">
                  <c:v>Cys</c:v>
                </c:pt>
                <c:pt idx="2">
                  <c:v>Met</c:v>
                </c:pt>
                <c:pt idx="3">
                  <c:v>His</c:v>
                </c:pt>
                <c:pt idx="4">
                  <c:v>Tyr</c:v>
                </c:pt>
                <c:pt idx="5">
                  <c:v>Phe</c:v>
                </c:pt>
                <c:pt idx="6">
                  <c:v>Asn</c:v>
                </c:pt>
                <c:pt idx="7">
                  <c:v>Ile</c:v>
                </c:pt>
                <c:pt idx="8">
                  <c:v>Gln</c:v>
                </c:pt>
                <c:pt idx="9">
                  <c:v>Asp</c:v>
                </c:pt>
                <c:pt idx="10">
                  <c:v>Thr</c:v>
                </c:pt>
                <c:pt idx="11">
                  <c:v>Arg</c:v>
                </c:pt>
                <c:pt idx="12">
                  <c:v>Lys</c:v>
                </c:pt>
                <c:pt idx="13">
                  <c:v>Pro</c:v>
                </c:pt>
                <c:pt idx="14">
                  <c:v>Val</c:v>
                </c:pt>
                <c:pt idx="15">
                  <c:v>Gly</c:v>
                </c:pt>
                <c:pt idx="16">
                  <c:v>Glu</c:v>
                </c:pt>
                <c:pt idx="17">
                  <c:v>Ala</c:v>
                </c:pt>
                <c:pt idx="18">
                  <c:v>Ser</c:v>
                </c:pt>
                <c:pt idx="19">
                  <c:v>Leu</c:v>
                </c:pt>
              </c:strCache>
            </c:strRef>
          </c:cat>
          <c:val>
            <c:numRef>
              <c:f>Visualisation!$B$2:$B$21</c:f>
              <c:numCache>
                <c:formatCode>0.0%</c:formatCode>
                <c:ptCount val="20"/>
                <c:pt idx="0">
                  <c:v>4.4019933554817273E-3</c:v>
                </c:pt>
                <c:pt idx="1">
                  <c:v>5.6478405315614618E-3</c:v>
                </c:pt>
                <c:pt idx="2">
                  <c:v>1.2998338870431895E-2</c:v>
                </c:pt>
                <c:pt idx="3">
                  <c:v>1.6154485049833887E-2</c:v>
                </c:pt>
                <c:pt idx="4">
                  <c:v>1.3455149501661129E-2</c:v>
                </c:pt>
                <c:pt idx="5">
                  <c:v>1.9393687707641195E-2</c:v>
                </c:pt>
                <c:pt idx="6">
                  <c:v>2.6536544850498337E-2</c:v>
                </c:pt>
                <c:pt idx="7">
                  <c:v>2.5332225913621262E-2</c:v>
                </c:pt>
                <c:pt idx="8">
                  <c:v>4.455980066445183E-2</c:v>
                </c:pt>
                <c:pt idx="9">
                  <c:v>5.855481727574751E-2</c:v>
                </c:pt>
                <c:pt idx="10">
                  <c:v>5.1245847176079731E-2</c:v>
                </c:pt>
                <c:pt idx="11">
                  <c:v>7.6121262458471756E-2</c:v>
                </c:pt>
                <c:pt idx="12">
                  <c:v>6.6860465116279064E-2</c:v>
                </c:pt>
                <c:pt idx="13">
                  <c:v>9.647009966777409E-2</c:v>
                </c:pt>
                <c:pt idx="14">
                  <c:v>4.426910299003322E-2</c:v>
                </c:pt>
                <c:pt idx="15">
                  <c:v>6.8978405315614624E-2</c:v>
                </c:pt>
                <c:pt idx="16">
                  <c:v>8.6503322259136206E-2</c:v>
                </c:pt>
                <c:pt idx="17">
                  <c:v>7.0598006644518277E-2</c:v>
                </c:pt>
                <c:pt idx="18">
                  <c:v>0.14032392026578072</c:v>
                </c:pt>
                <c:pt idx="19">
                  <c:v>7.1594684385382065E-2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AEC-8D1D-D3794A95C03F}"/>
            </c:ext>
          </c:extLst>
        </c:ser>
        <c:ser>
          <c:idx val="1"/>
          <c:order val="1"/>
          <c:tx>
            <c:strRef>
              <c:f>Visualisation!$C$1</c:f>
              <c:strCache>
                <c:ptCount val="1"/>
                <c:pt idx="0">
                  <c:v>Mouse essential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Visualisation!$A$2:$A$21</c:f>
              <c:strCache>
                <c:ptCount val="20"/>
                <c:pt idx="0">
                  <c:v>Trp</c:v>
                </c:pt>
                <c:pt idx="1">
                  <c:v>Cys</c:v>
                </c:pt>
                <c:pt idx="2">
                  <c:v>Met</c:v>
                </c:pt>
                <c:pt idx="3">
                  <c:v>His</c:v>
                </c:pt>
                <c:pt idx="4">
                  <c:v>Tyr</c:v>
                </c:pt>
                <c:pt idx="5">
                  <c:v>Phe</c:v>
                </c:pt>
                <c:pt idx="6">
                  <c:v>Asn</c:v>
                </c:pt>
                <c:pt idx="7">
                  <c:v>Ile</c:v>
                </c:pt>
                <c:pt idx="8">
                  <c:v>Gln</c:v>
                </c:pt>
                <c:pt idx="9">
                  <c:v>Asp</c:v>
                </c:pt>
                <c:pt idx="10">
                  <c:v>Thr</c:v>
                </c:pt>
                <c:pt idx="11">
                  <c:v>Arg</c:v>
                </c:pt>
                <c:pt idx="12">
                  <c:v>Lys</c:v>
                </c:pt>
                <c:pt idx="13">
                  <c:v>Pro</c:v>
                </c:pt>
                <c:pt idx="14">
                  <c:v>Val</c:v>
                </c:pt>
                <c:pt idx="15">
                  <c:v>Gly</c:v>
                </c:pt>
                <c:pt idx="16">
                  <c:v>Glu</c:v>
                </c:pt>
                <c:pt idx="17">
                  <c:v>Ala</c:v>
                </c:pt>
                <c:pt idx="18">
                  <c:v>Ser</c:v>
                </c:pt>
                <c:pt idx="19">
                  <c:v>Leu</c:v>
                </c:pt>
              </c:strCache>
            </c:strRef>
          </c:cat>
          <c:val>
            <c:numRef>
              <c:f>Visualisation!$C$2:$C$21</c:f>
              <c:numCache>
                <c:formatCode>0.0%</c:formatCode>
                <c:ptCount val="20"/>
                <c:pt idx="0">
                  <c:v>1.01E-2</c:v>
                </c:pt>
                <c:pt idx="1">
                  <c:v>1.8799999999999997E-2</c:v>
                </c:pt>
                <c:pt idx="2">
                  <c:v>2.1899999999999999E-2</c:v>
                </c:pt>
                <c:pt idx="3">
                  <c:v>2.4799999999999999E-2</c:v>
                </c:pt>
                <c:pt idx="4">
                  <c:v>2.7300000000000001E-2</c:v>
                </c:pt>
                <c:pt idx="5">
                  <c:v>3.39E-2</c:v>
                </c:pt>
                <c:pt idx="6">
                  <c:v>3.6299999999999999E-2</c:v>
                </c:pt>
                <c:pt idx="7">
                  <c:v>4.0599999999999997E-2</c:v>
                </c:pt>
                <c:pt idx="8">
                  <c:v>4.4800000000000006E-2</c:v>
                </c:pt>
                <c:pt idx="9">
                  <c:v>4.9100000000000005E-2</c:v>
                </c:pt>
                <c:pt idx="10">
                  <c:v>5.1399999999999994E-2</c:v>
                </c:pt>
                <c:pt idx="11">
                  <c:v>5.4100000000000002E-2</c:v>
                </c:pt>
                <c:pt idx="12">
                  <c:v>5.67E-2</c:v>
                </c:pt>
                <c:pt idx="13">
                  <c:v>5.8600000000000006E-2</c:v>
                </c:pt>
                <c:pt idx="14">
                  <c:v>5.8899999999999994E-2</c:v>
                </c:pt>
                <c:pt idx="15">
                  <c:v>6.4299999999999996E-2</c:v>
                </c:pt>
                <c:pt idx="16">
                  <c:v>6.6799999999999998E-2</c:v>
                </c:pt>
                <c:pt idx="17">
                  <c:v>6.8699999999999997E-2</c:v>
                </c:pt>
                <c:pt idx="18">
                  <c:v>8.0100000000000005E-2</c:v>
                </c:pt>
                <c:pt idx="19">
                  <c:v>9.3100000000000002E-2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8-4AEC-8D1D-D3794A95C03F}"/>
            </c:ext>
          </c:extLst>
        </c:ser>
        <c:ser>
          <c:idx val="2"/>
          <c:order val="2"/>
          <c:tx>
            <c:strRef>
              <c:f>Visualisation!$D$1</c:f>
              <c:strCache>
                <c:ptCount val="1"/>
                <c:pt idx="0">
                  <c:v>Mouse viable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Visualisation!$D$2:$D$21</c:f>
              <c:numCache>
                <c:formatCode>0.0%</c:formatCode>
                <c:ptCount val="20"/>
                <c:pt idx="0">
                  <c:v>1.3100000000000001E-2</c:v>
                </c:pt>
                <c:pt idx="1">
                  <c:v>2.0799999999999999E-2</c:v>
                </c:pt>
                <c:pt idx="2">
                  <c:v>2.2099999999999998E-2</c:v>
                </c:pt>
                <c:pt idx="3">
                  <c:v>2.3900000000000001E-2</c:v>
                </c:pt>
                <c:pt idx="4">
                  <c:v>2.8300000000000002E-2</c:v>
                </c:pt>
                <c:pt idx="5">
                  <c:v>3.7999999999999999E-2</c:v>
                </c:pt>
                <c:pt idx="6">
                  <c:v>3.5000000000000003E-2</c:v>
                </c:pt>
                <c:pt idx="7">
                  <c:v>4.24E-2</c:v>
                </c:pt>
                <c:pt idx="8">
                  <c:v>4.2500000000000003E-2</c:v>
                </c:pt>
                <c:pt idx="9">
                  <c:v>4.7300000000000002E-2</c:v>
                </c:pt>
                <c:pt idx="10">
                  <c:v>5.2400000000000002E-2</c:v>
                </c:pt>
                <c:pt idx="11">
                  <c:v>5.3800000000000001E-2</c:v>
                </c:pt>
                <c:pt idx="12">
                  <c:v>5.1500000000000004E-2</c:v>
                </c:pt>
                <c:pt idx="13">
                  <c:v>5.7200000000000001E-2</c:v>
                </c:pt>
                <c:pt idx="14">
                  <c:v>6.25E-2</c:v>
                </c:pt>
                <c:pt idx="15">
                  <c:v>6.4899999999999999E-2</c:v>
                </c:pt>
                <c:pt idx="16">
                  <c:v>6.2199999999999998E-2</c:v>
                </c:pt>
                <c:pt idx="17">
                  <c:v>6.7400000000000002E-2</c:v>
                </c:pt>
                <c:pt idx="18">
                  <c:v>7.7799999999999994E-2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8-4AEC-8D1D-D3794A95C03F}"/>
            </c:ext>
          </c:extLst>
        </c:ser>
        <c:ser>
          <c:idx val="3"/>
          <c:order val="3"/>
          <c:tx>
            <c:strRef>
              <c:f>Visualisation!$E$1</c:f>
              <c:strCache>
                <c:ptCount val="1"/>
                <c:pt idx="0">
                  <c:v>Swissprot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Visualisation!$E$2:$E$21</c:f>
              <c:numCache>
                <c:formatCode>0.0%</c:formatCode>
                <c:ptCount val="20"/>
                <c:pt idx="0">
                  <c:v>1.2E-2</c:v>
                </c:pt>
                <c:pt idx="1">
                  <c:v>1.6E-2</c:v>
                </c:pt>
                <c:pt idx="2">
                  <c:v>2.4E-2</c:v>
                </c:pt>
                <c:pt idx="3">
                  <c:v>2.3E-2</c:v>
                </c:pt>
                <c:pt idx="4">
                  <c:v>3.1E-2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5.8999999999999997E-2</c:v>
                </c:pt>
                <c:pt idx="8">
                  <c:v>3.9E-2</c:v>
                </c:pt>
                <c:pt idx="9">
                  <c:v>5.2999999999999999E-2</c:v>
                </c:pt>
                <c:pt idx="10">
                  <c:v>5.5E-2</c:v>
                </c:pt>
                <c:pt idx="11">
                  <c:v>5.2999999999999999E-2</c:v>
                </c:pt>
                <c:pt idx="12">
                  <c:v>0.06</c:v>
                </c:pt>
                <c:pt idx="13">
                  <c:v>4.7E-2</c:v>
                </c:pt>
                <c:pt idx="14">
                  <c:v>6.7000000000000004E-2</c:v>
                </c:pt>
                <c:pt idx="15">
                  <c:v>6.9000000000000006E-2</c:v>
                </c:pt>
                <c:pt idx="16">
                  <c:v>6.6000000000000003E-2</c:v>
                </c:pt>
                <c:pt idx="17">
                  <c:v>7.8E-2</c:v>
                </c:pt>
                <c:pt idx="18">
                  <c:v>6.9000000000000006E-2</c:v>
                </c:pt>
                <c:pt idx="19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8-4AEC-8D1D-D3794A95C03F}"/>
            </c:ext>
          </c:extLst>
        </c:ser>
        <c:ser>
          <c:idx val="4"/>
          <c:order val="4"/>
          <c:tx>
            <c:strRef>
              <c:f>Visualisation!$F$1</c:f>
              <c:strCache>
                <c:ptCount val="1"/>
                <c:pt idx="0">
                  <c:v>Complete Human Genebank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Visualisation!$F$2:$F$21</c:f>
              <c:numCache>
                <c:formatCode>0.0%</c:formatCode>
                <c:ptCount val="20"/>
                <c:pt idx="0">
                  <c:v>1.2E-2</c:v>
                </c:pt>
                <c:pt idx="1">
                  <c:v>2.3E-2</c:v>
                </c:pt>
                <c:pt idx="2">
                  <c:v>2.4E-2</c:v>
                </c:pt>
                <c:pt idx="3">
                  <c:v>2.5999999999999999E-2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4.5999999999999999E-2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5.5E-2</c:v>
                </c:pt>
                <c:pt idx="12">
                  <c:v>5.7000000000000002E-2</c:v>
                </c:pt>
                <c:pt idx="13">
                  <c:v>6.0999999999999999E-2</c:v>
                </c:pt>
                <c:pt idx="14">
                  <c:v>6.0999999999999999E-2</c:v>
                </c:pt>
                <c:pt idx="15">
                  <c:v>6.8000000000000005E-2</c:v>
                </c:pt>
                <c:pt idx="16">
                  <c:v>6.9000000000000006E-2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8-4AEC-8D1D-D3794A95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30687"/>
        <c:axId val="136831103"/>
      </c:lineChart>
      <c:catAx>
        <c:axId val="1368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103"/>
        <c:crosses val="autoZero"/>
        <c:auto val="1"/>
        <c:lblAlgn val="ctr"/>
        <c:lblOffset val="100"/>
        <c:noMultiLvlLbl val="0"/>
      </c:catAx>
      <c:valAx>
        <c:axId val="1368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</a:t>
            </a:r>
            <a:r>
              <a:rPr lang="en-US" baseline="0"/>
              <a:t> - </a:t>
            </a:r>
            <a:r>
              <a:rPr lang="en-US"/>
              <a:t>Acidic </a:t>
            </a:r>
            <a:r>
              <a:rPr lang="en-US" baseline="0"/>
              <a:t>(A) Neutral (N) and Basic (B)</a:t>
            </a:r>
          </a:p>
          <a:p>
            <a:pPr>
              <a:defRPr/>
            </a:pPr>
            <a:r>
              <a:rPr lang="en-US" baseline="0"/>
              <a:t>Motifs of length 3 </a:t>
            </a:r>
            <a:endParaRPr lang="en-US"/>
          </a:p>
        </c:rich>
      </c:tx>
      <c:layout>
        <c:manualLayout>
          <c:xMode val="edge"/>
          <c:yMode val="edge"/>
          <c:x val="0.2241318897637795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Attributes!$B$2:$B$11</c:f>
              <c:strCache>
                <c:ptCount val="10"/>
                <c:pt idx="0">
                  <c:v>NsN</c:v>
                </c:pt>
                <c:pt idx="1">
                  <c:v>BsN</c:v>
                </c:pt>
                <c:pt idx="2">
                  <c:v>AsN</c:v>
                </c:pt>
                <c:pt idx="3">
                  <c:v>NsA</c:v>
                </c:pt>
                <c:pt idx="4">
                  <c:v>NtN</c:v>
                </c:pt>
                <c:pt idx="5">
                  <c:v>AsA</c:v>
                </c:pt>
                <c:pt idx="6">
                  <c:v>Nss</c:v>
                </c:pt>
                <c:pt idx="7">
                  <c:v>ssN</c:v>
                </c:pt>
                <c:pt idx="8">
                  <c:v>NsB</c:v>
                </c:pt>
                <c:pt idx="9">
                  <c:v>BtN</c:v>
                </c:pt>
              </c:strCache>
            </c:strRef>
          </c:cat>
          <c:val>
            <c:numRef>
              <c:f>Attributes!$C$2:$C$11</c:f>
              <c:numCache>
                <c:formatCode>General</c:formatCode>
                <c:ptCount val="10"/>
                <c:pt idx="0">
                  <c:v>570</c:v>
                </c:pt>
                <c:pt idx="1">
                  <c:v>130</c:v>
                </c:pt>
                <c:pt idx="2">
                  <c:v>103</c:v>
                </c:pt>
                <c:pt idx="3">
                  <c:v>102</c:v>
                </c:pt>
                <c:pt idx="4">
                  <c:v>101</c:v>
                </c:pt>
                <c:pt idx="5">
                  <c:v>49</c:v>
                </c:pt>
                <c:pt idx="6">
                  <c:v>45</c:v>
                </c:pt>
                <c:pt idx="7">
                  <c:v>41</c:v>
                </c:pt>
                <c:pt idx="8">
                  <c:v>34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8-4CAE-A388-E791369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97599"/>
        <c:axId val="697990527"/>
        <c:axId val="706363023"/>
      </c:area3DChart>
      <c:catAx>
        <c:axId val="69799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0527"/>
        <c:crosses val="autoZero"/>
        <c:auto val="1"/>
        <c:lblAlgn val="ctr"/>
        <c:lblOffset val="100"/>
        <c:noMultiLvlLbl val="0"/>
      </c:catAx>
      <c:valAx>
        <c:axId val="697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7599"/>
        <c:crosses val="autoZero"/>
        <c:crossBetween val="midCat"/>
      </c:valAx>
      <c:serAx>
        <c:axId val="706363023"/>
        <c:scaling>
          <c:orientation val="minMax"/>
        </c:scaling>
        <c:delete val="1"/>
        <c:axPos val="b"/>
        <c:majorTickMark val="out"/>
        <c:minorTickMark val="none"/>
        <c:tickLblPos val="nextTo"/>
        <c:crossAx val="6979905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Acidity - Acidic (A) Neutral (N) and Basic (B)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Motifs of length 5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09930008748906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Attributes!$E$1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Attributes!$D$2:$D$11</c:f>
              <c:strCache>
                <c:ptCount val="10"/>
                <c:pt idx="0">
                  <c:v>NNsNN</c:v>
                </c:pt>
                <c:pt idx="1">
                  <c:v>NNsNA</c:v>
                </c:pt>
                <c:pt idx="2">
                  <c:v>BNsNN</c:v>
                </c:pt>
                <c:pt idx="3">
                  <c:v>NBsNN</c:v>
                </c:pt>
                <c:pt idx="4">
                  <c:v>NAsNN</c:v>
                </c:pt>
                <c:pt idx="5">
                  <c:v>NNtNN</c:v>
                </c:pt>
                <c:pt idx="6">
                  <c:v>NNsNB</c:v>
                </c:pt>
                <c:pt idx="7">
                  <c:v>BNsNA</c:v>
                </c:pt>
                <c:pt idx="8">
                  <c:v>NNsAN</c:v>
                </c:pt>
                <c:pt idx="9">
                  <c:v>ANsNN</c:v>
                </c:pt>
              </c:strCache>
            </c:strRef>
          </c:cat>
          <c:val>
            <c:numRef>
              <c:f>Attributes!$E$2:$E$11</c:f>
              <c:numCache>
                <c:formatCode>General</c:formatCode>
                <c:ptCount val="10"/>
                <c:pt idx="0">
                  <c:v>219</c:v>
                </c:pt>
                <c:pt idx="1">
                  <c:v>74</c:v>
                </c:pt>
                <c:pt idx="2">
                  <c:v>62</c:v>
                </c:pt>
                <c:pt idx="3">
                  <c:v>48</c:v>
                </c:pt>
                <c:pt idx="4">
                  <c:v>41</c:v>
                </c:pt>
                <c:pt idx="5">
                  <c:v>37</c:v>
                </c:pt>
                <c:pt idx="6">
                  <c:v>32</c:v>
                </c:pt>
                <c:pt idx="7">
                  <c:v>25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616-8E1F-97798629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03823"/>
        <c:axId val="311905903"/>
        <c:axId val="0"/>
      </c:area3DChart>
      <c:catAx>
        <c:axId val="31190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5903"/>
        <c:crosses val="autoZero"/>
        <c:auto val="1"/>
        <c:lblAlgn val="ctr"/>
        <c:lblOffset val="100"/>
        <c:noMultiLvlLbl val="0"/>
      </c:catAx>
      <c:valAx>
        <c:axId val="3119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Sidechain class -</a:t>
            </a:r>
            <a:r>
              <a:rPr lang="en-US" baseline="0"/>
              <a:t> Aliphatic (L), Circular (C), Acidic (A), Basic (B), Amine (N)</a:t>
            </a:r>
            <a:r>
              <a:rPr lang="en-US"/>
              <a:t> -</a:t>
            </a:r>
            <a:r>
              <a:rPr lang="en-US" baseline="0"/>
              <a:t> Motifs of length 3</a:t>
            </a:r>
            <a:endParaRPr lang="en-US"/>
          </a:p>
        </c:rich>
      </c:tx>
      <c:layout>
        <c:manualLayout>
          <c:xMode val="edge"/>
          <c:yMode val="edge"/>
          <c:x val="0.1110000000000000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Attributes!$G$1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Attributes!$F$2:$F$11</c:f>
              <c:strCache>
                <c:ptCount val="10"/>
                <c:pt idx="0">
                  <c:v>LsC</c:v>
                </c:pt>
                <c:pt idx="1">
                  <c:v>LsL</c:v>
                </c:pt>
                <c:pt idx="2">
                  <c:v>CsC</c:v>
                </c:pt>
                <c:pt idx="3">
                  <c:v>LsA</c:v>
                </c:pt>
                <c:pt idx="4">
                  <c:v>BsC</c:v>
                </c:pt>
                <c:pt idx="5">
                  <c:v>AsL</c:v>
                </c:pt>
                <c:pt idx="6">
                  <c:v>AsA</c:v>
                </c:pt>
                <c:pt idx="7">
                  <c:v>BsL</c:v>
                </c:pt>
                <c:pt idx="8">
                  <c:v>AsC</c:v>
                </c:pt>
                <c:pt idx="9">
                  <c:v>LsN</c:v>
                </c:pt>
              </c:strCache>
            </c:strRef>
          </c:cat>
          <c:val>
            <c:numRef>
              <c:f>Attributes!$G$2:$G$11</c:f>
              <c:numCache>
                <c:formatCode>General</c:formatCode>
                <c:ptCount val="10"/>
                <c:pt idx="0">
                  <c:v>121</c:v>
                </c:pt>
                <c:pt idx="1">
                  <c:v>101</c:v>
                </c:pt>
                <c:pt idx="2">
                  <c:v>84</c:v>
                </c:pt>
                <c:pt idx="3">
                  <c:v>63</c:v>
                </c:pt>
                <c:pt idx="4">
                  <c:v>52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43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7E3-BD35-A174609C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94207"/>
        <c:axId val="608592127"/>
        <c:axId val="0"/>
      </c:area3DChart>
      <c:catAx>
        <c:axId val="60859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92127"/>
        <c:crosses val="autoZero"/>
        <c:auto val="1"/>
        <c:lblAlgn val="ctr"/>
        <c:lblOffset val="100"/>
        <c:noMultiLvlLbl val="0"/>
      </c:catAx>
      <c:valAx>
        <c:axId val="6085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9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</a:t>
            </a:r>
            <a:r>
              <a:rPr lang="en-US" baseline="0"/>
              <a:t> - Neutral (N), Charged (C)</a:t>
            </a:r>
            <a:endParaRPr lang="en-US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effectLst/>
              </a:rPr>
              <a:t>Motifs of length 3</a:t>
            </a:r>
            <a:endParaRPr lang="en-US" baseline="0"/>
          </a:p>
        </c:rich>
      </c:tx>
      <c:layout>
        <c:manualLayout>
          <c:xMode val="edge"/>
          <c:yMode val="edge"/>
          <c:x val="0.2384582239720035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Attributes!$J$2:$J$11</c:f>
              <c:strCache>
                <c:ptCount val="10"/>
                <c:pt idx="0">
                  <c:v>NsN</c:v>
                </c:pt>
                <c:pt idx="1">
                  <c:v>CsN</c:v>
                </c:pt>
                <c:pt idx="2">
                  <c:v>NsC</c:v>
                </c:pt>
                <c:pt idx="3">
                  <c:v>NtN</c:v>
                </c:pt>
                <c:pt idx="4">
                  <c:v>CsC</c:v>
                </c:pt>
                <c:pt idx="5">
                  <c:v>CtN</c:v>
                </c:pt>
                <c:pt idx="6">
                  <c:v>Nss</c:v>
                </c:pt>
                <c:pt idx="7">
                  <c:v>ssN</c:v>
                </c:pt>
                <c:pt idx="8">
                  <c:v>ssC</c:v>
                </c:pt>
                <c:pt idx="9">
                  <c:v>Css</c:v>
                </c:pt>
              </c:strCache>
            </c:strRef>
          </c:cat>
          <c:val>
            <c:numRef>
              <c:f>Attributes!$K$2:$K$11</c:f>
              <c:numCache>
                <c:formatCode>General</c:formatCode>
                <c:ptCount val="10"/>
                <c:pt idx="0">
                  <c:v>570</c:v>
                </c:pt>
                <c:pt idx="1">
                  <c:v>233</c:v>
                </c:pt>
                <c:pt idx="2">
                  <c:v>136</c:v>
                </c:pt>
                <c:pt idx="3">
                  <c:v>101</c:v>
                </c:pt>
                <c:pt idx="4">
                  <c:v>84</c:v>
                </c:pt>
                <c:pt idx="5">
                  <c:v>51</c:v>
                </c:pt>
                <c:pt idx="6">
                  <c:v>45</c:v>
                </c:pt>
                <c:pt idx="7">
                  <c:v>41</c:v>
                </c:pt>
                <c:pt idx="8">
                  <c:v>29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9A7-9011-5A1AB0B8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4815"/>
        <c:axId val="602673151"/>
        <c:axId val="849851135"/>
      </c:area3DChart>
      <c:catAx>
        <c:axId val="602674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3151"/>
        <c:crosses val="autoZero"/>
        <c:auto val="1"/>
        <c:lblAlgn val="ctr"/>
        <c:lblOffset val="100"/>
        <c:noMultiLvlLbl val="0"/>
      </c:catAx>
      <c:valAx>
        <c:axId val="6026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4815"/>
        <c:crosses val="autoZero"/>
        <c:crossBetween val="midCat"/>
      </c:valAx>
      <c:serAx>
        <c:axId val="84985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60267315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Polarity - Polar</a:t>
            </a:r>
            <a:r>
              <a:rPr lang="en-US" baseline="0"/>
              <a:t> (P), slightly polar (p), non-polar (N)</a:t>
            </a:r>
          </a:p>
          <a:p>
            <a:pPr>
              <a:defRPr/>
            </a:pPr>
            <a:r>
              <a:rPr lang="en-US" baseline="0"/>
              <a:t>Motifs of length 3</a:t>
            </a:r>
            <a:endParaRPr lang="en-US"/>
          </a:p>
        </c:rich>
      </c:tx>
      <c:layout>
        <c:manualLayout>
          <c:xMode val="edge"/>
          <c:yMode val="edge"/>
          <c:x val="0.1264930008748906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Attributes!$O$1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Attributes!$N$2:$N$11</c:f>
              <c:strCache>
                <c:ptCount val="10"/>
                <c:pt idx="0">
                  <c:v>NsN</c:v>
                </c:pt>
                <c:pt idx="1">
                  <c:v>PsN</c:v>
                </c:pt>
                <c:pt idx="2">
                  <c:v>psN</c:v>
                </c:pt>
                <c:pt idx="3">
                  <c:v>NsP</c:v>
                </c:pt>
                <c:pt idx="4">
                  <c:v>PsP</c:v>
                </c:pt>
                <c:pt idx="5">
                  <c:v>NtN</c:v>
                </c:pt>
                <c:pt idx="6">
                  <c:v>Nsp</c:v>
                </c:pt>
                <c:pt idx="7">
                  <c:v>Psp</c:v>
                </c:pt>
                <c:pt idx="8">
                  <c:v>PtN</c:v>
                </c:pt>
                <c:pt idx="9">
                  <c:v>psP</c:v>
                </c:pt>
              </c:strCache>
            </c:strRef>
          </c:cat>
          <c:val>
            <c:numRef>
              <c:f>Attributes!$O$2:$O$11</c:f>
              <c:numCache>
                <c:formatCode>General</c:formatCode>
                <c:ptCount val="10"/>
                <c:pt idx="0">
                  <c:v>370</c:v>
                </c:pt>
                <c:pt idx="1">
                  <c:v>192</c:v>
                </c:pt>
                <c:pt idx="2">
                  <c:v>113</c:v>
                </c:pt>
                <c:pt idx="3">
                  <c:v>97</c:v>
                </c:pt>
                <c:pt idx="4">
                  <c:v>84</c:v>
                </c:pt>
                <c:pt idx="5">
                  <c:v>63</c:v>
                </c:pt>
                <c:pt idx="6">
                  <c:v>56</c:v>
                </c:pt>
                <c:pt idx="7">
                  <c:v>46</c:v>
                </c:pt>
                <c:pt idx="8">
                  <c:v>41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0-4E07-BC6F-054C68E2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90111"/>
        <c:axId val="1767492191"/>
        <c:axId val="498515903"/>
      </c:area3DChart>
      <c:catAx>
        <c:axId val="17674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92191"/>
        <c:crosses val="autoZero"/>
        <c:auto val="1"/>
        <c:lblAlgn val="ctr"/>
        <c:lblOffset val="100"/>
        <c:noMultiLvlLbl val="0"/>
      </c:catAx>
      <c:valAx>
        <c:axId val="17674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90111"/>
        <c:crosses val="autoZero"/>
        <c:crossBetween val="midCat"/>
      </c:valAx>
      <c:serAx>
        <c:axId val="49851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6749219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Hydrophobicity - Hydrophobic (H), slightly</a:t>
            </a:r>
            <a:r>
              <a:rPr lang="en-US" baseline="0"/>
              <a:t> hydrophobic (h), Neutral (N), Hydophilic (W)</a:t>
            </a:r>
          </a:p>
          <a:p>
            <a:pPr>
              <a:defRPr/>
            </a:pPr>
            <a:r>
              <a:rPr lang="en-US" baseline="0"/>
              <a:t>Motifs of length 3</a:t>
            </a:r>
            <a:endParaRPr lang="en-US"/>
          </a:p>
        </c:rich>
      </c:tx>
      <c:layout>
        <c:manualLayout>
          <c:xMode val="edge"/>
          <c:yMode val="edge"/>
          <c:x val="0.1432707786526684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Attributes!$R$2:$R$11</c:f>
              <c:strCache>
                <c:ptCount val="10"/>
                <c:pt idx="0">
                  <c:v>WsW</c:v>
                </c:pt>
                <c:pt idx="1">
                  <c:v>NsW</c:v>
                </c:pt>
                <c:pt idx="2">
                  <c:v>HsW</c:v>
                </c:pt>
                <c:pt idx="3">
                  <c:v>WsH</c:v>
                </c:pt>
                <c:pt idx="4">
                  <c:v>NsN</c:v>
                </c:pt>
                <c:pt idx="5">
                  <c:v>WsN</c:v>
                </c:pt>
                <c:pt idx="6">
                  <c:v>hsW</c:v>
                </c:pt>
                <c:pt idx="7">
                  <c:v>ssW</c:v>
                </c:pt>
                <c:pt idx="8">
                  <c:v>WtW</c:v>
                </c:pt>
                <c:pt idx="9">
                  <c:v>HsH</c:v>
                </c:pt>
              </c:strCache>
            </c:strRef>
          </c:cat>
          <c:val>
            <c:numRef>
              <c:f>Attributes!$S$2:$S$11</c:f>
              <c:numCache>
                <c:formatCode>General</c:formatCode>
                <c:ptCount val="10"/>
                <c:pt idx="0">
                  <c:v>282</c:v>
                </c:pt>
                <c:pt idx="1">
                  <c:v>181</c:v>
                </c:pt>
                <c:pt idx="2">
                  <c:v>105</c:v>
                </c:pt>
                <c:pt idx="3">
                  <c:v>71</c:v>
                </c:pt>
                <c:pt idx="4">
                  <c:v>59</c:v>
                </c:pt>
                <c:pt idx="5">
                  <c:v>58</c:v>
                </c:pt>
                <c:pt idx="6">
                  <c:v>53</c:v>
                </c:pt>
                <c:pt idx="7">
                  <c:v>52</c:v>
                </c:pt>
                <c:pt idx="8">
                  <c:v>46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E-4AD1-90D3-BEEE5EC7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57343"/>
        <c:axId val="1760134047"/>
        <c:axId val="1766980303"/>
      </c:area3DChart>
      <c:catAx>
        <c:axId val="176015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34047"/>
        <c:crosses val="autoZero"/>
        <c:auto val="1"/>
        <c:lblAlgn val="ctr"/>
        <c:lblOffset val="100"/>
        <c:noMultiLvlLbl val="0"/>
      </c:catAx>
      <c:valAx>
        <c:axId val="17601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57343"/>
        <c:crosses val="autoZero"/>
        <c:crossBetween val="midCat"/>
      </c:valAx>
      <c:serAx>
        <c:axId val="1766980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13404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185208</xdr:colOff>
      <xdr:row>10</xdr:row>
      <xdr:rowOff>46567</xdr:rowOff>
    </xdr:from>
    <xdr:to>
      <xdr:col>47</xdr:col>
      <xdr:colOff>460374</xdr:colOff>
      <xdr:row>21</xdr:row>
      <xdr:rowOff>112184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A5181-5839-34BB-947B-1E4F047AB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4762</xdr:rowOff>
    </xdr:from>
    <xdr:to>
      <xdr:col>6</xdr:col>
      <xdr:colOff>6762749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DA5CB-E59D-AC55-A844-8A0EC569E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76200</xdr:rowOff>
    </xdr:from>
    <xdr:to>
      <xdr:col>10</xdr:col>
      <xdr:colOff>161925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6A083-E7A9-E01A-4B06-F33A5D5E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35</xdr:row>
      <xdr:rowOff>152400</xdr:rowOff>
    </xdr:from>
    <xdr:to>
      <xdr:col>10</xdr:col>
      <xdr:colOff>171450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A4FCB-00BF-C347-BE86-5A962505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35</xdr:row>
      <xdr:rowOff>123825</xdr:rowOff>
    </xdr:from>
    <xdr:to>
      <xdr:col>19</xdr:col>
      <xdr:colOff>428625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CEEF2-CE0C-9923-EAB3-9E97ED82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21</xdr:row>
      <xdr:rowOff>76200</xdr:rowOff>
    </xdr:from>
    <xdr:to>
      <xdr:col>19</xdr:col>
      <xdr:colOff>438150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0F7EC-E12F-9803-561F-CDDF8440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423862</xdr:colOff>
      <xdr:row>21</xdr:row>
      <xdr:rowOff>80962</xdr:rowOff>
    </xdr:from>
    <xdr:to>
      <xdr:col>27</xdr:col>
      <xdr:colOff>385762</xdr:colOff>
      <xdr:row>35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F9C667-7544-3A94-4A91-3C78FD06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423862</xdr:colOff>
      <xdr:row>35</xdr:row>
      <xdr:rowOff>157162</xdr:rowOff>
    </xdr:from>
    <xdr:to>
      <xdr:col>27</xdr:col>
      <xdr:colOff>385762</xdr:colOff>
      <xdr:row>50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A117BB-5211-A1D6-75D4-05DB7E64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aldrich.com/DE/de/search/glycine?focus=products&amp;page=1&amp;perPage=30&amp;sort=relevance&amp;term=glycine&amp;type=product" TargetMode="External"/><Relationship Id="rId13" Type="http://schemas.openxmlformats.org/officeDocument/2006/relationships/hyperlink" Target="https://www.sigmaaldrich.com/DE/de/search/phenylalanine?focus=products&amp;page=1&amp;perPage=30&amp;sort=relevance&amp;term=phenylalanine&amp;type=product" TargetMode="External"/><Relationship Id="rId18" Type="http://schemas.openxmlformats.org/officeDocument/2006/relationships/hyperlink" Target="https://www.sigmaaldrich.com/DE/de/search/tyrosine?focus=products&amp;page=1&amp;perPage=30&amp;sort=relevance&amp;term=tyrosine&amp;type=product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sigmaaldrich.com/DE/de/search/asparagine?focus=products&amp;page=1&amp;perPage=30&amp;sort=relevance&amp;term=asparagine&amp;type=product" TargetMode="External"/><Relationship Id="rId21" Type="http://schemas.openxmlformats.org/officeDocument/2006/relationships/hyperlink" Target="https://www.sigmaaldrich.com/DE/de/technical-documents/technical-article/protein-biology/protein-structural-analysis/amino-acid-reference-chart" TargetMode="External"/><Relationship Id="rId7" Type="http://schemas.openxmlformats.org/officeDocument/2006/relationships/hyperlink" Target="https://www.sigmaaldrich.com/DE/de/search/glutamine?focus=products&amp;page=1&amp;perPage=30&amp;sort=relevance&amp;term=glutamine&amp;type=product" TargetMode="External"/><Relationship Id="rId12" Type="http://schemas.openxmlformats.org/officeDocument/2006/relationships/hyperlink" Target="https://www.sigmaaldrich.com/DE/de/search/methionine?focus=products&amp;page=1&amp;perPage=30&amp;sort=relevance&amp;term=methionine&amp;type=product" TargetMode="External"/><Relationship Id="rId17" Type="http://schemas.openxmlformats.org/officeDocument/2006/relationships/hyperlink" Target="https://www.sigmaaldrich.com/DE/de/search/threonine?focus=products&amp;page=1&amp;perPage=30&amp;sort=relevance&amp;term=threonine&amp;type=produc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sigmaaldrich.com/DE/de/search/arginine?focus=products&amp;page=1&amp;perPage=30&amp;sort=relevance&amp;term=arginine&amp;type=product" TargetMode="External"/><Relationship Id="rId16" Type="http://schemas.openxmlformats.org/officeDocument/2006/relationships/hyperlink" Target="https://www.sigmaaldrich.com/DE/de/search/serine?focus=products&amp;page=1&amp;perPage=30&amp;sort=relevance&amp;term=serine&amp;type=product" TargetMode="External"/><Relationship Id="rId20" Type="http://schemas.openxmlformats.org/officeDocument/2006/relationships/hyperlink" Target="https://bmcresnotes.biomedcentral.com/articles/10.1186/1756-0500-4-20" TargetMode="External"/><Relationship Id="rId1" Type="http://schemas.openxmlformats.org/officeDocument/2006/relationships/hyperlink" Target="https://www.sigmaaldrich.com/DE/de/search/alanine?focus=products&amp;page=1&amp;perPage=30&amp;sort=relevance&amp;term=alanine&amp;type=product" TargetMode="External"/><Relationship Id="rId6" Type="http://schemas.openxmlformats.org/officeDocument/2006/relationships/hyperlink" Target="https://www.sigmaaldrich.com/search/glutamic+acid?focus=products&amp;page=1&amp;perPage=30&amp;sort=relevance&amp;term=glutamic+acid&amp;type=product" TargetMode="External"/><Relationship Id="rId11" Type="http://schemas.openxmlformats.org/officeDocument/2006/relationships/hyperlink" Target="https://www.sigmaaldrich.com/DE/de/search/lysine?focus=products&amp;page=1&amp;perPage=30&amp;sort=relevance&amp;term=lysine&amp;type=product" TargetMode="External"/><Relationship Id="rId24" Type="http://schemas.openxmlformats.org/officeDocument/2006/relationships/hyperlink" Target="https://www.ncbi.nlm.nih.gov/pmc/articles/PMC5394987/" TargetMode="External"/><Relationship Id="rId5" Type="http://schemas.openxmlformats.org/officeDocument/2006/relationships/hyperlink" Target="https://www.sigmaaldrich.com/DE/de/search/cysteine?focus=products&amp;page=1&amp;perPage=30&amp;sort=relevance&amp;term=cysteine&amp;type=product" TargetMode="External"/><Relationship Id="rId15" Type="http://schemas.openxmlformats.org/officeDocument/2006/relationships/hyperlink" Target="https://www.sigmaaldrich.com/DE/de/search/serine?focus=products&amp;page=1&amp;perPage=30&amp;sort=relevance&amp;term=serine&amp;type=product" TargetMode="External"/><Relationship Id="rId23" Type="http://schemas.openxmlformats.org/officeDocument/2006/relationships/hyperlink" Target="https://web.archive.org/web/20170707163449/http:/www.frontiersin.org/files/Articles/175411/fimmu-07-00024-HTML/image_m/fimmu-07-00024-g001.jpg" TargetMode="External"/><Relationship Id="rId10" Type="http://schemas.openxmlformats.org/officeDocument/2006/relationships/hyperlink" Target="https://www.sigmaaldrich.com/DE/de/search/leucine?focus=products&amp;page=1&amp;perPage=30&amp;sort=relevance&amp;term=leucine&amp;type=product" TargetMode="External"/><Relationship Id="rId19" Type="http://schemas.openxmlformats.org/officeDocument/2006/relationships/hyperlink" Target="https://www.sigmaaldrich.com/DE/de/search/valine?focus=products&amp;page=1&amp;perPage=30&amp;sort=relevance&amp;term=valine&amp;type=product" TargetMode="External"/><Relationship Id="rId4" Type="http://schemas.openxmlformats.org/officeDocument/2006/relationships/hyperlink" Target="https://www.sigmaaldrich.com/search/aspartic+acid?focus=products&amp;page=1&amp;perPage=30&amp;sort=relevance&amp;term=aspartic+acid&amp;type=product" TargetMode="External"/><Relationship Id="rId9" Type="http://schemas.openxmlformats.org/officeDocument/2006/relationships/hyperlink" Target="https://www.sigmaaldrich.com/DE/de/search/histidine?focus=products&amp;page=1&amp;perPage=30&amp;sort=relevance&amp;term=histidine&amp;type=product" TargetMode="External"/><Relationship Id="rId14" Type="http://schemas.openxmlformats.org/officeDocument/2006/relationships/hyperlink" Target="https://www.sigmaaldrich.com/DE/de/search/proline?focus=products&amp;page=1&amp;perPage=30&amp;sort=relevance&amp;term=proline&amp;type=product" TargetMode="External"/><Relationship Id="rId22" Type="http://schemas.openxmlformats.org/officeDocument/2006/relationships/hyperlink" Target="https://www.ncbi.nlm.nih.gov/pmc/articles/PMC712767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6CBF-76E3-4D72-ABA1-AD6D2BD2A113}">
  <dimension ref="A1:AN37"/>
  <sheetViews>
    <sheetView tabSelected="1" topLeftCell="A8" zoomScale="90" zoomScaleNormal="90" workbookViewId="0">
      <selection activeCell="E43" sqref="E43"/>
    </sheetView>
  </sheetViews>
  <sheetFormatPr defaultRowHeight="15" x14ac:dyDescent="0.25"/>
  <cols>
    <col min="1" max="1" width="13.28515625" customWidth="1"/>
    <col min="3" max="3" width="4.5703125" customWidth="1"/>
    <col min="4" max="4" width="9.85546875" customWidth="1"/>
    <col min="5" max="5" width="13.42578125" customWidth="1"/>
    <col min="10" max="10" width="9.140625" style="17"/>
    <col min="11" max="11" width="7.85546875" style="17" customWidth="1"/>
    <col min="12" max="13" width="9.140625" style="17"/>
    <col min="14" max="14" width="6.5703125" style="17" customWidth="1"/>
    <col min="15" max="15" width="7.85546875" style="17" customWidth="1"/>
    <col min="16" max="17" width="9.140625" style="17"/>
    <col min="18" max="18" width="7.42578125" style="17" customWidth="1"/>
    <col min="19" max="25" width="9.140625" style="17"/>
    <col min="26" max="26" width="6.85546875" customWidth="1"/>
    <col min="30" max="30" width="5.42578125" customWidth="1"/>
    <col min="31" max="32" width="5" customWidth="1"/>
  </cols>
  <sheetData>
    <row r="1" spans="1:4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s="38" t="s">
        <v>75</v>
      </c>
      <c r="J1" s="17">
        <v>-2</v>
      </c>
      <c r="K1" s="17" t="s">
        <v>467</v>
      </c>
      <c r="L1" s="17" t="s">
        <v>468</v>
      </c>
      <c r="M1" s="17" t="s">
        <v>469</v>
      </c>
      <c r="N1" s="33">
        <v>-1</v>
      </c>
      <c r="O1" s="17" t="s">
        <v>467</v>
      </c>
      <c r="P1" s="17" t="s">
        <v>468</v>
      </c>
      <c r="Q1" s="17" t="s">
        <v>469</v>
      </c>
      <c r="R1" s="34" t="s">
        <v>471</v>
      </c>
      <c r="S1" s="17" t="s">
        <v>470</v>
      </c>
      <c r="T1" s="17" t="s">
        <v>468</v>
      </c>
      <c r="U1" s="17" t="s">
        <v>469</v>
      </c>
      <c r="V1" s="34" t="s">
        <v>472</v>
      </c>
      <c r="W1" s="17" t="s">
        <v>470</v>
      </c>
      <c r="X1" s="17" t="s">
        <v>468</v>
      </c>
      <c r="Y1" s="17" t="s">
        <v>469</v>
      </c>
      <c r="Z1" s="32" t="s">
        <v>65</v>
      </c>
      <c r="AA1" t="s">
        <v>66</v>
      </c>
      <c r="AB1" t="s">
        <v>93</v>
      </c>
      <c r="AC1" t="s">
        <v>69</v>
      </c>
      <c r="AD1" t="s">
        <v>77</v>
      </c>
      <c r="AE1" t="s">
        <v>82</v>
      </c>
      <c r="AF1" t="s">
        <v>79</v>
      </c>
      <c r="AG1" t="s">
        <v>80</v>
      </c>
      <c r="AH1" t="s">
        <v>89</v>
      </c>
      <c r="AI1" t="s">
        <v>90</v>
      </c>
      <c r="AJ1" t="s">
        <v>97</v>
      </c>
      <c r="AK1" t="s">
        <v>91</v>
      </c>
      <c r="AL1" t="s">
        <v>92</v>
      </c>
      <c r="AM1" t="s">
        <v>95</v>
      </c>
      <c r="AN1" t="s">
        <v>96</v>
      </c>
    </row>
    <row r="2" spans="1:40" ht="15.75" x14ac:dyDescent="0.25">
      <c r="A2" t="s">
        <v>517</v>
      </c>
      <c r="B2" t="s">
        <v>0</v>
      </c>
      <c r="C2" t="s">
        <v>1</v>
      </c>
      <c r="D2">
        <v>89.1</v>
      </c>
      <c r="E2" t="s">
        <v>2</v>
      </c>
      <c r="F2">
        <v>2.34</v>
      </c>
      <c r="G2">
        <v>9.69</v>
      </c>
      <c r="H2" t="s">
        <v>3</v>
      </c>
      <c r="I2" s="38">
        <v>6</v>
      </c>
      <c r="J2" s="17">
        <v>102</v>
      </c>
      <c r="K2" s="37">
        <f t="shared" ref="K2:K21" si="0">J2/SUM($N$2:$N$21)</f>
        <v>6.7061143984220903E-2</v>
      </c>
      <c r="L2" s="35">
        <f>K2/AI2</f>
        <v>0.94990138067061136</v>
      </c>
      <c r="M2" s="35">
        <f>K2/AM2</f>
        <v>0.97614474503960558</v>
      </c>
      <c r="N2" s="33">
        <v>108</v>
      </c>
      <c r="O2" s="21">
        <f t="shared" ref="O2:O21" si="1">N2/SUM($N$2:$N$21)</f>
        <v>7.1005917159763315E-2</v>
      </c>
      <c r="P2" s="35">
        <f t="shared" ref="P2:P21" si="2">O2/AI2</f>
        <v>1.0057779324747651</v>
      </c>
      <c r="Q2" s="35">
        <f t="shared" ref="Q2:Q21" si="3">O2/AM2</f>
        <v>1.0335650241595824</v>
      </c>
      <c r="R2" s="33">
        <v>65</v>
      </c>
      <c r="S2" s="21">
        <f t="shared" ref="S2:S21" si="4">R2/SUM($N$2:$N$21)</f>
        <v>4.2735042735042736E-2</v>
      </c>
      <c r="T2" s="35">
        <f>S2/$AI2</f>
        <v>0.60532931121166411</v>
      </c>
      <c r="U2" s="35">
        <f>S2/$AM2</f>
        <v>0.62205302379974869</v>
      </c>
      <c r="V2" s="33">
        <v>75</v>
      </c>
      <c r="W2" s="21">
        <f t="shared" ref="W2:W21" si="5">V2/SUM($N$2:$N$21)</f>
        <v>4.9309664694280081E-2</v>
      </c>
      <c r="X2" s="35">
        <f>W2/$AI2</f>
        <v>0.6984568975519202</v>
      </c>
      <c r="Y2" s="35">
        <f>W2/$AM2</f>
        <v>0.71775348899971003</v>
      </c>
      <c r="Z2" s="32"/>
      <c r="AA2">
        <v>41</v>
      </c>
      <c r="AB2" t="s">
        <v>76</v>
      </c>
      <c r="AC2" t="s">
        <v>1</v>
      </c>
      <c r="AD2" t="s">
        <v>8</v>
      </c>
      <c r="AE2" t="s">
        <v>33</v>
      </c>
      <c r="AF2" t="s">
        <v>8</v>
      </c>
      <c r="AG2" t="s">
        <v>8</v>
      </c>
      <c r="AH2">
        <v>1700</v>
      </c>
      <c r="AI2" s="2">
        <f>AH2/SUM($AH$2:$AH$25)</f>
        <v>7.0598006644518277E-2</v>
      </c>
      <c r="AJ2" s="2">
        <f>AI2</f>
        <v>7.0598006644518277E-2</v>
      </c>
      <c r="AK2" s="2">
        <v>7.8E-2</v>
      </c>
      <c r="AL2" s="2">
        <v>7.0000000000000007E-2</v>
      </c>
      <c r="AM2" s="2">
        <v>6.8699999999999997E-2</v>
      </c>
      <c r="AN2" s="2">
        <v>6.7400000000000002E-2</v>
      </c>
    </row>
    <row r="3" spans="1:40" ht="19.5" x14ac:dyDescent="0.4">
      <c r="A3" t="s">
        <v>518</v>
      </c>
      <c r="B3" t="s">
        <v>4</v>
      </c>
      <c r="C3" t="s">
        <v>5</v>
      </c>
      <c r="D3">
        <v>174.2</v>
      </c>
      <c r="E3" t="s">
        <v>6</v>
      </c>
      <c r="F3">
        <v>2.17</v>
      </c>
      <c r="G3">
        <v>9.0399999999999991</v>
      </c>
      <c r="H3">
        <v>12.48</v>
      </c>
      <c r="I3" s="38">
        <v>10.76</v>
      </c>
      <c r="J3" s="17">
        <v>146</v>
      </c>
      <c r="K3" s="37">
        <f t="shared" si="0"/>
        <v>9.5989480604865215E-2</v>
      </c>
      <c r="L3" s="36">
        <f t="shared" ref="L3:L21" si="6">K3/AI3</f>
        <v>1.2610074702483112</v>
      </c>
      <c r="M3" s="36">
        <f t="shared" ref="M3:M21" si="7">K3/AM3</f>
        <v>1.7742972385372497</v>
      </c>
      <c r="N3" s="33">
        <v>131</v>
      </c>
      <c r="O3" s="37">
        <f t="shared" si="1"/>
        <v>8.6127547666009205E-2</v>
      </c>
      <c r="P3" s="35">
        <f t="shared" si="2"/>
        <v>1.1314519082364984</v>
      </c>
      <c r="Q3" s="36">
        <f t="shared" si="3"/>
        <v>1.5920064263587652</v>
      </c>
      <c r="R3" s="33">
        <v>43</v>
      </c>
      <c r="S3" s="21">
        <f t="shared" si="4"/>
        <v>2.827087442472058E-2</v>
      </c>
      <c r="T3" s="35">
        <f t="shared" ref="T3:T21" si="8">S3/AI3</f>
        <v>0.37139261110053007</v>
      </c>
      <c r="U3" s="35">
        <f t="shared" ref="U3:U21" si="9">S3/AM3</f>
        <v>0.52256699491165581</v>
      </c>
      <c r="V3" s="33">
        <v>57</v>
      </c>
      <c r="W3" s="21">
        <f t="shared" si="5"/>
        <v>3.7475345167652857E-2</v>
      </c>
      <c r="X3" s="35">
        <f t="shared" ref="X3:X21" si="10">W3/$AI3</f>
        <v>0.49231113564488865</v>
      </c>
      <c r="Y3" s="35">
        <f t="shared" ref="Y3:Y21" si="11">W3/$AM3</f>
        <v>0.69270508627824134</v>
      </c>
      <c r="Z3" s="32"/>
      <c r="AA3">
        <v>-14</v>
      </c>
      <c r="AB3" t="s">
        <v>56</v>
      </c>
      <c r="AC3" t="s">
        <v>5</v>
      </c>
      <c r="AD3" t="s">
        <v>78</v>
      </c>
      <c r="AE3" t="s">
        <v>78</v>
      </c>
      <c r="AF3" t="s">
        <v>14</v>
      </c>
      <c r="AG3" t="s">
        <v>45</v>
      </c>
      <c r="AH3">
        <v>1833</v>
      </c>
      <c r="AI3" s="2">
        <f t="shared" ref="AI3:AI25" si="12">AH3/SUM($AH$2:$AH$25)</f>
        <v>7.6121262458471756E-2</v>
      </c>
      <c r="AJ3" s="2">
        <f t="shared" ref="AJ3:AJ21" si="13">AI3</f>
        <v>7.6121262458471756E-2</v>
      </c>
      <c r="AK3" s="2">
        <v>5.2999999999999999E-2</v>
      </c>
      <c r="AL3" s="2">
        <v>5.5E-2</v>
      </c>
      <c r="AM3" s="2">
        <v>5.4100000000000002E-2</v>
      </c>
      <c r="AN3" s="2">
        <v>5.3800000000000001E-2</v>
      </c>
    </row>
    <row r="4" spans="1:40" ht="15.75" x14ac:dyDescent="0.25">
      <c r="A4" t="s">
        <v>519</v>
      </c>
      <c r="B4" t="s">
        <v>7</v>
      </c>
      <c r="C4" t="s">
        <v>8</v>
      </c>
      <c r="D4">
        <v>132.12</v>
      </c>
      <c r="E4" t="s">
        <v>9</v>
      </c>
      <c r="F4">
        <v>2.02</v>
      </c>
      <c r="G4">
        <v>8.8000000000000007</v>
      </c>
      <c r="H4" t="s">
        <v>3</v>
      </c>
      <c r="I4" s="38">
        <v>5.41</v>
      </c>
      <c r="J4" s="17">
        <v>30</v>
      </c>
      <c r="K4" s="21">
        <f t="shared" si="0"/>
        <v>1.9723865877712032E-2</v>
      </c>
      <c r="L4" s="35">
        <f t="shared" si="6"/>
        <v>0.74327181586119839</v>
      </c>
      <c r="M4" s="35">
        <f t="shared" si="7"/>
        <v>0.54335718671383004</v>
      </c>
      <c r="N4" s="33">
        <v>52</v>
      </c>
      <c r="O4" s="21">
        <f t="shared" si="1"/>
        <v>3.4188034188034191E-2</v>
      </c>
      <c r="P4" s="36">
        <f t="shared" si="2"/>
        <v>1.2883378141594106</v>
      </c>
      <c r="Q4" s="35">
        <f t="shared" si="3"/>
        <v>0.94181912363730558</v>
      </c>
      <c r="R4" s="33">
        <v>32</v>
      </c>
      <c r="S4" s="21">
        <f t="shared" si="4"/>
        <v>2.1038790269559501E-2</v>
      </c>
      <c r="T4" s="35">
        <f t="shared" si="8"/>
        <v>0.79282327025194499</v>
      </c>
      <c r="U4" s="35">
        <f t="shared" si="9"/>
        <v>0.57958099916141881</v>
      </c>
      <c r="V4" s="33">
        <v>34</v>
      </c>
      <c r="W4" s="21">
        <f t="shared" si="5"/>
        <v>2.2353714661406968E-2</v>
      </c>
      <c r="X4" s="35">
        <f t="shared" si="10"/>
        <v>0.84237472464269136</v>
      </c>
      <c r="Y4" s="35">
        <f t="shared" si="11"/>
        <v>0.61580481160900735</v>
      </c>
      <c r="Z4" s="32"/>
      <c r="AA4">
        <v>-28</v>
      </c>
      <c r="AB4" t="s">
        <v>56</v>
      </c>
      <c r="AC4" t="s">
        <v>8</v>
      </c>
      <c r="AD4" t="s">
        <v>8</v>
      </c>
      <c r="AE4" t="s">
        <v>8</v>
      </c>
      <c r="AF4" t="s">
        <v>8</v>
      </c>
      <c r="AG4" t="s">
        <v>81</v>
      </c>
      <c r="AH4">
        <v>639</v>
      </c>
      <c r="AI4" s="2">
        <f t="shared" si="12"/>
        <v>2.6536544850498337E-2</v>
      </c>
      <c r="AJ4" s="2">
        <f t="shared" si="13"/>
        <v>2.6536544850498337E-2</v>
      </c>
      <c r="AK4" s="2">
        <v>4.2999999999999997E-2</v>
      </c>
      <c r="AL4" s="2">
        <v>3.6999999999999998E-2</v>
      </c>
      <c r="AM4" s="2">
        <v>3.6299999999999999E-2</v>
      </c>
      <c r="AN4" s="2">
        <v>3.5000000000000003E-2</v>
      </c>
    </row>
    <row r="5" spans="1:40" ht="19.5" x14ac:dyDescent="0.4">
      <c r="A5" t="s">
        <v>516</v>
      </c>
      <c r="B5" t="s">
        <v>10</v>
      </c>
      <c r="C5" t="s">
        <v>11</v>
      </c>
      <c r="D5">
        <v>133.11000000000001</v>
      </c>
      <c r="E5" t="s">
        <v>12</v>
      </c>
      <c r="F5">
        <v>1.88</v>
      </c>
      <c r="G5">
        <v>9.6</v>
      </c>
      <c r="H5">
        <v>3.65</v>
      </c>
      <c r="I5" s="38">
        <v>2.77</v>
      </c>
      <c r="J5" s="17">
        <v>73</v>
      </c>
      <c r="K5" s="21">
        <f t="shared" si="0"/>
        <v>4.7994740302432608E-2</v>
      </c>
      <c r="L5" s="35">
        <f t="shared" si="6"/>
        <v>0.81965485566140228</v>
      </c>
      <c r="M5" s="35">
        <f t="shared" si="7"/>
        <v>0.97748961919414667</v>
      </c>
      <c r="N5" s="33">
        <v>129</v>
      </c>
      <c r="O5" s="37">
        <f t="shared" si="1"/>
        <v>8.4812623274161739E-2</v>
      </c>
      <c r="P5" s="36">
        <f t="shared" si="2"/>
        <v>1.4484311832920671</v>
      </c>
      <c r="Q5" s="36">
        <f t="shared" si="3"/>
        <v>1.7273446695348622</v>
      </c>
      <c r="R5" s="33">
        <v>114</v>
      </c>
      <c r="S5" s="37">
        <f t="shared" si="4"/>
        <v>7.4950690335305714E-2</v>
      </c>
      <c r="T5" s="36">
        <f t="shared" si="8"/>
        <v>1.2800089526767102</v>
      </c>
      <c r="U5" s="36">
        <f t="shared" si="9"/>
        <v>1.526490638193599</v>
      </c>
      <c r="V5" s="33">
        <v>129</v>
      </c>
      <c r="W5" s="37">
        <f t="shared" si="5"/>
        <v>8.4812623274161739E-2</v>
      </c>
      <c r="X5" s="35">
        <f t="shared" si="10"/>
        <v>1.4484311832920671</v>
      </c>
      <c r="Y5" s="36">
        <f t="shared" si="11"/>
        <v>1.7273446695348622</v>
      </c>
      <c r="Z5" s="32"/>
      <c r="AA5">
        <v>-55</v>
      </c>
      <c r="AB5" t="s">
        <v>56</v>
      </c>
      <c r="AC5" t="s">
        <v>11</v>
      </c>
      <c r="AD5" t="s">
        <v>1</v>
      </c>
      <c r="AE5" t="s">
        <v>1</v>
      </c>
      <c r="AF5" t="s">
        <v>14</v>
      </c>
      <c r="AG5" t="s">
        <v>45</v>
      </c>
      <c r="AH5">
        <v>1410</v>
      </c>
      <c r="AI5" s="2">
        <f t="shared" si="12"/>
        <v>5.855481727574751E-2</v>
      </c>
      <c r="AJ5" s="2">
        <f t="shared" si="13"/>
        <v>5.855481727574751E-2</v>
      </c>
      <c r="AK5" s="2">
        <v>5.2999999999999999E-2</v>
      </c>
      <c r="AL5" s="2">
        <v>4.8000000000000001E-2</v>
      </c>
      <c r="AM5" s="2">
        <v>4.9100000000000005E-2</v>
      </c>
      <c r="AN5" s="2">
        <v>4.7300000000000002E-2</v>
      </c>
    </row>
    <row r="6" spans="1:40" ht="19.5" x14ac:dyDescent="0.4">
      <c r="A6" t="s">
        <v>520</v>
      </c>
      <c r="B6" t="s">
        <v>13</v>
      </c>
      <c r="C6" t="s">
        <v>14</v>
      </c>
      <c r="D6">
        <v>121.16</v>
      </c>
      <c r="E6" t="s">
        <v>15</v>
      </c>
      <c r="F6">
        <v>1.96</v>
      </c>
      <c r="G6">
        <v>10.28</v>
      </c>
      <c r="H6">
        <v>8.18</v>
      </c>
      <c r="I6" s="38">
        <v>5.07</v>
      </c>
      <c r="J6" s="17">
        <v>7</v>
      </c>
      <c r="K6" s="21">
        <f t="shared" si="0"/>
        <v>4.6022353714661405E-3</v>
      </c>
      <c r="L6" s="35">
        <f t="shared" si="6"/>
        <v>0.81486638047724014</v>
      </c>
      <c r="M6" s="35">
        <f t="shared" si="7"/>
        <v>0.24479975380139049</v>
      </c>
      <c r="N6" s="33">
        <v>9</v>
      </c>
      <c r="O6" s="21">
        <f t="shared" si="1"/>
        <v>5.9171597633136093E-3</v>
      </c>
      <c r="P6" s="35">
        <f t="shared" si="2"/>
        <v>1.0476853463278801</v>
      </c>
      <c r="Q6" s="35">
        <f t="shared" si="3"/>
        <v>0.3147425406017878</v>
      </c>
      <c r="R6" s="33">
        <v>2</v>
      </c>
      <c r="S6" s="21">
        <f t="shared" si="4"/>
        <v>1.3149243918474688E-3</v>
      </c>
      <c r="T6" s="35">
        <f t="shared" si="8"/>
        <v>0.23281896585064007</v>
      </c>
      <c r="U6" s="35">
        <f t="shared" si="9"/>
        <v>6.9942786800397283E-2</v>
      </c>
      <c r="V6" s="33">
        <v>4</v>
      </c>
      <c r="W6" s="21">
        <f t="shared" si="5"/>
        <v>2.6298487836949377E-3</v>
      </c>
      <c r="X6" s="35">
        <f t="shared" si="10"/>
        <v>0.46563793170128015</v>
      </c>
      <c r="Y6" s="35">
        <f t="shared" si="11"/>
        <v>0.13988557360079457</v>
      </c>
      <c r="Z6" s="32"/>
      <c r="AA6">
        <v>49</v>
      </c>
      <c r="AB6" t="s">
        <v>76</v>
      </c>
      <c r="AC6" t="s">
        <v>14</v>
      </c>
      <c r="AD6" t="s">
        <v>8</v>
      </c>
      <c r="AE6" t="s">
        <v>49</v>
      </c>
      <c r="AF6" t="s">
        <v>8</v>
      </c>
      <c r="AG6" t="s">
        <v>8</v>
      </c>
      <c r="AH6">
        <v>136</v>
      </c>
      <c r="AI6" s="2">
        <f t="shared" si="12"/>
        <v>5.6478405315614618E-3</v>
      </c>
      <c r="AJ6" s="2">
        <f t="shared" si="13"/>
        <v>5.6478405315614618E-3</v>
      </c>
      <c r="AK6" s="2">
        <v>1.6E-2</v>
      </c>
      <c r="AL6" s="2">
        <v>2.3E-2</v>
      </c>
      <c r="AM6" s="2">
        <v>1.8799999999999997E-2</v>
      </c>
      <c r="AN6" s="2">
        <v>2.0799999999999999E-2</v>
      </c>
    </row>
    <row r="7" spans="1:40" ht="19.5" x14ac:dyDescent="0.4">
      <c r="A7" t="s">
        <v>515</v>
      </c>
      <c r="B7" t="s">
        <v>16</v>
      </c>
      <c r="C7" t="s">
        <v>17</v>
      </c>
      <c r="D7">
        <v>147.13</v>
      </c>
      <c r="E7" t="s">
        <v>18</v>
      </c>
      <c r="F7">
        <v>2.19</v>
      </c>
      <c r="G7">
        <v>9.67</v>
      </c>
      <c r="H7">
        <v>4.25</v>
      </c>
      <c r="I7" s="38">
        <v>3.22</v>
      </c>
      <c r="J7" s="17">
        <v>113</v>
      </c>
      <c r="K7" s="37">
        <f t="shared" si="0"/>
        <v>7.4293228139381981E-2</v>
      </c>
      <c r="L7" s="35">
        <f t="shared" si="6"/>
        <v>0.85884826384844848</v>
      </c>
      <c r="M7" s="35">
        <f t="shared" si="7"/>
        <v>1.1121740739428441</v>
      </c>
      <c r="N7" s="33">
        <v>95</v>
      </c>
      <c r="O7" s="21">
        <f t="shared" si="1"/>
        <v>6.2458908612754764E-2</v>
      </c>
      <c r="P7" s="35">
        <f t="shared" si="2"/>
        <v>0.72204057580179304</v>
      </c>
      <c r="Q7" s="35">
        <f t="shared" si="3"/>
        <v>0.93501360198734684</v>
      </c>
      <c r="R7" s="33">
        <v>98</v>
      </c>
      <c r="S7" s="37">
        <f t="shared" si="4"/>
        <v>6.443129520052597E-2</v>
      </c>
      <c r="T7" s="35">
        <f t="shared" si="8"/>
        <v>0.7448418571429023</v>
      </c>
      <c r="U7" s="35">
        <f t="shared" si="9"/>
        <v>0.9645403473132631</v>
      </c>
      <c r="V7" s="33">
        <v>191</v>
      </c>
      <c r="W7" s="37">
        <f t="shared" si="5"/>
        <v>0.12557527942143326</v>
      </c>
      <c r="X7" s="35">
        <f t="shared" si="10"/>
        <v>1.451681578717289</v>
      </c>
      <c r="Y7" s="36">
        <f t="shared" si="11"/>
        <v>1.8798694524166657</v>
      </c>
      <c r="Z7" s="32"/>
      <c r="AA7">
        <v>-31</v>
      </c>
      <c r="AB7" t="s">
        <v>56</v>
      </c>
      <c r="AC7" t="s">
        <v>17</v>
      </c>
      <c r="AD7" t="s">
        <v>1</v>
      </c>
      <c r="AE7" t="s">
        <v>1</v>
      </c>
      <c r="AF7" t="s">
        <v>14</v>
      </c>
      <c r="AG7" t="s">
        <v>45</v>
      </c>
      <c r="AH7">
        <v>2083</v>
      </c>
      <c r="AI7" s="2">
        <f t="shared" si="12"/>
        <v>8.6503322259136206E-2</v>
      </c>
      <c r="AJ7" s="2">
        <f t="shared" si="13"/>
        <v>8.6503322259136206E-2</v>
      </c>
      <c r="AK7" s="2">
        <v>6.6000000000000003E-2</v>
      </c>
      <c r="AL7" s="2">
        <v>6.9000000000000006E-2</v>
      </c>
      <c r="AM7" s="2">
        <v>6.6799999999999998E-2</v>
      </c>
      <c r="AN7" s="2">
        <v>6.2199999999999998E-2</v>
      </c>
    </row>
    <row r="8" spans="1:40" ht="15.75" x14ac:dyDescent="0.25">
      <c r="A8" t="s">
        <v>521</v>
      </c>
      <c r="B8" t="s">
        <v>19</v>
      </c>
      <c r="C8" t="s">
        <v>20</v>
      </c>
      <c r="D8">
        <v>146.15</v>
      </c>
      <c r="E8" t="s">
        <v>21</v>
      </c>
      <c r="F8">
        <v>2.17</v>
      </c>
      <c r="G8">
        <v>9.1300000000000008</v>
      </c>
      <c r="H8" t="s">
        <v>3</v>
      </c>
      <c r="I8" s="38">
        <v>5.65</v>
      </c>
      <c r="J8" s="17">
        <v>83</v>
      </c>
      <c r="K8" s="21">
        <f t="shared" si="0"/>
        <v>5.4569362261669953E-2</v>
      </c>
      <c r="L8" s="36">
        <f t="shared" si="6"/>
        <v>1.2246320999636648</v>
      </c>
      <c r="M8" s="36">
        <f t="shared" si="7"/>
        <v>1.2180661219122755</v>
      </c>
      <c r="N8" s="33">
        <v>60</v>
      </c>
      <c r="O8" s="21">
        <f t="shared" si="1"/>
        <v>3.9447731755424063E-2</v>
      </c>
      <c r="P8" s="35">
        <f t="shared" si="2"/>
        <v>0.8852762168412035</v>
      </c>
      <c r="Q8" s="35">
        <f t="shared" si="3"/>
        <v>0.88052972668357277</v>
      </c>
      <c r="R8" s="33">
        <v>56</v>
      </c>
      <c r="S8" s="21">
        <f t="shared" si="4"/>
        <v>3.6817882971729124E-2</v>
      </c>
      <c r="T8" s="35">
        <f t="shared" si="8"/>
        <v>0.82625780238512325</v>
      </c>
      <c r="U8" s="35">
        <f t="shared" si="9"/>
        <v>0.82182774490466781</v>
      </c>
      <c r="V8" s="33">
        <v>46</v>
      </c>
      <c r="W8" s="21">
        <f t="shared" si="5"/>
        <v>3.0243261012491782E-2</v>
      </c>
      <c r="X8" s="35">
        <f t="shared" si="10"/>
        <v>0.67871176624492269</v>
      </c>
      <c r="Y8" s="35">
        <f t="shared" si="11"/>
        <v>0.67507279045740576</v>
      </c>
      <c r="Z8" s="32"/>
      <c r="AA8">
        <v>-10</v>
      </c>
      <c r="AB8" t="s">
        <v>8</v>
      </c>
      <c r="AC8" t="s">
        <v>20</v>
      </c>
      <c r="AD8" t="s">
        <v>8</v>
      </c>
      <c r="AE8" t="s">
        <v>8</v>
      </c>
      <c r="AF8" t="s">
        <v>8</v>
      </c>
      <c r="AG8" t="s">
        <v>81</v>
      </c>
      <c r="AH8">
        <v>1073</v>
      </c>
      <c r="AI8" s="2">
        <f t="shared" si="12"/>
        <v>4.455980066445183E-2</v>
      </c>
      <c r="AJ8" s="2">
        <f t="shared" si="13"/>
        <v>4.455980066445183E-2</v>
      </c>
      <c r="AK8" s="2">
        <v>3.9E-2</v>
      </c>
      <c r="AL8" s="2">
        <v>4.5999999999999999E-2</v>
      </c>
      <c r="AM8" s="2">
        <v>4.4800000000000006E-2</v>
      </c>
      <c r="AN8" s="2">
        <v>4.2500000000000003E-2</v>
      </c>
    </row>
    <row r="9" spans="1:40" ht="15.75" x14ac:dyDescent="0.25">
      <c r="A9" t="s">
        <v>522</v>
      </c>
      <c r="B9" t="s">
        <v>22</v>
      </c>
      <c r="C9" t="s">
        <v>23</v>
      </c>
      <c r="D9">
        <v>75.069999999999993</v>
      </c>
      <c r="E9" t="s">
        <v>24</v>
      </c>
      <c r="F9">
        <v>2.34</v>
      </c>
      <c r="G9">
        <v>9.6</v>
      </c>
      <c r="H9" t="s">
        <v>3</v>
      </c>
      <c r="I9" s="38">
        <v>5.97</v>
      </c>
      <c r="J9" s="17">
        <v>85</v>
      </c>
      <c r="K9" s="21">
        <f t="shared" si="0"/>
        <v>5.5884286653517426E-2</v>
      </c>
      <c r="L9" s="35">
        <f t="shared" si="6"/>
        <v>0.81017075413407558</v>
      </c>
      <c r="M9" s="35">
        <f t="shared" si="7"/>
        <v>0.86911798839062882</v>
      </c>
      <c r="N9" s="33">
        <v>172</v>
      </c>
      <c r="O9" s="37">
        <f t="shared" si="1"/>
        <v>0.11308349769888232</v>
      </c>
      <c r="P9" s="36">
        <f t="shared" si="2"/>
        <v>1.639404349541894</v>
      </c>
      <c r="Q9" s="36">
        <f t="shared" si="3"/>
        <v>1.7586858118022135</v>
      </c>
      <c r="R9" s="33">
        <v>87</v>
      </c>
      <c r="S9" s="37">
        <f t="shared" si="4"/>
        <v>5.7199211045364892E-2</v>
      </c>
      <c r="T9" s="35">
        <f t="shared" si="8"/>
        <v>0.82923359540781849</v>
      </c>
      <c r="U9" s="35">
        <f t="shared" si="9"/>
        <v>0.88956782341158469</v>
      </c>
      <c r="V9" s="33">
        <v>136</v>
      </c>
      <c r="W9" s="37">
        <f t="shared" si="5"/>
        <v>8.941485864562787E-2</v>
      </c>
      <c r="X9" s="35">
        <f t="shared" si="10"/>
        <v>1.2962732066145208</v>
      </c>
      <c r="Y9" s="36">
        <f t="shared" si="11"/>
        <v>1.3905887814250057</v>
      </c>
      <c r="Z9" s="32"/>
      <c r="AA9">
        <v>0</v>
      </c>
      <c r="AB9" t="s">
        <v>8</v>
      </c>
      <c r="AC9" t="s">
        <v>23</v>
      </c>
      <c r="AD9" t="s">
        <v>8</v>
      </c>
      <c r="AE9" t="s">
        <v>33</v>
      </c>
      <c r="AF9" t="s">
        <v>8</v>
      </c>
      <c r="AG9" t="s">
        <v>8</v>
      </c>
      <c r="AH9">
        <v>1661</v>
      </c>
      <c r="AI9" s="2">
        <f t="shared" si="12"/>
        <v>6.8978405315614624E-2</v>
      </c>
      <c r="AJ9" s="2">
        <f t="shared" si="13"/>
        <v>6.8978405315614624E-2</v>
      </c>
      <c r="AK9" s="2">
        <v>6.9000000000000006E-2</v>
      </c>
      <c r="AL9" s="2">
        <v>6.8000000000000005E-2</v>
      </c>
      <c r="AM9" s="2">
        <v>6.4299999999999996E-2</v>
      </c>
      <c r="AN9" s="2">
        <v>6.4899999999999999E-2</v>
      </c>
    </row>
    <row r="10" spans="1:40" ht="19.5" x14ac:dyDescent="0.4">
      <c r="A10" t="s">
        <v>523</v>
      </c>
      <c r="B10" t="s">
        <v>25</v>
      </c>
      <c r="C10" t="s">
        <v>26</v>
      </c>
      <c r="D10">
        <v>155.16</v>
      </c>
      <c r="E10" t="s">
        <v>27</v>
      </c>
      <c r="F10">
        <v>1.82</v>
      </c>
      <c r="G10">
        <v>9.17</v>
      </c>
      <c r="H10">
        <v>6</v>
      </c>
      <c r="I10" s="38">
        <v>7.59</v>
      </c>
      <c r="J10" s="17">
        <v>26</v>
      </c>
      <c r="K10" s="21">
        <f t="shared" si="0"/>
        <v>1.7094017094017096E-2</v>
      </c>
      <c r="L10" s="35">
        <f t="shared" si="6"/>
        <v>1.0581592072594646</v>
      </c>
      <c r="M10" s="35">
        <f t="shared" si="7"/>
        <v>0.68927488282326999</v>
      </c>
      <c r="N10" s="33">
        <v>28</v>
      </c>
      <c r="O10" s="21">
        <f t="shared" si="1"/>
        <v>1.8408941485864562E-2</v>
      </c>
      <c r="P10" s="35">
        <f t="shared" si="2"/>
        <v>1.1395560693563462</v>
      </c>
      <c r="Q10" s="35">
        <f t="shared" si="3"/>
        <v>0.74229602765582914</v>
      </c>
      <c r="R10" s="33">
        <v>11</v>
      </c>
      <c r="S10" s="21">
        <f t="shared" si="4"/>
        <v>7.2320841551610782E-3</v>
      </c>
      <c r="T10" s="35">
        <f t="shared" si="8"/>
        <v>0.44768274153285031</v>
      </c>
      <c r="U10" s="35">
        <f t="shared" si="9"/>
        <v>0.29161629657907573</v>
      </c>
      <c r="V10" s="33">
        <v>20</v>
      </c>
      <c r="W10" s="21">
        <f t="shared" si="5"/>
        <v>1.3149243918474688E-2</v>
      </c>
      <c r="X10" s="35">
        <f t="shared" si="10"/>
        <v>0.81396862096881872</v>
      </c>
      <c r="Y10" s="35">
        <f t="shared" si="11"/>
        <v>0.5302114483255923</v>
      </c>
      <c r="Z10" s="32"/>
      <c r="AA10">
        <v>8</v>
      </c>
      <c r="AB10" t="s">
        <v>8</v>
      </c>
      <c r="AC10" t="s">
        <v>26</v>
      </c>
      <c r="AD10" t="s">
        <v>78</v>
      </c>
      <c r="AE10" t="s">
        <v>78</v>
      </c>
      <c r="AF10" t="s">
        <v>14</v>
      </c>
      <c r="AG10" t="s">
        <v>45</v>
      </c>
      <c r="AH10">
        <v>389</v>
      </c>
      <c r="AI10" s="2">
        <f t="shared" si="12"/>
        <v>1.6154485049833887E-2</v>
      </c>
      <c r="AJ10" s="2">
        <f t="shared" si="13"/>
        <v>1.6154485049833887E-2</v>
      </c>
      <c r="AK10" s="2">
        <v>2.3E-2</v>
      </c>
      <c r="AL10" s="2">
        <v>2.5999999999999999E-2</v>
      </c>
      <c r="AM10" s="2">
        <v>2.4799999999999999E-2</v>
      </c>
      <c r="AN10" s="2">
        <v>2.3900000000000001E-2</v>
      </c>
    </row>
    <row r="11" spans="1:40" ht="15.75" x14ac:dyDescent="0.25">
      <c r="A11" t="s">
        <v>524</v>
      </c>
      <c r="B11" t="s">
        <v>28</v>
      </c>
      <c r="C11" t="s">
        <v>29</v>
      </c>
      <c r="D11">
        <v>131.18</v>
      </c>
      <c r="E11" t="s">
        <v>30</v>
      </c>
      <c r="F11">
        <v>2.36</v>
      </c>
      <c r="G11">
        <v>9.6</v>
      </c>
      <c r="H11" t="s">
        <v>3</v>
      </c>
      <c r="I11" s="38">
        <v>6.02</v>
      </c>
      <c r="J11" s="17">
        <v>29</v>
      </c>
      <c r="K11" s="21">
        <f t="shared" si="0"/>
        <v>1.9066403681788299E-2</v>
      </c>
      <c r="L11" s="35">
        <f t="shared" si="6"/>
        <v>0.75265409943846273</v>
      </c>
      <c r="M11" s="35">
        <f t="shared" si="7"/>
        <v>0.46961585423123892</v>
      </c>
      <c r="N11" s="33">
        <v>37</v>
      </c>
      <c r="O11" s="21">
        <f t="shared" si="1"/>
        <v>2.4326101249178174E-2</v>
      </c>
      <c r="P11" s="35">
        <f t="shared" si="2"/>
        <v>0.96028281652493519</v>
      </c>
      <c r="Q11" s="35">
        <f t="shared" si="3"/>
        <v>0.5991650553984772</v>
      </c>
      <c r="R11" s="33">
        <v>24</v>
      </c>
      <c r="S11" s="21">
        <f t="shared" si="4"/>
        <v>1.5779092702169626E-2</v>
      </c>
      <c r="T11" s="35">
        <f t="shared" si="8"/>
        <v>0.62288615125941738</v>
      </c>
      <c r="U11" s="35">
        <f t="shared" si="9"/>
        <v>0.38864760350171496</v>
      </c>
      <c r="V11" s="33">
        <v>15</v>
      </c>
      <c r="W11" s="21">
        <f t="shared" si="5"/>
        <v>9.8619329388560158E-3</v>
      </c>
      <c r="X11" s="35">
        <f t="shared" si="10"/>
        <v>0.38930384453713585</v>
      </c>
      <c r="Y11" s="35">
        <f t="shared" si="11"/>
        <v>0.24290475218857183</v>
      </c>
      <c r="Z11" s="32"/>
      <c r="AA11">
        <v>99</v>
      </c>
      <c r="AB11" t="s">
        <v>26</v>
      </c>
      <c r="AC11" t="s">
        <v>29</v>
      </c>
      <c r="AD11" t="s">
        <v>8</v>
      </c>
      <c r="AE11" t="s">
        <v>33</v>
      </c>
      <c r="AF11" t="s">
        <v>8</v>
      </c>
      <c r="AG11" t="s">
        <v>8</v>
      </c>
      <c r="AH11">
        <v>610</v>
      </c>
      <c r="AI11" s="2">
        <f t="shared" si="12"/>
        <v>2.5332225913621262E-2</v>
      </c>
      <c r="AJ11" s="2">
        <f t="shared" si="13"/>
        <v>2.5332225913621262E-2</v>
      </c>
      <c r="AK11" s="2">
        <v>5.8999999999999997E-2</v>
      </c>
      <c r="AL11" s="2">
        <v>4.4999999999999998E-2</v>
      </c>
      <c r="AM11" s="2">
        <v>4.0599999999999997E-2</v>
      </c>
      <c r="AN11" s="2">
        <v>4.24E-2</v>
      </c>
    </row>
    <row r="12" spans="1:40" ht="15.75" x14ac:dyDescent="0.25">
      <c r="A12" t="s">
        <v>31</v>
      </c>
      <c r="B12" t="s">
        <v>32</v>
      </c>
      <c r="C12" t="s">
        <v>33</v>
      </c>
      <c r="D12">
        <v>131.18</v>
      </c>
      <c r="E12" t="s">
        <v>30</v>
      </c>
      <c r="F12">
        <v>2.36</v>
      </c>
      <c r="G12">
        <v>9.6</v>
      </c>
      <c r="H12" t="s">
        <v>3</v>
      </c>
      <c r="I12" s="38">
        <v>5.98</v>
      </c>
      <c r="J12" s="17">
        <v>108</v>
      </c>
      <c r="K12" s="37">
        <f t="shared" si="0"/>
        <v>7.1005917159763315E-2</v>
      </c>
      <c r="L12" s="35">
        <f t="shared" si="6"/>
        <v>0.99177638353080078</v>
      </c>
      <c r="M12" s="35">
        <f t="shared" si="7"/>
        <v>0.76268439484171124</v>
      </c>
      <c r="N12" s="33">
        <v>118</v>
      </c>
      <c r="O12" s="37">
        <f t="shared" si="1"/>
        <v>7.758053911900066E-2</v>
      </c>
      <c r="P12" s="35">
        <f t="shared" si="2"/>
        <v>1.0836075301540231</v>
      </c>
      <c r="Q12" s="35">
        <f t="shared" si="3"/>
        <v>0.83330332029001786</v>
      </c>
      <c r="R12" s="33">
        <v>117</v>
      </c>
      <c r="S12" s="37">
        <f t="shared" si="4"/>
        <v>7.6923076923076927E-2</v>
      </c>
      <c r="T12" s="35">
        <f t="shared" si="8"/>
        <v>1.0744244154917009</v>
      </c>
      <c r="U12" s="35">
        <f t="shared" si="9"/>
        <v>0.82624142774518716</v>
      </c>
      <c r="V12" s="33">
        <v>75</v>
      </c>
      <c r="W12" s="21">
        <f t="shared" si="5"/>
        <v>4.9309664694280081E-2</v>
      </c>
      <c r="X12" s="35">
        <f t="shared" si="10"/>
        <v>0.68873359967416725</v>
      </c>
      <c r="Y12" s="35">
        <f t="shared" si="11"/>
        <v>0.52964194086229943</v>
      </c>
      <c r="Z12" s="32"/>
      <c r="AA12">
        <v>97</v>
      </c>
      <c r="AB12" t="s">
        <v>26</v>
      </c>
      <c r="AC12" t="s">
        <v>33</v>
      </c>
      <c r="AD12" t="s">
        <v>8</v>
      </c>
      <c r="AE12" t="s">
        <v>33</v>
      </c>
      <c r="AF12" t="s">
        <v>8</v>
      </c>
      <c r="AG12" t="s">
        <v>8</v>
      </c>
      <c r="AH12">
        <v>1724</v>
      </c>
      <c r="AI12" s="2">
        <f t="shared" si="12"/>
        <v>7.1594684385382065E-2</v>
      </c>
      <c r="AJ12" s="2">
        <f t="shared" si="13"/>
        <v>7.1594684385382065E-2</v>
      </c>
      <c r="AK12" s="2">
        <v>9.6000000000000002E-2</v>
      </c>
      <c r="AL12" s="2">
        <v>9.8000000000000004E-2</v>
      </c>
      <c r="AM12" s="2">
        <v>9.3100000000000002E-2</v>
      </c>
      <c r="AN12" s="2">
        <v>0.1</v>
      </c>
    </row>
    <row r="13" spans="1:40" ht="19.5" x14ac:dyDescent="0.4">
      <c r="A13" t="s">
        <v>34</v>
      </c>
      <c r="B13" t="s">
        <v>35</v>
      </c>
      <c r="C13" t="s">
        <v>36</v>
      </c>
      <c r="D13">
        <v>146.19</v>
      </c>
      <c r="E13" t="s">
        <v>37</v>
      </c>
      <c r="F13">
        <v>2.1800000000000002</v>
      </c>
      <c r="G13">
        <v>8.9499999999999993</v>
      </c>
      <c r="H13">
        <v>10.53</v>
      </c>
      <c r="I13" s="38">
        <v>9.74</v>
      </c>
      <c r="J13" s="17">
        <v>80</v>
      </c>
      <c r="K13" s="21">
        <f t="shared" si="0"/>
        <v>5.2596975673898753E-2</v>
      </c>
      <c r="L13" s="35">
        <f t="shared" si="6"/>
        <v>0.78666781007918141</v>
      </c>
      <c r="M13" s="35">
        <f t="shared" si="7"/>
        <v>0.927636255271583</v>
      </c>
      <c r="N13" s="33">
        <v>66</v>
      </c>
      <c r="O13" s="21">
        <f t="shared" si="1"/>
        <v>4.3392504930966469E-2</v>
      </c>
      <c r="P13" s="35">
        <f t="shared" si="2"/>
        <v>0.64900094331532465</v>
      </c>
      <c r="Q13" s="35">
        <f t="shared" si="3"/>
        <v>0.76529991059905589</v>
      </c>
      <c r="R13" s="33">
        <v>37</v>
      </c>
      <c r="S13" s="21">
        <f t="shared" si="4"/>
        <v>2.4326101249178174E-2</v>
      </c>
      <c r="T13" s="35">
        <f t="shared" si="8"/>
        <v>0.36383386216162139</v>
      </c>
      <c r="U13" s="35">
        <f t="shared" si="9"/>
        <v>0.42903176806310711</v>
      </c>
      <c r="V13" s="33">
        <v>74</v>
      </c>
      <c r="W13" s="21">
        <f t="shared" si="5"/>
        <v>4.8652202498356348E-2</v>
      </c>
      <c r="X13" s="35">
        <f t="shared" si="10"/>
        <v>0.72766772432324278</v>
      </c>
      <c r="Y13" s="35">
        <f t="shared" si="11"/>
        <v>0.85806353612621422</v>
      </c>
      <c r="Z13" s="32"/>
      <c r="AA13">
        <v>-23</v>
      </c>
      <c r="AB13" t="s">
        <v>56</v>
      </c>
      <c r="AC13" t="s">
        <v>36</v>
      </c>
      <c r="AD13" t="s">
        <v>78</v>
      </c>
      <c r="AE13" t="s">
        <v>78</v>
      </c>
      <c r="AF13" t="s">
        <v>14</v>
      </c>
      <c r="AG13" t="s">
        <v>45</v>
      </c>
      <c r="AH13">
        <v>1610</v>
      </c>
      <c r="AI13" s="2">
        <f t="shared" si="12"/>
        <v>6.6860465116279064E-2</v>
      </c>
      <c r="AJ13" s="2">
        <f t="shared" si="13"/>
        <v>6.6860465116279064E-2</v>
      </c>
      <c r="AK13" s="2">
        <v>0.06</v>
      </c>
      <c r="AL13" s="2">
        <v>5.7000000000000002E-2</v>
      </c>
      <c r="AM13" s="2">
        <v>5.67E-2</v>
      </c>
      <c r="AN13" s="2">
        <v>5.1500000000000004E-2</v>
      </c>
    </row>
    <row r="14" spans="1:40" ht="15.75" x14ac:dyDescent="0.25">
      <c r="A14" t="s">
        <v>525</v>
      </c>
      <c r="B14" t="s">
        <v>38</v>
      </c>
      <c r="C14" t="s">
        <v>39</v>
      </c>
      <c r="D14">
        <v>149.21</v>
      </c>
      <c r="E14" t="s">
        <v>40</v>
      </c>
      <c r="F14">
        <v>2.2799999999999998</v>
      </c>
      <c r="G14">
        <v>9.2100000000000009</v>
      </c>
      <c r="H14" t="s">
        <v>3</v>
      </c>
      <c r="I14" s="38">
        <v>5.74</v>
      </c>
      <c r="J14" s="17">
        <f>4+8</f>
        <v>12</v>
      </c>
      <c r="K14" s="21">
        <f t="shared" si="0"/>
        <v>7.889546351084813E-3</v>
      </c>
      <c r="L14" s="35">
        <f t="shared" si="6"/>
        <v>0.81188152194069352</v>
      </c>
      <c r="M14" s="35">
        <f t="shared" si="7"/>
        <v>0.36025325804040242</v>
      </c>
      <c r="N14" s="33">
        <f>10+14</f>
        <v>24</v>
      </c>
      <c r="O14" s="21">
        <f t="shared" si="1"/>
        <v>1.5779092702169626E-2</v>
      </c>
      <c r="P14" s="36">
        <f t="shared" si="2"/>
        <v>1.623763043881387</v>
      </c>
      <c r="Q14" s="35">
        <f t="shared" si="3"/>
        <v>0.72050651608080485</v>
      </c>
      <c r="R14" s="33">
        <v>35</v>
      </c>
      <c r="S14" s="21">
        <f t="shared" si="4"/>
        <v>2.3011176857330704E-2</v>
      </c>
      <c r="T14" s="36">
        <f t="shared" si="8"/>
        <v>2.3679877723270226</v>
      </c>
      <c r="U14" s="36">
        <f t="shared" si="9"/>
        <v>1.0507386692845071</v>
      </c>
      <c r="V14" s="33">
        <f>4+2</f>
        <v>6</v>
      </c>
      <c r="W14" s="21">
        <f t="shared" si="5"/>
        <v>3.9447731755424065E-3</v>
      </c>
      <c r="X14" s="35">
        <f t="shared" si="10"/>
        <v>0.40594076097034676</v>
      </c>
      <c r="Y14" s="35">
        <f t="shared" si="11"/>
        <v>0.18012662902020121</v>
      </c>
      <c r="Z14" s="32">
        <v>79</v>
      </c>
      <c r="AA14">
        <v>74</v>
      </c>
      <c r="AB14" t="s">
        <v>26</v>
      </c>
      <c r="AC14" t="s">
        <v>39</v>
      </c>
      <c r="AD14" t="s">
        <v>8</v>
      </c>
      <c r="AE14" t="s">
        <v>49</v>
      </c>
      <c r="AF14" t="s">
        <v>8</v>
      </c>
      <c r="AG14" t="s">
        <v>8</v>
      </c>
      <c r="AH14">
        <v>234</v>
      </c>
      <c r="AI14" s="2">
        <f t="shared" si="12"/>
        <v>9.7176079734219278E-3</v>
      </c>
      <c r="AJ14" s="2">
        <f>AI14+AI25</f>
        <v>1.2998338870431895E-2</v>
      </c>
      <c r="AK14" s="2">
        <v>2.4E-2</v>
      </c>
      <c r="AL14" s="2">
        <v>2.4E-2</v>
      </c>
      <c r="AM14" s="2">
        <v>2.1899999999999999E-2</v>
      </c>
      <c r="AN14" s="2">
        <v>2.2099999999999998E-2</v>
      </c>
    </row>
    <row r="15" spans="1:40" ht="15.75" x14ac:dyDescent="0.25">
      <c r="A15" t="s">
        <v>526</v>
      </c>
      <c r="B15" t="s">
        <v>41</v>
      </c>
      <c r="C15" t="s">
        <v>42</v>
      </c>
      <c r="D15">
        <v>165.19</v>
      </c>
      <c r="E15" t="s">
        <v>43</v>
      </c>
      <c r="F15">
        <v>1.83</v>
      </c>
      <c r="G15">
        <v>9.1300000000000008</v>
      </c>
      <c r="H15" t="s">
        <v>3</v>
      </c>
      <c r="I15" s="38">
        <v>5.48</v>
      </c>
      <c r="J15" s="17">
        <v>18</v>
      </c>
      <c r="K15" s="21">
        <f t="shared" si="0"/>
        <v>1.1834319526627219E-2</v>
      </c>
      <c r="L15" s="35">
        <f t="shared" si="6"/>
        <v>0.61021501970274827</v>
      </c>
      <c r="M15" s="35">
        <f t="shared" si="7"/>
        <v>0.34909497128693862</v>
      </c>
      <c r="N15" s="33">
        <v>42</v>
      </c>
      <c r="O15" s="21">
        <f t="shared" si="1"/>
        <v>2.7613412228796843E-2</v>
      </c>
      <c r="P15" s="36">
        <f t="shared" si="2"/>
        <v>1.4238350459730793</v>
      </c>
      <c r="Q15" s="35">
        <f t="shared" si="3"/>
        <v>0.81455493300285675</v>
      </c>
      <c r="R15" s="33">
        <v>35</v>
      </c>
      <c r="S15" s="21">
        <f t="shared" si="4"/>
        <v>2.3011176857330704E-2</v>
      </c>
      <c r="T15" s="36">
        <f t="shared" si="8"/>
        <v>1.1865292049775662</v>
      </c>
      <c r="U15" s="35">
        <f t="shared" si="9"/>
        <v>0.67879577750238063</v>
      </c>
      <c r="V15" s="33">
        <v>22</v>
      </c>
      <c r="W15" s="21">
        <f t="shared" si="5"/>
        <v>1.4464168310322156E-2</v>
      </c>
      <c r="X15" s="35">
        <f t="shared" si="10"/>
        <v>0.74581835741447011</v>
      </c>
      <c r="Y15" s="35">
        <f t="shared" si="11"/>
        <v>0.42667163157292498</v>
      </c>
      <c r="Z15" s="32"/>
      <c r="AA15">
        <v>100</v>
      </c>
      <c r="AB15" t="s">
        <v>26</v>
      </c>
      <c r="AC15" t="s">
        <v>42</v>
      </c>
      <c r="AD15" t="s">
        <v>8</v>
      </c>
      <c r="AE15" t="s">
        <v>5</v>
      </c>
      <c r="AF15" t="s">
        <v>8</v>
      </c>
      <c r="AG15" t="s">
        <v>8</v>
      </c>
      <c r="AH15">
        <v>467</v>
      </c>
      <c r="AI15" s="2">
        <f t="shared" si="12"/>
        <v>1.9393687707641195E-2</v>
      </c>
      <c r="AJ15" s="2">
        <f t="shared" si="13"/>
        <v>1.9393687707641195E-2</v>
      </c>
      <c r="AK15" s="2">
        <v>4.1000000000000002E-2</v>
      </c>
      <c r="AL15" s="2">
        <v>3.7999999999999999E-2</v>
      </c>
      <c r="AM15" s="2">
        <v>3.39E-2</v>
      </c>
      <c r="AN15" s="2">
        <v>3.7999999999999999E-2</v>
      </c>
    </row>
    <row r="16" spans="1:40" ht="15.75" x14ac:dyDescent="0.25">
      <c r="A16" t="s">
        <v>527</v>
      </c>
      <c r="B16" t="s">
        <v>44</v>
      </c>
      <c r="C16" t="s">
        <v>45</v>
      </c>
      <c r="D16">
        <v>115.13</v>
      </c>
      <c r="E16" t="s">
        <v>46</v>
      </c>
      <c r="F16">
        <v>1.99</v>
      </c>
      <c r="G16">
        <v>10.6</v>
      </c>
      <c r="H16" t="s">
        <v>3</v>
      </c>
      <c r="I16" s="38">
        <v>6.3</v>
      </c>
      <c r="J16" s="17">
        <v>158</v>
      </c>
      <c r="K16" s="37">
        <f t="shared" si="0"/>
        <v>0.10387902695595003</v>
      </c>
      <c r="L16" s="36">
        <f t="shared" si="6"/>
        <v>1.0768002449846219</v>
      </c>
      <c r="M16" s="36">
        <f t="shared" si="7"/>
        <v>1.7726796408865191</v>
      </c>
      <c r="N16" s="33">
        <v>146</v>
      </c>
      <c r="O16" s="37">
        <f t="shared" si="1"/>
        <v>9.5989480604865215E-2</v>
      </c>
      <c r="P16" s="35">
        <f t="shared" si="2"/>
        <v>0.99501794789718223</v>
      </c>
      <c r="Q16" s="36">
        <f t="shared" si="3"/>
        <v>1.6380457441103278</v>
      </c>
      <c r="R16" s="33">
        <v>515</v>
      </c>
      <c r="S16" s="37">
        <f t="shared" si="4"/>
        <v>0.33859303090072324</v>
      </c>
      <c r="T16" s="36">
        <f t="shared" si="8"/>
        <v>3.5098235833359515</v>
      </c>
      <c r="U16" s="36">
        <f t="shared" si="9"/>
        <v>5.7780380699782112</v>
      </c>
      <c r="V16" s="33">
        <v>178</v>
      </c>
      <c r="W16" s="37">
        <f t="shared" si="5"/>
        <v>0.11702827087442472</v>
      </c>
      <c r="X16" s="35">
        <f t="shared" si="10"/>
        <v>1.213104073463688</v>
      </c>
      <c r="Y16" s="36">
        <f t="shared" si="11"/>
        <v>1.997069468846838</v>
      </c>
      <c r="Z16" s="32"/>
      <c r="AA16">
        <v>-46</v>
      </c>
      <c r="AB16" t="s">
        <v>56</v>
      </c>
      <c r="AC16" t="s">
        <v>45</v>
      </c>
      <c r="AD16" t="s">
        <v>8</v>
      </c>
      <c r="AE16" t="s">
        <v>14</v>
      </c>
      <c r="AF16" t="s">
        <v>8</v>
      </c>
      <c r="AG16" t="s">
        <v>8</v>
      </c>
      <c r="AH16">
        <v>2323</v>
      </c>
      <c r="AI16" s="2">
        <f t="shared" si="12"/>
        <v>9.647009966777409E-2</v>
      </c>
      <c r="AJ16" s="2">
        <f t="shared" si="13"/>
        <v>9.647009966777409E-2</v>
      </c>
      <c r="AK16" s="2">
        <v>4.7E-2</v>
      </c>
      <c r="AL16" s="2">
        <v>6.0999999999999999E-2</v>
      </c>
      <c r="AM16" s="2">
        <v>5.8600000000000006E-2</v>
      </c>
      <c r="AN16" s="2">
        <v>5.7200000000000001E-2</v>
      </c>
    </row>
    <row r="17" spans="1:40" ht="15.75" x14ac:dyDescent="0.25">
      <c r="A17" t="s">
        <v>47</v>
      </c>
      <c r="B17" t="s">
        <v>48</v>
      </c>
      <c r="C17" t="s">
        <v>49</v>
      </c>
      <c r="D17">
        <v>105.09</v>
      </c>
      <c r="E17" t="s">
        <v>50</v>
      </c>
      <c r="F17">
        <v>2.21</v>
      </c>
      <c r="G17">
        <v>9.15</v>
      </c>
      <c r="H17" t="s">
        <v>3</v>
      </c>
      <c r="I17" s="38">
        <v>5.68</v>
      </c>
      <c r="J17" s="17">
        <f>129+123</f>
        <v>252</v>
      </c>
      <c r="K17" s="37">
        <f t="shared" si="0"/>
        <v>0.16568047337278108</v>
      </c>
      <c r="L17" s="36">
        <f t="shared" si="6"/>
        <v>1.8651640013167687</v>
      </c>
      <c r="M17" s="36">
        <f t="shared" si="7"/>
        <v>2.0684203916701756</v>
      </c>
      <c r="N17" s="33">
        <f>99+91</f>
        <v>190</v>
      </c>
      <c r="O17" s="37">
        <f t="shared" si="1"/>
        <v>0.12491781722550953</v>
      </c>
      <c r="P17" s="36">
        <f t="shared" si="2"/>
        <v>1.406274445437246</v>
      </c>
      <c r="Q17" s="36">
        <f t="shared" si="3"/>
        <v>1.5595233111798941</v>
      </c>
      <c r="R17" s="33">
        <f>99+53</f>
        <v>152</v>
      </c>
      <c r="S17" s="37">
        <f t="shared" si="4"/>
        <v>9.9934253780407628E-2</v>
      </c>
      <c r="T17" s="36">
        <f t="shared" si="8"/>
        <v>1.1250195563497969</v>
      </c>
      <c r="U17" s="36">
        <f t="shared" si="9"/>
        <v>1.2476186489439154</v>
      </c>
      <c r="V17" s="33">
        <f>113+124</f>
        <v>237</v>
      </c>
      <c r="W17" s="37">
        <f t="shared" si="5"/>
        <v>0.15581854043392504</v>
      </c>
      <c r="X17" s="35">
        <f t="shared" si="10"/>
        <v>1.7541423345717226</v>
      </c>
      <c r="Y17" s="36">
        <f t="shared" si="11"/>
        <v>1.9453001302612363</v>
      </c>
      <c r="Z17" s="32">
        <v>1240</v>
      </c>
      <c r="AA17">
        <v>-5</v>
      </c>
      <c r="AB17" t="s">
        <v>8</v>
      </c>
      <c r="AC17" t="s">
        <v>49</v>
      </c>
      <c r="AD17" t="s">
        <v>8</v>
      </c>
      <c r="AE17" t="s">
        <v>26</v>
      </c>
      <c r="AF17" t="s">
        <v>8</v>
      </c>
      <c r="AG17" t="s">
        <v>81</v>
      </c>
      <c r="AH17">
        <v>2139</v>
      </c>
      <c r="AI17" s="2">
        <f t="shared" si="12"/>
        <v>8.882890365448505E-2</v>
      </c>
      <c r="AJ17" s="2">
        <f>AI17+AI22</f>
        <v>0.14032392026578072</v>
      </c>
      <c r="AK17" s="2">
        <v>6.9000000000000006E-2</v>
      </c>
      <c r="AL17" s="2">
        <v>0.08</v>
      </c>
      <c r="AM17" s="2">
        <v>8.0100000000000005E-2</v>
      </c>
      <c r="AN17" s="2">
        <v>7.7799999999999994E-2</v>
      </c>
    </row>
    <row r="18" spans="1:40" ht="15.75" x14ac:dyDescent="0.25">
      <c r="A18" t="s">
        <v>528</v>
      </c>
      <c r="B18" t="s">
        <v>51</v>
      </c>
      <c r="C18" t="s">
        <v>52</v>
      </c>
      <c r="D18">
        <v>119.12</v>
      </c>
      <c r="E18" t="s">
        <v>53</v>
      </c>
      <c r="F18">
        <v>2.09</v>
      </c>
      <c r="G18">
        <v>9.1</v>
      </c>
      <c r="H18" t="s">
        <v>3</v>
      </c>
      <c r="I18" s="38">
        <v>5.6</v>
      </c>
      <c r="J18" s="17">
        <f>63+37</f>
        <v>100</v>
      </c>
      <c r="K18" s="37">
        <f t="shared" si="0"/>
        <v>6.5746219592373437E-2</v>
      </c>
      <c r="L18" s="36">
        <f t="shared" si="6"/>
        <v>1.5237429911302718</v>
      </c>
      <c r="M18" s="36">
        <f t="shared" si="7"/>
        <v>1.2791093305909231</v>
      </c>
      <c r="N18" s="33">
        <f>31+14</f>
        <v>45</v>
      </c>
      <c r="O18" s="21">
        <f t="shared" si="1"/>
        <v>2.9585798816568046E-2</v>
      </c>
      <c r="P18" s="35">
        <f t="shared" si="2"/>
        <v>0.68568434600862227</v>
      </c>
      <c r="Q18" s="35">
        <f t="shared" si="3"/>
        <v>0.57559919876591537</v>
      </c>
      <c r="R18" s="33">
        <f>22+13</f>
        <v>35</v>
      </c>
      <c r="S18" s="21">
        <f t="shared" si="4"/>
        <v>2.3011176857330704E-2</v>
      </c>
      <c r="T18" s="35">
        <f t="shared" si="8"/>
        <v>0.53331004689559514</v>
      </c>
      <c r="U18" s="35">
        <f t="shared" si="9"/>
        <v>0.44768826570682307</v>
      </c>
      <c r="V18" s="33">
        <f>67+34</f>
        <v>101</v>
      </c>
      <c r="W18" s="37">
        <f t="shared" si="5"/>
        <v>6.640368178829717E-2</v>
      </c>
      <c r="X18" s="35">
        <f t="shared" si="10"/>
        <v>1.5389804210415745</v>
      </c>
      <c r="Y18" s="35">
        <f t="shared" si="11"/>
        <v>1.2919004238968321</v>
      </c>
      <c r="Z18" s="32">
        <v>195</v>
      </c>
      <c r="AA18">
        <v>13</v>
      </c>
      <c r="AB18" t="s">
        <v>8</v>
      </c>
      <c r="AC18" t="s">
        <v>52</v>
      </c>
      <c r="AD18" t="s">
        <v>8</v>
      </c>
      <c r="AE18" t="s">
        <v>26</v>
      </c>
      <c r="AF18" t="s">
        <v>8</v>
      </c>
      <c r="AG18" t="s">
        <v>81</v>
      </c>
      <c r="AH18">
        <v>1039</v>
      </c>
      <c r="AI18" s="2">
        <f t="shared" si="12"/>
        <v>4.3147840531561461E-2</v>
      </c>
      <c r="AJ18" s="2">
        <f>AI18+AI23</f>
        <v>5.1245847176079731E-2</v>
      </c>
      <c r="AK18" s="2">
        <v>5.5E-2</v>
      </c>
      <c r="AL18" s="2">
        <v>5.2999999999999999E-2</v>
      </c>
      <c r="AM18" s="2">
        <v>5.1399999999999994E-2</v>
      </c>
      <c r="AN18" s="2">
        <v>5.2400000000000002E-2</v>
      </c>
    </row>
    <row r="19" spans="1:40" ht="15.75" x14ac:dyDescent="0.25">
      <c r="A19" t="s">
        <v>54</v>
      </c>
      <c r="B19" t="s">
        <v>55</v>
      </c>
      <c r="C19" t="s">
        <v>56</v>
      </c>
      <c r="D19">
        <v>204.23</v>
      </c>
      <c r="E19" t="s">
        <v>57</v>
      </c>
      <c r="F19">
        <v>2.83</v>
      </c>
      <c r="G19">
        <v>9.39</v>
      </c>
      <c r="H19" t="s">
        <v>3</v>
      </c>
      <c r="I19" s="38">
        <v>5.89</v>
      </c>
      <c r="J19" s="17">
        <v>6</v>
      </c>
      <c r="K19" s="21">
        <f t="shared" si="0"/>
        <v>3.9447731755424065E-3</v>
      </c>
      <c r="L19" s="35">
        <f t="shared" si="6"/>
        <v>0.89613337799114301</v>
      </c>
      <c r="M19" s="35">
        <f t="shared" si="7"/>
        <v>0.39057160153885212</v>
      </c>
      <c r="N19" s="33">
        <v>7</v>
      </c>
      <c r="O19" s="21">
        <f t="shared" si="1"/>
        <v>4.6022353714661405E-3</v>
      </c>
      <c r="P19" s="35">
        <f t="shared" si="2"/>
        <v>1.0454889409896666</v>
      </c>
      <c r="Q19" s="35">
        <f t="shared" si="3"/>
        <v>0.45566686846199411</v>
      </c>
      <c r="R19" s="33">
        <v>8</v>
      </c>
      <c r="S19" s="21">
        <f t="shared" si="4"/>
        <v>5.2596975673898753E-3</v>
      </c>
      <c r="T19" s="36">
        <f t="shared" si="8"/>
        <v>1.1948445039881905</v>
      </c>
      <c r="U19" s="35">
        <f t="shared" si="9"/>
        <v>0.52076213538513616</v>
      </c>
      <c r="V19" s="33">
        <v>2</v>
      </c>
      <c r="W19" s="21">
        <f t="shared" si="5"/>
        <v>1.3149243918474688E-3</v>
      </c>
      <c r="X19" s="35">
        <f t="shared" si="10"/>
        <v>0.29871112599704763</v>
      </c>
      <c r="Y19" s="35">
        <f t="shared" si="11"/>
        <v>0.13019053384628404</v>
      </c>
      <c r="Z19" s="32"/>
      <c r="AA19">
        <v>97</v>
      </c>
      <c r="AB19" t="s">
        <v>26</v>
      </c>
      <c r="AC19" t="s">
        <v>56</v>
      </c>
      <c r="AD19" t="s">
        <v>8</v>
      </c>
      <c r="AE19" t="s">
        <v>5</v>
      </c>
      <c r="AF19" t="s">
        <v>8</v>
      </c>
      <c r="AG19" t="s">
        <v>8</v>
      </c>
      <c r="AH19">
        <v>106</v>
      </c>
      <c r="AI19" s="2">
        <f t="shared" si="12"/>
        <v>4.4019933554817273E-3</v>
      </c>
      <c r="AJ19" s="2">
        <f t="shared" si="13"/>
        <v>4.4019933554817273E-3</v>
      </c>
      <c r="AK19" s="2">
        <v>1.2E-2</v>
      </c>
      <c r="AL19" s="2">
        <v>1.2E-2</v>
      </c>
      <c r="AM19" s="2">
        <v>1.01E-2</v>
      </c>
      <c r="AN19" s="2">
        <v>1.3100000000000001E-2</v>
      </c>
    </row>
    <row r="20" spans="1:40" ht="19.5" x14ac:dyDescent="0.4">
      <c r="A20" t="s">
        <v>529</v>
      </c>
      <c r="B20" t="s">
        <v>58</v>
      </c>
      <c r="C20" t="s">
        <v>59</v>
      </c>
      <c r="D20">
        <v>181.19</v>
      </c>
      <c r="E20" t="s">
        <v>60</v>
      </c>
      <c r="F20">
        <v>2.2000000000000002</v>
      </c>
      <c r="G20">
        <v>9.11</v>
      </c>
      <c r="H20">
        <v>10.07</v>
      </c>
      <c r="I20" s="38">
        <v>5.66</v>
      </c>
      <c r="J20" s="17">
        <f>18+4</f>
        <v>22</v>
      </c>
      <c r="K20" s="21">
        <f t="shared" si="0"/>
        <v>1.4464168310322156E-2</v>
      </c>
      <c r="L20" s="35">
        <f t="shared" si="6"/>
        <v>1.1648734880018647</v>
      </c>
      <c r="M20" s="35">
        <f t="shared" si="7"/>
        <v>0.52982301503011564</v>
      </c>
      <c r="N20" s="33">
        <f>10+2</f>
        <v>12</v>
      </c>
      <c r="O20" s="21">
        <f t="shared" si="1"/>
        <v>7.889546351084813E-3</v>
      </c>
      <c r="P20" s="35">
        <f t="shared" si="2"/>
        <v>0.63538553891010807</v>
      </c>
      <c r="Q20" s="35">
        <f t="shared" si="3"/>
        <v>0.28899437183460852</v>
      </c>
      <c r="R20" s="33">
        <f>11+3</f>
        <v>14</v>
      </c>
      <c r="S20" s="21">
        <f t="shared" si="4"/>
        <v>9.204470742932281E-3</v>
      </c>
      <c r="T20" s="35">
        <f t="shared" si="8"/>
        <v>0.74128312872845936</v>
      </c>
      <c r="U20" s="35">
        <f t="shared" si="9"/>
        <v>0.33716010047370992</v>
      </c>
      <c r="V20" s="33">
        <v>10</v>
      </c>
      <c r="W20" s="21">
        <f t="shared" si="5"/>
        <v>6.5746219592373442E-3</v>
      </c>
      <c r="X20" s="35">
        <f t="shared" si="10"/>
        <v>0.52948794909175667</v>
      </c>
      <c r="Y20" s="35">
        <f t="shared" si="11"/>
        <v>0.24082864319550709</v>
      </c>
      <c r="Z20" s="32">
        <v>25</v>
      </c>
      <c r="AA20">
        <v>63</v>
      </c>
      <c r="AB20" t="s">
        <v>76</v>
      </c>
      <c r="AC20" t="s">
        <v>59</v>
      </c>
      <c r="AD20" t="s">
        <v>8</v>
      </c>
      <c r="AE20" t="s">
        <v>5</v>
      </c>
      <c r="AF20" t="s">
        <v>8</v>
      </c>
      <c r="AG20" t="s">
        <v>81</v>
      </c>
      <c r="AH20">
        <v>299</v>
      </c>
      <c r="AI20" s="2">
        <f t="shared" si="12"/>
        <v>1.2416943521594684E-2</v>
      </c>
      <c r="AJ20" s="2">
        <f>AI20+AI24</f>
        <v>1.3455149501661129E-2</v>
      </c>
      <c r="AK20" s="2">
        <v>3.1E-2</v>
      </c>
      <c r="AL20" s="2">
        <v>2.8000000000000001E-2</v>
      </c>
      <c r="AM20" s="2">
        <v>2.7300000000000001E-2</v>
      </c>
      <c r="AN20" s="2">
        <v>2.8300000000000002E-2</v>
      </c>
    </row>
    <row r="21" spans="1:40" ht="15.75" x14ac:dyDescent="0.25">
      <c r="A21" t="s">
        <v>61</v>
      </c>
      <c r="B21" t="s">
        <v>62</v>
      </c>
      <c r="C21" t="s">
        <v>63</v>
      </c>
      <c r="D21">
        <v>117.15</v>
      </c>
      <c r="E21" t="s">
        <v>64</v>
      </c>
      <c r="F21">
        <v>2.3199999999999998</v>
      </c>
      <c r="G21">
        <v>9.6199999999999992</v>
      </c>
      <c r="H21" t="s">
        <v>3</v>
      </c>
      <c r="I21" s="38">
        <v>5.96</v>
      </c>
      <c r="J21" s="17">
        <v>45</v>
      </c>
      <c r="K21" s="21">
        <f t="shared" si="0"/>
        <v>2.9585798816568046E-2</v>
      </c>
      <c r="L21" s="35">
        <f t="shared" si="6"/>
        <v>0.66831710647557085</v>
      </c>
      <c r="M21" s="35">
        <f t="shared" si="7"/>
        <v>0.50230558262424529</v>
      </c>
      <c r="N21" s="33">
        <v>50</v>
      </c>
      <c r="O21" s="21">
        <f t="shared" si="1"/>
        <v>3.2873109796186718E-2</v>
      </c>
      <c r="P21" s="35">
        <f t="shared" si="2"/>
        <v>0.74257456275063438</v>
      </c>
      <c r="Q21" s="35">
        <f t="shared" si="3"/>
        <v>0.5581173140269392</v>
      </c>
      <c r="R21" s="33">
        <v>49</v>
      </c>
      <c r="S21" s="21">
        <f t="shared" si="4"/>
        <v>3.2215647600262985E-2</v>
      </c>
      <c r="T21" s="35">
        <f t="shared" si="8"/>
        <v>0.72772307149562165</v>
      </c>
      <c r="U21" s="35">
        <f t="shared" si="9"/>
        <v>0.54695496774640051</v>
      </c>
      <c r="V21" s="33">
        <v>69</v>
      </c>
      <c r="W21" s="21">
        <f t="shared" si="5"/>
        <v>4.5364891518737675E-2</v>
      </c>
      <c r="X21" s="35">
        <f t="shared" si="10"/>
        <v>1.0247528965958754</v>
      </c>
      <c r="Y21" s="35">
        <f t="shared" si="11"/>
        <v>0.77020189335717626</v>
      </c>
      <c r="Z21" s="32"/>
      <c r="AA21">
        <v>76</v>
      </c>
      <c r="AB21" t="s">
        <v>26</v>
      </c>
      <c r="AC21" t="s">
        <v>63</v>
      </c>
      <c r="AD21" t="s">
        <v>8</v>
      </c>
      <c r="AE21" t="s">
        <v>33</v>
      </c>
      <c r="AF21" t="s">
        <v>8</v>
      </c>
      <c r="AG21" t="s">
        <v>8</v>
      </c>
      <c r="AH21">
        <v>1066</v>
      </c>
      <c r="AI21" s="2">
        <f t="shared" si="12"/>
        <v>4.426910299003322E-2</v>
      </c>
      <c r="AJ21" s="2">
        <f t="shared" si="13"/>
        <v>4.426910299003322E-2</v>
      </c>
      <c r="AK21" s="2">
        <v>6.7000000000000004E-2</v>
      </c>
      <c r="AL21" s="2">
        <v>6.0999999999999999E-2</v>
      </c>
      <c r="AM21" s="2">
        <v>5.8899999999999994E-2</v>
      </c>
      <c r="AN21" s="2">
        <v>6.25E-2</v>
      </c>
    </row>
    <row r="22" spans="1:40" ht="18" customHeight="1" x14ac:dyDescent="0.25">
      <c r="A22" t="s">
        <v>530</v>
      </c>
      <c r="B22" t="s">
        <v>88</v>
      </c>
      <c r="C22" t="s">
        <v>83</v>
      </c>
      <c r="K22" s="21"/>
      <c r="L22" s="35"/>
      <c r="M22" s="35"/>
      <c r="O22" s="21"/>
      <c r="P22" s="35"/>
      <c r="Q22" s="35"/>
      <c r="W22" s="21"/>
      <c r="X22" s="35"/>
      <c r="Y22" s="35"/>
      <c r="AH22">
        <v>1240</v>
      </c>
      <c r="AI22" s="2">
        <f t="shared" si="12"/>
        <v>5.1495016611295678E-2</v>
      </c>
      <c r="AJ22" s="2"/>
      <c r="AK22" s="2"/>
      <c r="AL22" s="2"/>
    </row>
    <row r="23" spans="1:40" ht="18" customHeight="1" x14ac:dyDescent="0.25">
      <c r="A23" t="s">
        <v>84</v>
      </c>
      <c r="B23" t="s">
        <v>88</v>
      </c>
      <c r="C23" t="s">
        <v>85</v>
      </c>
      <c r="J23" s="17" t="s">
        <v>49</v>
      </c>
      <c r="K23" s="37">
        <v>0.17</v>
      </c>
      <c r="L23" s="35"/>
      <c r="M23" s="35"/>
      <c r="N23" s="21" t="s">
        <v>49</v>
      </c>
      <c r="O23" s="40">
        <v>0.12</v>
      </c>
      <c r="P23" s="35"/>
      <c r="Q23" s="35"/>
      <c r="R23" s="17" t="s">
        <v>45</v>
      </c>
      <c r="S23" s="37">
        <v>0.34</v>
      </c>
      <c r="V23" s="17" t="s">
        <v>49</v>
      </c>
      <c r="W23" s="37">
        <v>0.16</v>
      </c>
      <c r="X23" s="35"/>
      <c r="Y23" s="35" t="s">
        <v>552</v>
      </c>
      <c r="AH23">
        <v>195</v>
      </c>
      <c r="AI23" s="2">
        <f t="shared" si="12"/>
        <v>8.0980066445182717E-3</v>
      </c>
      <c r="AJ23" s="2"/>
      <c r="AK23" s="2"/>
      <c r="AL23" s="2"/>
    </row>
    <row r="24" spans="1:40" ht="18" customHeight="1" x14ac:dyDescent="0.25">
      <c r="A24" t="s">
        <v>532</v>
      </c>
      <c r="B24" t="s">
        <v>88</v>
      </c>
      <c r="C24" t="s">
        <v>86</v>
      </c>
      <c r="J24" s="17" t="s">
        <v>45</v>
      </c>
      <c r="K24" s="21">
        <v>0.1</v>
      </c>
      <c r="L24" s="35"/>
      <c r="M24" s="35"/>
      <c r="N24" s="21" t="s">
        <v>23</v>
      </c>
      <c r="O24" s="39">
        <v>0.11</v>
      </c>
      <c r="P24" s="35"/>
      <c r="Q24" s="35"/>
      <c r="R24" s="17" t="s">
        <v>49</v>
      </c>
      <c r="S24" s="39">
        <v>0.1</v>
      </c>
      <c r="V24" s="17" t="s">
        <v>17</v>
      </c>
      <c r="W24" s="21">
        <v>0.13</v>
      </c>
      <c r="X24" s="35"/>
      <c r="Y24" s="35"/>
      <c r="AH24">
        <v>25</v>
      </c>
      <c r="AI24" s="2">
        <f t="shared" si="12"/>
        <v>1.0382059800664453E-3</v>
      </c>
      <c r="AJ24" s="2"/>
      <c r="AK24" s="2"/>
      <c r="AL24" s="2"/>
    </row>
    <row r="25" spans="1:40" ht="18" customHeight="1" x14ac:dyDescent="0.25">
      <c r="A25" t="s">
        <v>531</v>
      </c>
      <c r="B25" t="s">
        <v>88</v>
      </c>
      <c r="C25" t="s">
        <v>87</v>
      </c>
      <c r="J25" s="17" t="s">
        <v>5</v>
      </c>
      <c r="K25" s="21">
        <v>0.1</v>
      </c>
      <c r="L25" s="35"/>
      <c r="M25" s="35"/>
      <c r="N25" s="21" t="s">
        <v>45</v>
      </c>
      <c r="O25" s="39">
        <v>0.1</v>
      </c>
      <c r="P25" s="35"/>
      <c r="Q25" s="35"/>
      <c r="R25" s="17" t="s">
        <v>33</v>
      </c>
      <c r="S25" s="39">
        <v>0.08</v>
      </c>
      <c r="V25" s="17" t="s">
        <v>45</v>
      </c>
      <c r="W25" s="21">
        <v>0.12</v>
      </c>
      <c r="X25" s="35"/>
      <c r="Y25" s="35"/>
      <c r="AH25">
        <v>79</v>
      </c>
      <c r="AI25" s="2">
        <f t="shared" si="12"/>
        <v>3.2807308970099667E-3</v>
      </c>
      <c r="AJ25" s="2"/>
      <c r="AK25" s="2"/>
      <c r="AL25" s="2"/>
    </row>
    <row r="26" spans="1:40" x14ac:dyDescent="0.25">
      <c r="J26" s="17" t="s">
        <v>17</v>
      </c>
      <c r="K26" s="21">
        <v>7.0000000000000007E-2</v>
      </c>
      <c r="L26" s="35"/>
      <c r="M26" s="35"/>
      <c r="N26" s="21" t="s">
        <v>5</v>
      </c>
      <c r="O26" s="39">
        <v>0.09</v>
      </c>
      <c r="P26" s="35"/>
      <c r="Q26" s="35"/>
      <c r="R26" s="17" t="s">
        <v>11</v>
      </c>
      <c r="S26" s="39">
        <v>7.0000000000000007E-2</v>
      </c>
      <c r="V26" s="17" t="s">
        <v>23</v>
      </c>
      <c r="W26" s="21">
        <v>0.09</v>
      </c>
      <c r="X26" s="35"/>
      <c r="Y26" s="35"/>
      <c r="AI26" s="1"/>
      <c r="AJ26" s="2"/>
    </row>
    <row r="27" spans="1:40" x14ac:dyDescent="0.25">
      <c r="J27" s="17" t="s">
        <v>1</v>
      </c>
      <c r="K27" s="21">
        <v>7.0000000000000007E-2</v>
      </c>
      <c r="L27" s="35"/>
      <c r="M27" s="35"/>
      <c r="N27" s="21" t="s">
        <v>11</v>
      </c>
      <c r="O27" s="39">
        <v>0.08</v>
      </c>
      <c r="P27" s="35"/>
      <c r="Q27" s="35"/>
      <c r="R27" s="17" t="s">
        <v>17</v>
      </c>
      <c r="S27" s="39">
        <v>0.06</v>
      </c>
      <c r="V27" s="17" t="s">
        <v>11</v>
      </c>
      <c r="W27" s="21">
        <v>0.08</v>
      </c>
      <c r="X27" s="35"/>
      <c r="Y27" s="35"/>
      <c r="AJ27" s="2"/>
    </row>
    <row r="28" spans="1:40" x14ac:dyDescent="0.25">
      <c r="J28" s="17" t="s">
        <v>52</v>
      </c>
      <c r="K28" s="21">
        <v>7.0000000000000007E-2</v>
      </c>
      <c r="L28" s="35"/>
      <c r="M28" s="35"/>
      <c r="N28" s="21" t="s">
        <v>33</v>
      </c>
      <c r="O28" s="39">
        <v>0.08</v>
      </c>
      <c r="P28" s="35"/>
      <c r="Q28" s="35"/>
      <c r="R28" s="17" t="s">
        <v>23</v>
      </c>
      <c r="S28" s="39">
        <v>0.06</v>
      </c>
      <c r="V28" s="17" t="s">
        <v>52</v>
      </c>
      <c r="W28" s="21">
        <v>7.0000000000000007E-2</v>
      </c>
      <c r="X28" s="35"/>
      <c r="Y28" s="35"/>
      <c r="AJ28" s="2"/>
    </row>
    <row r="31" spans="1:40" x14ac:dyDescent="0.25">
      <c r="A31" s="73" t="s">
        <v>553</v>
      </c>
      <c r="B31" s="73"/>
      <c r="C31" s="73"/>
      <c r="D31" s="73"/>
      <c r="E31" s="73"/>
      <c r="F31" s="73"/>
      <c r="G31" s="73"/>
      <c r="H31" s="73"/>
      <c r="I31" s="73"/>
    </row>
    <row r="32" spans="1:40" x14ac:dyDescent="0.25">
      <c r="A32" s="72" t="s">
        <v>554</v>
      </c>
      <c r="B32" s="72"/>
      <c r="C32" s="72"/>
      <c r="D32" s="72"/>
      <c r="E32" s="72"/>
      <c r="F32" s="72"/>
      <c r="G32" s="72"/>
      <c r="H32" s="72"/>
      <c r="I32" s="72"/>
    </row>
    <row r="33" spans="1:9" x14ac:dyDescent="0.25">
      <c r="A33" s="72" t="s">
        <v>94</v>
      </c>
      <c r="B33" s="72"/>
      <c r="C33" s="72"/>
      <c r="D33" s="72"/>
      <c r="E33" s="72"/>
      <c r="F33" s="72"/>
      <c r="G33" s="72"/>
      <c r="H33" s="72"/>
      <c r="I33" s="72"/>
    </row>
    <row r="34" spans="1:9" x14ac:dyDescent="0.25">
      <c r="A34" s="72" t="s">
        <v>555</v>
      </c>
      <c r="B34" s="72"/>
      <c r="C34" s="72"/>
      <c r="D34" s="72"/>
      <c r="E34" s="72"/>
      <c r="F34" s="72"/>
      <c r="G34" s="72"/>
      <c r="H34" s="72"/>
      <c r="I34" s="72"/>
    </row>
    <row r="35" spans="1:9" x14ac:dyDescent="0.25">
      <c r="A35" s="73" t="s">
        <v>556</v>
      </c>
      <c r="B35" s="73"/>
      <c r="C35" s="73"/>
      <c r="D35" s="73"/>
      <c r="E35" s="73"/>
      <c r="F35" s="73"/>
      <c r="G35" s="73"/>
      <c r="H35" s="73"/>
      <c r="I35" s="73"/>
    </row>
    <row r="36" spans="1:9" x14ac:dyDescent="0.25">
      <c r="A36" s="72" t="s">
        <v>473</v>
      </c>
      <c r="B36" s="72"/>
      <c r="C36" s="72"/>
      <c r="D36" s="72"/>
      <c r="E36" s="72"/>
      <c r="F36" s="72"/>
      <c r="G36" s="72"/>
      <c r="H36" s="72"/>
      <c r="I36" s="72"/>
    </row>
    <row r="37" spans="1:9" x14ac:dyDescent="0.25">
      <c r="A37" s="72" t="s">
        <v>474</v>
      </c>
      <c r="B37" s="72"/>
      <c r="C37" s="72"/>
      <c r="D37" s="72"/>
      <c r="E37" s="72"/>
      <c r="F37" s="72"/>
      <c r="G37" s="72"/>
      <c r="H37" s="72"/>
      <c r="I37" s="72"/>
    </row>
  </sheetData>
  <autoFilter ref="AB1:AG28" xr:uid="{E20A6CBF-76E3-4D72-ABA1-AD6D2BD2A113}"/>
  <mergeCells count="7">
    <mergeCell ref="A32:I32"/>
    <mergeCell ref="A33:I33"/>
    <mergeCell ref="A34:I34"/>
    <mergeCell ref="A36:I36"/>
    <mergeCell ref="A37:I37"/>
    <mergeCell ref="A31:I31"/>
    <mergeCell ref="A35:I35"/>
  </mergeCells>
  <hyperlinks>
    <hyperlink ref="A2" r:id="rId1" display="https://www.sigmaaldrich.com/DE/de/search/alanine?focus=products&amp;page=1&amp;perPage=30&amp;sort=relevance&amp;term=alanine&amp;type=product" xr:uid="{C936BE1C-AA13-4A33-9D5B-9B494E3ECD2C}"/>
    <hyperlink ref="A3" r:id="rId2" display="https://www.sigmaaldrich.com/DE/de/search/arginine?focus=products&amp;page=1&amp;perPage=30&amp;sort=relevance&amp;term=arginine&amp;type=product" xr:uid="{97633E77-4D91-45A5-811A-9876B2EB9887}"/>
    <hyperlink ref="A4" r:id="rId3" display="https://www.sigmaaldrich.com/DE/de/search/asparagine?focus=products&amp;page=1&amp;perPage=30&amp;sort=relevance&amp;term=asparagine&amp;type=product" xr:uid="{8B8F4FD0-EC94-4130-A147-527B430CFEF3}"/>
    <hyperlink ref="A5" r:id="rId4" display="https://www.sigmaaldrich.com/search/aspartic+acid?focus=products&amp;page=1&amp;perPage=30&amp;sort=relevance&amp;term=aspartic+acid&amp;type=product" xr:uid="{58D7621D-6628-4872-96C3-069D8B30F9B5}"/>
    <hyperlink ref="A6" r:id="rId5" display="https://www.sigmaaldrich.com/DE/de/search/cysteine?focus=products&amp;page=1&amp;perPage=30&amp;sort=relevance&amp;term=cysteine&amp;type=product" xr:uid="{FE356185-5E92-4AB5-A7E3-BF156969634B}"/>
    <hyperlink ref="A7" r:id="rId6" display="https://www.sigmaaldrich.com/search/glutamic+acid?focus=products&amp;page=1&amp;perPage=30&amp;sort=relevance&amp;term=glutamic+acid&amp;type=product" xr:uid="{99F9E941-E989-464E-8DF0-E479E6EF3DC1}"/>
    <hyperlink ref="A8" r:id="rId7" display="https://www.sigmaaldrich.com/DE/de/search/glutamine?focus=products&amp;page=1&amp;perPage=30&amp;sort=relevance&amp;term=glutamine&amp;type=product" xr:uid="{BC2D6C5F-FED1-4E4E-9E7E-BECAAA6273AC}"/>
    <hyperlink ref="A9" r:id="rId8" display="https://www.sigmaaldrich.com/DE/de/search/glycine?focus=products&amp;page=1&amp;perPage=30&amp;sort=relevance&amp;term=glycine&amp;type=product" xr:uid="{D571A453-8350-497D-8521-B9E7C75DDFCC}"/>
    <hyperlink ref="A10" r:id="rId9" display="https://www.sigmaaldrich.com/DE/de/search/histidine?focus=products&amp;page=1&amp;perPage=30&amp;sort=relevance&amp;term=histidine&amp;type=product" xr:uid="{416A142C-36B4-4B7A-A9CA-4210F8056AF1}"/>
    <hyperlink ref="A11" r:id="rId10" display="https://www.sigmaaldrich.com/DE/de/search/leucine?focus=products&amp;page=1&amp;perPage=30&amp;sort=relevance&amp;term=leucine&amp;type=product" xr:uid="{AAEE1F12-1D56-464A-AC8C-79D8B6E92538}"/>
    <hyperlink ref="A12" r:id="rId11" display="https://www.sigmaaldrich.com/DE/de/search/lysine?focus=products&amp;page=1&amp;perPage=30&amp;sort=relevance&amp;term=lysine&amp;type=product" xr:uid="{32508EDB-AE44-47F0-9826-AA19F3ABBBAE}"/>
    <hyperlink ref="A13" r:id="rId12" display="https://www.sigmaaldrich.com/DE/de/search/methionine?focus=products&amp;page=1&amp;perPage=30&amp;sort=relevance&amp;term=methionine&amp;type=product" xr:uid="{F63B39DF-BB6D-4B1C-B4B5-C421A2C18427}"/>
    <hyperlink ref="A14" r:id="rId13" display="https://www.sigmaaldrich.com/DE/de/search/phenylalanine?focus=products&amp;page=1&amp;perPage=30&amp;sort=relevance&amp;term=phenylalanine&amp;type=product" xr:uid="{38C596EB-215A-4191-880C-71919AEACA15}"/>
    <hyperlink ref="A15" r:id="rId14" display="https://www.sigmaaldrich.com/DE/de/search/proline?focus=products&amp;page=1&amp;perPage=30&amp;sort=relevance&amp;term=proline&amp;type=product" xr:uid="{945987A5-7A71-4AFE-9818-3D45436B0E57}"/>
    <hyperlink ref="A16" r:id="rId15" display="https://www.sigmaaldrich.com/DE/de/search/serine?focus=products&amp;page=1&amp;perPage=30&amp;sort=relevance&amp;term=serine&amp;type=product" xr:uid="{1D059253-6821-4A8E-BA55-977D8BE10DC4}"/>
    <hyperlink ref="A17" r:id="rId16" display="https://www.sigmaaldrich.com/DE/de/search/serine?focus=products&amp;page=1&amp;perPage=30&amp;sort=relevance&amp;term=serine&amp;type=product" xr:uid="{C6338BC1-609E-4C28-98DC-9F0E53FFB3A6}"/>
    <hyperlink ref="A18" r:id="rId17" display="https://www.sigmaaldrich.com/DE/de/search/threonine?focus=products&amp;page=1&amp;perPage=30&amp;sort=relevance&amp;term=threonine&amp;type=product" xr:uid="{14CB156E-0FF1-4AC5-98D3-3C7DA3B6F124}"/>
    <hyperlink ref="A20" r:id="rId18" display="https://www.sigmaaldrich.com/DE/de/search/tyrosine?focus=products&amp;page=1&amp;perPage=30&amp;sort=relevance&amp;term=tyrosine&amp;type=product" xr:uid="{A1E39C32-D5C3-467F-A8CB-2D32F72F61FA}"/>
    <hyperlink ref="A21" r:id="rId19" display="https://www.sigmaaldrich.com/DE/de/search/valine?focus=products&amp;page=1&amp;perPage=30&amp;sort=relevance&amp;term=valine&amp;type=product" xr:uid="{BA6DE129-40AF-459F-B0C0-0001DCA184B3}"/>
    <hyperlink ref="A33" r:id="rId20" xr:uid="{2FBDB040-BC9E-4139-B65B-4D5D29729954}"/>
    <hyperlink ref="A32" r:id="rId21" xr:uid="{6166BEE3-4361-40E6-9225-82BF076734C3}"/>
    <hyperlink ref="A34" r:id="rId22" xr:uid="{20FDAB59-4EEC-4F0D-961D-F4583E6A8AA0}"/>
    <hyperlink ref="A36" r:id="rId23" xr:uid="{ED74B5E5-8A65-4EBA-83CE-F15876278B08}"/>
    <hyperlink ref="A37" r:id="rId24" location="R18" xr:uid="{8104B6D5-5F95-438E-861F-2EEA90246E90}"/>
  </hyperlinks>
  <pageMargins left="0.7" right="0.7" top="0.75" bottom="0.75" header="0.3" footer="0.3"/>
  <pageSetup paperSize="9" orientation="portrait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0257-7D3E-4548-879E-2D88251B895D}">
  <dimension ref="A1:O11"/>
  <sheetViews>
    <sheetView zoomScale="80" zoomScaleNormal="80" workbookViewId="0">
      <selection activeCell="L3" sqref="L3"/>
    </sheetView>
  </sheetViews>
  <sheetFormatPr defaultRowHeight="15" x14ac:dyDescent="0.25"/>
  <cols>
    <col min="1" max="1" width="6" customWidth="1"/>
    <col min="2" max="2" width="4.5703125" customWidth="1"/>
    <col min="3" max="3" width="9.140625" customWidth="1"/>
    <col min="4" max="4" width="8.7109375" customWidth="1"/>
    <col min="5" max="5" width="2" customWidth="1"/>
    <col min="6" max="6" width="3.85546875" customWidth="1"/>
    <col min="7" max="7" width="3.140625" customWidth="1"/>
    <col min="8" max="8" width="43.5703125" customWidth="1"/>
    <col min="9" max="10" width="6.28515625" customWidth="1"/>
    <col min="11" max="11" width="12.140625" style="14" customWidth="1"/>
    <col min="12" max="12" width="39.85546875" customWidth="1"/>
    <col min="13" max="13" width="5.7109375" customWidth="1"/>
    <col min="15" max="15" width="35.7109375" style="4" customWidth="1"/>
  </cols>
  <sheetData>
    <row r="1" spans="1:15" s="17" customFormat="1" ht="87" customHeight="1" x14ac:dyDescent="0.25">
      <c r="A1" s="16" t="s">
        <v>192</v>
      </c>
      <c r="B1" s="16" t="s">
        <v>197</v>
      </c>
      <c r="C1" s="13" t="s">
        <v>193</v>
      </c>
      <c r="D1" s="13" t="s">
        <v>354</v>
      </c>
      <c r="E1" s="16"/>
      <c r="F1" s="16" t="s">
        <v>191</v>
      </c>
      <c r="G1" s="13" t="s">
        <v>197</v>
      </c>
      <c r="H1" s="13" t="s">
        <v>353</v>
      </c>
      <c r="I1" s="13" t="s">
        <v>351</v>
      </c>
      <c r="J1" s="13" t="s">
        <v>357</v>
      </c>
      <c r="K1" s="13" t="s">
        <v>358</v>
      </c>
      <c r="L1" s="13" t="s">
        <v>352</v>
      </c>
      <c r="M1" s="13" t="s">
        <v>351</v>
      </c>
      <c r="N1" s="13" t="s">
        <v>357</v>
      </c>
      <c r="O1" s="13" t="s">
        <v>358</v>
      </c>
    </row>
    <row r="2" spans="1:15" ht="64.5" customHeight="1" x14ac:dyDescent="0.25">
      <c r="A2" s="11" t="s">
        <v>100</v>
      </c>
      <c r="B2" s="11">
        <v>12</v>
      </c>
      <c r="C2" s="11" t="s">
        <v>98</v>
      </c>
      <c r="D2" s="11" t="s">
        <v>88</v>
      </c>
      <c r="E2" s="3"/>
      <c r="F2" t="s">
        <v>110</v>
      </c>
      <c r="G2">
        <v>84</v>
      </c>
      <c r="H2" s="4" t="s">
        <v>142</v>
      </c>
      <c r="I2" s="4">
        <v>275</v>
      </c>
      <c r="J2" s="4">
        <v>0.26100000000000001</v>
      </c>
      <c r="K2" s="14" t="s">
        <v>326</v>
      </c>
      <c r="L2" s="4" t="s">
        <v>195</v>
      </c>
      <c r="M2">
        <v>-131</v>
      </c>
      <c r="N2" s="4">
        <v>0.73699999999999999</v>
      </c>
      <c r="O2" s="4" t="s">
        <v>359</v>
      </c>
    </row>
    <row r="3" spans="1:15" ht="46.5" customHeight="1" x14ac:dyDescent="0.25">
      <c r="A3" s="11" t="s">
        <v>101</v>
      </c>
      <c r="B3" s="11">
        <v>10</v>
      </c>
      <c r="C3" s="11" t="s">
        <v>98</v>
      </c>
      <c r="D3" s="11" t="s">
        <v>88</v>
      </c>
      <c r="E3" s="3"/>
      <c r="F3" t="s">
        <v>111</v>
      </c>
      <c r="G3">
        <v>44</v>
      </c>
      <c r="H3" s="3" t="s">
        <v>204</v>
      </c>
      <c r="I3" s="10">
        <v>74</v>
      </c>
      <c r="J3" s="10">
        <v>0.28599999999999998</v>
      </c>
      <c r="K3" s="15" t="s">
        <v>328</v>
      </c>
      <c r="L3" s="3" t="s">
        <v>196</v>
      </c>
      <c r="M3">
        <v>-147</v>
      </c>
      <c r="N3">
        <v>0.46700000000000003</v>
      </c>
      <c r="O3" s="4" t="s">
        <v>360</v>
      </c>
    </row>
    <row r="4" spans="1:15" ht="30.75" customHeight="1" x14ac:dyDescent="0.25">
      <c r="A4" s="11" t="s">
        <v>102</v>
      </c>
      <c r="B4" s="11">
        <v>7</v>
      </c>
      <c r="C4" s="11" t="s">
        <v>98</v>
      </c>
      <c r="D4" s="11" t="s">
        <v>88</v>
      </c>
      <c r="E4" s="3"/>
      <c r="F4" t="s">
        <v>112</v>
      </c>
      <c r="G4">
        <v>36</v>
      </c>
      <c r="H4" s="4" t="s">
        <v>335</v>
      </c>
      <c r="I4" s="4">
        <v>150</v>
      </c>
      <c r="J4" s="4">
        <v>0.13300000000000001</v>
      </c>
      <c r="K4" s="14" t="s">
        <v>327</v>
      </c>
      <c r="L4" s="4" t="s">
        <v>336</v>
      </c>
      <c r="M4">
        <v>-45</v>
      </c>
      <c r="N4" s="4">
        <v>0.36399999999999999</v>
      </c>
      <c r="O4" s="4" t="s">
        <v>361</v>
      </c>
    </row>
    <row r="5" spans="1:15" ht="45" x14ac:dyDescent="0.25">
      <c r="A5" s="11" t="s">
        <v>103</v>
      </c>
      <c r="B5" s="11">
        <v>6</v>
      </c>
      <c r="C5" s="11" t="s">
        <v>98</v>
      </c>
      <c r="D5" s="11" t="s">
        <v>88</v>
      </c>
      <c r="E5" s="3"/>
      <c r="F5" t="s">
        <v>113</v>
      </c>
      <c r="G5">
        <v>31</v>
      </c>
      <c r="H5" s="4" t="s">
        <v>337</v>
      </c>
      <c r="I5" s="4">
        <v>181</v>
      </c>
      <c r="J5" s="4">
        <v>0.308</v>
      </c>
      <c r="K5" s="14" t="s">
        <v>362</v>
      </c>
      <c r="L5" s="4" t="s">
        <v>338</v>
      </c>
      <c r="M5">
        <v>-18</v>
      </c>
      <c r="N5" s="4">
        <v>0.4</v>
      </c>
      <c r="O5" s="4" t="s">
        <v>327</v>
      </c>
    </row>
    <row r="6" spans="1:15" ht="29.25" customHeight="1" x14ac:dyDescent="0.25">
      <c r="A6" s="11" t="s">
        <v>104</v>
      </c>
      <c r="B6" s="11">
        <v>5</v>
      </c>
      <c r="C6" s="12" t="s">
        <v>198</v>
      </c>
      <c r="D6" s="11" t="s">
        <v>151</v>
      </c>
      <c r="E6" s="3"/>
      <c r="F6" t="s">
        <v>114</v>
      </c>
      <c r="G6">
        <v>26</v>
      </c>
      <c r="H6" s="3" t="s">
        <v>339</v>
      </c>
      <c r="I6" s="10">
        <v>105</v>
      </c>
      <c r="J6" s="10">
        <v>1.29</v>
      </c>
      <c r="K6" s="15" t="s">
        <v>333</v>
      </c>
      <c r="L6" s="4" t="s">
        <v>340</v>
      </c>
      <c r="M6">
        <v>-33</v>
      </c>
      <c r="N6" s="4">
        <v>0</v>
      </c>
      <c r="O6" s="4" t="s">
        <v>334</v>
      </c>
    </row>
    <row r="7" spans="1:15" ht="30.75" customHeight="1" x14ac:dyDescent="0.25">
      <c r="A7" s="11" t="s">
        <v>105</v>
      </c>
      <c r="B7" s="11">
        <v>5</v>
      </c>
      <c r="C7" s="11" t="s">
        <v>99</v>
      </c>
      <c r="D7" s="11" t="s">
        <v>88</v>
      </c>
      <c r="E7" s="3"/>
      <c r="F7" t="s">
        <v>115</v>
      </c>
      <c r="G7">
        <v>24</v>
      </c>
      <c r="H7" s="4" t="s">
        <v>341</v>
      </c>
      <c r="I7">
        <v>49</v>
      </c>
      <c r="J7" s="4">
        <v>0</v>
      </c>
      <c r="L7" s="4" t="s">
        <v>342</v>
      </c>
      <c r="M7">
        <v>-52</v>
      </c>
      <c r="N7" s="4">
        <v>0.33300000000000002</v>
      </c>
      <c r="O7" s="4" t="s">
        <v>363</v>
      </c>
    </row>
    <row r="8" spans="1:15" ht="30" x14ac:dyDescent="0.25">
      <c r="A8" s="11" t="s">
        <v>106</v>
      </c>
      <c r="B8" s="11">
        <v>5</v>
      </c>
      <c r="C8" s="11" t="s">
        <v>99</v>
      </c>
      <c r="D8" s="11" t="s">
        <v>88</v>
      </c>
      <c r="E8" s="3"/>
      <c r="F8" t="s">
        <v>116</v>
      </c>
      <c r="G8">
        <v>23</v>
      </c>
      <c r="H8" s="4" t="s">
        <v>343</v>
      </c>
      <c r="I8">
        <v>67</v>
      </c>
      <c r="J8" s="4">
        <v>0</v>
      </c>
      <c r="K8" s="14" t="s">
        <v>356</v>
      </c>
      <c r="L8" s="4" t="s">
        <v>344</v>
      </c>
      <c r="M8">
        <v>-21</v>
      </c>
      <c r="N8" s="4">
        <v>0</v>
      </c>
      <c r="O8" s="4" t="s">
        <v>327</v>
      </c>
    </row>
    <row r="9" spans="1:15" ht="63.75" customHeight="1" x14ac:dyDescent="0.25">
      <c r="A9" s="11" t="s">
        <v>107</v>
      </c>
      <c r="B9" s="11">
        <v>5</v>
      </c>
      <c r="C9" s="11" t="s">
        <v>99</v>
      </c>
      <c r="D9" s="11" t="s">
        <v>88</v>
      </c>
      <c r="E9" s="3"/>
      <c r="F9" t="s">
        <v>117</v>
      </c>
      <c r="G9">
        <v>22</v>
      </c>
      <c r="H9" s="4" t="s">
        <v>345</v>
      </c>
      <c r="I9">
        <v>46</v>
      </c>
      <c r="J9" s="4">
        <v>0</v>
      </c>
      <c r="K9" s="14" t="s">
        <v>327</v>
      </c>
      <c r="L9" s="4" t="s">
        <v>346</v>
      </c>
      <c r="M9">
        <v>-37</v>
      </c>
      <c r="N9" s="4">
        <v>0.28599999999999998</v>
      </c>
      <c r="O9" s="4" t="s">
        <v>364</v>
      </c>
    </row>
    <row r="10" spans="1:15" ht="30" x14ac:dyDescent="0.25">
      <c r="A10" s="11" t="s">
        <v>108</v>
      </c>
      <c r="B10" s="11">
        <v>5</v>
      </c>
      <c r="C10" s="11" t="s">
        <v>98</v>
      </c>
      <c r="D10" s="11" t="s">
        <v>88</v>
      </c>
      <c r="E10" s="3"/>
      <c r="F10" t="s">
        <v>118</v>
      </c>
      <c r="G10">
        <v>22</v>
      </c>
      <c r="H10" s="4" t="s">
        <v>347</v>
      </c>
      <c r="I10" s="4">
        <v>60</v>
      </c>
      <c r="J10" s="4">
        <v>0</v>
      </c>
      <c r="K10" s="14" t="s">
        <v>327</v>
      </c>
      <c r="L10" s="4" t="s">
        <v>348</v>
      </c>
      <c r="M10">
        <v>-36</v>
      </c>
      <c r="N10" s="4">
        <v>0</v>
      </c>
      <c r="O10" s="4" t="s">
        <v>327</v>
      </c>
    </row>
    <row r="11" spans="1:15" ht="30" x14ac:dyDescent="0.25">
      <c r="A11" s="11" t="s">
        <v>109</v>
      </c>
      <c r="B11" s="11">
        <v>5</v>
      </c>
      <c r="C11" s="11" t="s">
        <v>98</v>
      </c>
      <c r="D11" s="11" t="s">
        <v>88</v>
      </c>
      <c r="E11" s="3"/>
      <c r="F11" t="s">
        <v>119</v>
      </c>
      <c r="G11">
        <v>19</v>
      </c>
      <c r="H11" s="4" t="s">
        <v>349</v>
      </c>
      <c r="I11" s="4">
        <v>21</v>
      </c>
      <c r="J11" s="4">
        <v>0.4</v>
      </c>
      <c r="K11" s="14" t="s">
        <v>327</v>
      </c>
      <c r="L11" s="4" t="s">
        <v>350</v>
      </c>
      <c r="M11">
        <v>-67</v>
      </c>
      <c r="N11" s="4">
        <v>0</v>
      </c>
      <c r="O11" s="4" t="s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F99E-9BB8-4240-AED8-335A636F4C59}">
  <dimension ref="A1:AN46"/>
  <sheetViews>
    <sheetView topLeftCell="Z1" zoomScale="70" zoomScaleNormal="70" workbookViewId="0">
      <selection activeCell="AF20" sqref="AF20"/>
    </sheetView>
  </sheetViews>
  <sheetFormatPr defaultRowHeight="15" x14ac:dyDescent="0.25"/>
  <cols>
    <col min="5" max="5" width="10.5703125" customWidth="1"/>
    <col min="6" max="6" width="10.28515625" customWidth="1"/>
    <col min="7" max="7" width="10.42578125" customWidth="1"/>
    <col min="8" max="8" width="10.140625" customWidth="1"/>
  </cols>
  <sheetData>
    <row r="1" spans="1:40" ht="30" x14ac:dyDescent="0.25">
      <c r="A1" s="8" t="s">
        <v>170</v>
      </c>
      <c r="B1" s="8" t="s">
        <v>171</v>
      </c>
      <c r="C1" s="9" t="s">
        <v>189</v>
      </c>
      <c r="D1" s="9" t="s">
        <v>190</v>
      </c>
      <c r="E1" s="5" t="s">
        <v>166</v>
      </c>
      <c r="F1" s="5" t="s">
        <v>167</v>
      </c>
      <c r="G1" s="6" t="s">
        <v>168</v>
      </c>
      <c r="H1" s="6" t="s">
        <v>169</v>
      </c>
      <c r="I1" s="8" t="s">
        <v>205</v>
      </c>
      <c r="J1" s="8" t="s">
        <v>206</v>
      </c>
      <c r="K1" s="9" t="s">
        <v>207</v>
      </c>
      <c r="L1" s="9" t="s">
        <v>208</v>
      </c>
      <c r="M1" s="5" t="s">
        <v>209</v>
      </c>
      <c r="N1" s="5" t="s">
        <v>210</v>
      </c>
      <c r="O1" s="6" t="s">
        <v>211</v>
      </c>
      <c r="P1" s="6" t="s">
        <v>212</v>
      </c>
      <c r="Q1" s="8" t="s">
        <v>213</v>
      </c>
      <c r="R1" s="8" t="s">
        <v>214</v>
      </c>
      <c r="S1" s="9" t="s">
        <v>215</v>
      </c>
      <c r="T1" s="9" t="s">
        <v>216</v>
      </c>
      <c r="U1" s="5" t="s">
        <v>217</v>
      </c>
      <c r="V1" s="5" t="s">
        <v>218</v>
      </c>
      <c r="W1" s="6" t="s">
        <v>219</v>
      </c>
      <c r="X1" s="6" t="s">
        <v>220</v>
      </c>
      <c r="Y1" s="8" t="s">
        <v>280</v>
      </c>
      <c r="Z1" s="8" t="s">
        <v>281</v>
      </c>
      <c r="AA1" s="9" t="s">
        <v>282</v>
      </c>
      <c r="AB1" s="9" t="s">
        <v>283</v>
      </c>
      <c r="AC1" s="5" t="s">
        <v>284</v>
      </c>
      <c r="AD1" s="5" t="s">
        <v>285</v>
      </c>
      <c r="AE1" s="6" t="s">
        <v>286</v>
      </c>
      <c r="AF1" s="6" t="s">
        <v>287</v>
      </c>
      <c r="AG1" s="8" t="s">
        <v>288</v>
      </c>
      <c r="AH1" s="8" t="s">
        <v>289</v>
      </c>
      <c r="AI1" s="9" t="s">
        <v>290</v>
      </c>
      <c r="AJ1" s="9" t="s">
        <v>291</v>
      </c>
      <c r="AK1" s="5" t="s">
        <v>292</v>
      </c>
      <c r="AL1" s="5" t="s">
        <v>293</v>
      </c>
      <c r="AM1" s="6" t="s">
        <v>294</v>
      </c>
      <c r="AN1" s="6" t="s">
        <v>295</v>
      </c>
    </row>
    <row r="2" spans="1:40" x14ac:dyDescent="0.25">
      <c r="A2" t="s">
        <v>120</v>
      </c>
      <c r="B2" t="s">
        <v>172</v>
      </c>
      <c r="C2" t="s">
        <v>120</v>
      </c>
      <c r="D2" t="s">
        <v>172</v>
      </c>
      <c r="E2" t="s">
        <v>199</v>
      </c>
      <c r="F2" t="s">
        <v>151</v>
      </c>
      <c r="G2" t="s">
        <v>199</v>
      </c>
      <c r="H2" t="s">
        <v>151</v>
      </c>
      <c r="I2" t="s">
        <v>237</v>
      </c>
      <c r="J2" t="s">
        <v>245</v>
      </c>
      <c r="K2" t="s">
        <v>237</v>
      </c>
      <c r="L2" t="s">
        <v>245</v>
      </c>
      <c r="M2" t="s">
        <v>126</v>
      </c>
      <c r="N2" t="s">
        <v>275</v>
      </c>
      <c r="O2" t="s">
        <v>126</v>
      </c>
      <c r="P2" t="s">
        <v>275</v>
      </c>
      <c r="Q2" t="s">
        <v>252</v>
      </c>
      <c r="R2" t="s">
        <v>262</v>
      </c>
      <c r="S2" t="s">
        <v>252</v>
      </c>
      <c r="T2" t="s">
        <v>262</v>
      </c>
      <c r="U2" t="s">
        <v>231</v>
      </c>
      <c r="V2" t="s">
        <v>221</v>
      </c>
      <c r="W2" t="s">
        <v>231</v>
      </c>
      <c r="X2" t="s">
        <v>221</v>
      </c>
      <c r="Y2" t="s">
        <v>126</v>
      </c>
      <c r="Z2" t="s">
        <v>250</v>
      </c>
      <c r="AA2" t="s">
        <v>126</v>
      </c>
      <c r="AB2" t="s">
        <v>250</v>
      </c>
      <c r="AC2" t="s">
        <v>253</v>
      </c>
      <c r="AD2" t="s">
        <v>275</v>
      </c>
      <c r="AE2" t="s">
        <v>253</v>
      </c>
      <c r="AF2" t="s">
        <v>275</v>
      </c>
      <c r="AG2" t="s">
        <v>301</v>
      </c>
      <c r="AH2" t="s">
        <v>262</v>
      </c>
      <c r="AI2" t="s">
        <v>301</v>
      </c>
      <c r="AJ2" t="s">
        <v>262</v>
      </c>
      <c r="AK2" t="s">
        <v>320</v>
      </c>
      <c r="AL2" t="s">
        <v>313</v>
      </c>
      <c r="AM2" t="s">
        <v>320</v>
      </c>
      <c r="AN2" t="s">
        <v>313</v>
      </c>
    </row>
    <row r="3" spans="1:40" x14ac:dyDescent="0.25">
      <c r="A3" t="s">
        <v>121</v>
      </c>
      <c r="B3" t="s">
        <v>173</v>
      </c>
      <c r="C3" t="s">
        <v>121</v>
      </c>
      <c r="D3" t="s">
        <v>173</v>
      </c>
      <c r="E3" t="s">
        <v>200</v>
      </c>
      <c r="F3" t="s">
        <v>152</v>
      </c>
      <c r="G3" t="s">
        <v>200</v>
      </c>
      <c r="H3" t="s">
        <v>152</v>
      </c>
      <c r="I3" t="s">
        <v>235</v>
      </c>
      <c r="J3" t="s">
        <v>176</v>
      </c>
      <c r="K3" t="s">
        <v>235</v>
      </c>
      <c r="L3" t="s">
        <v>176</v>
      </c>
      <c r="M3" t="s">
        <v>126</v>
      </c>
      <c r="N3" t="s">
        <v>276</v>
      </c>
      <c r="O3" t="s">
        <v>266</v>
      </c>
      <c r="P3" t="s">
        <v>276</v>
      </c>
      <c r="Q3" t="s">
        <v>126</v>
      </c>
      <c r="R3" t="s">
        <v>222</v>
      </c>
      <c r="S3" t="s">
        <v>126</v>
      </c>
      <c r="T3" t="s">
        <v>222</v>
      </c>
      <c r="U3" t="s">
        <v>232</v>
      </c>
      <c r="V3" t="s">
        <v>222</v>
      </c>
      <c r="W3" t="s">
        <v>232</v>
      </c>
      <c r="X3" t="s">
        <v>222</v>
      </c>
      <c r="Y3" t="s">
        <v>98</v>
      </c>
      <c r="Z3" t="s">
        <v>158</v>
      </c>
      <c r="AA3" t="s">
        <v>98</v>
      </c>
      <c r="AB3" t="s">
        <v>158</v>
      </c>
      <c r="AC3" t="s">
        <v>253</v>
      </c>
      <c r="AD3" t="s">
        <v>158</v>
      </c>
      <c r="AE3" t="s">
        <v>125</v>
      </c>
      <c r="AF3" t="s">
        <v>158</v>
      </c>
      <c r="AG3" t="s">
        <v>302</v>
      </c>
      <c r="AH3" t="s">
        <v>309</v>
      </c>
      <c r="AI3" t="s">
        <v>302</v>
      </c>
      <c r="AJ3" t="s">
        <v>309</v>
      </c>
      <c r="AK3" t="s">
        <v>321</v>
      </c>
      <c r="AL3" t="s">
        <v>314</v>
      </c>
      <c r="AM3" t="s">
        <v>321</v>
      </c>
      <c r="AN3" t="s">
        <v>314</v>
      </c>
    </row>
    <row r="4" spans="1:40" x14ac:dyDescent="0.25">
      <c r="A4" t="s">
        <v>120</v>
      </c>
      <c r="B4" t="s">
        <v>174</v>
      </c>
      <c r="C4" t="s">
        <v>122</v>
      </c>
      <c r="D4" t="s">
        <v>174</v>
      </c>
      <c r="E4" t="s">
        <v>201</v>
      </c>
      <c r="F4" t="s">
        <v>153</v>
      </c>
      <c r="G4" t="s">
        <v>201</v>
      </c>
      <c r="H4" t="s">
        <v>153</v>
      </c>
      <c r="I4" t="s">
        <v>235</v>
      </c>
      <c r="J4" t="s">
        <v>246</v>
      </c>
      <c r="K4" t="s">
        <v>121</v>
      </c>
      <c r="L4" t="s">
        <v>246</v>
      </c>
      <c r="M4" t="s">
        <v>266</v>
      </c>
      <c r="N4" t="s">
        <v>277</v>
      </c>
      <c r="O4" t="s">
        <v>98</v>
      </c>
      <c r="P4" t="s">
        <v>277</v>
      </c>
      <c r="Q4" t="s">
        <v>152</v>
      </c>
      <c r="R4" t="s">
        <v>263</v>
      </c>
      <c r="S4" t="s">
        <v>152</v>
      </c>
      <c r="T4" t="s">
        <v>263</v>
      </c>
      <c r="U4" t="s">
        <v>233</v>
      </c>
      <c r="V4" t="s">
        <v>222</v>
      </c>
      <c r="W4" t="s">
        <v>233</v>
      </c>
      <c r="X4" t="s">
        <v>181</v>
      </c>
      <c r="Y4" t="s">
        <v>98</v>
      </c>
      <c r="Z4" t="s">
        <v>223</v>
      </c>
      <c r="AA4" t="s">
        <v>122</v>
      </c>
      <c r="AB4" t="s">
        <v>223</v>
      </c>
      <c r="AC4" t="s">
        <v>125</v>
      </c>
      <c r="AD4" t="s">
        <v>222</v>
      </c>
      <c r="AE4" t="s">
        <v>185</v>
      </c>
      <c r="AF4" t="s">
        <v>222</v>
      </c>
      <c r="AG4" t="s">
        <v>145</v>
      </c>
      <c r="AH4" t="s">
        <v>177</v>
      </c>
      <c r="AI4" t="s">
        <v>145</v>
      </c>
      <c r="AJ4" t="s">
        <v>177</v>
      </c>
      <c r="AK4" t="s">
        <v>322</v>
      </c>
      <c r="AL4" t="s">
        <v>154</v>
      </c>
      <c r="AM4" t="s">
        <v>322</v>
      </c>
      <c r="AN4" t="s">
        <v>154</v>
      </c>
    </row>
    <row r="5" spans="1:40" x14ac:dyDescent="0.25">
      <c r="A5" t="s">
        <v>122</v>
      </c>
      <c r="B5" t="s">
        <v>175</v>
      </c>
      <c r="C5" t="s">
        <v>123</v>
      </c>
      <c r="D5" t="s">
        <v>175</v>
      </c>
      <c r="E5" t="s">
        <v>202</v>
      </c>
      <c r="F5" t="s">
        <v>154</v>
      </c>
      <c r="G5" t="s">
        <v>202</v>
      </c>
      <c r="H5" t="s">
        <v>154</v>
      </c>
      <c r="I5" t="s">
        <v>121</v>
      </c>
      <c r="J5" t="s">
        <v>247</v>
      </c>
      <c r="K5" t="s">
        <v>238</v>
      </c>
      <c r="L5" t="s">
        <v>247</v>
      </c>
      <c r="M5" t="s">
        <v>98</v>
      </c>
      <c r="N5" t="s">
        <v>278</v>
      </c>
      <c r="O5" t="s">
        <v>253</v>
      </c>
      <c r="P5" t="s">
        <v>278</v>
      </c>
      <c r="Q5" t="s">
        <v>253</v>
      </c>
      <c r="R5" t="s">
        <v>181</v>
      </c>
      <c r="S5" t="s">
        <v>253</v>
      </c>
      <c r="T5" t="s">
        <v>181</v>
      </c>
      <c r="U5" t="s">
        <v>125</v>
      </c>
      <c r="V5" t="s">
        <v>181</v>
      </c>
      <c r="W5" t="s">
        <v>125</v>
      </c>
      <c r="X5" t="s">
        <v>223</v>
      </c>
      <c r="Y5" t="s">
        <v>122</v>
      </c>
      <c r="Z5" t="s">
        <v>223</v>
      </c>
      <c r="AA5" t="s">
        <v>98</v>
      </c>
      <c r="AC5" t="s">
        <v>125</v>
      </c>
      <c r="AD5" t="s">
        <v>177</v>
      </c>
      <c r="AE5" t="s">
        <v>228</v>
      </c>
      <c r="AF5" t="s">
        <v>177</v>
      </c>
      <c r="AG5" t="s">
        <v>145</v>
      </c>
      <c r="AH5" t="s">
        <v>246</v>
      </c>
      <c r="AI5" t="s">
        <v>303</v>
      </c>
      <c r="AJ5" t="s">
        <v>246</v>
      </c>
      <c r="AK5" t="s">
        <v>323</v>
      </c>
      <c r="AL5" t="s">
        <v>315</v>
      </c>
      <c r="AM5" t="s">
        <v>323</v>
      </c>
      <c r="AN5" t="s">
        <v>315</v>
      </c>
    </row>
    <row r="6" spans="1:40" x14ac:dyDescent="0.25">
      <c r="A6" t="s">
        <v>120</v>
      </c>
      <c r="B6" t="s">
        <v>175</v>
      </c>
      <c r="C6" t="s">
        <v>124</v>
      </c>
      <c r="D6" t="s">
        <v>176</v>
      </c>
      <c r="E6" t="s">
        <v>203</v>
      </c>
      <c r="F6" t="s">
        <v>155</v>
      </c>
      <c r="G6" t="s">
        <v>203</v>
      </c>
      <c r="H6" t="s">
        <v>155</v>
      </c>
      <c r="I6" t="s">
        <v>238</v>
      </c>
      <c r="J6" t="s">
        <v>229</v>
      </c>
      <c r="K6" t="s">
        <v>152</v>
      </c>
      <c r="L6" t="s">
        <v>229</v>
      </c>
      <c r="M6" t="s">
        <v>98</v>
      </c>
      <c r="N6" t="s">
        <v>279</v>
      </c>
      <c r="O6" t="s">
        <v>233</v>
      </c>
      <c r="P6" t="s">
        <v>279</v>
      </c>
      <c r="Q6" t="s">
        <v>253</v>
      </c>
      <c r="R6" t="s">
        <v>262</v>
      </c>
      <c r="S6" t="s">
        <v>254</v>
      </c>
      <c r="T6" t="s">
        <v>227</v>
      </c>
      <c r="U6" t="s">
        <v>129</v>
      </c>
      <c r="V6" t="s">
        <v>223</v>
      </c>
      <c r="W6" t="s">
        <v>129</v>
      </c>
      <c r="X6" t="s">
        <v>224</v>
      </c>
      <c r="Y6" t="s">
        <v>126</v>
      </c>
      <c r="Z6" t="s">
        <v>158</v>
      </c>
      <c r="AA6" t="s">
        <v>134</v>
      </c>
      <c r="AC6" t="s">
        <v>185</v>
      </c>
      <c r="AD6" t="s">
        <v>162</v>
      </c>
      <c r="AE6" t="s">
        <v>298</v>
      </c>
      <c r="AF6" t="s">
        <v>162</v>
      </c>
      <c r="AG6" t="s">
        <v>303</v>
      </c>
      <c r="AH6" t="s">
        <v>310</v>
      </c>
      <c r="AI6" t="s">
        <v>304</v>
      </c>
      <c r="AJ6" t="s">
        <v>310</v>
      </c>
      <c r="AK6" t="s">
        <v>140</v>
      </c>
      <c r="AL6" t="s">
        <v>177</v>
      </c>
      <c r="AM6" t="s">
        <v>140</v>
      </c>
      <c r="AN6" t="s">
        <v>177</v>
      </c>
    </row>
    <row r="7" spans="1:40" x14ac:dyDescent="0.25">
      <c r="A7" t="s">
        <v>123</v>
      </c>
      <c r="B7" t="s">
        <v>176</v>
      </c>
      <c r="C7" t="s">
        <v>125</v>
      </c>
      <c r="D7" t="s">
        <v>177</v>
      </c>
      <c r="E7" t="s">
        <v>145</v>
      </c>
      <c r="F7" t="s">
        <v>156</v>
      </c>
      <c r="G7" t="s">
        <v>145</v>
      </c>
      <c r="H7" t="s">
        <v>156</v>
      </c>
      <c r="I7" t="s">
        <v>152</v>
      </c>
      <c r="J7" t="s">
        <v>163</v>
      </c>
      <c r="K7" t="s">
        <v>143</v>
      </c>
      <c r="L7" t="s">
        <v>163</v>
      </c>
      <c r="M7" t="s">
        <v>253</v>
      </c>
      <c r="O7" t="s">
        <v>267</v>
      </c>
      <c r="Q7" t="s">
        <v>152</v>
      </c>
      <c r="R7" t="s">
        <v>262</v>
      </c>
      <c r="S7" t="s">
        <v>255</v>
      </c>
      <c r="T7" t="s">
        <v>264</v>
      </c>
      <c r="U7" t="s">
        <v>129</v>
      </c>
      <c r="V7" t="s">
        <v>224</v>
      </c>
      <c r="W7" t="s">
        <v>234</v>
      </c>
      <c r="X7" t="s">
        <v>225</v>
      </c>
      <c r="Y7" t="s">
        <v>122</v>
      </c>
      <c r="Z7" t="s">
        <v>250</v>
      </c>
      <c r="AA7" t="s">
        <v>137</v>
      </c>
      <c r="AC7" t="s">
        <v>228</v>
      </c>
      <c r="AD7" t="s">
        <v>299</v>
      </c>
      <c r="AF7" t="s">
        <v>299</v>
      </c>
      <c r="AG7" t="s">
        <v>145</v>
      </c>
      <c r="AH7" t="s">
        <v>311</v>
      </c>
      <c r="AI7" t="s">
        <v>305</v>
      </c>
      <c r="AJ7" t="s">
        <v>311</v>
      </c>
      <c r="AK7" t="s">
        <v>140</v>
      </c>
      <c r="AL7" t="s">
        <v>177</v>
      </c>
      <c r="AN7" t="s">
        <v>316</v>
      </c>
    </row>
    <row r="8" spans="1:40" x14ac:dyDescent="0.25">
      <c r="A8" t="s">
        <v>120</v>
      </c>
      <c r="B8" t="s">
        <v>177</v>
      </c>
      <c r="C8" t="s">
        <v>126</v>
      </c>
      <c r="D8" t="s">
        <v>178</v>
      </c>
      <c r="E8" t="s">
        <v>145</v>
      </c>
      <c r="F8" t="s">
        <v>157</v>
      </c>
      <c r="G8" t="s">
        <v>143</v>
      </c>
      <c r="H8" t="s">
        <v>157</v>
      </c>
      <c r="I8" t="s">
        <v>152</v>
      </c>
      <c r="J8" t="s">
        <v>248</v>
      </c>
      <c r="K8" t="s">
        <v>239</v>
      </c>
      <c r="L8" t="s">
        <v>248</v>
      </c>
      <c r="M8" t="s">
        <v>253</v>
      </c>
      <c r="O8" t="s">
        <v>268</v>
      </c>
      <c r="Q8" t="s">
        <v>126</v>
      </c>
      <c r="R8" t="s">
        <v>227</v>
      </c>
      <c r="S8" t="s">
        <v>256</v>
      </c>
      <c r="T8" t="s">
        <v>265</v>
      </c>
      <c r="U8" t="s">
        <v>234</v>
      </c>
      <c r="V8" t="s">
        <v>225</v>
      </c>
      <c r="W8" t="s">
        <v>235</v>
      </c>
      <c r="X8" t="s">
        <v>226</v>
      </c>
      <c r="Y8" t="s">
        <v>98</v>
      </c>
      <c r="AA8" t="s">
        <v>296</v>
      </c>
      <c r="AC8" t="s">
        <v>298</v>
      </c>
      <c r="AD8" t="s">
        <v>158</v>
      </c>
      <c r="AF8" t="s">
        <v>300</v>
      </c>
      <c r="AG8" t="s">
        <v>302</v>
      </c>
      <c r="AH8" t="s">
        <v>312</v>
      </c>
      <c r="AI8" t="s">
        <v>306</v>
      </c>
      <c r="AJ8" t="s">
        <v>312</v>
      </c>
      <c r="AL8" t="s">
        <v>316</v>
      </c>
      <c r="AN8" t="s">
        <v>317</v>
      </c>
    </row>
    <row r="9" spans="1:40" x14ac:dyDescent="0.25">
      <c r="A9" t="s">
        <v>124</v>
      </c>
      <c r="B9" t="s">
        <v>178</v>
      </c>
      <c r="C9" t="s">
        <v>127</v>
      </c>
      <c r="D9" t="s">
        <v>151</v>
      </c>
      <c r="E9" t="s">
        <v>143</v>
      </c>
      <c r="F9" t="s">
        <v>157</v>
      </c>
      <c r="G9" t="s">
        <v>125</v>
      </c>
      <c r="H9" t="s">
        <v>158</v>
      </c>
      <c r="I9" t="s">
        <v>143</v>
      </c>
      <c r="J9" t="s">
        <v>249</v>
      </c>
      <c r="K9" t="s">
        <v>126</v>
      </c>
      <c r="L9" t="s">
        <v>249</v>
      </c>
      <c r="M9" t="s">
        <v>126</v>
      </c>
      <c r="O9" t="s">
        <v>269</v>
      </c>
      <c r="Q9" t="s">
        <v>254</v>
      </c>
      <c r="R9" t="s">
        <v>264</v>
      </c>
      <c r="S9" t="s">
        <v>257</v>
      </c>
      <c r="U9" t="s">
        <v>235</v>
      </c>
      <c r="V9" t="s">
        <v>226</v>
      </c>
      <c r="W9" t="s">
        <v>236</v>
      </c>
      <c r="X9" t="s">
        <v>227</v>
      </c>
      <c r="Y9" t="s">
        <v>134</v>
      </c>
      <c r="AA9" t="s">
        <v>140</v>
      </c>
      <c r="AC9" t="s">
        <v>253</v>
      </c>
      <c r="AD9" t="s">
        <v>158</v>
      </c>
      <c r="AG9" t="s">
        <v>304</v>
      </c>
      <c r="AH9" t="s">
        <v>177</v>
      </c>
      <c r="AI9" t="s">
        <v>203</v>
      </c>
      <c r="AL9" t="s">
        <v>177</v>
      </c>
      <c r="AN9" t="s">
        <v>318</v>
      </c>
    </row>
    <row r="10" spans="1:40" x14ac:dyDescent="0.25">
      <c r="A10" t="s">
        <v>125</v>
      </c>
      <c r="B10" t="s">
        <v>151</v>
      </c>
      <c r="C10" t="s">
        <v>128</v>
      </c>
      <c r="D10" t="s">
        <v>152</v>
      </c>
      <c r="E10" t="s">
        <v>143</v>
      </c>
      <c r="F10" t="s">
        <v>158</v>
      </c>
      <c r="G10" t="s">
        <v>144</v>
      </c>
      <c r="H10" t="s">
        <v>159</v>
      </c>
      <c r="I10" t="s">
        <v>143</v>
      </c>
      <c r="J10" t="s">
        <v>250</v>
      </c>
      <c r="K10" t="s">
        <v>98</v>
      </c>
      <c r="L10" t="s">
        <v>250</v>
      </c>
      <c r="M10" t="s">
        <v>233</v>
      </c>
      <c r="O10" t="s">
        <v>270</v>
      </c>
      <c r="Q10" t="s">
        <v>255</v>
      </c>
      <c r="R10" t="s">
        <v>265</v>
      </c>
      <c r="S10" t="s">
        <v>258</v>
      </c>
      <c r="U10" t="s">
        <v>236</v>
      </c>
      <c r="V10" t="s">
        <v>227</v>
      </c>
      <c r="X10" t="s">
        <v>228</v>
      </c>
      <c r="Y10" t="s">
        <v>137</v>
      </c>
      <c r="AA10" t="s">
        <v>297</v>
      </c>
      <c r="AC10" t="s">
        <v>253</v>
      </c>
      <c r="AD10" t="s">
        <v>300</v>
      </c>
      <c r="AG10" t="s">
        <v>305</v>
      </c>
      <c r="AH10" t="s">
        <v>177</v>
      </c>
      <c r="AI10" t="s">
        <v>307</v>
      </c>
      <c r="AL10" t="s">
        <v>317</v>
      </c>
      <c r="AN10" t="s">
        <v>319</v>
      </c>
    </row>
    <row r="11" spans="1:40" x14ac:dyDescent="0.25">
      <c r="A11" t="s">
        <v>122</v>
      </c>
      <c r="B11" t="s">
        <v>152</v>
      </c>
      <c r="C11" t="s">
        <v>129</v>
      </c>
      <c r="D11" t="s">
        <v>179</v>
      </c>
      <c r="E11" t="s">
        <v>125</v>
      </c>
      <c r="F11" t="s">
        <v>159</v>
      </c>
      <c r="G11" t="s">
        <v>146</v>
      </c>
      <c r="H11" t="s">
        <v>160</v>
      </c>
      <c r="I11" t="s">
        <v>235</v>
      </c>
      <c r="J11" t="s">
        <v>230</v>
      </c>
      <c r="K11" t="s">
        <v>240</v>
      </c>
      <c r="L11" t="s">
        <v>230</v>
      </c>
      <c r="M11" t="s">
        <v>126</v>
      </c>
      <c r="O11" t="s">
        <v>271</v>
      </c>
      <c r="Q11" t="s">
        <v>256</v>
      </c>
      <c r="S11" t="s">
        <v>134</v>
      </c>
      <c r="U11" t="s">
        <v>234</v>
      </c>
      <c r="V11" t="s">
        <v>228</v>
      </c>
      <c r="X11" t="s">
        <v>186</v>
      </c>
      <c r="Y11" t="s">
        <v>98</v>
      </c>
      <c r="AD11" t="s">
        <v>300</v>
      </c>
      <c r="AG11" t="s">
        <v>306</v>
      </c>
      <c r="AI11" t="s">
        <v>308</v>
      </c>
      <c r="AL11" t="s">
        <v>317</v>
      </c>
    </row>
    <row r="12" spans="1:40" x14ac:dyDescent="0.25">
      <c r="A12" t="s">
        <v>126</v>
      </c>
      <c r="B12" t="s">
        <v>177</v>
      </c>
      <c r="C12" t="s">
        <v>130</v>
      </c>
      <c r="D12" t="s">
        <v>180</v>
      </c>
      <c r="E12" t="s">
        <v>144</v>
      </c>
      <c r="F12" t="s">
        <v>151</v>
      </c>
      <c r="G12" t="s">
        <v>147</v>
      </c>
      <c r="H12" t="s">
        <v>161</v>
      </c>
      <c r="I12" t="s">
        <v>239</v>
      </c>
      <c r="J12" t="s">
        <v>251</v>
      </c>
      <c r="K12" t="s">
        <v>241</v>
      </c>
      <c r="L12" t="s">
        <v>251</v>
      </c>
      <c r="M12" t="s">
        <v>98</v>
      </c>
      <c r="O12" t="s">
        <v>272</v>
      </c>
      <c r="Q12" t="s">
        <v>257</v>
      </c>
      <c r="S12" t="s">
        <v>259</v>
      </c>
      <c r="V12" t="s">
        <v>223</v>
      </c>
      <c r="X12" t="s">
        <v>229</v>
      </c>
      <c r="Y12" t="s">
        <v>98</v>
      </c>
      <c r="AD12" t="s">
        <v>177</v>
      </c>
      <c r="AG12" t="s">
        <v>203</v>
      </c>
      <c r="AL12" t="s">
        <v>318</v>
      </c>
    </row>
    <row r="13" spans="1:40" x14ac:dyDescent="0.25">
      <c r="A13" t="s">
        <v>127</v>
      </c>
      <c r="B13" t="s">
        <v>177</v>
      </c>
      <c r="C13" t="s">
        <v>131</v>
      </c>
      <c r="D13" t="s">
        <v>181</v>
      </c>
      <c r="E13" t="s">
        <v>125</v>
      </c>
      <c r="F13" t="s">
        <v>152</v>
      </c>
      <c r="G13" t="s">
        <v>148</v>
      </c>
      <c r="H13" t="s">
        <v>162</v>
      </c>
      <c r="I13" t="s">
        <v>126</v>
      </c>
      <c r="K13" t="s">
        <v>242</v>
      </c>
      <c r="M13" t="s">
        <v>98</v>
      </c>
      <c r="O13" t="s">
        <v>273</v>
      </c>
      <c r="Q13" t="s">
        <v>258</v>
      </c>
      <c r="S13" t="s">
        <v>260</v>
      </c>
      <c r="V13" t="s">
        <v>186</v>
      </c>
      <c r="X13" t="s">
        <v>230</v>
      </c>
      <c r="Y13" t="s">
        <v>296</v>
      </c>
      <c r="AD13" t="s">
        <v>177</v>
      </c>
      <c r="AG13" t="s">
        <v>307</v>
      </c>
      <c r="AL13" t="s">
        <v>319</v>
      </c>
    </row>
    <row r="14" spans="1:40" x14ac:dyDescent="0.25">
      <c r="A14" t="s">
        <v>125</v>
      </c>
      <c r="B14" t="s">
        <v>179</v>
      </c>
      <c r="C14" t="s">
        <v>98</v>
      </c>
      <c r="D14" t="s">
        <v>182</v>
      </c>
      <c r="E14" t="s">
        <v>145</v>
      </c>
      <c r="F14" t="s">
        <v>160</v>
      </c>
      <c r="G14" t="s">
        <v>149</v>
      </c>
      <c r="H14" t="s">
        <v>163</v>
      </c>
      <c r="I14" t="s">
        <v>98</v>
      </c>
      <c r="K14" t="s">
        <v>140</v>
      </c>
      <c r="M14" t="s">
        <v>98</v>
      </c>
      <c r="O14" t="s">
        <v>274</v>
      </c>
      <c r="Q14" t="s">
        <v>134</v>
      </c>
      <c r="S14" t="s">
        <v>261</v>
      </c>
      <c r="V14" t="s">
        <v>229</v>
      </c>
      <c r="Y14" t="s">
        <v>140</v>
      </c>
      <c r="AG14" t="s">
        <v>308</v>
      </c>
    </row>
    <row r="15" spans="1:40" x14ac:dyDescent="0.25">
      <c r="A15" t="s">
        <v>128</v>
      </c>
      <c r="B15" t="s">
        <v>152</v>
      </c>
      <c r="C15" t="s">
        <v>132</v>
      </c>
      <c r="D15" t="s">
        <v>183</v>
      </c>
      <c r="E15" t="s">
        <v>146</v>
      </c>
      <c r="F15" t="s">
        <v>161</v>
      </c>
      <c r="G15" t="s">
        <v>150</v>
      </c>
      <c r="H15" t="s">
        <v>164</v>
      </c>
      <c r="I15" t="s">
        <v>98</v>
      </c>
      <c r="K15" t="s">
        <v>243</v>
      </c>
      <c r="M15" t="s">
        <v>98</v>
      </c>
      <c r="Q15" t="s">
        <v>259</v>
      </c>
      <c r="S15" t="s">
        <v>141</v>
      </c>
      <c r="V15" t="s">
        <v>230</v>
      </c>
      <c r="Y15" t="s">
        <v>98</v>
      </c>
    </row>
    <row r="16" spans="1:40" x14ac:dyDescent="0.25">
      <c r="A16" t="s">
        <v>123</v>
      </c>
      <c r="B16" t="s">
        <v>180</v>
      </c>
      <c r="C16" t="s">
        <v>133</v>
      </c>
      <c r="D16" t="s">
        <v>184</v>
      </c>
      <c r="E16" t="s">
        <v>147</v>
      </c>
      <c r="F16" t="s">
        <v>162</v>
      </c>
      <c r="H16" t="s">
        <v>165</v>
      </c>
      <c r="I16" t="s">
        <v>240</v>
      </c>
      <c r="K16" t="s">
        <v>244</v>
      </c>
      <c r="M16" t="s">
        <v>126</v>
      </c>
      <c r="Q16" t="s">
        <v>260</v>
      </c>
      <c r="Y16" t="s">
        <v>98</v>
      </c>
    </row>
    <row r="17" spans="1:25" x14ac:dyDescent="0.25">
      <c r="A17" t="s">
        <v>129</v>
      </c>
      <c r="B17" t="s">
        <v>181</v>
      </c>
      <c r="C17" t="s">
        <v>134</v>
      </c>
      <c r="D17" t="s">
        <v>185</v>
      </c>
      <c r="E17" t="s">
        <v>148</v>
      </c>
      <c r="F17" t="s">
        <v>152</v>
      </c>
      <c r="I17" t="s">
        <v>235</v>
      </c>
      <c r="M17" t="s">
        <v>267</v>
      </c>
      <c r="Q17" t="s">
        <v>261</v>
      </c>
      <c r="Y17" t="s">
        <v>297</v>
      </c>
    </row>
    <row r="18" spans="1:25" x14ac:dyDescent="0.25">
      <c r="A18" t="s">
        <v>130</v>
      </c>
      <c r="B18" t="s">
        <v>151</v>
      </c>
      <c r="C18" t="s">
        <v>135</v>
      </c>
      <c r="D18" t="s">
        <v>186</v>
      </c>
      <c r="E18" t="s">
        <v>149</v>
      </c>
      <c r="F18" t="s">
        <v>152</v>
      </c>
      <c r="I18" t="s">
        <v>98</v>
      </c>
      <c r="M18" t="s">
        <v>267</v>
      </c>
      <c r="Q18" t="s">
        <v>141</v>
      </c>
      <c r="Y18" t="s">
        <v>122</v>
      </c>
    </row>
    <row r="19" spans="1:25" x14ac:dyDescent="0.25">
      <c r="A19" t="s">
        <v>131</v>
      </c>
      <c r="B19" t="s">
        <v>152</v>
      </c>
      <c r="C19" t="s">
        <v>136</v>
      </c>
      <c r="D19" t="s">
        <v>187</v>
      </c>
      <c r="E19" t="s">
        <v>150</v>
      </c>
      <c r="F19" t="s">
        <v>151</v>
      </c>
      <c r="I19" t="s">
        <v>98</v>
      </c>
      <c r="M19" t="s">
        <v>126</v>
      </c>
    </row>
    <row r="20" spans="1:25" x14ac:dyDescent="0.25">
      <c r="A20" t="s">
        <v>98</v>
      </c>
      <c r="B20" t="s">
        <v>151</v>
      </c>
      <c r="C20" t="s">
        <v>137</v>
      </c>
      <c r="D20" t="s">
        <v>188</v>
      </c>
      <c r="F20" t="s">
        <v>163</v>
      </c>
      <c r="I20" t="s">
        <v>98</v>
      </c>
      <c r="M20" t="s">
        <v>268</v>
      </c>
    </row>
    <row r="21" spans="1:25" x14ac:dyDescent="0.25">
      <c r="A21" t="s">
        <v>98</v>
      </c>
      <c r="B21" t="s">
        <v>182</v>
      </c>
      <c r="C21" t="s">
        <v>138</v>
      </c>
      <c r="F21" t="s">
        <v>151</v>
      </c>
      <c r="I21" t="s">
        <v>241</v>
      </c>
      <c r="M21" t="s">
        <v>269</v>
      </c>
    </row>
    <row r="22" spans="1:25" x14ac:dyDescent="0.25">
      <c r="A22" t="s">
        <v>98</v>
      </c>
      <c r="B22" t="s">
        <v>183</v>
      </c>
      <c r="C22" t="s">
        <v>139</v>
      </c>
      <c r="F22" t="s">
        <v>151</v>
      </c>
      <c r="I22" t="s">
        <v>235</v>
      </c>
      <c r="M22" t="s">
        <v>270</v>
      </c>
    </row>
    <row r="23" spans="1:25" x14ac:dyDescent="0.25">
      <c r="A23" t="s">
        <v>132</v>
      </c>
      <c r="B23" t="s">
        <v>174</v>
      </c>
      <c r="C23" t="s">
        <v>140</v>
      </c>
      <c r="F23" t="s">
        <v>152</v>
      </c>
      <c r="I23" t="s">
        <v>242</v>
      </c>
      <c r="M23" t="s">
        <v>271</v>
      </c>
    </row>
    <row r="24" spans="1:25" x14ac:dyDescent="0.25">
      <c r="A24" t="s">
        <v>131</v>
      </c>
      <c r="B24" t="s">
        <v>184</v>
      </c>
      <c r="C24" t="s">
        <v>141</v>
      </c>
      <c r="F24" t="s">
        <v>164</v>
      </c>
      <c r="I24" t="s">
        <v>140</v>
      </c>
      <c r="M24" t="s">
        <v>272</v>
      </c>
    </row>
    <row r="25" spans="1:25" x14ac:dyDescent="0.25">
      <c r="A25" t="s">
        <v>133</v>
      </c>
      <c r="B25" t="s">
        <v>185</v>
      </c>
      <c r="F25" t="s">
        <v>157</v>
      </c>
      <c r="I25" t="s">
        <v>243</v>
      </c>
      <c r="M25" t="s">
        <v>273</v>
      </c>
    </row>
    <row r="26" spans="1:25" x14ac:dyDescent="0.25">
      <c r="A26" t="s">
        <v>134</v>
      </c>
      <c r="B26" t="s">
        <v>186</v>
      </c>
      <c r="F26" t="s">
        <v>165</v>
      </c>
      <c r="I26" t="s">
        <v>244</v>
      </c>
      <c r="M26" t="s">
        <v>274</v>
      </c>
    </row>
    <row r="27" spans="1:25" x14ac:dyDescent="0.25">
      <c r="A27" t="s">
        <v>135</v>
      </c>
      <c r="B27" t="s">
        <v>187</v>
      </c>
      <c r="F27" t="s">
        <v>158</v>
      </c>
      <c r="M27" t="s">
        <v>98</v>
      </c>
    </row>
    <row r="28" spans="1:25" x14ac:dyDescent="0.25">
      <c r="A28" t="s">
        <v>136</v>
      </c>
      <c r="B28" t="s">
        <v>174</v>
      </c>
    </row>
    <row r="29" spans="1:25" x14ac:dyDescent="0.25">
      <c r="A29" t="s">
        <v>137</v>
      </c>
      <c r="B29" t="s">
        <v>188</v>
      </c>
    </row>
    <row r="30" spans="1:25" x14ac:dyDescent="0.25">
      <c r="A30" t="s">
        <v>98</v>
      </c>
    </row>
    <row r="31" spans="1:25" x14ac:dyDescent="0.25">
      <c r="A31" t="s">
        <v>138</v>
      </c>
      <c r="I31" s="7"/>
      <c r="J31" s="7"/>
    </row>
    <row r="32" spans="1:25" x14ac:dyDescent="0.25">
      <c r="A32" t="s">
        <v>126</v>
      </c>
    </row>
    <row r="33" spans="1:38" x14ac:dyDescent="0.25">
      <c r="A33" t="s">
        <v>128</v>
      </c>
    </row>
    <row r="34" spans="1:38" x14ac:dyDescent="0.25">
      <c r="A34" t="s">
        <v>139</v>
      </c>
    </row>
    <row r="35" spans="1:38" x14ac:dyDescent="0.25">
      <c r="A35" t="s">
        <v>140</v>
      </c>
    </row>
    <row r="36" spans="1:38" x14ac:dyDescent="0.25">
      <c r="A36" t="s">
        <v>98</v>
      </c>
    </row>
    <row r="37" spans="1:38" x14ac:dyDescent="0.25">
      <c r="A37" t="s">
        <v>141</v>
      </c>
    </row>
    <row r="38" spans="1:38" x14ac:dyDescent="0.25">
      <c r="A38" t="s">
        <v>126</v>
      </c>
    </row>
    <row r="39" spans="1:38" x14ac:dyDescent="0.25">
      <c r="A39" t="s">
        <v>122</v>
      </c>
    </row>
    <row r="42" spans="1:38" x14ac:dyDescent="0.25">
      <c r="A42" s="7">
        <v>2.75</v>
      </c>
      <c r="B42" s="7">
        <v>-1.31</v>
      </c>
      <c r="E42" s="7">
        <v>0.74</v>
      </c>
      <c r="F42" s="7">
        <v>-1.47</v>
      </c>
      <c r="I42" s="7">
        <v>1.5</v>
      </c>
      <c r="J42" s="7">
        <v>-0.45</v>
      </c>
      <c r="M42" s="7">
        <v>1.81</v>
      </c>
      <c r="N42" s="7">
        <v>-0.18</v>
      </c>
      <c r="Q42" s="7">
        <v>1.05</v>
      </c>
      <c r="R42" s="7">
        <v>-0.33</v>
      </c>
      <c r="U42" s="7">
        <v>0.49</v>
      </c>
      <c r="V42" s="7">
        <v>-0.52</v>
      </c>
      <c r="Y42" s="7">
        <v>0.67</v>
      </c>
      <c r="Z42" s="7"/>
      <c r="AC42" s="7"/>
      <c r="AD42" s="7"/>
      <c r="AG42" s="7"/>
      <c r="AH42" s="7"/>
      <c r="AK42" s="7"/>
      <c r="AL42" s="7"/>
    </row>
    <row r="43" spans="1:38" x14ac:dyDescent="0.25">
      <c r="A43" s="7">
        <f>ABS(B42)/A42</f>
        <v>0.47636363636363638</v>
      </c>
      <c r="E43" s="7">
        <f>ABS(F42)/E42</f>
        <v>1.9864864864864864</v>
      </c>
      <c r="I43" s="7">
        <f>ABS(J42)/I42</f>
        <v>0.3</v>
      </c>
      <c r="M43" s="7">
        <f>ABS(N42)/M42</f>
        <v>9.9447513812154692E-2</v>
      </c>
      <c r="Q43" s="7">
        <f>ABS(R42)/Q42</f>
        <v>0.31428571428571428</v>
      </c>
      <c r="U43" s="7">
        <f>ABS(V42)/U42</f>
        <v>1.0612244897959184</v>
      </c>
      <c r="Y43" s="7">
        <f>ABS(Z42)/Y42</f>
        <v>0</v>
      </c>
      <c r="AC43" s="7"/>
      <c r="AG43" s="7"/>
      <c r="AK43" s="7"/>
    </row>
    <row r="44" spans="1:38" x14ac:dyDescent="0.25">
      <c r="C44">
        <v>0.26100000000000001</v>
      </c>
      <c r="D44">
        <v>0.73699999999999999</v>
      </c>
      <c r="G44">
        <v>0.28599999999999998</v>
      </c>
      <c r="H44">
        <v>0.46700000000000003</v>
      </c>
      <c r="K44">
        <v>0.13300000000000001</v>
      </c>
      <c r="L44">
        <v>0.36399999999999999</v>
      </c>
      <c r="O44">
        <v>0.308</v>
      </c>
      <c r="P44">
        <v>0.4</v>
      </c>
      <c r="S44">
        <v>1.29</v>
      </c>
      <c r="T44">
        <v>0</v>
      </c>
      <c r="W44">
        <v>0</v>
      </c>
      <c r="X44">
        <v>0.33300000000000002</v>
      </c>
    </row>
    <row r="45" spans="1:38" x14ac:dyDescent="0.25">
      <c r="C45" t="s">
        <v>326</v>
      </c>
      <c r="D45" t="s">
        <v>324</v>
      </c>
      <c r="E45" t="s">
        <v>194</v>
      </c>
      <c r="G45" t="s">
        <v>328</v>
      </c>
      <c r="H45" t="s">
        <v>329</v>
      </c>
      <c r="I45" t="s">
        <v>194</v>
      </c>
      <c r="L45" t="s">
        <v>325</v>
      </c>
      <c r="O45" t="s">
        <v>332</v>
      </c>
      <c r="S45" t="s">
        <v>333</v>
      </c>
      <c r="T45" t="s">
        <v>334</v>
      </c>
      <c r="X45" t="s">
        <v>355</v>
      </c>
    </row>
    <row r="46" spans="1:38" x14ac:dyDescent="0.25">
      <c r="C46" t="s">
        <v>327</v>
      </c>
      <c r="D46" t="s">
        <v>325</v>
      </c>
      <c r="E46" t="s">
        <v>194</v>
      </c>
      <c r="H46" t="s">
        <v>330</v>
      </c>
      <c r="I46" t="s">
        <v>194</v>
      </c>
      <c r="L46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6CDB-F386-4588-836B-0E222C8D2F07}">
  <dimension ref="A1:F21"/>
  <sheetViews>
    <sheetView topLeftCell="B1" workbookViewId="0">
      <selection activeCell="G30" sqref="G30"/>
    </sheetView>
  </sheetViews>
  <sheetFormatPr defaultRowHeight="15" x14ac:dyDescent="0.25"/>
  <cols>
    <col min="2" max="2" width="17.42578125" customWidth="1"/>
    <col min="3" max="3" width="15.5703125" customWidth="1"/>
    <col min="4" max="4" width="14.7109375" customWidth="1"/>
    <col min="5" max="5" width="11.5703125" customWidth="1"/>
    <col min="6" max="6" width="17.85546875" customWidth="1"/>
    <col min="7" max="7" width="101.85546875" customWidth="1"/>
  </cols>
  <sheetData>
    <row r="1" spans="1:6" ht="33" customHeight="1" x14ac:dyDescent="0.25">
      <c r="A1" t="s">
        <v>68</v>
      </c>
      <c r="B1" s="71" t="s">
        <v>97</v>
      </c>
      <c r="C1" s="4" t="s">
        <v>95</v>
      </c>
      <c r="D1" s="4" t="s">
        <v>96</v>
      </c>
      <c r="E1" s="4" t="s">
        <v>91</v>
      </c>
      <c r="F1" s="4" t="s">
        <v>92</v>
      </c>
    </row>
    <row r="2" spans="1:6" x14ac:dyDescent="0.25">
      <c r="A2" t="s">
        <v>55</v>
      </c>
      <c r="B2" s="2">
        <v>4.4019933554817273E-3</v>
      </c>
      <c r="C2" s="2">
        <v>1.01E-2</v>
      </c>
      <c r="D2" s="2">
        <v>1.3100000000000001E-2</v>
      </c>
      <c r="E2" s="2">
        <v>1.2E-2</v>
      </c>
      <c r="F2" s="2">
        <v>1.2E-2</v>
      </c>
    </row>
    <row r="3" spans="1:6" x14ac:dyDescent="0.25">
      <c r="A3" t="s">
        <v>13</v>
      </c>
      <c r="B3" s="2">
        <v>5.6478405315614618E-3</v>
      </c>
      <c r="C3" s="2">
        <v>1.8799999999999997E-2</v>
      </c>
      <c r="D3" s="2">
        <v>2.0799999999999999E-2</v>
      </c>
      <c r="E3" s="2">
        <v>1.6E-2</v>
      </c>
      <c r="F3" s="2">
        <v>2.3E-2</v>
      </c>
    </row>
    <row r="4" spans="1:6" x14ac:dyDescent="0.25">
      <c r="A4" t="s">
        <v>38</v>
      </c>
      <c r="B4" s="2">
        <v>1.2998338870431895E-2</v>
      </c>
      <c r="C4" s="2">
        <v>2.1899999999999999E-2</v>
      </c>
      <c r="D4" s="2">
        <v>2.2099999999999998E-2</v>
      </c>
      <c r="E4" s="2">
        <v>2.4E-2</v>
      </c>
      <c r="F4" s="2">
        <v>2.4E-2</v>
      </c>
    </row>
    <row r="5" spans="1:6" x14ac:dyDescent="0.25">
      <c r="A5" t="s">
        <v>25</v>
      </c>
      <c r="B5" s="2">
        <v>1.6154485049833887E-2</v>
      </c>
      <c r="C5" s="2">
        <v>2.4799999999999999E-2</v>
      </c>
      <c r="D5" s="2">
        <v>2.3900000000000001E-2</v>
      </c>
      <c r="E5" s="2">
        <v>2.3E-2</v>
      </c>
      <c r="F5" s="2">
        <v>2.5999999999999999E-2</v>
      </c>
    </row>
    <row r="6" spans="1:6" x14ac:dyDescent="0.25">
      <c r="A6" t="s">
        <v>58</v>
      </c>
      <c r="B6" s="2">
        <v>1.3455149501661129E-2</v>
      </c>
      <c r="C6" s="2">
        <v>2.7300000000000001E-2</v>
      </c>
      <c r="D6" s="2">
        <v>2.8300000000000002E-2</v>
      </c>
      <c r="E6" s="2">
        <v>3.1E-2</v>
      </c>
      <c r="F6" s="2">
        <v>2.8000000000000001E-2</v>
      </c>
    </row>
    <row r="7" spans="1:6" x14ac:dyDescent="0.25">
      <c r="A7" t="s">
        <v>41</v>
      </c>
      <c r="B7" s="2">
        <v>1.9393687707641195E-2</v>
      </c>
      <c r="C7" s="2">
        <v>3.39E-2</v>
      </c>
      <c r="D7" s="2">
        <v>3.7999999999999999E-2</v>
      </c>
      <c r="E7" s="2">
        <v>4.1000000000000002E-2</v>
      </c>
      <c r="F7" s="2">
        <v>3.7999999999999999E-2</v>
      </c>
    </row>
    <row r="8" spans="1:6" x14ac:dyDescent="0.25">
      <c r="A8" t="s">
        <v>7</v>
      </c>
      <c r="B8" s="2">
        <v>2.6536544850498337E-2</v>
      </c>
      <c r="C8" s="2">
        <v>3.6299999999999999E-2</v>
      </c>
      <c r="D8" s="2">
        <v>3.5000000000000003E-2</v>
      </c>
      <c r="E8" s="2">
        <v>4.2999999999999997E-2</v>
      </c>
      <c r="F8" s="2">
        <v>3.6999999999999998E-2</v>
      </c>
    </row>
    <row r="9" spans="1:6" x14ac:dyDescent="0.25">
      <c r="A9" t="s">
        <v>28</v>
      </c>
      <c r="B9" s="2">
        <v>2.5332225913621262E-2</v>
      </c>
      <c r="C9" s="2">
        <v>4.0599999999999997E-2</v>
      </c>
      <c r="D9" s="2">
        <v>4.24E-2</v>
      </c>
      <c r="E9" s="2">
        <v>5.8999999999999997E-2</v>
      </c>
      <c r="F9" s="2">
        <v>4.4999999999999998E-2</v>
      </c>
    </row>
    <row r="10" spans="1:6" x14ac:dyDescent="0.25">
      <c r="A10" t="s">
        <v>19</v>
      </c>
      <c r="B10" s="2">
        <v>4.455980066445183E-2</v>
      </c>
      <c r="C10" s="2">
        <v>4.4800000000000006E-2</v>
      </c>
      <c r="D10" s="2">
        <v>4.2500000000000003E-2</v>
      </c>
      <c r="E10" s="2">
        <v>3.9E-2</v>
      </c>
      <c r="F10" s="2">
        <v>4.5999999999999999E-2</v>
      </c>
    </row>
    <row r="11" spans="1:6" x14ac:dyDescent="0.25">
      <c r="A11" t="s">
        <v>10</v>
      </c>
      <c r="B11" s="2">
        <v>5.855481727574751E-2</v>
      </c>
      <c r="C11" s="2">
        <v>4.9100000000000005E-2</v>
      </c>
      <c r="D11" s="2">
        <v>4.7300000000000002E-2</v>
      </c>
      <c r="E11" s="2">
        <v>5.2999999999999999E-2</v>
      </c>
      <c r="F11" s="2">
        <v>4.8000000000000001E-2</v>
      </c>
    </row>
    <row r="12" spans="1:6" x14ac:dyDescent="0.25">
      <c r="A12" t="s">
        <v>51</v>
      </c>
      <c r="B12" s="2">
        <v>5.1245847176079731E-2</v>
      </c>
      <c r="C12" s="2">
        <v>5.1399999999999994E-2</v>
      </c>
      <c r="D12" s="2">
        <v>5.2400000000000002E-2</v>
      </c>
      <c r="E12" s="2">
        <v>5.5E-2</v>
      </c>
      <c r="F12" s="2">
        <v>5.2999999999999999E-2</v>
      </c>
    </row>
    <row r="13" spans="1:6" x14ac:dyDescent="0.25">
      <c r="A13" t="s">
        <v>4</v>
      </c>
      <c r="B13" s="2">
        <v>7.6121262458471756E-2</v>
      </c>
      <c r="C13" s="2">
        <v>5.4100000000000002E-2</v>
      </c>
      <c r="D13" s="2">
        <v>5.3800000000000001E-2</v>
      </c>
      <c r="E13" s="2">
        <v>5.2999999999999999E-2</v>
      </c>
      <c r="F13" s="2">
        <v>5.5E-2</v>
      </c>
    </row>
    <row r="14" spans="1:6" x14ac:dyDescent="0.25">
      <c r="A14" t="s">
        <v>35</v>
      </c>
      <c r="B14" s="2">
        <v>6.6860465116279064E-2</v>
      </c>
      <c r="C14" s="2">
        <v>5.67E-2</v>
      </c>
      <c r="D14" s="2">
        <v>5.1500000000000004E-2</v>
      </c>
      <c r="E14" s="2">
        <v>0.06</v>
      </c>
      <c r="F14" s="2">
        <v>5.7000000000000002E-2</v>
      </c>
    </row>
    <row r="15" spans="1:6" x14ac:dyDescent="0.25">
      <c r="A15" t="s">
        <v>44</v>
      </c>
      <c r="B15" s="2">
        <v>9.647009966777409E-2</v>
      </c>
      <c r="C15" s="2">
        <v>5.8600000000000006E-2</v>
      </c>
      <c r="D15" s="2">
        <v>5.7200000000000001E-2</v>
      </c>
      <c r="E15" s="2">
        <v>4.7E-2</v>
      </c>
      <c r="F15" s="2">
        <v>6.0999999999999999E-2</v>
      </c>
    </row>
    <row r="16" spans="1:6" x14ac:dyDescent="0.25">
      <c r="A16" t="s">
        <v>62</v>
      </c>
      <c r="B16" s="2">
        <v>4.426910299003322E-2</v>
      </c>
      <c r="C16" s="2">
        <v>5.8899999999999994E-2</v>
      </c>
      <c r="D16" s="2">
        <v>6.25E-2</v>
      </c>
      <c r="E16" s="2">
        <v>6.7000000000000004E-2</v>
      </c>
      <c r="F16" s="2">
        <v>6.0999999999999999E-2</v>
      </c>
    </row>
    <row r="17" spans="1:6" x14ac:dyDescent="0.25">
      <c r="A17" t="s">
        <v>22</v>
      </c>
      <c r="B17" s="2">
        <v>6.8978405315614624E-2</v>
      </c>
      <c r="C17" s="2">
        <v>6.4299999999999996E-2</v>
      </c>
      <c r="D17" s="2">
        <v>6.4899999999999999E-2</v>
      </c>
      <c r="E17" s="2">
        <v>6.9000000000000006E-2</v>
      </c>
      <c r="F17" s="2">
        <v>6.8000000000000005E-2</v>
      </c>
    </row>
    <row r="18" spans="1:6" x14ac:dyDescent="0.25">
      <c r="A18" t="s">
        <v>16</v>
      </c>
      <c r="B18" s="2">
        <v>8.6503322259136206E-2</v>
      </c>
      <c r="C18" s="2">
        <v>6.6799999999999998E-2</v>
      </c>
      <c r="D18" s="2">
        <v>6.2199999999999998E-2</v>
      </c>
      <c r="E18" s="2">
        <v>6.6000000000000003E-2</v>
      </c>
      <c r="F18" s="2">
        <v>6.9000000000000006E-2</v>
      </c>
    </row>
    <row r="19" spans="1:6" x14ac:dyDescent="0.25">
      <c r="A19" t="s">
        <v>0</v>
      </c>
      <c r="B19" s="2">
        <v>7.0598006644518277E-2</v>
      </c>
      <c r="C19" s="2">
        <v>6.8699999999999997E-2</v>
      </c>
      <c r="D19" s="2">
        <v>6.7400000000000002E-2</v>
      </c>
      <c r="E19" s="2">
        <v>7.8E-2</v>
      </c>
      <c r="F19" s="2">
        <v>7.0000000000000007E-2</v>
      </c>
    </row>
    <row r="20" spans="1:6" x14ac:dyDescent="0.25">
      <c r="A20" t="s">
        <v>48</v>
      </c>
      <c r="B20" s="2">
        <v>0.14032392026578072</v>
      </c>
      <c r="C20" s="2">
        <v>8.0100000000000005E-2</v>
      </c>
      <c r="D20" s="2">
        <v>7.7799999999999994E-2</v>
      </c>
      <c r="E20" s="2">
        <v>6.9000000000000006E-2</v>
      </c>
      <c r="F20" s="2">
        <v>0.08</v>
      </c>
    </row>
    <row r="21" spans="1:6" x14ac:dyDescent="0.25">
      <c r="A21" t="s">
        <v>32</v>
      </c>
      <c r="B21" s="2">
        <v>7.1594684385382065E-2</v>
      </c>
      <c r="C21" s="2">
        <v>9.3100000000000002E-2</v>
      </c>
      <c r="D21" s="2">
        <v>0.1</v>
      </c>
      <c r="E21" s="2">
        <v>9.6000000000000002E-2</v>
      </c>
      <c r="F21" s="2">
        <v>9.8000000000000004E-2</v>
      </c>
    </row>
  </sheetData>
  <sortState xmlns:xlrd2="http://schemas.microsoft.com/office/spreadsheetml/2017/richdata2" ref="A2:F28">
    <sortCondition ref="C1:C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FB2C-EF2F-44CD-AE0E-2968FF267F25}">
  <dimension ref="A1:X21"/>
  <sheetViews>
    <sheetView zoomScale="79" zoomScaleNormal="120" workbookViewId="0">
      <selection activeCell="W7" sqref="W7"/>
    </sheetView>
  </sheetViews>
  <sheetFormatPr defaultRowHeight="15" x14ac:dyDescent="0.25"/>
  <cols>
    <col min="1" max="1" width="27.5703125" style="17" customWidth="1"/>
    <col min="2" max="2" width="7" style="27" customWidth="1"/>
    <col min="3" max="3" width="5.85546875" style="28" customWidth="1"/>
    <col min="4" max="4" width="8.5703125" style="23" customWidth="1"/>
    <col min="5" max="5" width="5.85546875" style="17" customWidth="1"/>
    <col min="6" max="6" width="6.140625" style="27" customWidth="1"/>
    <col min="7" max="7" width="5.42578125" style="28" customWidth="1"/>
    <col min="8" max="8" width="7.42578125" style="23" customWidth="1"/>
    <col min="9" max="9" width="6.42578125" style="17" customWidth="1"/>
    <col min="10" max="10" width="5.5703125" style="27" customWidth="1"/>
    <col min="11" max="11" width="6.7109375" style="28" customWidth="1"/>
    <col min="12" max="12" width="8.28515625" style="23" customWidth="1"/>
    <col min="13" max="13" width="7" style="17" customWidth="1"/>
    <col min="14" max="14" width="5.5703125" style="27" customWidth="1"/>
    <col min="15" max="15" width="6.85546875" style="28" customWidth="1"/>
    <col min="16" max="16" width="11" style="23" customWidth="1"/>
    <col min="17" max="17" width="7.140625" style="17" customWidth="1"/>
    <col min="18" max="18" width="5.85546875" style="27" customWidth="1"/>
    <col min="19" max="19" width="6.140625" style="28" customWidth="1"/>
    <col min="20" max="20" width="9.140625" style="23"/>
    <col min="21" max="21" width="5.5703125" style="17" customWidth="1"/>
  </cols>
  <sheetData>
    <row r="1" spans="1:24" s="18" customFormat="1" x14ac:dyDescent="0.25">
      <c r="A1" s="19" t="s">
        <v>365</v>
      </c>
      <c r="B1" s="25" t="s">
        <v>377</v>
      </c>
      <c r="C1" s="26" t="s">
        <v>197</v>
      </c>
      <c r="D1" s="22" t="s">
        <v>376</v>
      </c>
      <c r="E1" s="19" t="s">
        <v>197</v>
      </c>
      <c r="F1" s="25" t="s">
        <v>390</v>
      </c>
      <c r="G1" s="26" t="s">
        <v>197</v>
      </c>
      <c r="H1" s="22" t="s">
        <v>391</v>
      </c>
      <c r="I1" s="19" t="s">
        <v>197</v>
      </c>
      <c r="J1" s="25" t="s">
        <v>403</v>
      </c>
      <c r="K1" s="26" t="s">
        <v>197</v>
      </c>
      <c r="L1" s="22" t="s">
        <v>404</v>
      </c>
      <c r="M1" s="19" t="s">
        <v>197</v>
      </c>
      <c r="N1" s="25" t="s">
        <v>431</v>
      </c>
      <c r="O1" s="26" t="s">
        <v>197</v>
      </c>
      <c r="P1" s="22" t="s">
        <v>432</v>
      </c>
      <c r="Q1" s="19" t="s">
        <v>197</v>
      </c>
      <c r="R1" s="25" t="s">
        <v>433</v>
      </c>
      <c r="S1" s="26" t="s">
        <v>197</v>
      </c>
      <c r="T1" s="22" t="s">
        <v>434</v>
      </c>
      <c r="U1" s="19" t="s">
        <v>197</v>
      </c>
    </row>
    <row r="2" spans="1:24" x14ac:dyDescent="0.25">
      <c r="A2" s="17">
        <v>1</v>
      </c>
      <c r="B2" s="27" t="s">
        <v>366</v>
      </c>
      <c r="C2" s="28">
        <v>570</v>
      </c>
      <c r="D2" s="23" t="s">
        <v>378</v>
      </c>
      <c r="E2" s="17">
        <v>219</v>
      </c>
      <c r="F2" s="27" t="s">
        <v>393</v>
      </c>
      <c r="G2" s="28">
        <v>121</v>
      </c>
      <c r="H2" s="23" t="s">
        <v>407</v>
      </c>
      <c r="I2" s="17">
        <v>13</v>
      </c>
      <c r="J2" s="27" t="s">
        <v>366</v>
      </c>
      <c r="K2" s="28">
        <v>570</v>
      </c>
      <c r="L2" s="23" t="s">
        <v>378</v>
      </c>
      <c r="M2" s="17">
        <v>219</v>
      </c>
      <c r="N2" s="27" t="s">
        <v>366</v>
      </c>
      <c r="O2" s="28">
        <v>370</v>
      </c>
      <c r="P2" s="23" t="s">
        <v>378</v>
      </c>
      <c r="Q2" s="17">
        <v>68</v>
      </c>
      <c r="R2" s="27" t="s">
        <v>442</v>
      </c>
      <c r="S2" s="28">
        <v>282</v>
      </c>
      <c r="T2" s="23" t="s">
        <v>451</v>
      </c>
      <c r="U2" s="17">
        <v>40</v>
      </c>
    </row>
    <row r="3" spans="1:24" x14ac:dyDescent="0.25">
      <c r="A3" s="17">
        <v>2</v>
      </c>
      <c r="B3" s="27" t="s">
        <v>367</v>
      </c>
      <c r="C3" s="28">
        <v>130</v>
      </c>
      <c r="D3" s="23" t="s">
        <v>381</v>
      </c>
      <c r="E3" s="17">
        <v>74</v>
      </c>
      <c r="F3" s="27" t="s">
        <v>394</v>
      </c>
      <c r="G3" s="28">
        <v>101</v>
      </c>
      <c r="H3" s="23" t="s">
        <v>408</v>
      </c>
      <c r="I3" s="17">
        <v>12</v>
      </c>
      <c r="J3" s="27" t="s">
        <v>417</v>
      </c>
      <c r="K3" s="28">
        <v>233</v>
      </c>
      <c r="L3" s="23" t="s">
        <v>422</v>
      </c>
      <c r="M3" s="17">
        <v>106</v>
      </c>
      <c r="N3" s="27" t="s">
        <v>435</v>
      </c>
      <c r="O3" s="28">
        <v>192</v>
      </c>
      <c r="P3" s="23" t="s">
        <v>422</v>
      </c>
      <c r="Q3" s="17">
        <v>34</v>
      </c>
      <c r="R3" s="27" t="s">
        <v>443</v>
      </c>
      <c r="S3" s="28">
        <v>181</v>
      </c>
      <c r="T3" s="23" t="s">
        <v>453</v>
      </c>
      <c r="U3" s="17">
        <v>26</v>
      </c>
    </row>
    <row r="4" spans="1:24" x14ac:dyDescent="0.25">
      <c r="A4" s="17">
        <v>3</v>
      </c>
      <c r="B4" s="27" t="s">
        <v>368</v>
      </c>
      <c r="C4" s="28">
        <v>103</v>
      </c>
      <c r="D4" s="23" t="s">
        <v>382</v>
      </c>
      <c r="E4" s="17">
        <v>62</v>
      </c>
      <c r="F4" s="27" t="s">
        <v>395</v>
      </c>
      <c r="G4" s="28">
        <v>84</v>
      </c>
      <c r="H4" s="23" t="s">
        <v>409</v>
      </c>
      <c r="I4" s="17">
        <v>12</v>
      </c>
      <c r="J4" s="27" t="s">
        <v>418</v>
      </c>
      <c r="K4" s="28">
        <v>136</v>
      </c>
      <c r="L4" s="23" t="s">
        <v>423</v>
      </c>
      <c r="M4" s="17">
        <v>89</v>
      </c>
      <c r="N4" s="27" t="s">
        <v>436</v>
      </c>
      <c r="O4" s="28">
        <v>113</v>
      </c>
      <c r="P4" s="23" t="s">
        <v>423</v>
      </c>
      <c r="Q4" s="17">
        <v>34</v>
      </c>
      <c r="R4" s="27" t="s">
        <v>444</v>
      </c>
      <c r="S4" s="28">
        <v>105</v>
      </c>
      <c r="T4" s="23" t="s">
        <v>454</v>
      </c>
      <c r="U4" s="17">
        <v>26</v>
      </c>
    </row>
    <row r="5" spans="1:24" x14ac:dyDescent="0.25">
      <c r="A5" s="17">
        <v>4</v>
      </c>
      <c r="B5" s="27" t="s">
        <v>369</v>
      </c>
      <c r="C5" s="28">
        <v>102</v>
      </c>
      <c r="D5" s="23" t="s">
        <v>383</v>
      </c>
      <c r="E5" s="17">
        <v>48</v>
      </c>
      <c r="F5" s="27" t="s">
        <v>396</v>
      </c>
      <c r="G5" s="28">
        <v>63</v>
      </c>
      <c r="H5" s="23" t="s">
        <v>410</v>
      </c>
      <c r="I5" s="17">
        <v>9</v>
      </c>
      <c r="J5" s="27" t="s">
        <v>370</v>
      </c>
      <c r="K5" s="28">
        <v>101</v>
      </c>
      <c r="L5" s="23" t="s">
        <v>424</v>
      </c>
      <c r="M5" s="17">
        <v>84</v>
      </c>
      <c r="N5" s="27" t="s">
        <v>437</v>
      </c>
      <c r="O5" s="28">
        <v>97</v>
      </c>
      <c r="P5" s="23" t="s">
        <v>424</v>
      </c>
      <c r="Q5" s="17">
        <v>33</v>
      </c>
      <c r="R5" s="27" t="s">
        <v>445</v>
      </c>
      <c r="S5" s="28">
        <v>71</v>
      </c>
      <c r="T5" s="23" t="s">
        <v>455</v>
      </c>
      <c r="U5" s="17">
        <v>25</v>
      </c>
    </row>
    <row r="6" spans="1:24" x14ac:dyDescent="0.25">
      <c r="A6" s="17">
        <v>5</v>
      </c>
      <c r="B6" s="27" t="s">
        <v>370</v>
      </c>
      <c r="C6" s="28">
        <v>101</v>
      </c>
      <c r="D6" s="23" t="s">
        <v>384</v>
      </c>
      <c r="E6" s="17">
        <v>41</v>
      </c>
      <c r="F6" s="27" t="s">
        <v>397</v>
      </c>
      <c r="G6" s="28">
        <v>52</v>
      </c>
      <c r="H6" s="23" t="s">
        <v>411</v>
      </c>
      <c r="I6" s="17">
        <v>9</v>
      </c>
      <c r="J6" s="27" t="s">
        <v>395</v>
      </c>
      <c r="K6" s="28">
        <v>84</v>
      </c>
      <c r="L6" s="23" t="s">
        <v>425</v>
      </c>
      <c r="M6" s="17">
        <v>49</v>
      </c>
      <c r="N6" s="27" t="s">
        <v>110</v>
      </c>
      <c r="O6" s="28">
        <v>84</v>
      </c>
      <c r="P6" s="23" t="s">
        <v>425</v>
      </c>
      <c r="Q6" s="17">
        <v>31</v>
      </c>
      <c r="R6" s="27" t="s">
        <v>366</v>
      </c>
      <c r="S6" s="28">
        <v>59</v>
      </c>
      <c r="T6" s="23" t="s">
        <v>456</v>
      </c>
      <c r="U6" s="17">
        <v>23</v>
      </c>
      <c r="W6" t="s">
        <v>551</v>
      </c>
    </row>
    <row r="7" spans="1:24" x14ac:dyDescent="0.25">
      <c r="A7" s="17">
        <v>6</v>
      </c>
      <c r="B7" s="27" t="s">
        <v>371</v>
      </c>
      <c r="C7" s="28">
        <v>49</v>
      </c>
      <c r="D7" s="23" t="s">
        <v>380</v>
      </c>
      <c r="E7" s="17">
        <v>37</v>
      </c>
      <c r="F7" s="27" t="s">
        <v>398</v>
      </c>
      <c r="G7" s="28">
        <v>50</v>
      </c>
      <c r="H7" s="23" t="s">
        <v>412</v>
      </c>
      <c r="I7" s="17">
        <v>9</v>
      </c>
      <c r="J7" s="27" t="s">
        <v>419</v>
      </c>
      <c r="K7" s="28">
        <v>51</v>
      </c>
      <c r="L7" s="23" t="s">
        <v>426</v>
      </c>
      <c r="M7" s="17">
        <v>46</v>
      </c>
      <c r="N7" s="27" t="s">
        <v>370</v>
      </c>
      <c r="O7" s="28">
        <v>63</v>
      </c>
      <c r="P7" s="23" t="s">
        <v>426</v>
      </c>
      <c r="Q7" s="17">
        <v>30</v>
      </c>
      <c r="R7" s="27" t="s">
        <v>446</v>
      </c>
      <c r="S7" s="28">
        <v>58</v>
      </c>
      <c r="T7" s="23" t="s">
        <v>454</v>
      </c>
      <c r="U7" s="17">
        <v>22</v>
      </c>
      <c r="W7">
        <v>-2</v>
      </c>
      <c r="X7" t="s">
        <v>463</v>
      </c>
    </row>
    <row r="8" spans="1:24" x14ac:dyDescent="0.25">
      <c r="A8" s="17">
        <v>7</v>
      </c>
      <c r="B8" s="27" t="s">
        <v>372</v>
      </c>
      <c r="C8" s="28">
        <v>45</v>
      </c>
      <c r="D8" s="23" t="s">
        <v>385</v>
      </c>
      <c r="E8" s="17">
        <v>32</v>
      </c>
      <c r="F8" s="27" t="s">
        <v>371</v>
      </c>
      <c r="G8" s="28">
        <v>49</v>
      </c>
      <c r="H8" s="23" t="s">
        <v>413</v>
      </c>
      <c r="I8" s="17">
        <v>8</v>
      </c>
      <c r="J8" s="27" t="s">
        <v>372</v>
      </c>
      <c r="K8" s="28">
        <v>45</v>
      </c>
      <c r="L8" s="23" t="s">
        <v>427</v>
      </c>
      <c r="M8" s="17">
        <v>38</v>
      </c>
      <c r="N8" s="27" t="s">
        <v>438</v>
      </c>
      <c r="O8" s="28">
        <v>56</v>
      </c>
      <c r="P8" s="23" t="s">
        <v>427</v>
      </c>
      <c r="Q8" s="17">
        <v>28</v>
      </c>
      <c r="R8" s="27" t="s">
        <v>447</v>
      </c>
      <c r="S8" s="28">
        <v>53</v>
      </c>
      <c r="T8" s="23" t="s">
        <v>457</v>
      </c>
      <c r="U8" s="17">
        <v>20</v>
      </c>
      <c r="W8">
        <v>-1</v>
      </c>
      <c r="X8" t="s">
        <v>463</v>
      </c>
    </row>
    <row r="9" spans="1:24" x14ac:dyDescent="0.25">
      <c r="A9" s="17">
        <v>8</v>
      </c>
      <c r="B9" s="27" t="s">
        <v>373</v>
      </c>
      <c r="C9" s="28">
        <v>41</v>
      </c>
      <c r="D9" s="23" t="s">
        <v>386</v>
      </c>
      <c r="E9" s="17">
        <v>25</v>
      </c>
      <c r="F9" s="27" t="s">
        <v>399</v>
      </c>
      <c r="G9" s="28">
        <v>49</v>
      </c>
      <c r="H9" s="23" t="s">
        <v>414</v>
      </c>
      <c r="I9" s="17">
        <v>8</v>
      </c>
      <c r="J9" s="27" t="s">
        <v>373</v>
      </c>
      <c r="K9" s="28">
        <v>41</v>
      </c>
      <c r="L9" s="23" t="s">
        <v>428</v>
      </c>
      <c r="M9" s="17">
        <v>37</v>
      </c>
      <c r="N9" s="27" t="s">
        <v>439</v>
      </c>
      <c r="O9" s="28">
        <v>46</v>
      </c>
      <c r="P9" s="23" t="s">
        <v>428</v>
      </c>
      <c r="Q9" s="17">
        <v>25</v>
      </c>
      <c r="R9" s="27" t="s">
        <v>448</v>
      </c>
      <c r="S9" s="28">
        <v>52</v>
      </c>
      <c r="T9" s="23" t="s">
        <v>458</v>
      </c>
      <c r="U9" s="17">
        <v>19</v>
      </c>
      <c r="W9">
        <v>0</v>
      </c>
      <c r="X9" t="s">
        <v>466</v>
      </c>
    </row>
    <row r="10" spans="1:24" x14ac:dyDescent="0.25">
      <c r="A10" s="17">
        <v>9</v>
      </c>
      <c r="B10" s="27" t="s">
        <v>374</v>
      </c>
      <c r="C10" s="28">
        <v>34</v>
      </c>
      <c r="D10" s="23" t="s">
        <v>379</v>
      </c>
      <c r="E10" s="17">
        <v>24</v>
      </c>
      <c r="F10" s="27" t="s">
        <v>400</v>
      </c>
      <c r="G10" s="28">
        <v>43</v>
      </c>
      <c r="H10" s="23" t="s">
        <v>415</v>
      </c>
      <c r="I10" s="17">
        <v>7</v>
      </c>
      <c r="J10" s="27" t="s">
        <v>420</v>
      </c>
      <c r="K10" s="28">
        <v>29</v>
      </c>
      <c r="L10" s="23" t="s">
        <v>429</v>
      </c>
      <c r="M10" s="17">
        <v>32</v>
      </c>
      <c r="N10" s="27" t="s">
        <v>440</v>
      </c>
      <c r="O10" s="28">
        <v>41</v>
      </c>
      <c r="P10" s="23" t="s">
        <v>429</v>
      </c>
      <c r="Q10" s="17">
        <v>23</v>
      </c>
      <c r="R10" s="27" t="s">
        <v>449</v>
      </c>
      <c r="S10" s="28">
        <v>46</v>
      </c>
      <c r="T10" s="23" t="s">
        <v>459</v>
      </c>
      <c r="U10" s="17">
        <v>17</v>
      </c>
      <c r="W10">
        <v>1</v>
      </c>
      <c r="X10" t="s">
        <v>464</v>
      </c>
    </row>
    <row r="11" spans="1:24" x14ac:dyDescent="0.25">
      <c r="A11" s="19">
        <v>10</v>
      </c>
      <c r="B11" s="25" t="s">
        <v>375</v>
      </c>
      <c r="C11" s="26">
        <v>31</v>
      </c>
      <c r="D11" s="22" t="s">
        <v>387</v>
      </c>
      <c r="E11" s="19">
        <v>22</v>
      </c>
      <c r="F11" s="25" t="s">
        <v>401</v>
      </c>
      <c r="G11" s="26">
        <v>36</v>
      </c>
      <c r="H11" s="22" t="s">
        <v>416</v>
      </c>
      <c r="I11" s="19">
        <v>7</v>
      </c>
      <c r="J11" s="25" t="s">
        <v>421</v>
      </c>
      <c r="K11" s="26">
        <v>26</v>
      </c>
      <c r="L11" s="22" t="s">
        <v>430</v>
      </c>
      <c r="M11" s="19">
        <v>31</v>
      </c>
      <c r="N11" s="25" t="s">
        <v>441</v>
      </c>
      <c r="O11" s="26">
        <v>39</v>
      </c>
      <c r="P11" s="22" t="s">
        <v>430</v>
      </c>
      <c r="Q11" s="19">
        <v>21</v>
      </c>
      <c r="R11" s="25" t="s">
        <v>450</v>
      </c>
      <c r="S11" s="26">
        <v>41</v>
      </c>
      <c r="T11" s="22" t="s">
        <v>452</v>
      </c>
      <c r="U11" s="19">
        <v>17</v>
      </c>
      <c r="W11">
        <v>2</v>
      </c>
      <c r="X11" t="s">
        <v>465</v>
      </c>
    </row>
    <row r="12" spans="1:24" x14ac:dyDescent="0.25">
      <c r="A12" s="17" t="s">
        <v>392</v>
      </c>
      <c r="B12" s="27" t="s">
        <v>366</v>
      </c>
      <c r="D12" s="23" t="s">
        <v>378</v>
      </c>
      <c r="F12" s="27" t="s">
        <v>393</v>
      </c>
      <c r="H12" s="23" t="s">
        <v>410</v>
      </c>
      <c r="J12" s="27" t="s">
        <v>366</v>
      </c>
      <c r="L12" s="23" t="s">
        <v>378</v>
      </c>
      <c r="N12" s="27" t="s">
        <v>366</v>
      </c>
      <c r="P12" s="23" t="s">
        <v>378</v>
      </c>
      <c r="R12" s="27" t="s">
        <v>442</v>
      </c>
      <c r="T12" s="23" t="s">
        <v>451</v>
      </c>
    </row>
    <row r="13" spans="1:24" x14ac:dyDescent="0.25">
      <c r="A13" s="17" t="s">
        <v>402</v>
      </c>
      <c r="B13" s="27" t="s">
        <v>194</v>
      </c>
      <c r="C13" s="28">
        <v>80</v>
      </c>
      <c r="E13" s="17">
        <v>321</v>
      </c>
      <c r="G13" s="28">
        <v>196</v>
      </c>
      <c r="I13" s="17">
        <v>882</v>
      </c>
      <c r="K13" s="28">
        <v>63</v>
      </c>
      <c r="M13" s="17">
        <v>234</v>
      </c>
      <c r="O13" s="28">
        <v>86</v>
      </c>
      <c r="Q13" s="17">
        <v>404</v>
      </c>
      <c r="S13" s="28">
        <v>108</v>
      </c>
      <c r="U13" s="17">
        <v>534</v>
      </c>
      <c r="W13" t="s">
        <v>475</v>
      </c>
    </row>
    <row r="14" spans="1:24" x14ac:dyDescent="0.25">
      <c r="A14" s="17" t="s">
        <v>406</v>
      </c>
      <c r="B14" s="27" t="s">
        <v>194</v>
      </c>
      <c r="C14" s="28">
        <v>439</v>
      </c>
      <c r="E14" s="17">
        <v>1128</v>
      </c>
      <c r="G14" s="28">
        <v>439</v>
      </c>
      <c r="I14" s="17">
        <v>1128</v>
      </c>
      <c r="K14" s="28">
        <v>439</v>
      </c>
      <c r="M14" s="17">
        <v>1128</v>
      </c>
      <c r="O14" s="28">
        <v>439</v>
      </c>
      <c r="Q14" s="17">
        <v>1128</v>
      </c>
      <c r="S14" s="28">
        <v>439</v>
      </c>
      <c r="U14" s="17">
        <v>1128</v>
      </c>
      <c r="W14" t="s">
        <v>476</v>
      </c>
    </row>
    <row r="15" spans="1:24" s="1" customFormat="1" x14ac:dyDescent="0.25">
      <c r="A15" s="21" t="s">
        <v>481</v>
      </c>
      <c r="B15" s="29" t="s">
        <v>194</v>
      </c>
      <c r="C15" s="30">
        <f>C13/C14</f>
        <v>0.18223234624145787</v>
      </c>
      <c r="D15" s="24"/>
      <c r="E15" s="20">
        <f>E13/E14</f>
        <v>0.28457446808510639</v>
      </c>
      <c r="F15" s="29"/>
      <c r="G15" s="30">
        <f>G13/G14</f>
        <v>0.44646924829157175</v>
      </c>
      <c r="H15" s="24"/>
      <c r="I15" s="20">
        <f>I13/I14</f>
        <v>0.78191489361702127</v>
      </c>
      <c r="J15" s="29"/>
      <c r="K15" s="30">
        <f>K13/K14</f>
        <v>0.14350797266514806</v>
      </c>
      <c r="L15" s="24"/>
      <c r="M15" s="20">
        <f>M13/M14</f>
        <v>0.20744680851063829</v>
      </c>
      <c r="N15" s="29"/>
      <c r="O15" s="30">
        <f>O13/O14</f>
        <v>0.1958997722095672</v>
      </c>
      <c r="P15" s="24"/>
      <c r="Q15" s="20">
        <f>Q13/Q14</f>
        <v>0.35815602836879434</v>
      </c>
      <c r="R15" s="29"/>
      <c r="S15" s="30">
        <f>S13/S14</f>
        <v>0.24601366742596811</v>
      </c>
      <c r="T15" s="24"/>
      <c r="U15" s="20">
        <f>U13/U14</f>
        <v>0.47340425531914893</v>
      </c>
      <c r="W15" s="1" t="s">
        <v>480</v>
      </c>
    </row>
    <row r="16" spans="1:24" s="1" customFormat="1" x14ac:dyDescent="0.25">
      <c r="A16" s="21" t="s">
        <v>462</v>
      </c>
      <c r="B16" s="29" t="s">
        <v>194</v>
      </c>
      <c r="C16" s="28">
        <f>SUM(C2:C11)</f>
        <v>1206</v>
      </c>
      <c r="D16" s="24"/>
      <c r="E16" s="17">
        <f>SUM(E2:E11)</f>
        <v>584</v>
      </c>
      <c r="F16" s="29"/>
      <c r="G16" s="28">
        <f>SUM(G2:G11)</f>
        <v>648</v>
      </c>
      <c r="H16" s="24"/>
      <c r="I16" s="17">
        <f>SUM(I2:I11)</f>
        <v>94</v>
      </c>
      <c r="J16" s="29"/>
      <c r="K16" s="28">
        <f>SUM(K2:K11)</f>
        <v>1316</v>
      </c>
      <c r="L16" s="24"/>
      <c r="M16" s="17">
        <f>SUM(M2:M11)</f>
        <v>731</v>
      </c>
      <c r="N16" s="29"/>
      <c r="O16" s="28">
        <f>SUM(O2:O11)</f>
        <v>1101</v>
      </c>
      <c r="P16" s="24"/>
      <c r="Q16" s="17">
        <f>SUM(Q2:Q11)</f>
        <v>327</v>
      </c>
      <c r="R16" s="29"/>
      <c r="S16" s="28">
        <f>SUM(S2:S11)</f>
        <v>948</v>
      </c>
      <c r="T16" s="24"/>
      <c r="U16" s="17">
        <f>SUM(U2:U11)</f>
        <v>235</v>
      </c>
      <c r="W16" s="1" t="s">
        <v>479</v>
      </c>
    </row>
    <row r="17" spans="1:23" x14ac:dyDescent="0.25">
      <c r="A17" s="17" t="s">
        <v>405</v>
      </c>
      <c r="B17" s="27" t="s">
        <v>194</v>
      </c>
      <c r="C17" s="28">
        <v>1539</v>
      </c>
      <c r="E17" s="17">
        <v>1539</v>
      </c>
      <c r="G17" s="28">
        <v>1539</v>
      </c>
      <c r="I17" s="17">
        <v>1539</v>
      </c>
      <c r="K17" s="28">
        <v>1539</v>
      </c>
      <c r="M17" s="17">
        <v>1539</v>
      </c>
      <c r="O17" s="28">
        <v>1539</v>
      </c>
      <c r="Q17" s="17">
        <v>1539</v>
      </c>
      <c r="S17" s="28">
        <v>1539</v>
      </c>
      <c r="U17" s="17">
        <v>1539</v>
      </c>
      <c r="W17" t="s">
        <v>478</v>
      </c>
    </row>
    <row r="18" spans="1:23" s="1" customFormat="1" x14ac:dyDescent="0.25">
      <c r="A18" s="21" t="s">
        <v>460</v>
      </c>
      <c r="B18" s="29" t="s">
        <v>194</v>
      </c>
      <c r="C18" s="31">
        <f>C16/C17</f>
        <v>0.783625730994152</v>
      </c>
      <c r="D18" s="24"/>
      <c r="E18" s="21">
        <f>E16/E17</f>
        <v>0.37946718648473032</v>
      </c>
      <c r="F18" s="29"/>
      <c r="G18" s="31">
        <f>G16/G17</f>
        <v>0.42105263157894735</v>
      </c>
      <c r="H18" s="24"/>
      <c r="I18" s="21">
        <f>I16/I17</f>
        <v>6.1078622482131251E-2</v>
      </c>
      <c r="J18" s="29"/>
      <c r="K18" s="31">
        <f>K16/K17</f>
        <v>0.85510071474983751</v>
      </c>
      <c r="L18" s="24"/>
      <c r="M18" s="21">
        <f>M16/M17</f>
        <v>0.47498375568551005</v>
      </c>
      <c r="N18" s="29"/>
      <c r="O18" s="31">
        <f>O16/O17</f>
        <v>0.71539961013645226</v>
      </c>
      <c r="P18" s="24"/>
      <c r="Q18" s="21">
        <f>Q16/Q17</f>
        <v>0.2124756335282651</v>
      </c>
      <c r="R18" s="29"/>
      <c r="S18" s="31">
        <f>S16/S17</f>
        <v>0.61598440545808963</v>
      </c>
      <c r="T18" s="24"/>
      <c r="U18" s="21">
        <f>U16/U17</f>
        <v>0.15269655620532813</v>
      </c>
      <c r="W18" s="1" t="s">
        <v>477</v>
      </c>
    </row>
    <row r="21" spans="1:23" x14ac:dyDescent="0.25">
      <c r="B21" s="27" t="s">
        <v>389</v>
      </c>
      <c r="D21" s="23" t="s">
        <v>388</v>
      </c>
      <c r="F21" s="27" t="s">
        <v>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E607-88D8-424F-A4B2-25932060DC19}">
  <dimension ref="A1:AS38"/>
  <sheetViews>
    <sheetView topLeftCell="O11" workbookViewId="0">
      <selection activeCell="U32" sqref="U32"/>
    </sheetView>
  </sheetViews>
  <sheetFormatPr defaultRowHeight="15" x14ac:dyDescent="0.25"/>
  <cols>
    <col min="25" max="25" width="3.140625" customWidth="1"/>
    <col min="26" max="26" width="4.85546875" customWidth="1"/>
    <col min="27" max="27" width="3.140625" customWidth="1"/>
    <col min="28" max="28" width="5.140625" customWidth="1"/>
    <col min="29" max="29" width="3.140625" customWidth="1"/>
    <col min="30" max="30" width="6.42578125" customWidth="1"/>
    <col min="31" max="31" width="3.140625" customWidth="1"/>
    <col min="32" max="32" width="4.85546875" customWidth="1"/>
    <col min="33" max="33" width="3.140625" customWidth="1"/>
    <col min="34" max="34" width="5" customWidth="1"/>
    <col min="35" max="35" width="0.5703125" customWidth="1"/>
    <col min="36" max="44" width="4.5703125" customWidth="1"/>
    <col min="45" max="45" width="4.7109375" customWidth="1"/>
  </cols>
  <sheetData>
    <row r="1" spans="1:45" x14ac:dyDescent="0.25">
      <c r="A1" s="19" t="s">
        <v>510</v>
      </c>
      <c r="B1" s="25" t="s">
        <v>377</v>
      </c>
      <c r="C1" s="26" t="s">
        <v>197</v>
      </c>
      <c r="D1" s="22" t="s">
        <v>376</v>
      </c>
      <c r="E1" s="19" t="s">
        <v>197</v>
      </c>
      <c r="F1" s="25" t="s">
        <v>390</v>
      </c>
      <c r="G1" s="26" t="s">
        <v>197</v>
      </c>
      <c r="H1" s="22" t="s">
        <v>391</v>
      </c>
      <c r="I1" s="19" t="s">
        <v>197</v>
      </c>
      <c r="J1" s="25" t="s">
        <v>403</v>
      </c>
      <c r="K1" s="26" t="s">
        <v>197</v>
      </c>
      <c r="L1" s="22" t="s">
        <v>404</v>
      </c>
      <c r="M1" s="19" t="s">
        <v>197</v>
      </c>
      <c r="N1" s="25" t="s">
        <v>431</v>
      </c>
      <c r="O1" s="26" t="s">
        <v>197</v>
      </c>
      <c r="P1" s="22" t="s">
        <v>432</v>
      </c>
      <c r="Q1" s="19" t="s">
        <v>197</v>
      </c>
      <c r="R1" s="25" t="s">
        <v>433</v>
      </c>
      <c r="S1" s="26" t="s">
        <v>197</v>
      </c>
      <c r="T1" s="22" t="s">
        <v>434</v>
      </c>
      <c r="U1" s="19" t="s">
        <v>197</v>
      </c>
      <c r="V1" s="18"/>
      <c r="Y1" s="64" t="s">
        <v>513</v>
      </c>
      <c r="Z1" s="65"/>
      <c r="AA1" s="65"/>
      <c r="AB1" s="65"/>
      <c r="AC1" s="65"/>
      <c r="AD1" s="65"/>
      <c r="AE1" s="65"/>
      <c r="AF1" s="65"/>
      <c r="AG1" s="65"/>
      <c r="AH1" s="65"/>
      <c r="AI1" s="68"/>
      <c r="AJ1" s="65" t="s">
        <v>514</v>
      </c>
      <c r="AK1" s="65"/>
      <c r="AL1" s="65"/>
      <c r="AM1" s="65"/>
      <c r="AN1" s="65"/>
      <c r="AO1" s="65"/>
      <c r="AP1" s="65"/>
      <c r="AQ1" s="65"/>
      <c r="AR1" s="65"/>
      <c r="AS1" s="67"/>
    </row>
    <row r="2" spans="1:45" x14ac:dyDescent="0.25">
      <c r="A2" s="17">
        <v>1</v>
      </c>
      <c r="B2" s="27" t="s">
        <v>366</v>
      </c>
      <c r="C2" s="28">
        <v>306</v>
      </c>
      <c r="D2" s="23" t="s">
        <v>378</v>
      </c>
      <c r="E2" s="17">
        <v>111</v>
      </c>
      <c r="F2" s="27" t="s">
        <v>393</v>
      </c>
      <c r="G2" s="28">
        <v>59</v>
      </c>
      <c r="H2" s="23" t="s">
        <v>409</v>
      </c>
      <c r="I2" s="17">
        <v>12</v>
      </c>
      <c r="J2" s="27" t="s">
        <v>366</v>
      </c>
      <c r="K2" s="28">
        <v>306</v>
      </c>
      <c r="L2" s="23" t="s">
        <v>378</v>
      </c>
      <c r="M2" s="17">
        <v>111</v>
      </c>
      <c r="N2" s="27" t="s">
        <v>366</v>
      </c>
      <c r="O2" s="28">
        <v>194</v>
      </c>
      <c r="P2" s="23" t="s">
        <v>378</v>
      </c>
      <c r="Q2" s="17">
        <v>68</v>
      </c>
      <c r="R2" s="27" t="s">
        <v>442</v>
      </c>
      <c r="S2" s="28">
        <v>282</v>
      </c>
      <c r="T2" s="23" t="s">
        <v>451</v>
      </c>
      <c r="U2" s="17">
        <v>40</v>
      </c>
      <c r="V2" t="s">
        <v>110</v>
      </c>
      <c r="W2">
        <v>53</v>
      </c>
      <c r="Y2" s="54">
        <v>-2</v>
      </c>
      <c r="Z2" s="50"/>
      <c r="AA2" s="51">
        <v>-1</v>
      </c>
      <c r="AB2" s="48"/>
      <c r="AC2" s="51">
        <v>0</v>
      </c>
      <c r="AD2" s="48"/>
      <c r="AE2" s="53" t="s">
        <v>471</v>
      </c>
      <c r="AF2" s="48"/>
      <c r="AG2" s="53" t="s">
        <v>472</v>
      </c>
      <c r="AH2" s="48"/>
      <c r="AI2" s="69"/>
      <c r="AJ2" s="51">
        <v>-2</v>
      </c>
      <c r="AK2" s="48"/>
      <c r="AL2" s="51">
        <v>-1</v>
      </c>
      <c r="AM2" s="48"/>
      <c r="AN2" s="51">
        <v>0</v>
      </c>
      <c r="AO2" s="48"/>
      <c r="AP2" s="53" t="s">
        <v>471</v>
      </c>
      <c r="AQ2" s="48"/>
      <c r="AR2" s="53" t="s">
        <v>472</v>
      </c>
      <c r="AS2" s="55"/>
    </row>
    <row r="3" spans="1:45" x14ac:dyDescent="0.25">
      <c r="A3" s="17">
        <v>2</v>
      </c>
      <c r="B3" s="27" t="s">
        <v>367</v>
      </c>
      <c r="C3" s="28">
        <v>34</v>
      </c>
      <c r="D3" s="23" t="s">
        <v>381</v>
      </c>
      <c r="E3" s="17">
        <v>38</v>
      </c>
      <c r="F3" s="27" t="s">
        <v>395</v>
      </c>
      <c r="G3" s="28">
        <v>53</v>
      </c>
      <c r="H3" s="23" t="s">
        <v>407</v>
      </c>
      <c r="I3" s="17">
        <v>9</v>
      </c>
      <c r="J3" s="27" t="s">
        <v>417</v>
      </c>
      <c r="K3" s="28">
        <v>119</v>
      </c>
      <c r="L3" s="23" t="s">
        <v>496</v>
      </c>
      <c r="M3" s="17">
        <v>54</v>
      </c>
      <c r="N3" s="27" t="s">
        <v>435</v>
      </c>
      <c r="O3" s="28">
        <v>98</v>
      </c>
      <c r="P3" s="23" t="s">
        <v>422</v>
      </c>
      <c r="Q3" s="17">
        <v>34</v>
      </c>
      <c r="R3" s="27" t="s">
        <v>443</v>
      </c>
      <c r="S3" s="28">
        <v>181</v>
      </c>
      <c r="T3" s="23" t="s">
        <v>453</v>
      </c>
      <c r="U3" s="17">
        <v>26</v>
      </c>
      <c r="V3" t="s">
        <v>113</v>
      </c>
      <c r="W3">
        <v>26</v>
      </c>
      <c r="Y3" s="54" t="s">
        <v>5</v>
      </c>
      <c r="Z3" s="50">
        <f>79/805</f>
        <v>9.8136645962732916E-2</v>
      </c>
      <c r="AA3" s="51" t="s">
        <v>45</v>
      </c>
      <c r="AB3" s="50">
        <f>91/805</f>
        <v>0.11304347826086956</v>
      </c>
      <c r="AC3" s="51" t="s">
        <v>83</v>
      </c>
      <c r="AD3" s="50">
        <f>654/805</f>
        <v>0.81242236024844716</v>
      </c>
      <c r="AE3" s="51" t="s">
        <v>45</v>
      </c>
      <c r="AF3" s="50">
        <f>288/805</f>
        <v>0.35776397515527952</v>
      </c>
      <c r="AG3" s="51" t="s">
        <v>17</v>
      </c>
      <c r="AH3" s="50">
        <f>122/805</f>
        <v>0.1515527950310559</v>
      </c>
      <c r="AI3" s="69"/>
      <c r="AJ3" s="51" t="s">
        <v>45</v>
      </c>
      <c r="AK3" s="50">
        <f>82/734</f>
        <v>0.11171662125340599</v>
      </c>
      <c r="AL3" s="51" t="s">
        <v>23</v>
      </c>
      <c r="AM3" s="50">
        <f>106/734</f>
        <v>0.1444141689373297</v>
      </c>
      <c r="AN3" s="51" t="s">
        <v>83</v>
      </c>
      <c r="AO3" s="50">
        <f>586/734</f>
        <v>0.79836512261580383</v>
      </c>
      <c r="AP3" s="51" t="s">
        <v>45</v>
      </c>
      <c r="AQ3" s="50">
        <f>227/734</f>
        <v>0.30926430517711173</v>
      </c>
      <c r="AR3" s="51" t="s">
        <v>23</v>
      </c>
      <c r="AS3" s="56">
        <f>76/734</f>
        <v>0.10354223433242507</v>
      </c>
    </row>
    <row r="4" spans="1:45" x14ac:dyDescent="0.25">
      <c r="A4" s="17">
        <v>3</v>
      </c>
      <c r="B4" s="27" t="s">
        <v>369</v>
      </c>
      <c r="C4" s="28">
        <v>60</v>
      </c>
      <c r="D4" s="23" t="s">
        <v>382</v>
      </c>
      <c r="E4" s="17">
        <v>28</v>
      </c>
      <c r="F4" s="27" t="s">
        <v>394</v>
      </c>
      <c r="G4" s="28">
        <v>47</v>
      </c>
      <c r="H4" s="23" t="s">
        <v>416</v>
      </c>
      <c r="I4" s="17">
        <v>7</v>
      </c>
      <c r="J4" s="27" t="s">
        <v>418</v>
      </c>
      <c r="K4" s="28">
        <v>81</v>
      </c>
      <c r="L4" s="23" t="s">
        <v>497</v>
      </c>
      <c r="M4" s="17">
        <v>46</v>
      </c>
      <c r="N4" s="27" t="s">
        <v>436</v>
      </c>
      <c r="O4" s="28">
        <v>64</v>
      </c>
      <c r="P4" s="23" t="s">
        <v>423</v>
      </c>
      <c r="Q4" s="17">
        <v>34</v>
      </c>
      <c r="R4" s="27" t="s">
        <v>444</v>
      </c>
      <c r="S4" s="28">
        <v>105</v>
      </c>
      <c r="T4" s="23" t="s">
        <v>454</v>
      </c>
      <c r="U4" s="17">
        <v>26</v>
      </c>
      <c r="V4" t="s">
        <v>112</v>
      </c>
      <c r="W4">
        <v>25</v>
      </c>
      <c r="Y4" s="54" t="s">
        <v>45</v>
      </c>
      <c r="Z4" s="50">
        <f>76/805</f>
        <v>9.4409937888198764E-2</v>
      </c>
      <c r="AA4" s="46" t="s">
        <v>5</v>
      </c>
      <c r="AB4" s="49">
        <f>75/805</f>
        <v>9.3167701863354033E-2</v>
      </c>
      <c r="AC4" s="46" t="s">
        <v>85</v>
      </c>
      <c r="AD4" s="49">
        <f>101/805</f>
        <v>0.12546583850931678</v>
      </c>
      <c r="AE4" s="46" t="s">
        <v>33</v>
      </c>
      <c r="AF4" s="49">
        <f>61/805</f>
        <v>7.5776397515527949E-2</v>
      </c>
      <c r="AG4" s="51" t="s">
        <v>45</v>
      </c>
      <c r="AH4" s="50">
        <f>111/805</f>
        <v>0.13788819875776398</v>
      </c>
      <c r="AI4" s="69"/>
      <c r="AJ4" s="46" t="s">
        <v>83</v>
      </c>
      <c r="AK4" s="52">
        <f>62/734</f>
        <v>8.4468664850136238E-2</v>
      </c>
      <c r="AL4" s="46" t="s">
        <v>11</v>
      </c>
      <c r="AM4" s="49">
        <f>64/734</f>
        <v>8.7193460490463212E-2</v>
      </c>
      <c r="AN4" s="46" t="s">
        <v>85</v>
      </c>
      <c r="AO4" s="52">
        <f>94/734</f>
        <v>0.12806539509536785</v>
      </c>
      <c r="AP4" s="46" t="s">
        <v>11</v>
      </c>
      <c r="AQ4" s="49">
        <f>63/734</f>
        <v>8.5831062670299732E-2</v>
      </c>
      <c r="AR4" s="51" t="s">
        <v>11</v>
      </c>
      <c r="AS4" s="56">
        <f>76/734</f>
        <v>0.10354223433242507</v>
      </c>
    </row>
    <row r="5" spans="1:45" x14ac:dyDescent="0.25">
      <c r="A5" s="17">
        <v>4</v>
      </c>
      <c r="B5" s="27" t="s">
        <v>368</v>
      </c>
      <c r="C5" s="28">
        <v>55</v>
      </c>
      <c r="D5" s="23" t="s">
        <v>383</v>
      </c>
      <c r="E5" s="17">
        <v>24</v>
      </c>
      <c r="F5" s="27" t="s">
        <v>488</v>
      </c>
      <c r="G5" s="28">
        <v>36</v>
      </c>
      <c r="H5" s="23" t="s">
        <v>415</v>
      </c>
      <c r="I5" s="17">
        <v>6</v>
      </c>
      <c r="J5" s="27" t="s">
        <v>419</v>
      </c>
      <c r="K5" s="28">
        <v>45</v>
      </c>
      <c r="L5" s="23" t="s">
        <v>498</v>
      </c>
      <c r="M5" s="17">
        <v>35</v>
      </c>
      <c r="N5" s="27" t="s">
        <v>437</v>
      </c>
      <c r="O5" s="28">
        <v>58</v>
      </c>
      <c r="P5" s="23" t="s">
        <v>424</v>
      </c>
      <c r="Q5" s="17">
        <v>33</v>
      </c>
      <c r="R5" s="27" t="s">
        <v>445</v>
      </c>
      <c r="S5" s="28">
        <v>71</v>
      </c>
      <c r="T5" s="23" t="s">
        <v>455</v>
      </c>
      <c r="U5" s="17">
        <v>25</v>
      </c>
      <c r="V5" t="s">
        <v>482</v>
      </c>
      <c r="W5">
        <v>18</v>
      </c>
      <c r="Y5" s="54" t="s">
        <v>49</v>
      </c>
      <c r="Z5" s="50">
        <f>69/805</f>
        <v>8.5714285714285715E-2</v>
      </c>
      <c r="AA5" s="46" t="s">
        <v>33</v>
      </c>
      <c r="AB5" s="49">
        <f>73/805</f>
        <v>9.0683229813664598E-2</v>
      </c>
      <c r="AC5" s="46" t="s">
        <v>87</v>
      </c>
      <c r="AD5" s="49">
        <f>47/805</f>
        <v>5.8385093167701865E-2</v>
      </c>
      <c r="AE5" s="46" t="s">
        <v>17</v>
      </c>
      <c r="AF5" s="49">
        <f>58/805</f>
        <v>7.2049689440993783E-2</v>
      </c>
      <c r="AG5" s="46" t="s">
        <v>83</v>
      </c>
      <c r="AH5" s="49">
        <f>66/805</f>
        <v>8.1987577639751549E-2</v>
      </c>
      <c r="AI5" s="69"/>
      <c r="AJ5" s="46" t="s">
        <v>5</v>
      </c>
      <c r="AK5" s="49">
        <f>61/734</f>
        <v>8.3106267029972758E-2</v>
      </c>
      <c r="AL5" s="46" t="s">
        <v>5</v>
      </c>
      <c r="AM5" s="49">
        <f>56/734</f>
        <v>7.6294277929155316E-2</v>
      </c>
      <c r="AN5" s="46" t="s">
        <v>87</v>
      </c>
      <c r="AO5" s="49">
        <f>32/734</f>
        <v>4.3596730245231606E-2</v>
      </c>
      <c r="AP5" s="46" t="s">
        <v>33</v>
      </c>
      <c r="AQ5" s="49">
        <f>56/734</f>
        <v>7.6294277929155316E-2</v>
      </c>
      <c r="AR5" s="46" t="s">
        <v>83</v>
      </c>
      <c r="AS5" s="57">
        <f>70/734</f>
        <v>9.5367847411444148E-2</v>
      </c>
    </row>
    <row r="6" spans="1:45" x14ac:dyDescent="0.25">
      <c r="A6" s="17">
        <v>5</v>
      </c>
      <c r="B6" s="27" t="s">
        <v>370</v>
      </c>
      <c r="C6" s="28">
        <v>44</v>
      </c>
      <c r="D6" s="23" t="s">
        <v>384</v>
      </c>
      <c r="E6" s="17">
        <v>22</v>
      </c>
      <c r="F6" s="27" t="s">
        <v>396</v>
      </c>
      <c r="G6" s="28">
        <v>33</v>
      </c>
      <c r="H6" s="23" t="s">
        <v>490</v>
      </c>
      <c r="I6" s="17">
        <v>5</v>
      </c>
      <c r="J6" s="27" t="s">
        <v>370</v>
      </c>
      <c r="K6" s="28">
        <v>44</v>
      </c>
      <c r="L6" s="23" t="s">
        <v>499</v>
      </c>
      <c r="M6" s="17">
        <v>27</v>
      </c>
      <c r="N6" s="27" t="s">
        <v>440</v>
      </c>
      <c r="O6" s="28">
        <v>39</v>
      </c>
      <c r="P6" s="23" t="s">
        <v>425</v>
      </c>
      <c r="Q6" s="17">
        <v>31</v>
      </c>
      <c r="R6" s="27" t="s">
        <v>366</v>
      </c>
      <c r="S6" s="28">
        <v>59</v>
      </c>
      <c r="T6" s="23" t="s">
        <v>456</v>
      </c>
      <c r="U6" s="17">
        <v>23</v>
      </c>
      <c r="V6" t="s">
        <v>111</v>
      </c>
      <c r="W6">
        <v>17</v>
      </c>
      <c r="Y6" s="58" t="s">
        <v>17</v>
      </c>
      <c r="Z6" s="49">
        <f>67/805</f>
        <v>8.3229813664596267E-2</v>
      </c>
      <c r="AA6" s="46" t="s">
        <v>23</v>
      </c>
      <c r="AB6" s="49">
        <f>66/805</f>
        <v>8.1987577639751549E-2</v>
      </c>
      <c r="AC6" s="46" t="s">
        <v>86</v>
      </c>
      <c r="AD6" s="49">
        <f>3/805</f>
        <v>3.7267080745341614E-3</v>
      </c>
      <c r="AE6" s="46" t="s">
        <v>83</v>
      </c>
      <c r="AF6" s="49">
        <f>56/805</f>
        <v>6.9565217391304349E-2</v>
      </c>
      <c r="AG6" s="46" t="s">
        <v>23</v>
      </c>
      <c r="AH6" s="49">
        <f>60/805</f>
        <v>7.4534161490683232E-2</v>
      </c>
      <c r="AI6" s="69"/>
      <c r="AJ6" s="46" t="s">
        <v>49</v>
      </c>
      <c r="AK6" s="49">
        <f>60/734</f>
        <v>8.1743869209809264E-2</v>
      </c>
      <c r="AL6" s="46" t="s">
        <v>45</v>
      </c>
      <c r="AM6" s="49">
        <f>55/734</f>
        <v>7.4931880108991822E-2</v>
      </c>
      <c r="AN6" s="46" t="s">
        <v>86</v>
      </c>
      <c r="AO6" s="49">
        <f>22/734</f>
        <v>2.9972752043596729E-2</v>
      </c>
      <c r="AP6" s="46" t="s">
        <v>83</v>
      </c>
      <c r="AQ6" s="49">
        <f>46/734</f>
        <v>6.2670299727520432E-2</v>
      </c>
      <c r="AR6" s="46" t="s">
        <v>17</v>
      </c>
      <c r="AS6" s="57">
        <f>69/734</f>
        <v>9.4005449591280654E-2</v>
      </c>
    </row>
    <row r="7" spans="1:45" x14ac:dyDescent="0.25">
      <c r="A7" s="17">
        <v>6</v>
      </c>
      <c r="B7" s="27" t="s">
        <v>373</v>
      </c>
      <c r="C7" s="28">
        <v>30</v>
      </c>
      <c r="D7" s="23" t="s">
        <v>385</v>
      </c>
      <c r="E7" s="17">
        <v>16</v>
      </c>
      <c r="F7" s="27" t="s">
        <v>397</v>
      </c>
      <c r="G7" s="28">
        <v>26</v>
      </c>
      <c r="H7" s="23" t="s">
        <v>491</v>
      </c>
      <c r="I7" s="17">
        <v>5</v>
      </c>
      <c r="J7" s="27" t="s">
        <v>395</v>
      </c>
      <c r="K7" s="28">
        <v>36</v>
      </c>
      <c r="L7" s="23" t="s">
        <v>500</v>
      </c>
      <c r="M7" s="17">
        <v>22</v>
      </c>
      <c r="N7" s="27" t="s">
        <v>110</v>
      </c>
      <c r="O7" s="28">
        <v>36</v>
      </c>
      <c r="P7" s="23" t="s">
        <v>426</v>
      </c>
      <c r="Q7" s="17">
        <v>30</v>
      </c>
      <c r="R7" s="27" t="s">
        <v>446</v>
      </c>
      <c r="S7" s="28">
        <v>58</v>
      </c>
      <c r="T7" s="23" t="s">
        <v>454</v>
      </c>
      <c r="U7" s="17">
        <v>22</v>
      </c>
      <c r="V7" t="s">
        <v>114</v>
      </c>
      <c r="W7">
        <v>17</v>
      </c>
      <c r="Y7" s="58" t="s">
        <v>83</v>
      </c>
      <c r="Z7" s="49">
        <f>59/805</f>
        <v>7.3291925465838514E-2</v>
      </c>
      <c r="AA7" s="46" t="s">
        <v>11</v>
      </c>
      <c r="AB7" s="49">
        <f>65/805</f>
        <v>8.0745341614906832E-2</v>
      </c>
      <c r="AC7" s="46"/>
      <c r="AD7" s="47"/>
      <c r="AE7" s="46" t="s">
        <v>11</v>
      </c>
      <c r="AF7" s="49">
        <f>51/805</f>
        <v>6.3354037267080748E-2</v>
      </c>
      <c r="AG7" s="46" t="s">
        <v>49</v>
      </c>
      <c r="AH7" s="49">
        <f>57/805</f>
        <v>7.0807453416149066E-2</v>
      </c>
      <c r="AI7" s="69"/>
      <c r="AJ7" s="46" t="s">
        <v>23</v>
      </c>
      <c r="AK7" s="49">
        <f>58/734</f>
        <v>7.901907356948229E-2</v>
      </c>
      <c r="AL7" s="46" t="s">
        <v>1</v>
      </c>
      <c r="AM7" s="49">
        <f>54/734</f>
        <v>7.3569482288828342E-2</v>
      </c>
      <c r="AN7" s="46"/>
      <c r="AO7" s="47"/>
      <c r="AP7" s="46" t="s">
        <v>23</v>
      </c>
      <c r="AQ7" s="49">
        <f>45/734</f>
        <v>6.1307901907356951E-2</v>
      </c>
      <c r="AR7" s="46" t="s">
        <v>45</v>
      </c>
      <c r="AS7" s="57">
        <f>65/734</f>
        <v>8.8555858310626706E-2</v>
      </c>
    </row>
    <row r="8" spans="1:45" ht="15.75" thickBot="1" x14ac:dyDescent="0.3">
      <c r="A8" s="17">
        <v>7</v>
      </c>
      <c r="B8" s="27" t="s">
        <v>375</v>
      </c>
      <c r="C8" s="28">
        <v>24</v>
      </c>
      <c r="D8" s="23" t="s">
        <v>486</v>
      </c>
      <c r="E8" s="17">
        <v>12</v>
      </c>
      <c r="F8" s="27" t="s">
        <v>398</v>
      </c>
      <c r="G8" s="28">
        <v>25</v>
      </c>
      <c r="H8" s="23" t="s">
        <v>408</v>
      </c>
      <c r="I8" s="17">
        <v>5</v>
      </c>
      <c r="J8" s="27" t="s">
        <v>373</v>
      </c>
      <c r="K8" s="28">
        <v>30</v>
      </c>
      <c r="L8" s="23" t="s">
        <v>501</v>
      </c>
      <c r="M8" s="17">
        <v>22</v>
      </c>
      <c r="N8" s="27" t="s">
        <v>438</v>
      </c>
      <c r="O8" s="28">
        <v>33</v>
      </c>
      <c r="P8" s="23" t="s">
        <v>427</v>
      </c>
      <c r="Q8" s="17">
        <v>28</v>
      </c>
      <c r="R8" s="27" t="s">
        <v>447</v>
      </c>
      <c r="S8" s="28">
        <v>53</v>
      </c>
      <c r="T8" s="23" t="s">
        <v>457</v>
      </c>
      <c r="U8" s="17">
        <v>20</v>
      </c>
      <c r="V8" t="s">
        <v>116</v>
      </c>
      <c r="W8">
        <v>17</v>
      </c>
      <c r="Y8" s="59" t="s">
        <v>33</v>
      </c>
      <c r="Z8" s="60">
        <f>57/805</f>
        <v>7.0807453416149066E-2</v>
      </c>
      <c r="AA8" s="61" t="s">
        <v>17</v>
      </c>
      <c r="AB8" s="60">
        <f>59/805</f>
        <v>7.3291925465838514E-2</v>
      </c>
      <c r="AC8" s="61"/>
      <c r="AD8" s="62"/>
      <c r="AE8" s="61" t="s">
        <v>23</v>
      </c>
      <c r="AF8" s="60">
        <f>42/805</f>
        <v>5.2173913043478258E-2</v>
      </c>
      <c r="AG8" s="61" t="s">
        <v>11</v>
      </c>
      <c r="AH8" s="60">
        <f>53/805</f>
        <v>6.5838509316770183E-2</v>
      </c>
      <c r="AI8" s="70"/>
      <c r="AJ8" s="61" t="s">
        <v>33</v>
      </c>
      <c r="AK8" s="60">
        <f>51/734</f>
        <v>6.9482288828337874E-2</v>
      </c>
      <c r="AL8" s="61" t="s">
        <v>83</v>
      </c>
      <c r="AM8" s="60">
        <f>49/734</f>
        <v>6.67574931880109E-2</v>
      </c>
      <c r="AN8" s="61"/>
      <c r="AO8" s="62"/>
      <c r="AP8" s="61" t="s">
        <v>17</v>
      </c>
      <c r="AQ8" s="60">
        <f>40/734</f>
        <v>5.4495912806539509E-2</v>
      </c>
      <c r="AR8" s="61" t="s">
        <v>49</v>
      </c>
      <c r="AS8" s="63">
        <f>56/734</f>
        <v>7.6294277929155316E-2</v>
      </c>
    </row>
    <row r="9" spans="1:45" x14ac:dyDescent="0.25">
      <c r="A9" s="17">
        <v>8</v>
      </c>
      <c r="B9" s="27" t="s">
        <v>372</v>
      </c>
      <c r="C9" s="28">
        <v>24</v>
      </c>
      <c r="D9" s="23" t="s">
        <v>487</v>
      </c>
      <c r="E9" s="17">
        <v>12</v>
      </c>
      <c r="F9" s="27" t="s">
        <v>399</v>
      </c>
      <c r="G9" s="28">
        <v>21</v>
      </c>
      <c r="H9" s="23" t="s">
        <v>492</v>
      </c>
      <c r="I9" s="17">
        <v>5</v>
      </c>
      <c r="J9" s="27" t="s">
        <v>372</v>
      </c>
      <c r="K9" s="28">
        <v>24</v>
      </c>
      <c r="L9" s="23" t="s">
        <v>502</v>
      </c>
      <c r="M9" s="17">
        <v>18</v>
      </c>
      <c r="N9" s="27" t="s">
        <v>373</v>
      </c>
      <c r="O9" s="28">
        <v>27</v>
      </c>
      <c r="P9" s="23" t="s">
        <v>428</v>
      </c>
      <c r="Q9" s="17">
        <v>25</v>
      </c>
      <c r="R9" s="27" t="s">
        <v>448</v>
      </c>
      <c r="S9" s="28">
        <v>52</v>
      </c>
      <c r="T9" s="23" t="s">
        <v>458</v>
      </c>
      <c r="U9" s="17">
        <v>19</v>
      </c>
      <c r="V9" t="s">
        <v>118</v>
      </c>
      <c r="W9">
        <v>13</v>
      </c>
    </row>
    <row r="10" spans="1:45" x14ac:dyDescent="0.25">
      <c r="A10" s="17">
        <v>9</v>
      </c>
      <c r="B10" s="27" t="s">
        <v>374</v>
      </c>
      <c r="C10" s="28">
        <v>24</v>
      </c>
      <c r="D10" s="23" t="s">
        <v>380</v>
      </c>
      <c r="E10" s="17">
        <v>12</v>
      </c>
      <c r="F10" s="27" t="s">
        <v>400</v>
      </c>
      <c r="G10" s="28">
        <v>21</v>
      </c>
      <c r="H10" s="23" t="s">
        <v>493</v>
      </c>
      <c r="I10" s="17">
        <v>5</v>
      </c>
      <c r="J10" s="27" t="s">
        <v>421</v>
      </c>
      <c r="K10" s="28">
        <v>14</v>
      </c>
      <c r="L10" s="23" t="s">
        <v>503</v>
      </c>
      <c r="M10" s="17">
        <v>14</v>
      </c>
      <c r="N10" s="27" t="s">
        <v>370</v>
      </c>
      <c r="O10" s="28">
        <v>26</v>
      </c>
      <c r="P10" s="23" t="s">
        <v>429</v>
      </c>
      <c r="Q10" s="17">
        <v>23</v>
      </c>
      <c r="R10" s="27" t="s">
        <v>449</v>
      </c>
      <c r="S10" s="28">
        <v>46</v>
      </c>
      <c r="T10" s="23" t="s">
        <v>459</v>
      </c>
      <c r="U10" s="17">
        <v>17</v>
      </c>
      <c r="V10" t="s">
        <v>483</v>
      </c>
      <c r="W10">
        <v>12</v>
      </c>
      <c r="Z10" s="41"/>
      <c r="AA10" s="41"/>
      <c r="AB10" s="41"/>
      <c r="AC10" s="41"/>
      <c r="AD10" s="41"/>
      <c r="AE10" s="41"/>
      <c r="AF10" s="41"/>
      <c r="AG10" s="41"/>
      <c r="AH10" s="41"/>
    </row>
    <row r="11" spans="1:45" x14ac:dyDescent="0.25">
      <c r="A11" s="19">
        <v>10</v>
      </c>
      <c r="B11" s="25" t="s">
        <v>485</v>
      </c>
      <c r="C11" s="26">
        <v>21</v>
      </c>
      <c r="D11" s="22" t="s">
        <v>386</v>
      </c>
      <c r="E11" s="19">
        <v>22</v>
      </c>
      <c r="F11" s="25" t="s">
        <v>489</v>
      </c>
      <c r="G11" s="26">
        <v>20</v>
      </c>
      <c r="H11" s="22" t="s">
        <v>494</v>
      </c>
      <c r="I11" s="19">
        <v>5</v>
      </c>
      <c r="J11" s="25" t="s">
        <v>495</v>
      </c>
      <c r="K11" s="26">
        <v>14</v>
      </c>
      <c r="L11" s="22" t="s">
        <v>504</v>
      </c>
      <c r="M11" s="19">
        <v>12</v>
      </c>
      <c r="N11" s="25" t="s">
        <v>441</v>
      </c>
      <c r="O11" s="26">
        <v>23</v>
      </c>
      <c r="P11" s="22" t="s">
        <v>430</v>
      </c>
      <c r="Q11" s="19">
        <v>21</v>
      </c>
      <c r="R11" s="25" t="s">
        <v>450</v>
      </c>
      <c r="S11" s="26">
        <v>41</v>
      </c>
      <c r="T11" s="22" t="s">
        <v>452</v>
      </c>
      <c r="U11" s="19">
        <v>17</v>
      </c>
      <c r="V11" t="s">
        <v>484</v>
      </c>
      <c r="W11">
        <v>11</v>
      </c>
      <c r="Z11" s="45"/>
      <c r="AB11" s="45"/>
      <c r="AD11" s="45"/>
      <c r="AF11" s="45"/>
      <c r="AH11" s="45"/>
    </row>
    <row r="12" spans="1:45" x14ac:dyDescent="0.25">
      <c r="A12" s="17" t="s">
        <v>392</v>
      </c>
      <c r="B12" s="43" t="s">
        <v>366</v>
      </c>
      <c r="C12" s="28"/>
      <c r="D12" s="44" t="s">
        <v>378</v>
      </c>
      <c r="E12" s="17"/>
      <c r="F12" s="43" t="s">
        <v>393</v>
      </c>
      <c r="G12" s="28"/>
      <c r="H12" s="23" t="s">
        <v>512</v>
      </c>
      <c r="I12" s="17"/>
      <c r="J12" s="43" t="s">
        <v>366</v>
      </c>
      <c r="K12" s="28"/>
      <c r="L12" s="44" t="s">
        <v>378</v>
      </c>
      <c r="M12" s="17"/>
      <c r="N12" s="43" t="s">
        <v>366</v>
      </c>
      <c r="O12" s="28"/>
      <c r="P12" s="44" t="s">
        <v>378</v>
      </c>
      <c r="Q12" s="17"/>
      <c r="R12" s="43" t="s">
        <v>442</v>
      </c>
      <c r="S12" s="28"/>
      <c r="T12" s="44" t="s">
        <v>451</v>
      </c>
      <c r="U12" s="17"/>
    </row>
    <row r="13" spans="1:45" x14ac:dyDescent="0.25">
      <c r="A13" s="17" t="s">
        <v>402</v>
      </c>
      <c r="B13" s="27" t="s">
        <v>194</v>
      </c>
      <c r="C13" s="28">
        <v>58</v>
      </c>
      <c r="D13" s="23"/>
      <c r="E13" s="17">
        <v>212</v>
      </c>
      <c r="F13" s="27"/>
      <c r="G13" s="28">
        <v>145</v>
      </c>
      <c r="H13" s="23"/>
      <c r="I13" s="17">
        <v>515</v>
      </c>
      <c r="J13" s="27"/>
      <c r="K13" s="28">
        <v>46</v>
      </c>
      <c r="L13" s="23"/>
      <c r="M13" s="17">
        <v>163</v>
      </c>
      <c r="N13" s="27"/>
      <c r="O13" s="28">
        <v>65</v>
      </c>
      <c r="P13" s="23"/>
      <c r="Q13" s="17">
        <v>272</v>
      </c>
      <c r="R13" s="27"/>
      <c r="S13" s="28">
        <v>77</v>
      </c>
      <c r="T13" s="23"/>
      <c r="U13" s="17">
        <v>331</v>
      </c>
      <c r="W13" t="s">
        <v>506</v>
      </c>
    </row>
    <row r="14" spans="1:45" x14ac:dyDescent="0.25">
      <c r="A14" s="17" t="s">
        <v>406</v>
      </c>
      <c r="B14" s="27" t="s">
        <v>194</v>
      </c>
      <c r="C14" s="28">
        <v>290</v>
      </c>
      <c r="D14" s="23"/>
      <c r="E14" s="17">
        <v>599</v>
      </c>
      <c r="F14" s="27"/>
      <c r="G14" s="28">
        <v>290</v>
      </c>
      <c r="H14" s="23"/>
      <c r="I14" s="17">
        <v>599</v>
      </c>
      <c r="J14" s="27"/>
      <c r="K14" s="28">
        <v>290</v>
      </c>
      <c r="L14" s="23"/>
      <c r="M14" s="17">
        <v>599</v>
      </c>
      <c r="N14" s="27"/>
      <c r="O14" s="28">
        <v>290</v>
      </c>
      <c r="P14" s="23"/>
      <c r="Q14" s="17">
        <v>599</v>
      </c>
      <c r="R14" s="27"/>
      <c r="S14" s="28">
        <v>290</v>
      </c>
      <c r="T14" s="23"/>
      <c r="U14" s="17">
        <v>599</v>
      </c>
      <c r="W14" t="s">
        <v>505</v>
      </c>
    </row>
    <row r="15" spans="1:45" x14ac:dyDescent="0.25">
      <c r="A15" s="21" t="s">
        <v>507</v>
      </c>
      <c r="B15" s="29" t="s">
        <v>194</v>
      </c>
      <c r="C15" s="30">
        <f>C13/C14</f>
        <v>0.2</v>
      </c>
      <c r="D15" s="24"/>
      <c r="E15" s="20">
        <f>E13/E14</f>
        <v>0.35392320534223703</v>
      </c>
      <c r="F15" s="29"/>
      <c r="G15" s="30">
        <f>G13/G14</f>
        <v>0.5</v>
      </c>
      <c r="H15" s="24"/>
      <c r="I15" s="20">
        <f>I13/I14</f>
        <v>0.85976627712854758</v>
      </c>
      <c r="J15" s="29"/>
      <c r="K15" s="30">
        <f>K13/K14</f>
        <v>0.15862068965517243</v>
      </c>
      <c r="L15" s="24"/>
      <c r="M15" s="20">
        <f>M13/M14</f>
        <v>0.27212020033388984</v>
      </c>
      <c r="N15" s="29"/>
      <c r="O15" s="30">
        <f>O13/O14</f>
        <v>0.22413793103448276</v>
      </c>
      <c r="P15" s="24"/>
      <c r="Q15" s="20">
        <f>Q13/Q14</f>
        <v>0.45409015025041738</v>
      </c>
      <c r="R15" s="29"/>
      <c r="S15" s="30">
        <f>S13/S14</f>
        <v>0.26551724137931032</v>
      </c>
      <c r="T15" s="24"/>
      <c r="U15" s="20">
        <f>U13/U14</f>
        <v>0.55258764607679467</v>
      </c>
      <c r="V15" s="1"/>
    </row>
    <row r="16" spans="1:45" x14ac:dyDescent="0.25">
      <c r="A16" s="21" t="s">
        <v>462</v>
      </c>
      <c r="B16" s="29" t="s">
        <v>194</v>
      </c>
      <c r="C16" s="28">
        <f>SUM(C2:C11)</f>
        <v>622</v>
      </c>
      <c r="D16" s="24"/>
      <c r="E16" s="17">
        <f>SUM(E2:E11)</f>
        <v>297</v>
      </c>
      <c r="F16" s="29"/>
      <c r="G16" s="28">
        <f>SUM(G2:G11)</f>
        <v>341</v>
      </c>
      <c r="H16" s="24"/>
      <c r="I16" s="17">
        <f>SUM(I2:I11)</f>
        <v>64</v>
      </c>
      <c r="J16" s="29"/>
      <c r="K16" s="28">
        <f>SUM(K2:K11)</f>
        <v>713</v>
      </c>
      <c r="L16" s="24"/>
      <c r="M16" s="17">
        <f>SUM(M2:M11)</f>
        <v>361</v>
      </c>
      <c r="N16" s="29"/>
      <c r="O16" s="28">
        <f>SUM(O2:O11)</f>
        <v>598</v>
      </c>
      <c r="P16" s="24"/>
      <c r="Q16" s="17">
        <f>SUM(Q2:Q11)</f>
        <v>327</v>
      </c>
      <c r="R16" s="29"/>
      <c r="S16" s="28">
        <f>SUM(S2:S11)</f>
        <v>948</v>
      </c>
      <c r="T16" s="24"/>
      <c r="U16" s="17">
        <f>SUM(U2:U11)</f>
        <v>235</v>
      </c>
      <c r="V16" s="1"/>
    </row>
    <row r="17" spans="1:34" x14ac:dyDescent="0.25">
      <c r="A17" s="17" t="s">
        <v>405</v>
      </c>
      <c r="B17" s="27" t="s">
        <v>194</v>
      </c>
      <c r="C17" s="28">
        <v>805</v>
      </c>
      <c r="D17" s="23"/>
      <c r="E17" s="17">
        <v>805</v>
      </c>
      <c r="F17" s="27"/>
      <c r="G17" s="28">
        <v>805</v>
      </c>
      <c r="H17" s="23"/>
      <c r="I17" s="17">
        <v>805</v>
      </c>
      <c r="J17" s="27"/>
      <c r="K17" s="28">
        <v>805</v>
      </c>
      <c r="L17" s="23"/>
      <c r="M17" s="17">
        <v>805</v>
      </c>
      <c r="N17" s="27"/>
      <c r="O17" s="28">
        <v>805</v>
      </c>
      <c r="P17" s="23"/>
      <c r="Q17" s="17">
        <v>805</v>
      </c>
      <c r="R17" s="27"/>
      <c r="S17" s="28">
        <v>805</v>
      </c>
      <c r="T17" s="23"/>
      <c r="U17" s="17">
        <v>805</v>
      </c>
    </row>
    <row r="18" spans="1:34" x14ac:dyDescent="0.25">
      <c r="A18" s="21" t="s">
        <v>460</v>
      </c>
      <c r="B18" s="29" t="s">
        <v>194</v>
      </c>
      <c r="C18" s="31">
        <f>C16/C17</f>
        <v>0.7726708074534161</v>
      </c>
      <c r="D18" s="24"/>
      <c r="E18" s="21">
        <f>E16/E17</f>
        <v>0.36894409937888201</v>
      </c>
      <c r="F18" s="29"/>
      <c r="G18" s="31">
        <f>G16/G17</f>
        <v>0.42360248447204968</v>
      </c>
      <c r="H18" s="24"/>
      <c r="I18" s="21">
        <f>I16/I17</f>
        <v>7.9503105590062115E-2</v>
      </c>
      <c r="J18" s="29"/>
      <c r="K18" s="31">
        <f>K16/K17</f>
        <v>0.88571428571428568</v>
      </c>
      <c r="L18" s="24"/>
      <c r="M18" s="21">
        <f>M16/M17</f>
        <v>0.44844720496894408</v>
      </c>
      <c r="N18" s="29"/>
      <c r="O18" s="31">
        <f>O16/O17</f>
        <v>0.74285714285714288</v>
      </c>
      <c r="P18" s="24"/>
      <c r="Q18" s="21">
        <f>Q16/Q17</f>
        <v>0.40621118012422358</v>
      </c>
      <c r="R18" s="29"/>
      <c r="S18" s="31">
        <f>S16/S17</f>
        <v>1.177639751552795</v>
      </c>
      <c r="T18" s="24"/>
      <c r="U18" s="21">
        <f>U16/U17</f>
        <v>0.29192546583850931</v>
      </c>
      <c r="V18" s="1"/>
    </row>
    <row r="20" spans="1:34" x14ac:dyDescent="0.25">
      <c r="Y20" s="66" t="s">
        <v>514</v>
      </c>
      <c r="Z20" s="66"/>
      <c r="AA20" s="66"/>
      <c r="AB20" s="66"/>
      <c r="AC20" s="66"/>
      <c r="AD20" s="66"/>
      <c r="AE20" s="66"/>
      <c r="AF20" s="66"/>
      <c r="AG20" s="66"/>
      <c r="AH20" s="66"/>
    </row>
    <row r="21" spans="1:34" x14ac:dyDescent="0.25">
      <c r="A21" s="19" t="s">
        <v>511</v>
      </c>
      <c r="B21" s="25" t="s">
        <v>377</v>
      </c>
      <c r="C21" s="26" t="s">
        <v>197</v>
      </c>
      <c r="D21" s="22" t="s">
        <v>376</v>
      </c>
      <c r="E21" s="19" t="s">
        <v>197</v>
      </c>
      <c r="F21" s="25" t="s">
        <v>390</v>
      </c>
      <c r="G21" s="26" t="s">
        <v>197</v>
      </c>
      <c r="H21" s="22" t="s">
        <v>391</v>
      </c>
      <c r="I21" s="19" t="s">
        <v>197</v>
      </c>
      <c r="J21" s="25" t="s">
        <v>403</v>
      </c>
      <c r="K21" s="26" t="s">
        <v>197</v>
      </c>
      <c r="L21" s="22" t="s">
        <v>404</v>
      </c>
      <c r="M21" s="19" t="s">
        <v>197</v>
      </c>
      <c r="N21" s="25" t="s">
        <v>431</v>
      </c>
      <c r="O21" s="26" t="s">
        <v>197</v>
      </c>
      <c r="P21" s="22" t="s">
        <v>432</v>
      </c>
      <c r="Q21" s="19" t="s">
        <v>197</v>
      </c>
      <c r="R21" s="25" t="s">
        <v>433</v>
      </c>
      <c r="S21" s="26" t="s">
        <v>197</v>
      </c>
      <c r="T21" s="22" t="s">
        <v>434</v>
      </c>
      <c r="U21" s="19" t="s">
        <v>197</v>
      </c>
      <c r="V21" s="18"/>
      <c r="Y21" s="46">
        <v>-2</v>
      </c>
      <c r="Z21" s="47"/>
      <c r="AA21" s="46">
        <v>-1</v>
      </c>
      <c r="AB21" s="47"/>
      <c r="AC21" s="46">
        <v>0</v>
      </c>
      <c r="AD21" s="47"/>
      <c r="AE21" s="46">
        <v>1</v>
      </c>
      <c r="AF21" s="47"/>
      <c r="AG21" s="46">
        <v>2</v>
      </c>
      <c r="AH21" s="47"/>
    </row>
    <row r="22" spans="1:34" x14ac:dyDescent="0.25">
      <c r="A22" s="17">
        <v>1</v>
      </c>
      <c r="B22" s="27" t="s">
        <v>366</v>
      </c>
      <c r="C22" s="28">
        <v>262</v>
      </c>
      <c r="D22" s="23" t="s">
        <v>378</v>
      </c>
      <c r="E22" s="17">
        <v>98</v>
      </c>
      <c r="F22" s="27" t="s">
        <v>393</v>
      </c>
      <c r="G22" s="28">
        <v>57</v>
      </c>
      <c r="H22" s="23" t="s">
        <v>410</v>
      </c>
      <c r="I22" s="17">
        <v>8</v>
      </c>
      <c r="J22" s="27" t="s">
        <v>366</v>
      </c>
      <c r="K22" s="28">
        <v>262</v>
      </c>
      <c r="L22" s="23" t="s">
        <v>378</v>
      </c>
      <c r="M22" s="17">
        <v>98</v>
      </c>
      <c r="N22" s="27" t="s">
        <v>366</v>
      </c>
      <c r="O22" s="28">
        <v>167</v>
      </c>
      <c r="P22" s="23" t="s">
        <v>378</v>
      </c>
      <c r="Q22" s="17">
        <v>29</v>
      </c>
      <c r="R22" s="27" t="s">
        <v>442</v>
      </c>
      <c r="S22" s="28">
        <v>131</v>
      </c>
      <c r="T22" s="23" t="s">
        <v>454</v>
      </c>
      <c r="U22" s="17">
        <v>17</v>
      </c>
      <c r="V22" t="s">
        <v>110</v>
      </c>
      <c r="W22">
        <v>31</v>
      </c>
      <c r="Y22" s="51" t="s">
        <v>45</v>
      </c>
      <c r="Z22" s="50">
        <f>82/734</f>
        <v>0.11171662125340599</v>
      </c>
      <c r="AA22" s="51" t="s">
        <v>23</v>
      </c>
      <c r="AB22" s="50">
        <f>106/734</f>
        <v>0.1444141689373297</v>
      </c>
      <c r="AC22" s="46" t="s">
        <v>83</v>
      </c>
      <c r="AD22" s="50">
        <f>586/734</f>
        <v>0.79836512261580383</v>
      </c>
      <c r="AE22" s="46" t="s">
        <v>45</v>
      </c>
      <c r="AF22" s="50">
        <f>227/734</f>
        <v>0.30926430517711173</v>
      </c>
      <c r="AG22" s="46" t="s">
        <v>23</v>
      </c>
      <c r="AH22" s="50">
        <f>76/734</f>
        <v>0.10354223433242507</v>
      </c>
    </row>
    <row r="23" spans="1:34" x14ac:dyDescent="0.25">
      <c r="A23" s="17">
        <v>2</v>
      </c>
      <c r="B23" s="27" t="s">
        <v>367</v>
      </c>
      <c r="C23" s="28">
        <v>65</v>
      </c>
      <c r="D23" s="23" t="s">
        <v>381</v>
      </c>
      <c r="E23" s="17">
        <v>32</v>
      </c>
      <c r="F23" s="27" t="s">
        <v>394</v>
      </c>
      <c r="G23" s="28">
        <v>52</v>
      </c>
      <c r="H23" s="23" t="s">
        <v>414</v>
      </c>
      <c r="I23" s="17">
        <v>8</v>
      </c>
      <c r="J23" s="27" t="s">
        <v>417</v>
      </c>
      <c r="K23" s="28">
        <v>112</v>
      </c>
      <c r="L23" s="23" t="s">
        <v>496</v>
      </c>
      <c r="M23" s="17">
        <v>48</v>
      </c>
      <c r="N23" s="27" t="s">
        <v>435</v>
      </c>
      <c r="O23" s="28">
        <v>93</v>
      </c>
      <c r="P23" s="23" t="s">
        <v>423</v>
      </c>
      <c r="Q23" s="17">
        <v>23</v>
      </c>
      <c r="R23" s="27" t="s">
        <v>443</v>
      </c>
      <c r="S23" s="28">
        <v>87</v>
      </c>
      <c r="T23" s="23" t="s">
        <v>451</v>
      </c>
      <c r="U23" s="17">
        <v>16</v>
      </c>
      <c r="V23" t="s">
        <v>111</v>
      </c>
      <c r="W23">
        <v>27</v>
      </c>
      <c r="Y23" s="46" t="s">
        <v>83</v>
      </c>
      <c r="Z23" s="50">
        <f>62/734</f>
        <v>8.4468664850136238E-2</v>
      </c>
      <c r="AA23" s="51" t="s">
        <v>11</v>
      </c>
      <c r="AB23" s="49">
        <f>64/734</f>
        <v>8.7193460490463212E-2</v>
      </c>
      <c r="AC23" s="46" t="s">
        <v>85</v>
      </c>
      <c r="AD23" s="50">
        <f>94/734</f>
        <v>0.12806539509536785</v>
      </c>
      <c r="AE23" s="46" t="s">
        <v>11</v>
      </c>
      <c r="AF23" s="49">
        <f>63/734</f>
        <v>8.5831062670299732E-2</v>
      </c>
      <c r="AG23" s="46" t="s">
        <v>11</v>
      </c>
      <c r="AH23" s="50">
        <f>76/734</f>
        <v>0.10354223433242507</v>
      </c>
    </row>
    <row r="24" spans="1:34" x14ac:dyDescent="0.25">
      <c r="A24" s="17">
        <v>3</v>
      </c>
      <c r="B24" s="27" t="s">
        <v>370</v>
      </c>
      <c r="C24" s="28">
        <v>60</v>
      </c>
      <c r="D24" s="23" t="s">
        <v>382</v>
      </c>
      <c r="E24" s="17">
        <v>32</v>
      </c>
      <c r="F24" s="27" t="s">
        <v>371</v>
      </c>
      <c r="G24" s="28">
        <v>31</v>
      </c>
      <c r="H24" s="23" t="s">
        <v>408</v>
      </c>
      <c r="I24" s="17">
        <v>6</v>
      </c>
      <c r="J24" s="27" t="s">
        <v>370</v>
      </c>
      <c r="K24" s="28">
        <v>60</v>
      </c>
      <c r="L24" s="23" t="s">
        <v>498</v>
      </c>
      <c r="M24" s="17">
        <v>46</v>
      </c>
      <c r="N24" s="27" t="s">
        <v>436</v>
      </c>
      <c r="O24" s="28">
        <v>51</v>
      </c>
      <c r="P24" s="23" t="s">
        <v>427</v>
      </c>
      <c r="Q24" s="17">
        <v>17</v>
      </c>
      <c r="R24" s="27" t="s">
        <v>444</v>
      </c>
      <c r="S24" s="28">
        <v>38</v>
      </c>
      <c r="T24" s="23" t="s">
        <v>455</v>
      </c>
      <c r="U24" s="17">
        <v>16</v>
      </c>
      <c r="V24" t="s">
        <v>115</v>
      </c>
      <c r="W24">
        <v>14</v>
      </c>
      <c r="Y24" s="46" t="s">
        <v>5</v>
      </c>
      <c r="Z24" s="49">
        <f>61/734</f>
        <v>8.3106267029972758E-2</v>
      </c>
      <c r="AA24" s="46" t="s">
        <v>5</v>
      </c>
      <c r="AB24" s="49">
        <f>56/734</f>
        <v>7.6294277929155316E-2</v>
      </c>
      <c r="AC24" s="46" t="s">
        <v>87</v>
      </c>
      <c r="AD24" s="49">
        <f>32/734</f>
        <v>4.3596730245231606E-2</v>
      </c>
      <c r="AE24" s="46" t="s">
        <v>33</v>
      </c>
      <c r="AF24" s="49">
        <f>56/734</f>
        <v>7.6294277929155316E-2</v>
      </c>
      <c r="AG24" s="46" t="s">
        <v>83</v>
      </c>
      <c r="AH24" s="49">
        <f>70/734</f>
        <v>9.5367847411444148E-2</v>
      </c>
    </row>
    <row r="25" spans="1:34" x14ac:dyDescent="0.25">
      <c r="A25" s="17">
        <v>4</v>
      </c>
      <c r="B25" s="27" t="s">
        <v>368</v>
      </c>
      <c r="C25" s="28">
        <v>47</v>
      </c>
      <c r="D25" s="23" t="s">
        <v>380</v>
      </c>
      <c r="E25" s="17">
        <v>25</v>
      </c>
      <c r="F25" s="27" t="s">
        <v>396</v>
      </c>
      <c r="G25" s="28">
        <v>31</v>
      </c>
      <c r="H25" s="23" t="s">
        <v>535</v>
      </c>
      <c r="I25" s="17">
        <v>5</v>
      </c>
      <c r="J25" s="27" t="s">
        <v>418</v>
      </c>
      <c r="K25" s="28">
        <v>60</v>
      </c>
      <c r="L25" s="23" t="s">
        <v>497</v>
      </c>
      <c r="M25" s="17">
        <v>39</v>
      </c>
      <c r="N25" s="27" t="s">
        <v>110</v>
      </c>
      <c r="O25" s="28">
        <v>49</v>
      </c>
      <c r="P25" s="23" t="s">
        <v>429</v>
      </c>
      <c r="Q25" s="17">
        <v>16</v>
      </c>
      <c r="R25" s="27" t="s">
        <v>445</v>
      </c>
      <c r="S25" s="28">
        <v>38</v>
      </c>
      <c r="T25" s="23" t="s">
        <v>459</v>
      </c>
      <c r="U25" s="17">
        <v>14</v>
      </c>
      <c r="V25" t="s">
        <v>117</v>
      </c>
      <c r="W25">
        <v>13</v>
      </c>
      <c r="Y25" s="46" t="s">
        <v>49</v>
      </c>
      <c r="Z25" s="49">
        <f>60/734</f>
        <v>8.1743869209809264E-2</v>
      </c>
      <c r="AA25" s="46" t="s">
        <v>45</v>
      </c>
      <c r="AB25" s="49">
        <f>55/734</f>
        <v>7.4931880108991822E-2</v>
      </c>
      <c r="AC25" s="46" t="s">
        <v>86</v>
      </c>
      <c r="AD25" s="49">
        <f>22/734</f>
        <v>2.9972752043596729E-2</v>
      </c>
      <c r="AE25" s="46" t="s">
        <v>83</v>
      </c>
      <c r="AF25" s="49">
        <f>46/734</f>
        <v>6.2670299727520432E-2</v>
      </c>
      <c r="AG25" s="46" t="s">
        <v>17</v>
      </c>
      <c r="AH25" s="49">
        <f>69/734</f>
        <v>9.4005449591280654E-2</v>
      </c>
    </row>
    <row r="26" spans="1:34" x14ac:dyDescent="0.25">
      <c r="A26" s="17">
        <v>5</v>
      </c>
      <c r="B26" s="27" t="s">
        <v>369</v>
      </c>
      <c r="C26" s="28">
        <v>44</v>
      </c>
      <c r="D26" s="23" t="s">
        <v>383</v>
      </c>
      <c r="E26" s="17">
        <v>24</v>
      </c>
      <c r="F26" s="27" t="s">
        <v>395</v>
      </c>
      <c r="G26" s="28">
        <v>31</v>
      </c>
      <c r="H26" s="23" t="s">
        <v>536</v>
      </c>
      <c r="I26" s="17">
        <v>5</v>
      </c>
      <c r="J26" s="27" t="s">
        <v>395</v>
      </c>
      <c r="K26" s="28">
        <v>49</v>
      </c>
      <c r="L26" s="23" t="s">
        <v>380</v>
      </c>
      <c r="M26" s="17">
        <v>25</v>
      </c>
      <c r="N26" s="27" t="s">
        <v>437</v>
      </c>
      <c r="O26" s="28">
        <v>43</v>
      </c>
      <c r="P26" s="23" t="s">
        <v>424</v>
      </c>
      <c r="Q26" s="17">
        <v>14</v>
      </c>
      <c r="R26" s="27" t="s">
        <v>366</v>
      </c>
      <c r="S26" s="28">
        <v>36</v>
      </c>
      <c r="T26" s="23" t="s">
        <v>453</v>
      </c>
      <c r="U26" s="17">
        <v>10</v>
      </c>
      <c r="V26" t="s">
        <v>119</v>
      </c>
      <c r="W26">
        <v>13</v>
      </c>
      <c r="Y26" s="46" t="s">
        <v>23</v>
      </c>
      <c r="Z26" s="49">
        <f>58/734</f>
        <v>7.901907356948229E-2</v>
      </c>
      <c r="AA26" s="46" t="s">
        <v>1</v>
      </c>
      <c r="AB26" s="49">
        <f>54/734</f>
        <v>7.3569482288828342E-2</v>
      </c>
      <c r="AC26" s="46"/>
      <c r="AD26" s="47"/>
      <c r="AE26" s="46" t="s">
        <v>23</v>
      </c>
      <c r="AF26" s="49">
        <f>45/734</f>
        <v>6.1307901907356951E-2</v>
      </c>
      <c r="AG26" s="46" t="s">
        <v>45</v>
      </c>
      <c r="AH26" s="49">
        <f>65/734</f>
        <v>8.8555858310626706E-2</v>
      </c>
    </row>
    <row r="27" spans="1:34" x14ac:dyDescent="0.25">
      <c r="A27" s="17">
        <v>6</v>
      </c>
      <c r="B27" s="27" t="s">
        <v>371</v>
      </c>
      <c r="C27" s="28">
        <v>31</v>
      </c>
      <c r="D27" s="23" t="s">
        <v>385</v>
      </c>
      <c r="E27" s="17">
        <v>16</v>
      </c>
      <c r="F27" s="27" t="s">
        <v>397</v>
      </c>
      <c r="G27" s="28">
        <v>25</v>
      </c>
      <c r="H27" s="23" t="s">
        <v>537</v>
      </c>
      <c r="I27" s="17">
        <v>5</v>
      </c>
      <c r="J27" s="27" t="s">
        <v>372</v>
      </c>
      <c r="K27" s="28">
        <v>23</v>
      </c>
      <c r="L27" s="23" t="s">
        <v>501</v>
      </c>
      <c r="M27" s="17">
        <v>23</v>
      </c>
      <c r="N27" s="27" t="s">
        <v>370</v>
      </c>
      <c r="O27" s="28">
        <v>38</v>
      </c>
      <c r="P27" s="23" t="s">
        <v>422</v>
      </c>
      <c r="Q27" s="17">
        <v>13</v>
      </c>
      <c r="R27" s="27" t="s">
        <v>446</v>
      </c>
      <c r="S27" s="28">
        <v>27</v>
      </c>
      <c r="T27" s="23" t="s">
        <v>546</v>
      </c>
      <c r="U27" s="17">
        <v>10</v>
      </c>
      <c r="V27" t="s">
        <v>541</v>
      </c>
      <c r="W27">
        <v>12</v>
      </c>
      <c r="Y27" s="46" t="s">
        <v>33</v>
      </c>
      <c r="Z27" s="49">
        <f>51/734</f>
        <v>6.9482288828337874E-2</v>
      </c>
      <c r="AA27" s="46" t="s">
        <v>83</v>
      </c>
      <c r="AB27" s="49">
        <f>49/734</f>
        <v>6.67574931880109E-2</v>
      </c>
      <c r="AC27" s="46"/>
      <c r="AD27" s="47"/>
      <c r="AE27" s="46" t="s">
        <v>17</v>
      </c>
      <c r="AF27" s="49">
        <f>40/734</f>
        <v>5.4495912806539509E-2</v>
      </c>
      <c r="AG27" s="46" t="s">
        <v>49</v>
      </c>
      <c r="AH27" s="49">
        <f>56/734</f>
        <v>7.6294277929155316E-2</v>
      </c>
    </row>
    <row r="28" spans="1:34" x14ac:dyDescent="0.25">
      <c r="A28" s="17">
        <v>7</v>
      </c>
      <c r="B28" s="27" t="s">
        <v>372</v>
      </c>
      <c r="C28" s="28">
        <v>23</v>
      </c>
      <c r="D28" s="23" t="s">
        <v>384</v>
      </c>
      <c r="E28" s="17">
        <v>15</v>
      </c>
      <c r="F28" s="27" t="s">
        <v>398</v>
      </c>
      <c r="G28" s="28">
        <v>23</v>
      </c>
      <c r="H28" s="23" t="s">
        <v>538</v>
      </c>
      <c r="I28" s="17">
        <v>5</v>
      </c>
      <c r="J28" s="27" t="s">
        <v>420</v>
      </c>
      <c r="K28" s="28">
        <v>18</v>
      </c>
      <c r="L28" s="23" t="s">
        <v>499</v>
      </c>
      <c r="M28" s="17">
        <v>19</v>
      </c>
      <c r="N28" s="27" t="s">
        <v>438</v>
      </c>
      <c r="O28" s="28">
        <v>30</v>
      </c>
      <c r="P28" s="23" t="s">
        <v>422</v>
      </c>
      <c r="Q28" s="17">
        <v>12</v>
      </c>
      <c r="R28" s="27" t="s">
        <v>447</v>
      </c>
      <c r="S28" s="28">
        <v>26</v>
      </c>
      <c r="T28" s="23" t="s">
        <v>547</v>
      </c>
      <c r="U28" s="17">
        <v>9</v>
      </c>
      <c r="V28" t="s">
        <v>542</v>
      </c>
      <c r="W28">
        <v>12</v>
      </c>
    </row>
    <row r="29" spans="1:34" x14ac:dyDescent="0.25">
      <c r="A29" s="17">
        <v>8</v>
      </c>
      <c r="B29" s="27" t="s">
        <v>374</v>
      </c>
      <c r="C29" s="28">
        <v>16</v>
      </c>
      <c r="D29" s="23" t="s">
        <v>379</v>
      </c>
      <c r="E29" s="17">
        <v>14</v>
      </c>
      <c r="F29" s="27" t="s">
        <v>399</v>
      </c>
      <c r="G29" s="28">
        <v>23</v>
      </c>
      <c r="H29" s="23" t="s">
        <v>412</v>
      </c>
      <c r="I29" s="17">
        <v>5</v>
      </c>
      <c r="J29" s="27" t="s">
        <v>373</v>
      </c>
      <c r="K29" s="28">
        <v>14</v>
      </c>
      <c r="L29" s="23" t="s">
        <v>503</v>
      </c>
      <c r="M29" s="17">
        <v>16</v>
      </c>
      <c r="N29" s="27" t="s">
        <v>439</v>
      </c>
      <c r="O29" s="28">
        <v>19</v>
      </c>
      <c r="P29" s="23" t="s">
        <v>545</v>
      </c>
      <c r="Q29" s="17">
        <v>11</v>
      </c>
      <c r="R29" s="27" t="s">
        <v>448</v>
      </c>
      <c r="S29" s="28">
        <v>24</v>
      </c>
      <c r="T29" s="23" t="s">
        <v>452</v>
      </c>
      <c r="U29" s="17">
        <v>8</v>
      </c>
      <c r="V29" t="s">
        <v>543</v>
      </c>
      <c r="W29">
        <v>11</v>
      </c>
    </row>
    <row r="30" spans="1:34" x14ac:dyDescent="0.25">
      <c r="A30" s="17">
        <v>9</v>
      </c>
      <c r="B30" s="27" t="s">
        <v>533</v>
      </c>
      <c r="C30" s="28">
        <v>14</v>
      </c>
      <c r="D30" s="23" t="s">
        <v>387</v>
      </c>
      <c r="E30" s="17">
        <v>14</v>
      </c>
      <c r="F30" s="27" t="s">
        <v>418</v>
      </c>
      <c r="G30" s="28">
        <v>16</v>
      </c>
      <c r="H30" s="23" t="s">
        <v>539</v>
      </c>
      <c r="I30" s="17">
        <v>4</v>
      </c>
      <c r="J30" s="27" t="s">
        <v>421</v>
      </c>
      <c r="K30" s="28">
        <v>11</v>
      </c>
      <c r="L30" s="23" t="s">
        <v>534</v>
      </c>
      <c r="M30" s="17">
        <v>14</v>
      </c>
      <c r="N30" s="27" t="s">
        <v>372</v>
      </c>
      <c r="O30" s="28">
        <v>18</v>
      </c>
      <c r="P30" s="23" t="s">
        <v>534</v>
      </c>
      <c r="Q30" s="17">
        <v>11</v>
      </c>
      <c r="R30" s="27" t="s">
        <v>449</v>
      </c>
      <c r="S30" s="28">
        <v>22</v>
      </c>
      <c r="T30" s="23" t="s">
        <v>548</v>
      </c>
      <c r="U30" s="17">
        <v>7</v>
      </c>
      <c r="V30" t="s">
        <v>112</v>
      </c>
      <c r="W30">
        <v>11</v>
      </c>
      <c r="Z30" s="41">
        <f>Z22/734</f>
        <v>1.5220248127167029E-4</v>
      </c>
      <c r="AA30" s="41"/>
      <c r="AB30" s="41">
        <f>AB22/734</f>
        <v>1.9674954896093964E-4</v>
      </c>
      <c r="AC30" s="41"/>
      <c r="AD30" s="41">
        <f>AD22/734</f>
        <v>1.0876909027463268E-3</v>
      </c>
      <c r="AE30" s="41"/>
      <c r="AF30" s="41">
        <f>AF22/734</f>
        <v>4.2134101522767268E-4</v>
      </c>
      <c r="AG30" s="41"/>
      <c r="AH30" s="41">
        <f>AH22/734</f>
        <v>1.4106571434935295E-4</v>
      </c>
    </row>
    <row r="31" spans="1:34" x14ac:dyDescent="0.25">
      <c r="A31" s="19">
        <v>10</v>
      </c>
      <c r="B31" s="25" t="s">
        <v>373</v>
      </c>
      <c r="C31" s="26">
        <v>14</v>
      </c>
      <c r="D31" s="22" t="s">
        <v>534</v>
      </c>
      <c r="E31" s="19">
        <v>14</v>
      </c>
      <c r="F31" s="25" t="s">
        <v>400</v>
      </c>
      <c r="G31" s="26">
        <v>15</v>
      </c>
      <c r="H31" s="22" t="s">
        <v>540</v>
      </c>
      <c r="I31" s="19">
        <v>4</v>
      </c>
      <c r="J31" s="25" t="s">
        <v>544</v>
      </c>
      <c r="K31" s="26">
        <v>10</v>
      </c>
      <c r="L31" s="22" t="s">
        <v>500</v>
      </c>
      <c r="M31" s="19">
        <v>13</v>
      </c>
      <c r="N31" s="25" t="s">
        <v>116</v>
      </c>
      <c r="O31" s="26">
        <v>18</v>
      </c>
      <c r="P31" s="22" t="s">
        <v>428</v>
      </c>
      <c r="Q31" s="19">
        <v>10</v>
      </c>
      <c r="R31" s="25" t="s">
        <v>450</v>
      </c>
      <c r="S31" s="26">
        <v>19</v>
      </c>
      <c r="T31" s="22" t="s">
        <v>549</v>
      </c>
      <c r="U31" s="19">
        <v>7</v>
      </c>
      <c r="V31" t="s">
        <v>118</v>
      </c>
      <c r="W31">
        <v>9</v>
      </c>
    </row>
    <row r="32" spans="1:34" x14ac:dyDescent="0.25">
      <c r="A32" s="17" t="s">
        <v>392</v>
      </c>
      <c r="B32" s="27" t="s">
        <v>366</v>
      </c>
      <c r="C32" s="28"/>
      <c r="D32" s="23" t="s">
        <v>378</v>
      </c>
      <c r="E32" s="17"/>
      <c r="F32" s="27" t="s">
        <v>393</v>
      </c>
      <c r="G32" s="28"/>
      <c r="H32" s="23" t="s">
        <v>550</v>
      </c>
      <c r="I32" s="17"/>
      <c r="J32" s="27" t="s">
        <v>366</v>
      </c>
      <c r="K32" s="28"/>
      <c r="L32" s="23" t="s">
        <v>378</v>
      </c>
      <c r="M32" s="17"/>
      <c r="N32" s="27" t="s">
        <v>366</v>
      </c>
      <c r="O32" s="28"/>
      <c r="P32" s="23" t="s">
        <v>378</v>
      </c>
      <c r="Q32" s="17"/>
      <c r="R32" s="27" t="s">
        <v>442</v>
      </c>
      <c r="S32" s="28"/>
      <c r="T32" s="23" t="s">
        <v>451</v>
      </c>
      <c r="U32" s="17"/>
      <c r="AD32">
        <f>94/734</f>
        <v>0.12806539509536785</v>
      </c>
    </row>
    <row r="33" spans="1:30" x14ac:dyDescent="0.25">
      <c r="A33" s="17" t="s">
        <v>402</v>
      </c>
      <c r="B33" s="27" t="s">
        <v>194</v>
      </c>
      <c r="C33" s="28">
        <v>62</v>
      </c>
      <c r="D33" s="23"/>
      <c r="E33" s="17">
        <v>200</v>
      </c>
      <c r="F33" s="27"/>
      <c r="G33" s="28">
        <v>139</v>
      </c>
      <c r="H33" s="23"/>
      <c r="I33" s="17">
        <v>471</v>
      </c>
      <c r="J33" s="27"/>
      <c r="K33" s="28">
        <v>46</v>
      </c>
      <c r="L33" s="23"/>
      <c r="M33" s="17">
        <v>146</v>
      </c>
      <c r="N33" s="27"/>
      <c r="O33" s="28">
        <v>65</v>
      </c>
      <c r="P33" s="23"/>
      <c r="Q33" s="17">
        <v>248</v>
      </c>
      <c r="R33" s="27"/>
      <c r="S33" s="28">
        <v>84</v>
      </c>
      <c r="T33" s="23"/>
      <c r="U33" s="17">
        <v>330</v>
      </c>
      <c r="AD33" s="42"/>
    </row>
    <row r="34" spans="1:30" x14ac:dyDescent="0.25">
      <c r="A34" s="17" t="s">
        <v>406</v>
      </c>
      <c r="B34" s="27" t="s">
        <v>194</v>
      </c>
      <c r="C34" s="28">
        <v>277</v>
      </c>
      <c r="D34" s="23"/>
      <c r="E34" s="17">
        <v>545</v>
      </c>
      <c r="F34" s="27"/>
      <c r="G34" s="28">
        <v>277</v>
      </c>
      <c r="H34" s="23"/>
      <c r="I34" s="17">
        <v>545</v>
      </c>
      <c r="J34" s="27"/>
      <c r="K34" s="28">
        <v>277</v>
      </c>
      <c r="L34" s="23"/>
      <c r="M34" s="17">
        <v>545</v>
      </c>
      <c r="N34" s="27"/>
      <c r="O34" s="28">
        <v>277</v>
      </c>
      <c r="P34" s="23"/>
      <c r="Q34" s="17">
        <v>545</v>
      </c>
      <c r="R34" s="27"/>
      <c r="S34" s="28">
        <v>277</v>
      </c>
      <c r="T34" s="23"/>
      <c r="U34" s="17">
        <v>545</v>
      </c>
      <c r="W34" t="s">
        <v>508</v>
      </c>
    </row>
    <row r="35" spans="1:30" x14ac:dyDescent="0.25">
      <c r="A35" s="21" t="s">
        <v>481</v>
      </c>
      <c r="B35" s="29" t="s">
        <v>194</v>
      </c>
      <c r="C35" s="30">
        <f>C33/C34</f>
        <v>0.22382671480144403</v>
      </c>
      <c r="D35" s="24"/>
      <c r="E35" s="20">
        <f>E33/E34</f>
        <v>0.3669724770642202</v>
      </c>
      <c r="F35" s="29"/>
      <c r="G35" s="30">
        <f>G33/G34</f>
        <v>0.50180505415162457</v>
      </c>
      <c r="H35" s="24"/>
      <c r="I35" s="20">
        <f>I33/I34</f>
        <v>0.86422018348623852</v>
      </c>
      <c r="J35" s="29"/>
      <c r="K35" s="30">
        <f>K33/K34</f>
        <v>0.16606498194945848</v>
      </c>
      <c r="L35" s="24"/>
      <c r="M35" s="20">
        <f>M33/M34</f>
        <v>0.26788990825688075</v>
      </c>
      <c r="N35" s="29"/>
      <c r="O35" s="30">
        <f>O33/O34</f>
        <v>0.23465703971119134</v>
      </c>
      <c r="P35" s="24"/>
      <c r="Q35" s="20">
        <f>Q33/Q34</f>
        <v>0.45504587155963305</v>
      </c>
      <c r="R35" s="29"/>
      <c r="S35" s="30">
        <f>S33/S34</f>
        <v>0.30324909747292417</v>
      </c>
      <c r="T35" s="24"/>
      <c r="U35" s="20">
        <f>U33/U34</f>
        <v>0.60550458715596334</v>
      </c>
      <c r="V35" s="1"/>
      <c r="W35" t="s">
        <v>509</v>
      </c>
    </row>
    <row r="36" spans="1:30" x14ac:dyDescent="0.25">
      <c r="A36" s="21" t="s">
        <v>462</v>
      </c>
      <c r="B36" s="29" t="s">
        <v>194</v>
      </c>
      <c r="C36" s="28">
        <f>SUM(C22:C31)</f>
        <v>576</v>
      </c>
      <c r="D36" s="24"/>
      <c r="E36" s="17">
        <f>SUM(E22:E31)</f>
        <v>284</v>
      </c>
      <c r="F36" s="29"/>
      <c r="G36" s="28">
        <f>SUM(G22:G31)</f>
        <v>304</v>
      </c>
      <c r="H36" s="24"/>
      <c r="I36" s="17">
        <f>SUM(I22:I31)</f>
        <v>55</v>
      </c>
      <c r="J36" s="29"/>
      <c r="K36" s="28">
        <f>SUM(K22:K31)</f>
        <v>619</v>
      </c>
      <c r="L36" s="24"/>
      <c r="M36" s="17">
        <f>SUM(M22:M31)</f>
        <v>341</v>
      </c>
      <c r="N36" s="29"/>
      <c r="O36" s="28">
        <f>SUM(O22:O31)</f>
        <v>526</v>
      </c>
      <c r="P36" s="24"/>
      <c r="Q36" s="17">
        <f>SUM(Q22:Q31)</f>
        <v>156</v>
      </c>
      <c r="R36" s="29"/>
      <c r="S36" s="28">
        <f>SUM(S22:S31)</f>
        <v>448</v>
      </c>
      <c r="T36" s="24"/>
      <c r="U36" s="17">
        <f>SUM(U22:U31)</f>
        <v>114</v>
      </c>
      <c r="V36" s="1"/>
    </row>
    <row r="37" spans="1:30" x14ac:dyDescent="0.25">
      <c r="A37" s="17" t="s">
        <v>405</v>
      </c>
      <c r="B37" s="27" t="s">
        <v>194</v>
      </c>
      <c r="C37" s="28">
        <v>734</v>
      </c>
      <c r="D37" s="23"/>
      <c r="E37" s="17">
        <v>734</v>
      </c>
      <c r="F37" s="27"/>
      <c r="G37" s="28">
        <v>734</v>
      </c>
      <c r="H37" s="23"/>
      <c r="I37" s="17">
        <v>734</v>
      </c>
      <c r="J37" s="27"/>
      <c r="K37" s="28">
        <v>734</v>
      </c>
      <c r="L37" s="23"/>
      <c r="M37" s="17">
        <v>734</v>
      </c>
      <c r="N37" s="27"/>
      <c r="O37" s="28">
        <v>734</v>
      </c>
      <c r="P37" s="23"/>
      <c r="Q37" s="17">
        <v>734</v>
      </c>
      <c r="R37" s="27"/>
      <c r="S37" s="28">
        <v>734</v>
      </c>
      <c r="T37" s="23"/>
      <c r="U37" s="17">
        <v>734</v>
      </c>
    </row>
    <row r="38" spans="1:30" x14ac:dyDescent="0.25">
      <c r="A38" s="21" t="s">
        <v>460</v>
      </c>
      <c r="B38" s="29" t="s">
        <v>194</v>
      </c>
      <c r="C38" s="31">
        <f>C36/C37</f>
        <v>0.78474114441416898</v>
      </c>
      <c r="D38" s="24"/>
      <c r="E38" s="21">
        <f>E36/E37</f>
        <v>0.38692098092643051</v>
      </c>
      <c r="F38" s="29"/>
      <c r="G38" s="31">
        <f>G36/G37</f>
        <v>0.41416893732970028</v>
      </c>
      <c r="H38" s="24"/>
      <c r="I38" s="21">
        <f>I36/I37</f>
        <v>7.4931880108991822E-2</v>
      </c>
      <c r="J38" s="29"/>
      <c r="K38" s="31">
        <f>K36/K37</f>
        <v>0.84332425068119887</v>
      </c>
      <c r="L38" s="24"/>
      <c r="M38" s="21">
        <f>M36/M37</f>
        <v>0.4645776566757493</v>
      </c>
      <c r="N38" s="29"/>
      <c r="O38" s="31">
        <f>O36/O37</f>
        <v>0.71662125340599458</v>
      </c>
      <c r="P38" s="24"/>
      <c r="Q38" s="21">
        <f>Q36/Q37</f>
        <v>0.21253405994550409</v>
      </c>
      <c r="R38" s="29"/>
      <c r="S38" s="31">
        <f>S36/S37</f>
        <v>0.61035422343324253</v>
      </c>
      <c r="T38" s="24"/>
      <c r="U38" s="21">
        <f>U36/U37</f>
        <v>0.15531335149863759</v>
      </c>
      <c r="V38" s="1"/>
    </row>
  </sheetData>
  <mergeCells count="4">
    <mergeCell ref="Y1:AH1"/>
    <mergeCell ref="Y20:AH20"/>
    <mergeCell ref="AJ1:AS1"/>
    <mergeCell ref="AI1:AI8"/>
  </mergeCells>
  <pageMargins left="0.7" right="0.7" top="0.75" bottom="0.75" header="0.3" footer="0.3"/>
  <pageSetup paperSize="9" orientation="portrait" r:id="rId1"/>
  <ignoredErrors>
    <ignoredError sqref="AG2 AE2 AR2 AP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Motifs</vt:lpstr>
      <vt:lpstr>Proteins</vt:lpstr>
      <vt:lpstr>Visualisation</vt:lpstr>
      <vt:lpstr>Attributes</vt:lpstr>
      <vt:lpstr>Consensus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Erdö</dc:creator>
  <cp:lastModifiedBy>Máté Erdö</cp:lastModifiedBy>
  <dcterms:created xsi:type="dcterms:W3CDTF">2022-12-16T08:29:32Z</dcterms:created>
  <dcterms:modified xsi:type="dcterms:W3CDTF">2023-03-29T09:18:43Z</dcterms:modified>
</cp:coreProperties>
</file>