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9ECB87E4-68AF-4EEA-AFF6-940144F05639}" xr6:coauthVersionLast="28" xr6:coauthVersionMax="28" xr10:uidLastSave="{00000000-0000-0000-0000-000000000000}"/>
  <bookViews>
    <workbookView xWindow="0" yWindow="0" windowWidth="22260" windowHeight="9510" activeTab="1" xr2:uid="{00000000-000D-0000-FFFF-FFFF00000000}"/>
  </bookViews>
  <sheets>
    <sheet name="SPL" sheetId="1" r:id="rId1"/>
    <sheet name="Power Supply" sheetId="2" r:id="rId2"/>
    <sheet name="Gain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2" l="1"/>
  <c r="C28" i="2"/>
  <c r="D7" i="2"/>
  <c r="E7" i="2"/>
  <c r="D28" i="2"/>
  <c r="G23" i="2"/>
  <c r="E24" i="2" l="1"/>
  <c r="D24" i="2" s="1"/>
  <c r="E23" i="2"/>
  <c r="D23" i="2" s="1"/>
  <c r="F24" i="2" l="1"/>
  <c r="H24" i="2"/>
  <c r="F23" i="2"/>
  <c r="H23" i="2"/>
  <c r="E6" i="2"/>
  <c r="E5" i="2"/>
  <c r="C6" i="2"/>
  <c r="D5" i="2"/>
  <c r="H18" i="2" l="1"/>
  <c r="H17" i="2"/>
  <c r="G18" i="2"/>
  <c r="F18" i="2"/>
  <c r="E18" i="2"/>
  <c r="F17" i="2"/>
  <c r="E17" i="2"/>
  <c r="G17" i="2" s="1"/>
</calcChain>
</file>

<file path=xl/sharedStrings.xml><?xml version="1.0" encoding="utf-8"?>
<sst xmlns="http://schemas.openxmlformats.org/spreadsheetml/2006/main" count="52" uniqueCount="43">
  <si>
    <t>http://myhometheater.homestead.com/splcalculator.html</t>
  </si>
  <si>
    <t>Sensitivity (1W/1M)</t>
  </si>
  <si>
    <t>No. Speakers</t>
  </si>
  <si>
    <t>dB SPL @ 1M</t>
  </si>
  <si>
    <t>Speaker Link</t>
  </si>
  <si>
    <t>https://www.parts-express.com/peerless-by-tymphany-bc25sc06-04-1-textile-dome-tweeter--264-1028</t>
  </si>
  <si>
    <t>https://www.parts-express.com/dayton-audio-dc160-4-6-1-2-classic-woofer-speaker--295-309</t>
  </si>
  <si>
    <t>Calculations from:</t>
  </si>
  <si>
    <t>Power RMS (W)</t>
  </si>
  <si>
    <t>https://www.parts-express.com/tc-6024-6-1-2-treated-paper-cone-woofer-with-foam-surround-4-ohm--299-2196</t>
  </si>
  <si>
    <t>https://www.parts-express.com/goldwood-gw-8024-8-butyl-surround-woofer-4-ohm--290-356</t>
  </si>
  <si>
    <t>Peak Output Voltage</t>
  </si>
  <si>
    <t>Peak Output Current</t>
  </si>
  <si>
    <r>
      <t>Load Impedance (</t>
    </r>
    <r>
      <rPr>
        <sz val="11"/>
        <color theme="1"/>
        <rFont val="Calibri"/>
        <family val="2"/>
      </rPr>
      <t>Ω)</t>
    </r>
  </si>
  <si>
    <t>Tweeter</t>
  </si>
  <si>
    <t>Average Output Power (W)</t>
  </si>
  <si>
    <t>Transformer Voltage Regulation</t>
  </si>
  <si>
    <t>Mains Voltage Variation</t>
  </si>
  <si>
    <t>Drop-out voltage of LM3886</t>
  </si>
  <si>
    <t>Minimum Gain</t>
  </si>
  <si>
    <t>Woofer</t>
  </si>
  <si>
    <r>
      <t>Maximum Supply Voltage (</t>
    </r>
    <r>
      <rPr>
        <sz val="11"/>
        <color theme="1"/>
        <rFont val="Calibri"/>
        <family val="2"/>
      </rPr>
      <t>±V)</t>
    </r>
  </si>
  <si>
    <t>Input Voltage Level</t>
  </si>
  <si>
    <t>LM3886 Power Supply Requirements</t>
  </si>
  <si>
    <t>Transformer Specifications</t>
  </si>
  <si>
    <t>Voltage Regulation Error</t>
  </si>
  <si>
    <t>Input (VAC)</t>
  </si>
  <si>
    <t>Output (VAC)</t>
  </si>
  <si>
    <t>Inductance Ratio</t>
  </si>
  <si>
    <t>Rectified DC Voltage</t>
  </si>
  <si>
    <t>X</t>
  </si>
  <si>
    <t>Tweeters</t>
  </si>
  <si>
    <t>Voltage Given Power</t>
  </si>
  <si>
    <t>Power Given Voltage</t>
  </si>
  <si>
    <t>https://www.parts-express.com/goldwood-gw-s650-4-6-1-2-poly-cone-woofer-4-ohm--290-308</t>
  </si>
  <si>
    <t>Power Dissipation</t>
  </si>
  <si>
    <r>
      <t>P</t>
    </r>
    <r>
      <rPr>
        <vertAlign val="subscript"/>
        <sz val="11"/>
        <color theme="1"/>
        <rFont val="Calibri"/>
        <family val="2"/>
        <scheme val="minor"/>
      </rPr>
      <t>DMAX</t>
    </r>
    <r>
      <rPr>
        <sz val="11"/>
        <color theme="1"/>
        <rFont val="Calibri"/>
        <family val="2"/>
        <scheme val="minor"/>
      </rPr>
      <t xml:space="preserve"> = Vcc*2/2*</t>
    </r>
    <r>
      <rPr>
        <sz val="11"/>
        <color theme="1"/>
        <rFont val="Calibri"/>
        <family val="2"/>
      </rPr>
      <t>π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R</t>
    </r>
    <r>
      <rPr>
        <vertAlign val="subscript"/>
        <sz val="11"/>
        <color theme="1"/>
        <rFont val="Calibri"/>
        <family val="2"/>
      </rPr>
      <t>L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</si>
  <si>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cc </t>
    </r>
    <r>
      <rPr>
        <sz val="11"/>
        <color theme="1"/>
        <rFont val="Calibri"/>
        <family val="2"/>
        <scheme val="minor"/>
      </rPr>
      <t>= |V+| + |V-|</t>
    </r>
  </si>
  <si>
    <t>Notes</t>
  </si>
  <si>
    <t>We have a set supply (~35v), which gives us the output power at that voltage</t>
  </si>
  <si>
    <t>We can set our gain accordingly, to limit output voltage, and therefore limit power to speaker</t>
  </si>
  <si>
    <t>OR we can select a smaller transformer and smaller speakers</t>
  </si>
  <si>
    <t>P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</si>
</sst>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/>
    <xf numFmtId="0" fontId="1" fillId="0" borderId="0" xfId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5</xdr:row>
      <xdr:rowOff>85725</xdr:rowOff>
    </xdr:from>
    <xdr:to>
      <xdr:col>5</xdr:col>
      <xdr:colOff>1219200</xdr:colOff>
      <xdr:row>5</xdr:row>
      <xdr:rowOff>85726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40B576A-DE59-40DA-9FC1-FEF71E095769}"/>
            </a:ext>
          </a:extLst>
        </xdr:cNvPr>
        <xdr:cNvCxnSpPr/>
      </xdr:nvCxnSpPr>
      <xdr:spPr>
        <a:xfrm>
          <a:off x="6848475" y="1038225"/>
          <a:ext cx="10572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yhometheater.homestead.com/splcalculator.html" TargetMode="External"/><Relationship Id="rId2" Type="http://schemas.openxmlformats.org/officeDocument/2006/relationships/hyperlink" Target="https://www.parts-express.com/dayton-audio-dc160-4-6-1-2-classic-woofer-speaker--295-309" TargetMode="External"/><Relationship Id="rId1" Type="http://schemas.openxmlformats.org/officeDocument/2006/relationships/hyperlink" Target="https://www.parts-express.com/peerless-by-tymphany-bc25sc06-04-1-textile-dome-tweeter--264-1028" TargetMode="External"/><Relationship Id="rId5" Type="http://schemas.openxmlformats.org/officeDocument/2006/relationships/hyperlink" Target="https://www.parts-express.com/goldwood-gw-8024-8-butyl-surround-woofer-4-ohm--290-356" TargetMode="External"/><Relationship Id="rId4" Type="http://schemas.openxmlformats.org/officeDocument/2006/relationships/hyperlink" Target="https://www.parts-express.com/tc-6024-6-1-2-treated-paper-cone-woofer-with-foam-surround-4-ohm--299-219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B13" sqref="B13"/>
    </sheetView>
  </sheetViews>
  <sheetFormatPr defaultRowHeight="15" x14ac:dyDescent="0.25"/>
  <cols>
    <col min="2" max="2" width="20.7109375" customWidth="1"/>
    <col min="3" max="3" width="19.5703125" bestFit="1" customWidth="1"/>
    <col min="4" max="4" width="12.5703125" bestFit="1" customWidth="1"/>
    <col min="5" max="5" width="12.140625" bestFit="1" customWidth="1"/>
  </cols>
  <sheetData>
    <row r="1" spans="1:6" x14ac:dyDescent="0.25">
      <c r="B1" t="s">
        <v>7</v>
      </c>
    </row>
    <row r="2" spans="1:6" x14ac:dyDescent="0.25">
      <c r="B2" s="2" t="s">
        <v>0</v>
      </c>
    </row>
    <row r="5" spans="1:6" x14ac:dyDescent="0.25">
      <c r="B5" s="1" t="s">
        <v>1</v>
      </c>
      <c r="C5" s="1" t="s">
        <v>8</v>
      </c>
      <c r="D5" t="s">
        <v>2</v>
      </c>
      <c r="E5" t="s">
        <v>3</v>
      </c>
      <c r="F5" t="s">
        <v>4</v>
      </c>
    </row>
    <row r="6" spans="1:6" x14ac:dyDescent="0.25">
      <c r="A6" t="s">
        <v>30</v>
      </c>
      <c r="B6">
        <v>92.4</v>
      </c>
      <c r="C6">
        <v>50</v>
      </c>
      <c r="D6">
        <v>2</v>
      </c>
      <c r="E6">
        <v>112.4</v>
      </c>
      <c r="F6" s="2" t="s">
        <v>5</v>
      </c>
    </row>
    <row r="7" spans="1:6" x14ac:dyDescent="0.25">
      <c r="B7">
        <v>88.3</v>
      </c>
      <c r="C7">
        <v>60</v>
      </c>
      <c r="D7">
        <v>1</v>
      </c>
      <c r="E7">
        <v>106.1</v>
      </c>
      <c r="F7" s="2" t="s">
        <v>6</v>
      </c>
    </row>
    <row r="8" spans="1:6" x14ac:dyDescent="0.25">
      <c r="B8">
        <v>93.4</v>
      </c>
      <c r="C8">
        <v>50</v>
      </c>
      <c r="D8">
        <v>1</v>
      </c>
      <c r="E8">
        <v>110.4</v>
      </c>
      <c r="F8" s="2" t="s">
        <v>9</v>
      </c>
    </row>
    <row r="9" spans="1:6" x14ac:dyDescent="0.25">
      <c r="F9" s="2" t="s">
        <v>10</v>
      </c>
    </row>
    <row r="10" spans="1:6" x14ac:dyDescent="0.25">
      <c r="B10">
        <v>90</v>
      </c>
      <c r="C10">
        <v>50</v>
      </c>
      <c r="D10">
        <v>1</v>
      </c>
      <c r="E10">
        <v>107</v>
      </c>
      <c r="F10" t="s">
        <v>34</v>
      </c>
    </row>
    <row r="11" spans="1:6" x14ac:dyDescent="0.25">
      <c r="A11" t="s">
        <v>30</v>
      </c>
      <c r="B11">
        <v>88.3</v>
      </c>
      <c r="C11">
        <v>50</v>
      </c>
      <c r="D11">
        <v>1</v>
      </c>
      <c r="E11">
        <v>105.3</v>
      </c>
    </row>
  </sheetData>
  <hyperlinks>
    <hyperlink ref="F6" r:id="rId1" xr:uid="{E978C543-6C32-4CC4-B95F-7525508C6FE7}"/>
    <hyperlink ref="F7" r:id="rId2" xr:uid="{73DD10AB-767F-4BDE-91A9-6FDB66FF532E}"/>
    <hyperlink ref="B2" r:id="rId3" xr:uid="{6A643506-44BF-43ED-8958-1D17814E5A81}"/>
    <hyperlink ref="F8" r:id="rId4" xr:uid="{FE8DAC70-499E-41F4-8E7B-6AF555A27CB3}"/>
    <hyperlink ref="F9" r:id="rId5" xr:uid="{ED5ACAA8-D4A7-4BC7-B19B-4624C59DBAC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B1EA-E152-4802-8ABB-B4D06F75C74E}">
  <dimension ref="B1:K30"/>
  <sheetViews>
    <sheetView tabSelected="1" workbookViewId="0">
      <selection activeCell="E9" sqref="E9"/>
    </sheetView>
  </sheetViews>
  <sheetFormatPr defaultRowHeight="15" x14ac:dyDescent="0.25"/>
  <cols>
    <col min="2" max="2" width="26.85546875" bestFit="1" customWidth="1"/>
    <col min="3" max="3" width="19.42578125" customWidth="1"/>
    <col min="4" max="4" width="25.28515625" bestFit="1" customWidth="1"/>
    <col min="5" max="5" width="19.5703125" bestFit="1" customWidth="1"/>
    <col min="6" max="6" width="19.42578125" bestFit="1" customWidth="1"/>
    <col min="7" max="7" width="30.140625" bestFit="1" customWidth="1"/>
    <col min="8" max="8" width="14.140625" bestFit="1" customWidth="1"/>
    <col min="10" max="10" width="31.85546875" customWidth="1"/>
    <col min="11" max="11" width="14.5703125" customWidth="1"/>
  </cols>
  <sheetData>
    <row r="1" spans="2:11" x14ac:dyDescent="0.25">
      <c r="B1" s="3" t="s">
        <v>24</v>
      </c>
      <c r="C1" s="3"/>
    </row>
    <row r="2" spans="2:11" x14ac:dyDescent="0.25">
      <c r="B2" t="s">
        <v>25</v>
      </c>
      <c r="C2">
        <v>7.0000000000000007E-2</v>
      </c>
    </row>
    <row r="4" spans="2:11" x14ac:dyDescent="0.25">
      <c r="B4" t="s">
        <v>26</v>
      </c>
      <c r="C4" t="s">
        <v>27</v>
      </c>
      <c r="D4" t="s">
        <v>28</v>
      </c>
      <c r="E4" t="s">
        <v>29</v>
      </c>
    </row>
    <row r="5" spans="2:11" x14ac:dyDescent="0.25">
      <c r="B5">
        <v>115</v>
      </c>
      <c r="C5">
        <v>24</v>
      </c>
      <c r="D5">
        <f>POWER((B5/C5), 2)</f>
        <v>22.960069444444446</v>
      </c>
      <c r="E5">
        <f>C5*SQRT(2)</f>
        <v>33.941125496954285</v>
      </c>
    </row>
    <row r="6" spans="2:11" ht="18" x14ac:dyDescent="0.35">
      <c r="B6">
        <v>120</v>
      </c>
      <c r="C6">
        <f>B6/SQRT(D6)</f>
        <v>25.043516133890467</v>
      </c>
      <c r="D6">
        <v>22.96</v>
      </c>
      <c r="E6">
        <f>C6*SQRT(2)</f>
        <v>35.416880166057318</v>
      </c>
      <c r="G6" t="s">
        <v>37</v>
      </c>
    </row>
    <row r="7" spans="2:11" x14ac:dyDescent="0.25">
      <c r="B7">
        <v>117</v>
      </c>
      <c r="C7">
        <v>22</v>
      </c>
      <c r="D7">
        <f>POWER((B7/C7), 2)</f>
        <v>28.283057851239672</v>
      </c>
      <c r="E7">
        <f>C7*SQRT(2)</f>
        <v>31.112698372208094</v>
      </c>
    </row>
    <row r="12" spans="2:11" x14ac:dyDescent="0.25">
      <c r="B12" s="3" t="s">
        <v>23</v>
      </c>
      <c r="C12" s="3"/>
    </row>
    <row r="14" spans="2:11" x14ac:dyDescent="0.25">
      <c r="B14" t="s">
        <v>32</v>
      </c>
    </row>
    <row r="16" spans="2:11" x14ac:dyDescent="0.25">
      <c r="C16" t="s">
        <v>13</v>
      </c>
      <c r="D16" t="s">
        <v>15</v>
      </c>
      <c r="E16" t="s">
        <v>11</v>
      </c>
      <c r="F16" t="s">
        <v>12</v>
      </c>
      <c r="G16" t="s">
        <v>21</v>
      </c>
      <c r="H16" t="s">
        <v>19</v>
      </c>
      <c r="J16" t="s">
        <v>16</v>
      </c>
      <c r="K16">
        <v>0.1</v>
      </c>
    </row>
    <row r="17" spans="2:11" x14ac:dyDescent="0.25">
      <c r="B17" t="s">
        <v>14</v>
      </c>
      <c r="C17">
        <v>4</v>
      </c>
      <c r="D17">
        <v>50</v>
      </c>
      <c r="E17">
        <f>SQRT(2*C17*D17)</f>
        <v>20</v>
      </c>
      <c r="F17">
        <f>SQRT(2*D17/C17)</f>
        <v>5</v>
      </c>
      <c r="G17">
        <f>(E17+K$18)*(1+K$16)*(1+K$17)</f>
        <v>29.040000000000006</v>
      </c>
      <c r="H17">
        <f>SQRT(D17*C17)</f>
        <v>14.142135623730951</v>
      </c>
      <c r="J17" t="s">
        <v>17</v>
      </c>
      <c r="K17">
        <v>0.1</v>
      </c>
    </row>
    <row r="18" spans="2:11" x14ac:dyDescent="0.25">
      <c r="B18" t="s">
        <v>20</v>
      </c>
      <c r="C18">
        <v>4</v>
      </c>
      <c r="D18">
        <v>60</v>
      </c>
      <c r="E18">
        <f>SQRT(2*C18*D18)</f>
        <v>21.908902300206645</v>
      </c>
      <c r="F18">
        <f>SQRT(2*D18/C18)</f>
        <v>5.4772255750516612</v>
      </c>
      <c r="G18">
        <f>(E18+K$18)*(1+K$16)*(1+K$17)</f>
        <v>31.349771783250045</v>
      </c>
      <c r="H18">
        <f>SQRT(D18*C18)</f>
        <v>15.491933384829668</v>
      </c>
      <c r="J18" t="s">
        <v>18</v>
      </c>
      <c r="K18">
        <v>4</v>
      </c>
    </row>
    <row r="19" spans="2:11" x14ac:dyDescent="0.25">
      <c r="J19" t="s">
        <v>22</v>
      </c>
      <c r="K19">
        <v>1</v>
      </c>
    </row>
    <row r="21" spans="2:11" x14ac:dyDescent="0.25">
      <c r="B21" t="s">
        <v>33</v>
      </c>
    </row>
    <row r="22" spans="2:11" x14ac:dyDescent="0.25">
      <c r="C22" t="s">
        <v>13</v>
      </c>
      <c r="D22" t="s">
        <v>15</v>
      </c>
      <c r="E22" t="s">
        <v>11</v>
      </c>
      <c r="F22" t="s">
        <v>12</v>
      </c>
      <c r="G22" t="s">
        <v>21</v>
      </c>
      <c r="H22" t="s">
        <v>19</v>
      </c>
      <c r="I22" s="4"/>
      <c r="J22" s="4"/>
    </row>
    <row r="23" spans="2:11" x14ac:dyDescent="0.25">
      <c r="B23" t="s">
        <v>14</v>
      </c>
      <c r="C23">
        <v>4</v>
      </c>
      <c r="D23">
        <f>POWER(E23,2)/8</f>
        <v>79.822553163157323</v>
      </c>
      <c r="E23">
        <f>(G23/((1+K$16)*(1+K$17))) - 4</f>
        <v>25.270148897568028</v>
      </c>
      <c r="F23">
        <f>SQRT((2*D23)/C23)</f>
        <v>6.3175372243920069</v>
      </c>
      <c r="G23">
        <f>E6</f>
        <v>35.416880166057318</v>
      </c>
      <c r="H23">
        <f>SQRT(D23*C23)</f>
        <v>17.868693647064109</v>
      </c>
      <c r="I23" s="4"/>
      <c r="J23" s="4"/>
    </row>
    <row r="24" spans="2:11" x14ac:dyDescent="0.25">
      <c r="B24" t="s">
        <v>20</v>
      </c>
      <c r="C24">
        <v>4</v>
      </c>
      <c r="D24">
        <f>POWER(E24,2)/8</f>
        <v>58.919549552626165</v>
      </c>
      <c r="E24">
        <f>(G24/((1+K$16)*(1+K$17))) - 4</f>
        <v>21.710743801652889</v>
      </c>
      <c r="F24">
        <f>SQRT((2*D24)/C24)</f>
        <v>5.4276859504132222</v>
      </c>
      <c r="G24">
        <v>31.11</v>
      </c>
      <c r="H24">
        <f>SQRT(D24*C24)</f>
        <v>15.351814166752561</v>
      </c>
      <c r="I24" s="4"/>
      <c r="J24" s="4"/>
    </row>
    <row r="27" spans="2:11" ht="18.75" x14ac:dyDescent="0.35">
      <c r="B27" t="s">
        <v>35</v>
      </c>
      <c r="C27" t="s">
        <v>36</v>
      </c>
      <c r="D27" t="s">
        <v>42</v>
      </c>
      <c r="J27" t="s">
        <v>38</v>
      </c>
    </row>
    <row r="28" spans="2:11" x14ac:dyDescent="0.25">
      <c r="C28">
        <f>POWER(2*E6,2)/(2*POWER(PI(),2)*$C$24)</f>
        <v>63.546386953382587</v>
      </c>
      <c r="D28">
        <f>(E23/C23)*(E6*2/PI() - E23/2)</f>
        <v>62.619503139227582</v>
      </c>
      <c r="J28" t="s">
        <v>39</v>
      </c>
    </row>
    <row r="29" spans="2:11" x14ac:dyDescent="0.25">
      <c r="C29">
        <f>POWER(2*E7,2)/(2*POWER(PI(),2)*$C$24)</f>
        <v>49.039452882891489</v>
      </c>
      <c r="J29" t="s">
        <v>40</v>
      </c>
    </row>
    <row r="30" spans="2:11" x14ac:dyDescent="0.25">
      <c r="J30" t="s">
        <v>41</v>
      </c>
    </row>
  </sheetData>
  <mergeCells count="2">
    <mergeCell ref="B12:C12"/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6807-681C-4CA7-A650-2C811CF779EA}">
  <dimension ref="B1:C1"/>
  <sheetViews>
    <sheetView workbookViewId="0">
      <selection activeCell="E6" sqref="E6"/>
    </sheetView>
  </sheetViews>
  <sheetFormatPr defaultRowHeight="15" x14ac:dyDescent="0.25"/>
  <sheetData>
    <row r="1" spans="2:3" x14ac:dyDescent="0.25">
      <c r="B1" s="3" t="s">
        <v>31</v>
      </c>
      <c r="C1" s="3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SPL</vt:lpstr>
      <vt:lpstr>Power Supply</vt:lpstr>
      <vt:lpstr>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2018-03-17T03:00:22Z</dcterms:modified>
</cp:coreProperties>
</file>