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029"/>
  <workbookPr filterPrivacy="1"/>
  <xr:revisionPtr revIDLastSave="0" documentId="13_ncr:1_{C3A5A219-12A2-477D-8CD1-EEBB0DF41AEF}" xr6:coauthVersionLast="28" xr6:coauthVersionMax="28" xr10:uidLastSave="{00000000-0000-0000-0000-000000000000}"/>
  <bookViews>
    <workbookView xWindow="0" yWindow="0" windowWidth="22260" windowHeight="9510" activeTab="2" xr2:uid="{00000000-000D-0000-FFFF-FFFF00000000}"/>
  </bookViews>
  <sheets>
    <sheet name="SPL" sheetId="1" r:id="rId1"/>
    <sheet name="Power Supply" sheetId="2" r:id="rId2"/>
    <sheet name="Gain" sheetId="3" r:id="rId3"/>
    <sheet name="Mute Attenuation" sheetId="4" r:id="rId4"/>
    <sheet name="Optional Components" sheetId="5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6" i="3" l="1"/>
  <c r="C27" i="3"/>
  <c r="C28" i="3"/>
  <c r="C29" i="3"/>
  <c r="C30" i="3"/>
  <c r="C31" i="3"/>
  <c r="C32" i="3"/>
  <c r="C33" i="3"/>
  <c r="C34" i="3"/>
  <c r="C25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6" i="3"/>
  <c r="E11" i="4"/>
  <c r="E12" i="4"/>
  <c r="C11" i="4"/>
  <c r="C12" i="4"/>
  <c r="E10" i="4"/>
  <c r="C10" i="4"/>
  <c r="E19" i="2"/>
  <c r="G19" i="2" s="1"/>
  <c r="F19" i="2"/>
  <c r="H19" i="2"/>
  <c r="E26" i="2"/>
  <c r="D26" i="2" s="1"/>
  <c r="B35" i="2"/>
  <c r="H25" i="2"/>
  <c r="B31" i="2"/>
  <c r="B32" i="2"/>
  <c r="B30" i="2"/>
  <c r="E25" i="2"/>
  <c r="D25" i="2" s="1"/>
  <c r="F25" i="2" s="1"/>
  <c r="C32" i="2"/>
  <c r="C8" i="2"/>
  <c r="E8" i="2" s="1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6" i="3"/>
  <c r="F18" i="3"/>
  <c r="G18" i="3"/>
  <c r="F19" i="3"/>
  <c r="G19" i="3"/>
  <c r="F20" i="3"/>
  <c r="G20" i="3"/>
  <c r="F21" i="3"/>
  <c r="G21" i="3"/>
  <c r="D18" i="3"/>
  <c r="D19" i="3"/>
  <c r="D20" i="3"/>
  <c r="D21" i="3"/>
  <c r="B19" i="3"/>
  <c r="B20" i="3" s="1"/>
  <c r="B21" i="3" s="1"/>
  <c r="B18" i="3"/>
  <c r="F22" i="3"/>
  <c r="G22" i="3"/>
  <c r="D22" i="3"/>
  <c r="G17" i="3"/>
  <c r="G14" i="3"/>
  <c r="G15" i="3"/>
  <c r="G16" i="3"/>
  <c r="G7" i="3"/>
  <c r="G8" i="3"/>
  <c r="G9" i="3"/>
  <c r="G10" i="3"/>
  <c r="F7" i="3"/>
  <c r="F8" i="3"/>
  <c r="F9" i="3"/>
  <c r="F10" i="3"/>
  <c r="D7" i="3"/>
  <c r="D8" i="3"/>
  <c r="D9" i="3"/>
  <c r="D10" i="3"/>
  <c r="B8" i="3"/>
  <c r="B9" i="3"/>
  <c r="B10" i="3"/>
  <c r="B7" i="3"/>
  <c r="G6" i="3"/>
  <c r="G11" i="3"/>
  <c r="G13" i="3"/>
  <c r="F13" i="3"/>
  <c r="F14" i="3"/>
  <c r="F15" i="3"/>
  <c r="F16" i="3"/>
  <c r="D13" i="3"/>
  <c r="B13" i="3"/>
  <c r="B14" i="3" s="1"/>
  <c r="G12" i="3"/>
  <c r="F12" i="3"/>
  <c r="D12" i="3"/>
  <c r="F6" i="3"/>
  <c r="F11" i="3"/>
  <c r="D11" i="3"/>
  <c r="D17" i="3"/>
  <c r="D6" i="3"/>
  <c r="F17" i="3"/>
  <c r="F17" i="2"/>
  <c r="F26" i="2" l="1"/>
  <c r="H26" i="2"/>
  <c r="B15" i="3"/>
  <c r="D14" i="3"/>
  <c r="C31" i="2"/>
  <c r="C30" i="2"/>
  <c r="D7" i="2"/>
  <c r="E7" i="2"/>
  <c r="B16" i="3" l="1"/>
  <c r="D16" i="3" s="1"/>
  <c r="D15" i="3"/>
  <c r="E24" i="2"/>
  <c r="E23" i="2"/>
  <c r="D24" i="2" l="1"/>
  <c r="F24" i="2" s="1"/>
  <c r="D23" i="2"/>
  <c r="F23" i="2" s="1"/>
  <c r="E6" i="2"/>
  <c r="E5" i="2"/>
  <c r="C6" i="2"/>
  <c r="D5" i="2"/>
  <c r="H24" i="2" l="1"/>
  <c r="H23" i="2"/>
  <c r="H18" i="2"/>
  <c r="H17" i="2"/>
  <c r="G18" i="2"/>
  <c r="F18" i="2"/>
  <c r="E18" i="2"/>
  <c r="E17" i="2"/>
  <c r="G17" i="2" s="1"/>
</calcChain>
</file>

<file path=xl/sharedStrings.xml><?xml version="1.0" encoding="utf-8"?>
<sst xmlns="http://schemas.openxmlformats.org/spreadsheetml/2006/main" count="69" uniqueCount="61">
  <si>
    <t>http://myhometheater.homestead.com/splcalculator.html</t>
  </si>
  <si>
    <t>Sensitivity (1W/1M)</t>
  </si>
  <si>
    <t>No. Speakers</t>
  </si>
  <si>
    <t>dB SPL @ 1M</t>
  </si>
  <si>
    <t>Speaker Link</t>
  </si>
  <si>
    <t>https://www.parts-express.com/peerless-by-tymphany-bc25sc06-04-1-textile-dome-tweeter--264-1028</t>
  </si>
  <si>
    <t>https://www.parts-express.com/dayton-audio-dc160-4-6-1-2-classic-woofer-speaker--295-309</t>
  </si>
  <si>
    <t>Calculations from:</t>
  </si>
  <si>
    <t>Power RMS (W)</t>
  </si>
  <si>
    <t>https://www.parts-express.com/tc-6024-6-1-2-treated-paper-cone-woofer-with-foam-surround-4-ohm--299-2196</t>
  </si>
  <si>
    <t>https://www.parts-express.com/goldwood-gw-8024-8-butyl-surround-woofer-4-ohm--290-356</t>
  </si>
  <si>
    <t>Peak Output Voltage</t>
  </si>
  <si>
    <t>Peak Output Current</t>
  </si>
  <si>
    <r>
      <t>Load Impedance (</t>
    </r>
    <r>
      <rPr>
        <sz val="11"/>
        <color theme="1"/>
        <rFont val="Calibri"/>
        <family val="2"/>
      </rPr>
      <t>Ω)</t>
    </r>
  </si>
  <si>
    <t>Tweeter</t>
  </si>
  <si>
    <t>Average Output Power (W)</t>
  </si>
  <si>
    <t>Transformer Voltage Regulation</t>
  </si>
  <si>
    <t>Mains Voltage Variation</t>
  </si>
  <si>
    <t>Drop-out voltage of LM3886</t>
  </si>
  <si>
    <t>Minimum Gain</t>
  </si>
  <si>
    <t>Woofer</t>
  </si>
  <si>
    <r>
      <t>Maximum Supply Voltage (</t>
    </r>
    <r>
      <rPr>
        <sz val="11"/>
        <color theme="1"/>
        <rFont val="Calibri"/>
        <family val="2"/>
      </rPr>
      <t>±V)</t>
    </r>
  </si>
  <si>
    <t>Input Voltage Level</t>
  </si>
  <si>
    <t>LM3886 Power Supply Requirements</t>
  </si>
  <si>
    <t>Transformer Specifications</t>
  </si>
  <si>
    <t>Voltage Regulation Error</t>
  </si>
  <si>
    <t>Input (VAC)</t>
  </si>
  <si>
    <t>Output (VAC)</t>
  </si>
  <si>
    <t>Inductance Ratio</t>
  </si>
  <si>
    <t>Rectified DC Voltage</t>
  </si>
  <si>
    <t>X</t>
  </si>
  <si>
    <t>Voltage Given Power</t>
  </si>
  <si>
    <t>Power Given Voltage</t>
  </si>
  <si>
    <t>https://www.parts-express.com/goldwood-gw-s650-4-6-1-2-poly-cone-woofer-4-ohm--290-308</t>
  </si>
  <si>
    <t>Power Dissipation</t>
  </si>
  <si>
    <r>
      <t>P</t>
    </r>
    <r>
      <rPr>
        <vertAlign val="subscript"/>
        <sz val="11"/>
        <color theme="1"/>
        <rFont val="Calibri"/>
        <family val="2"/>
        <scheme val="minor"/>
      </rPr>
      <t>DMAX</t>
    </r>
    <r>
      <rPr>
        <sz val="11"/>
        <color theme="1"/>
        <rFont val="Calibri"/>
        <family val="2"/>
        <scheme val="minor"/>
      </rPr>
      <t xml:space="preserve"> = Vcc*2/2*</t>
    </r>
    <r>
      <rPr>
        <sz val="11"/>
        <color theme="1"/>
        <rFont val="Calibri"/>
        <family val="2"/>
      </rPr>
      <t>π</t>
    </r>
    <r>
      <rPr>
        <vertAlign val="superscript"/>
        <sz val="11"/>
        <color theme="1"/>
        <rFont val="Calibri"/>
        <family val="2"/>
      </rPr>
      <t>2</t>
    </r>
    <r>
      <rPr>
        <sz val="11"/>
        <color theme="1"/>
        <rFont val="Calibri"/>
        <family val="2"/>
      </rPr>
      <t>R</t>
    </r>
    <r>
      <rPr>
        <vertAlign val="subscript"/>
        <sz val="11"/>
        <color theme="1"/>
        <rFont val="Calibri"/>
        <family val="2"/>
      </rPr>
      <t>L</t>
    </r>
  </si>
  <si>
    <r>
      <t>V</t>
    </r>
    <r>
      <rPr>
        <vertAlign val="subscript"/>
        <sz val="11"/>
        <color theme="1"/>
        <rFont val="Calibri"/>
        <family val="2"/>
        <scheme val="minor"/>
      </rPr>
      <t xml:space="preserve">cc </t>
    </r>
    <r>
      <rPr>
        <sz val="11"/>
        <color theme="1"/>
        <rFont val="Calibri"/>
        <family val="2"/>
        <scheme val="minor"/>
      </rPr>
      <t>= |V+| + |V-|</t>
    </r>
  </si>
  <si>
    <t>Ri</t>
  </si>
  <si>
    <t>Av</t>
  </si>
  <si>
    <t>Vout (RMS)</t>
  </si>
  <si>
    <t xml:space="preserve">Vout (MAX) </t>
  </si>
  <si>
    <t xml:space="preserve">P (RMS) </t>
  </si>
  <si>
    <t>P (Max)</t>
  </si>
  <si>
    <r>
      <t>Rf (</t>
    </r>
    <r>
      <rPr>
        <sz val="11"/>
        <color theme="1"/>
        <rFont val="Calibri"/>
        <family val="2"/>
      </rPr>
      <t>Ω)</t>
    </r>
  </si>
  <si>
    <t>https://www.parts-express.com/goldwood-gw-6024-6-1-2-butyl-surround-woofer-4-ohm--290-351</t>
  </si>
  <si>
    <t>I (Max)</t>
  </si>
  <si>
    <t>1khz</t>
  </si>
  <si>
    <t xml:space="preserve">  </t>
  </si>
  <si>
    <t>31.14 V</t>
  </si>
  <si>
    <t>Total Power (Max)</t>
  </si>
  <si>
    <r>
      <t>R</t>
    </r>
    <r>
      <rPr>
        <vertAlign val="subscript"/>
        <sz val="11"/>
        <color theme="1"/>
        <rFont val="Calibri"/>
        <family val="2"/>
        <scheme val="minor"/>
      </rPr>
      <t xml:space="preserve">M   </t>
    </r>
    <r>
      <rPr>
        <sz val="11"/>
        <color theme="1"/>
        <rFont val="Calibri"/>
        <family val="2"/>
      </rPr>
      <t>≤</t>
    </r>
  </si>
  <si>
    <t xml:space="preserve"> for </t>
  </si>
  <si>
    <t>gain (dB)</t>
  </si>
  <si>
    <t>Name</t>
  </si>
  <si>
    <t>Description</t>
  </si>
  <si>
    <t>Calculation</t>
  </si>
  <si>
    <t>R2 resistor in op amp feedback</t>
  </si>
  <si>
    <t>See 'Gain' sheet</t>
  </si>
  <si>
    <t>Ci</t>
  </si>
  <si>
    <t>Low-frequency roll-off in series with Ri</t>
  </si>
  <si>
    <r>
      <t>1/(2</t>
    </r>
    <r>
      <rPr>
        <sz val="11"/>
        <color theme="1"/>
        <rFont val="Calibri"/>
        <family val="2"/>
      </rPr>
      <t>π*Ri*f</t>
    </r>
    <r>
      <rPr>
        <vertAlign val="subscript"/>
        <sz val="11"/>
        <color theme="1"/>
        <rFont val="Calibri"/>
        <family val="2"/>
      </rPr>
      <t>L</t>
    </r>
    <r>
      <rPr>
        <sz val="11"/>
        <color theme="1"/>
        <rFont val="Calibri"/>
        <family val="2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</si>
</sst>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</font>
    <font>
      <vertAlign val="subscript"/>
      <sz val="11"/>
      <color theme="1"/>
      <name val="Calibri"/>
      <family val="2"/>
    </font>
    <font>
      <vertAlign val="sub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/>
    <xf numFmtId="0" fontId="1" fillId="0" borderId="0" xfId="1"/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161925</xdr:colOff>
      <xdr:row>5</xdr:row>
      <xdr:rowOff>85725</xdr:rowOff>
    </xdr:from>
    <xdr:to>
      <xdr:col>5</xdr:col>
      <xdr:colOff>1219200</xdr:colOff>
      <xdr:row>5</xdr:row>
      <xdr:rowOff>85726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E40B576A-DE59-40DA-9FC1-FEF71E095769}"/>
            </a:ext>
          </a:extLst>
        </xdr:cNvPr>
        <xdr:cNvCxnSpPr/>
      </xdr:nvCxnSpPr>
      <xdr:spPr>
        <a:xfrm>
          <a:off x="6848475" y="1038225"/>
          <a:ext cx="1057275" cy="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571500</xdr:colOff>
      <xdr:row>0</xdr:row>
      <xdr:rowOff>171450</xdr:rowOff>
    </xdr:from>
    <xdr:to>
      <xdr:col>20</xdr:col>
      <xdr:colOff>427119</xdr:colOff>
      <xdr:row>7</xdr:row>
      <xdr:rowOff>18902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FA83D6F-E080-47AD-ABD9-E6DFDF7418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0" y="171450"/>
          <a:ext cx="12047619" cy="11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myhometheater.homestead.com/splcalculator.html" TargetMode="External"/><Relationship Id="rId7" Type="http://schemas.openxmlformats.org/officeDocument/2006/relationships/hyperlink" Target="https://www.parts-express.com/goldwood-gw-s650-4-6-1-2-poly-cone-woofer-4-ohm--290-308" TargetMode="External"/><Relationship Id="rId2" Type="http://schemas.openxmlformats.org/officeDocument/2006/relationships/hyperlink" Target="https://www.parts-express.com/dayton-audio-dc160-4-6-1-2-classic-woofer-speaker--295-309" TargetMode="External"/><Relationship Id="rId1" Type="http://schemas.openxmlformats.org/officeDocument/2006/relationships/hyperlink" Target="https://www.parts-express.com/peerless-by-tymphany-bc25sc06-04-1-textile-dome-tweeter--264-1028" TargetMode="External"/><Relationship Id="rId6" Type="http://schemas.openxmlformats.org/officeDocument/2006/relationships/hyperlink" Target="https://www.parts-express.com/goldwood-gw-6024-6-1-2-butyl-surround-woofer-4-ohm--290-351" TargetMode="External"/><Relationship Id="rId5" Type="http://schemas.openxmlformats.org/officeDocument/2006/relationships/hyperlink" Target="https://www.parts-express.com/goldwood-gw-8024-8-butyl-surround-woofer-4-ohm--290-356" TargetMode="External"/><Relationship Id="rId4" Type="http://schemas.openxmlformats.org/officeDocument/2006/relationships/hyperlink" Target="https://www.parts-express.com/tc-6024-6-1-2-treated-paper-cone-woofer-with-foam-surround-4-ohm--299-2196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"/>
  <sheetViews>
    <sheetView workbookViewId="0">
      <selection activeCell="E6" sqref="E6"/>
    </sheetView>
  </sheetViews>
  <sheetFormatPr defaultRowHeight="15" x14ac:dyDescent="0.25"/>
  <cols>
    <col min="2" max="2" width="20.7109375" customWidth="1"/>
    <col min="3" max="3" width="19.5703125" bestFit="1" customWidth="1"/>
    <col min="4" max="4" width="12.5703125" bestFit="1" customWidth="1"/>
    <col min="5" max="5" width="12.140625" bestFit="1" customWidth="1"/>
  </cols>
  <sheetData>
    <row r="1" spans="1:6" x14ac:dyDescent="0.25">
      <c r="B1" t="s">
        <v>7</v>
      </c>
    </row>
    <row r="2" spans="1:6" x14ac:dyDescent="0.25">
      <c r="B2" s="2" t="s">
        <v>0</v>
      </c>
    </row>
    <row r="5" spans="1:6" x14ac:dyDescent="0.25">
      <c r="B5" s="1" t="s">
        <v>1</v>
      </c>
      <c r="C5" s="1" t="s">
        <v>8</v>
      </c>
      <c r="D5" t="s">
        <v>2</v>
      </c>
      <c r="E5" t="s">
        <v>3</v>
      </c>
      <c r="F5" t="s">
        <v>4</v>
      </c>
    </row>
    <row r="6" spans="1:6" x14ac:dyDescent="0.25">
      <c r="A6" t="s">
        <v>30</v>
      </c>
      <c r="B6">
        <v>92.4</v>
      </c>
      <c r="C6">
        <v>50</v>
      </c>
      <c r="D6">
        <v>2</v>
      </c>
      <c r="E6">
        <v>112.4</v>
      </c>
      <c r="F6" s="2" t="s">
        <v>5</v>
      </c>
    </row>
    <row r="7" spans="1:6" x14ac:dyDescent="0.25">
      <c r="B7">
        <v>88.3</v>
      </c>
      <c r="C7">
        <v>60</v>
      </c>
      <c r="D7">
        <v>1</v>
      </c>
      <c r="E7">
        <v>106.1</v>
      </c>
      <c r="F7" s="2" t="s">
        <v>6</v>
      </c>
    </row>
    <row r="8" spans="1:6" x14ac:dyDescent="0.25">
      <c r="B8">
        <v>93.4</v>
      </c>
      <c r="C8">
        <v>50</v>
      </c>
      <c r="D8">
        <v>1</v>
      </c>
      <c r="E8">
        <v>110.4</v>
      </c>
      <c r="F8" s="2" t="s">
        <v>9</v>
      </c>
    </row>
    <row r="9" spans="1:6" x14ac:dyDescent="0.25">
      <c r="F9" s="2" t="s">
        <v>10</v>
      </c>
    </row>
    <row r="10" spans="1:6" x14ac:dyDescent="0.25">
      <c r="B10">
        <v>90</v>
      </c>
      <c r="C10">
        <v>50</v>
      </c>
      <c r="D10">
        <v>1</v>
      </c>
      <c r="E10">
        <v>107</v>
      </c>
      <c r="F10" s="2" t="s">
        <v>33</v>
      </c>
    </row>
    <row r="11" spans="1:6" x14ac:dyDescent="0.25">
      <c r="B11">
        <v>88.3</v>
      </c>
      <c r="C11">
        <v>50</v>
      </c>
      <c r="D11">
        <v>1</v>
      </c>
      <c r="E11">
        <v>105.3</v>
      </c>
    </row>
    <row r="12" spans="1:6" x14ac:dyDescent="0.25">
      <c r="A12" t="s">
        <v>30</v>
      </c>
      <c r="B12">
        <v>89.5</v>
      </c>
      <c r="C12">
        <v>60</v>
      </c>
      <c r="D12">
        <v>1</v>
      </c>
      <c r="E12">
        <v>107.3</v>
      </c>
      <c r="F12" s="2" t="s">
        <v>44</v>
      </c>
    </row>
  </sheetData>
  <hyperlinks>
    <hyperlink ref="F6" r:id="rId1" xr:uid="{E978C543-6C32-4CC4-B95F-7525508C6FE7}"/>
    <hyperlink ref="F7" r:id="rId2" xr:uid="{73DD10AB-767F-4BDE-91A9-6FDB66FF532E}"/>
    <hyperlink ref="B2" r:id="rId3" xr:uid="{6A643506-44BF-43ED-8958-1D17814E5A81}"/>
    <hyperlink ref="F8" r:id="rId4" xr:uid="{FE8DAC70-499E-41F4-8E7B-6AF555A27CB3}"/>
    <hyperlink ref="F9" r:id="rId5" xr:uid="{ED5ACAA8-D4A7-4BC7-B19B-4624C59DBAC5}"/>
    <hyperlink ref="F12" r:id="rId6" xr:uid="{19074139-D16F-424A-9E61-337C93775B88}"/>
    <hyperlink ref="F10" r:id="rId7" xr:uid="{801E6B22-FB02-4EBE-AB0B-E2CEF649713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EB1EA-E152-4802-8ABB-B4D06F75C74E}">
  <dimension ref="B1:K35"/>
  <sheetViews>
    <sheetView workbookViewId="0">
      <selection activeCell="G29" sqref="G29"/>
    </sheetView>
  </sheetViews>
  <sheetFormatPr defaultRowHeight="15" x14ac:dyDescent="0.25"/>
  <cols>
    <col min="2" max="2" width="26.85546875" bestFit="1" customWidth="1"/>
    <col min="3" max="3" width="19.42578125" customWidth="1"/>
    <col min="4" max="4" width="25.28515625" bestFit="1" customWidth="1"/>
    <col min="5" max="5" width="19.5703125" bestFit="1" customWidth="1"/>
    <col min="6" max="6" width="19.42578125" bestFit="1" customWidth="1"/>
    <col min="7" max="7" width="30.140625" bestFit="1" customWidth="1"/>
    <col min="8" max="8" width="14.140625" bestFit="1" customWidth="1"/>
    <col min="10" max="10" width="31.85546875" customWidth="1"/>
    <col min="11" max="11" width="14.5703125" customWidth="1"/>
  </cols>
  <sheetData>
    <row r="1" spans="2:11" x14ac:dyDescent="0.25">
      <c r="B1" s="4" t="s">
        <v>24</v>
      </c>
      <c r="C1" s="4"/>
    </row>
    <row r="2" spans="2:11" x14ac:dyDescent="0.25">
      <c r="B2" t="s">
        <v>25</v>
      </c>
      <c r="C2">
        <v>7.0000000000000007E-2</v>
      </c>
    </row>
    <row r="4" spans="2:11" x14ac:dyDescent="0.25">
      <c r="B4" t="s">
        <v>26</v>
      </c>
      <c r="C4" t="s">
        <v>27</v>
      </c>
      <c r="D4" t="s">
        <v>28</v>
      </c>
      <c r="E4" t="s">
        <v>29</v>
      </c>
    </row>
    <row r="5" spans="2:11" x14ac:dyDescent="0.25">
      <c r="B5">
        <v>115</v>
      </c>
      <c r="C5">
        <v>24</v>
      </c>
      <c r="D5">
        <f>POWER((B5/C5), 2)</f>
        <v>22.960069444444446</v>
      </c>
      <c r="E5">
        <f>C5*SQRT(2)</f>
        <v>33.941125496954285</v>
      </c>
    </row>
    <row r="6" spans="2:11" ht="18" x14ac:dyDescent="0.35">
      <c r="B6">
        <v>120</v>
      </c>
      <c r="C6">
        <f>B6/SQRT(D6)</f>
        <v>25.043516133890467</v>
      </c>
      <c r="D6">
        <v>22.96</v>
      </c>
      <c r="E6">
        <f>C6*SQRT(2)</f>
        <v>35.416880166057318</v>
      </c>
      <c r="G6" t="s">
        <v>36</v>
      </c>
    </row>
    <row r="7" spans="2:11" x14ac:dyDescent="0.25">
      <c r="B7">
        <v>117</v>
      </c>
      <c r="C7">
        <v>22</v>
      </c>
      <c r="D7">
        <f>POWER((B7/C7), 2)</f>
        <v>28.283057851239672</v>
      </c>
      <c r="E7">
        <f>C7*SQRT(2)</f>
        <v>31.112698372208094</v>
      </c>
    </row>
    <row r="8" spans="2:11" x14ac:dyDescent="0.25">
      <c r="B8">
        <v>120</v>
      </c>
      <c r="C8">
        <f>B8/SQRT(D8)</f>
        <v>22.564125640873733</v>
      </c>
      <c r="D8">
        <v>28.283000000000001</v>
      </c>
      <c r="E8">
        <f>C8*SQRT(2)</f>
        <v>31.91049250441414</v>
      </c>
    </row>
    <row r="12" spans="2:11" x14ac:dyDescent="0.25">
      <c r="B12" s="4" t="s">
        <v>23</v>
      </c>
      <c r="C12" s="4"/>
    </row>
    <row r="14" spans="2:11" x14ac:dyDescent="0.25">
      <c r="B14" t="s">
        <v>31</v>
      </c>
    </row>
    <row r="16" spans="2:11" x14ac:dyDescent="0.25">
      <c r="C16" t="s">
        <v>13</v>
      </c>
      <c r="D16" t="s">
        <v>15</v>
      </c>
      <c r="E16" t="s">
        <v>11</v>
      </c>
      <c r="F16" t="s">
        <v>12</v>
      </c>
      <c r="G16" t="s">
        <v>21</v>
      </c>
      <c r="H16" t="s">
        <v>19</v>
      </c>
      <c r="J16" t="s">
        <v>16</v>
      </c>
      <c r="K16">
        <v>0.1</v>
      </c>
    </row>
    <row r="17" spans="2:11" x14ac:dyDescent="0.25">
      <c r="C17">
        <v>4</v>
      </c>
      <c r="D17">
        <v>50</v>
      </c>
      <c r="E17">
        <f>SQRT(2*C17*D17)</f>
        <v>20</v>
      </c>
      <c r="F17">
        <f>SQRT(2*D17/C17)</f>
        <v>5</v>
      </c>
      <c r="G17">
        <f>(E17+K$18)*(1+K$16)*(1+K$17)</f>
        <v>29.040000000000006</v>
      </c>
      <c r="H17">
        <f>SQRT(D17*C17)</f>
        <v>14.142135623730951</v>
      </c>
      <c r="J17" t="s">
        <v>17</v>
      </c>
      <c r="K17">
        <v>0.1</v>
      </c>
    </row>
    <row r="18" spans="2:11" x14ac:dyDescent="0.25">
      <c r="C18">
        <v>4</v>
      </c>
      <c r="D18">
        <v>60</v>
      </c>
      <c r="E18">
        <f>SQRT(2*C18*D18)</f>
        <v>21.908902300206645</v>
      </c>
      <c r="F18">
        <f>SQRT(2*D18/C18)</f>
        <v>5.4772255750516612</v>
      </c>
      <c r="G18">
        <f>(E18+K$18)*(1+K$16)*(1+K$17)</f>
        <v>31.349771783250045</v>
      </c>
      <c r="H18">
        <f>SQRT(D18*C18)</f>
        <v>15.491933384829668</v>
      </c>
      <c r="J18" t="s">
        <v>18</v>
      </c>
      <c r="K18">
        <v>4</v>
      </c>
    </row>
    <row r="19" spans="2:11" x14ac:dyDescent="0.25">
      <c r="C19">
        <v>4</v>
      </c>
      <c r="D19">
        <v>40</v>
      </c>
      <c r="E19">
        <f>SQRT(2*C19*D19)</f>
        <v>17.888543819998318</v>
      </c>
      <c r="F19">
        <f>SQRT(2*D19/C19)</f>
        <v>4.4721359549995796</v>
      </c>
      <c r="G19">
        <f>(E19+K$18)*(1+K$16)*(1+K$17)</f>
        <v>26.485138022197972</v>
      </c>
      <c r="H19">
        <f>SQRT(D19*C19)</f>
        <v>12.649110640673518</v>
      </c>
      <c r="J19" t="s">
        <v>22</v>
      </c>
      <c r="K19">
        <v>1</v>
      </c>
    </row>
    <row r="21" spans="2:11" x14ac:dyDescent="0.25">
      <c r="B21" t="s">
        <v>32</v>
      </c>
    </row>
    <row r="22" spans="2:11" x14ac:dyDescent="0.25">
      <c r="C22" t="s">
        <v>13</v>
      </c>
      <c r="D22" t="s">
        <v>15</v>
      </c>
      <c r="E22" t="s">
        <v>11</v>
      </c>
      <c r="F22" t="s">
        <v>12</v>
      </c>
      <c r="G22" t="s">
        <v>21</v>
      </c>
      <c r="H22" t="s">
        <v>19</v>
      </c>
      <c r="I22" s="3"/>
      <c r="J22" s="3"/>
    </row>
    <row r="23" spans="2:11" x14ac:dyDescent="0.25">
      <c r="C23">
        <v>4</v>
      </c>
      <c r="D23">
        <f>POWER(E23,2)/8</f>
        <v>62.562743323543458</v>
      </c>
      <c r="E23">
        <f>(G23/((1+K$16)*(1+K$17))) - 4</f>
        <v>22.371900826446279</v>
      </c>
      <c r="F23">
        <f>SQRT((2*D23)/C23)</f>
        <v>5.5929752066115697</v>
      </c>
      <c r="G23">
        <v>31.91</v>
      </c>
      <c r="H23">
        <f>SQRT(D23*C23)</f>
        <v>15.81932278241309</v>
      </c>
      <c r="I23" s="3"/>
      <c r="J23" s="3"/>
    </row>
    <row r="24" spans="2:11" x14ac:dyDescent="0.25">
      <c r="C24">
        <v>4</v>
      </c>
      <c r="D24">
        <f>POWER(E24,2)/8</f>
        <v>62.562743323543458</v>
      </c>
      <c r="E24">
        <f>(G24/((1+K$16)*(1+K$17))) - 4</f>
        <v>22.371900826446279</v>
      </c>
      <c r="F24">
        <f>SQRT((2*D24)/C24)</f>
        <v>5.5929752066115697</v>
      </c>
      <c r="G24">
        <v>31.91</v>
      </c>
      <c r="H24">
        <f>SQRT(D24*C24)</f>
        <v>15.81932278241309</v>
      </c>
      <c r="I24" s="3"/>
      <c r="J24" s="3"/>
    </row>
    <row r="25" spans="2:11" x14ac:dyDescent="0.25">
      <c r="C25">
        <v>4</v>
      </c>
      <c r="D25">
        <f>POWER(E25,2)/8</f>
        <v>79.823178829997943</v>
      </c>
      <c r="E25">
        <f>(G25/((1+K$16)*(1+K$17))) - 4</f>
        <v>25.270247933884296</v>
      </c>
      <c r="F25">
        <f>SQRT((2*D25)/C25)</f>
        <v>6.3175619834710739</v>
      </c>
      <c r="G25">
        <v>35.417000000000002</v>
      </c>
      <c r="H25">
        <f>SQRT(D25*C25)</f>
        <v>17.868763676314927</v>
      </c>
    </row>
    <row r="26" spans="2:11" x14ac:dyDescent="0.25">
      <c r="C26">
        <v>5</v>
      </c>
      <c r="D26">
        <f>POWER(E26,2)/8</f>
        <v>79.823178829997943</v>
      </c>
      <c r="E26">
        <f>(G26/((1+K$16)*(1+K$17))) - 4</f>
        <v>25.270247933884296</v>
      </c>
      <c r="F26">
        <f>SQRT((2*D26)/C26)</f>
        <v>5.6505992188438894</v>
      </c>
      <c r="G26">
        <v>35.417000000000002</v>
      </c>
      <c r="H26">
        <f>SQRT(D26*C26)</f>
        <v>19.977885127059611</v>
      </c>
    </row>
    <row r="29" spans="2:11" ht="18.75" x14ac:dyDescent="0.35">
      <c r="B29" t="s">
        <v>34</v>
      </c>
      <c r="C29" t="s">
        <v>35</v>
      </c>
    </row>
    <row r="30" spans="2:11" x14ac:dyDescent="0.25">
      <c r="B30">
        <f>E6</f>
        <v>35.416880166057318</v>
      </c>
      <c r="C30">
        <f>POWER(2*E6,2)/(2*POWER(PI(),2)*$C$24)</f>
        <v>63.546386953382587</v>
      </c>
    </row>
    <row r="31" spans="2:11" x14ac:dyDescent="0.25">
      <c r="B31">
        <f t="shared" ref="B31:B32" si="0">E7</f>
        <v>31.112698372208094</v>
      </c>
      <c r="C31">
        <f>POWER(2*E7,2)/(2*POWER(PI(),2)*$C$24)</f>
        <v>49.039452882891489</v>
      </c>
    </row>
    <row r="32" spans="2:11" x14ac:dyDescent="0.25">
      <c r="B32">
        <f t="shared" si="0"/>
        <v>31.91049250441414</v>
      </c>
      <c r="C32">
        <f>POWER(2*E8,2)/(2*POWER(PI(),2)*$C$24)</f>
        <v>51.586643724133381</v>
      </c>
    </row>
    <row r="34" spans="2:2" x14ac:dyDescent="0.25">
      <c r="B34" t="s">
        <v>49</v>
      </c>
    </row>
    <row r="35" spans="2:2" x14ac:dyDescent="0.25">
      <c r="B35">
        <f>C30*4 + (Gain!H10*2) + (Gain!H19*2)</f>
        <v>564.5855478135303</v>
      </c>
    </row>
  </sheetData>
  <mergeCells count="2">
    <mergeCell ref="B12:C12"/>
    <mergeCell ref="B1:C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76807-681C-4CA7-A650-2C811CF779EA}">
  <dimension ref="A1:W34"/>
  <sheetViews>
    <sheetView tabSelected="1" topLeftCell="A4" workbookViewId="0">
      <selection activeCell="I24" sqref="I24"/>
    </sheetView>
  </sheetViews>
  <sheetFormatPr defaultRowHeight="15" x14ac:dyDescent="0.25"/>
  <cols>
    <col min="5" max="5" width="11" bestFit="1" customWidth="1"/>
    <col min="6" max="6" width="10.85546875" bestFit="1" customWidth="1"/>
    <col min="7" max="8" width="11.42578125" bestFit="1" customWidth="1"/>
  </cols>
  <sheetData>
    <row r="1" spans="1:9" x14ac:dyDescent="0.25">
      <c r="B1" s="5"/>
      <c r="C1" s="5"/>
      <c r="D1" s="5"/>
    </row>
    <row r="3" spans="1:9" x14ac:dyDescent="0.25">
      <c r="B3" t="s">
        <v>43</v>
      </c>
      <c r="D3">
        <v>100000</v>
      </c>
      <c r="F3" t="s">
        <v>46</v>
      </c>
      <c r="H3" t="s">
        <v>48</v>
      </c>
    </row>
    <row r="5" spans="1:9" x14ac:dyDescent="0.25">
      <c r="B5" t="s">
        <v>38</v>
      </c>
      <c r="C5" t="s">
        <v>52</v>
      </c>
      <c r="D5" t="s">
        <v>37</v>
      </c>
      <c r="E5" t="s">
        <v>39</v>
      </c>
      <c r="F5" t="s">
        <v>40</v>
      </c>
      <c r="G5" t="s">
        <v>41</v>
      </c>
      <c r="H5" t="s">
        <v>42</v>
      </c>
      <c r="I5" t="s">
        <v>45</v>
      </c>
    </row>
    <row r="6" spans="1:9" x14ac:dyDescent="0.25">
      <c r="B6">
        <v>16</v>
      </c>
      <c r="C6">
        <f>LOG(B6,10)*20</f>
        <v>24.082399653118493</v>
      </c>
      <c r="D6">
        <f>$D$3/(B6-1)</f>
        <v>6666.666666666667</v>
      </c>
      <c r="E6">
        <v>11.32</v>
      </c>
      <c r="F6">
        <f t="shared" ref="F6:F10" si="0">E6*SQRT(2)</f>
        <v>16.008897526063439</v>
      </c>
      <c r="G6">
        <f>H6/SQRT(2)</f>
        <v>45.233620792503444</v>
      </c>
      <c r="H6">
        <v>63.97</v>
      </c>
      <c r="I6">
        <f>H6/F6</f>
        <v>3.9959028968642611</v>
      </c>
    </row>
    <row r="7" spans="1:9" x14ac:dyDescent="0.25">
      <c r="B7">
        <f>B6+0.2</f>
        <v>16.2</v>
      </c>
      <c r="C7">
        <f t="shared" ref="C7:C32" si="1">LOG(B7,10)*20</f>
        <v>24.190300290852615</v>
      </c>
      <c r="D7">
        <f t="shared" ref="D7:D10" si="2">$D$3/(B7-1)</f>
        <v>6578.9473684210525</v>
      </c>
      <c r="E7">
        <v>11.45</v>
      </c>
      <c r="F7">
        <f t="shared" si="0"/>
        <v>16.192745289171938</v>
      </c>
      <c r="G7">
        <f t="shared" ref="G7:G10" si="3">H7/SQRT(2)</f>
        <v>46.386204845837511</v>
      </c>
      <c r="H7">
        <v>65.599999999999994</v>
      </c>
      <c r="I7">
        <f t="shared" ref="I7:I22" si="4">H7/F7</f>
        <v>4.0511969297674684</v>
      </c>
    </row>
    <row r="8" spans="1:9" x14ac:dyDescent="0.25">
      <c r="B8">
        <f t="shared" ref="B8:B10" si="5">B7+0.2</f>
        <v>16.399999999999999</v>
      </c>
      <c r="C8">
        <f t="shared" si="1"/>
        <v>24.296876960953956</v>
      </c>
      <c r="D8">
        <f t="shared" si="2"/>
        <v>6493.5064935064938</v>
      </c>
      <c r="E8">
        <v>11.6</v>
      </c>
      <c r="F8">
        <f t="shared" si="0"/>
        <v>16.404877323527902</v>
      </c>
      <c r="G8">
        <f t="shared" si="3"/>
        <v>47.52464676354785</v>
      </c>
      <c r="H8">
        <v>67.209999999999994</v>
      </c>
      <c r="I8">
        <f t="shared" si="4"/>
        <v>4.0969523072024012</v>
      </c>
    </row>
    <row r="9" spans="1:9" x14ac:dyDescent="0.25">
      <c r="B9">
        <f t="shared" si="5"/>
        <v>16.599999999999998</v>
      </c>
      <c r="C9">
        <f t="shared" si="1"/>
        <v>24.402161760801096</v>
      </c>
      <c r="D9">
        <f t="shared" si="2"/>
        <v>6410.2564102564111</v>
      </c>
      <c r="E9">
        <v>11.74</v>
      </c>
      <c r="F9">
        <f t="shared" si="0"/>
        <v>16.602867222260137</v>
      </c>
      <c r="G9">
        <f t="shared" si="3"/>
        <v>48.69137295250566</v>
      </c>
      <c r="H9">
        <v>68.86</v>
      </c>
      <c r="I9">
        <f t="shared" si="4"/>
        <v>4.1474764014059335</v>
      </c>
    </row>
    <row r="10" spans="1:9" x14ac:dyDescent="0.25">
      <c r="A10" t="s">
        <v>14</v>
      </c>
      <c r="B10">
        <f t="shared" si="5"/>
        <v>16.799999999999997</v>
      </c>
      <c r="C10">
        <f t="shared" si="1"/>
        <v>24.506185634517252</v>
      </c>
      <c r="D10">
        <f t="shared" si="2"/>
        <v>6329.1139240506336</v>
      </c>
      <c r="E10">
        <v>11.88</v>
      </c>
      <c r="F10">
        <f t="shared" si="0"/>
        <v>16.800857120992372</v>
      </c>
      <c r="G10">
        <f t="shared" si="3"/>
        <v>49.893454480522792</v>
      </c>
      <c r="H10">
        <v>70.56</v>
      </c>
      <c r="I10">
        <f t="shared" si="4"/>
        <v>4.1997857306837361</v>
      </c>
    </row>
    <row r="11" spans="1:9" x14ac:dyDescent="0.25">
      <c r="B11">
        <v>17</v>
      </c>
      <c r="C11">
        <f t="shared" si="1"/>
        <v>24.608978427565479</v>
      </c>
      <c r="D11">
        <f t="shared" ref="D11:D16" si="6">$D$3/(B11-1)</f>
        <v>6250</v>
      </c>
      <c r="E11">
        <v>12.02</v>
      </c>
      <c r="F11">
        <f>E11*SQRT(2)</f>
        <v>16.998847019724604</v>
      </c>
      <c r="G11">
        <f>H11/SQRT(2)</f>
        <v>51.07432280510433</v>
      </c>
      <c r="H11">
        <v>72.23</v>
      </c>
      <c r="I11">
        <f t="shared" si="4"/>
        <v>4.249111714234969</v>
      </c>
    </row>
    <row r="12" spans="1:9" x14ac:dyDescent="0.25">
      <c r="B12">
        <v>17.5</v>
      </c>
      <c r="C12">
        <f t="shared" si="1"/>
        <v>24.860760973725888</v>
      </c>
      <c r="D12">
        <f t="shared" si="6"/>
        <v>6060.606060606061</v>
      </c>
      <c r="E12">
        <v>12.37</v>
      </c>
      <c r="F12">
        <f>E12*SQRT(2)</f>
        <v>17.493821766555186</v>
      </c>
      <c r="G12">
        <f>H12/SQRT(2)</f>
        <v>54.114881964206482</v>
      </c>
      <c r="H12">
        <v>76.53</v>
      </c>
      <c r="I12">
        <f t="shared" si="4"/>
        <v>4.3746873051096591</v>
      </c>
    </row>
    <row r="13" spans="1:9" x14ac:dyDescent="0.25">
      <c r="B13">
        <f>B12+0.1</f>
        <v>17.600000000000001</v>
      </c>
      <c r="C13">
        <f t="shared" si="1"/>
        <v>24.910253356282993</v>
      </c>
      <c r="D13">
        <f t="shared" si="6"/>
        <v>6024.0963855421678</v>
      </c>
      <c r="E13">
        <v>12.44</v>
      </c>
      <c r="F13">
        <f>E13*SQRT(2)</f>
        <v>17.592816715921302</v>
      </c>
      <c r="G13">
        <f>H13/SQRT(2)</f>
        <v>54.751278067274377</v>
      </c>
      <c r="H13">
        <v>77.430000000000007</v>
      </c>
      <c r="I13">
        <f t="shared" si="4"/>
        <v>4.4012281404561397</v>
      </c>
    </row>
    <row r="14" spans="1:9" x14ac:dyDescent="0.25">
      <c r="B14">
        <f t="shared" ref="B14:B16" si="7">B13+0.1</f>
        <v>17.700000000000003</v>
      </c>
      <c r="C14">
        <f t="shared" si="1"/>
        <v>24.959465327236131</v>
      </c>
      <c r="D14">
        <f t="shared" si="6"/>
        <v>5988.0239520958075</v>
      </c>
      <c r="F14">
        <f>E14*SQRT(2)</f>
        <v>0</v>
      </c>
      <c r="G14">
        <f t="shared" ref="G14:G21" si="8">H14/SQRT(2)</f>
        <v>0</v>
      </c>
      <c r="I14" t="e">
        <f t="shared" si="4"/>
        <v>#DIV/0!</v>
      </c>
    </row>
    <row r="15" spans="1:9" x14ac:dyDescent="0.25">
      <c r="B15">
        <f t="shared" si="7"/>
        <v>17.800000000000004</v>
      </c>
      <c r="C15">
        <f t="shared" si="1"/>
        <v>25.008400046177876</v>
      </c>
      <c r="D15">
        <f t="shared" si="6"/>
        <v>5952.3809523809505</v>
      </c>
      <c r="E15">
        <v>12.59</v>
      </c>
      <c r="F15">
        <f>E15*SQRT(2)</f>
        <v>17.804948750277269</v>
      </c>
      <c r="G15">
        <f t="shared" si="8"/>
        <v>55.981643866538967</v>
      </c>
      <c r="H15">
        <v>79.17</v>
      </c>
      <c r="I15">
        <f t="shared" si="4"/>
        <v>4.4465165898760093</v>
      </c>
    </row>
    <row r="16" spans="1:9" x14ac:dyDescent="0.25">
      <c r="B16">
        <f t="shared" si="7"/>
        <v>17.900000000000006</v>
      </c>
      <c r="C16">
        <f t="shared" si="1"/>
        <v>25.057060619597863</v>
      </c>
      <c r="D16">
        <f t="shared" si="6"/>
        <v>5917.1597633136071</v>
      </c>
      <c r="F16">
        <f>E16*SQRT(2)</f>
        <v>0</v>
      </c>
      <c r="G16">
        <f t="shared" si="8"/>
        <v>0</v>
      </c>
      <c r="I16" t="e">
        <f t="shared" si="4"/>
        <v>#DIV/0!</v>
      </c>
    </row>
    <row r="17" spans="1:23" x14ac:dyDescent="0.25">
      <c r="B17">
        <v>18</v>
      </c>
      <c r="C17">
        <f t="shared" si="1"/>
        <v>25.105450102066115</v>
      </c>
      <c r="D17">
        <f>$D$3/(B17-1)</f>
        <v>5882.3529411764703</v>
      </c>
      <c r="E17">
        <v>12.73</v>
      </c>
      <c r="F17">
        <f>E17*SQRT(2)</f>
        <v>18.002938649009501</v>
      </c>
      <c r="G17">
        <f t="shared" si="8"/>
        <v>57.289791411734072</v>
      </c>
      <c r="H17">
        <v>81.02</v>
      </c>
      <c r="I17">
        <f t="shared" si="4"/>
        <v>4.500376387410375</v>
      </c>
    </row>
    <row r="18" spans="1:23" x14ac:dyDescent="0.25">
      <c r="B18">
        <f>B17+0.2</f>
        <v>18.2</v>
      </c>
      <c r="C18">
        <f t="shared" si="1"/>
        <v>25.201427759701495</v>
      </c>
      <c r="D18">
        <f t="shared" ref="D18:D21" si="9">$D$3/(B18-1)</f>
        <v>5813.9534883720935</v>
      </c>
      <c r="F18">
        <f t="shared" ref="F18:F21" si="10">E18*SQRT(2)</f>
        <v>0</v>
      </c>
      <c r="G18">
        <f t="shared" si="8"/>
        <v>0</v>
      </c>
      <c r="I18" t="e">
        <f t="shared" si="4"/>
        <v>#DIV/0!</v>
      </c>
    </row>
    <row r="19" spans="1:23" x14ac:dyDescent="0.25">
      <c r="A19" t="s">
        <v>20</v>
      </c>
      <c r="B19">
        <f t="shared" ref="B19:B21" si="11">B18+0.2</f>
        <v>18.399999999999999</v>
      </c>
      <c r="C19">
        <f t="shared" si="1"/>
        <v>25.296356460190729</v>
      </c>
      <c r="D19">
        <f t="shared" si="9"/>
        <v>5747.1264367816093</v>
      </c>
      <c r="E19">
        <v>13.01</v>
      </c>
      <c r="F19">
        <f t="shared" si="10"/>
        <v>18.398918446473967</v>
      </c>
      <c r="G19">
        <f t="shared" si="8"/>
        <v>59.849517959629381</v>
      </c>
      <c r="H19">
        <v>84.64</v>
      </c>
      <c r="I19">
        <f t="shared" si="4"/>
        <v>4.6002704042758937</v>
      </c>
    </row>
    <row r="20" spans="1:23" x14ac:dyDescent="0.25">
      <c r="B20">
        <f t="shared" si="11"/>
        <v>18.599999999999998</v>
      </c>
      <c r="C20">
        <f t="shared" si="1"/>
        <v>25.390258884358321</v>
      </c>
      <c r="D20">
        <f t="shared" si="9"/>
        <v>5681.8181818181829</v>
      </c>
      <c r="F20">
        <f t="shared" si="10"/>
        <v>0</v>
      </c>
      <c r="G20">
        <f t="shared" si="8"/>
        <v>0</v>
      </c>
      <c r="I20" t="e">
        <f t="shared" si="4"/>
        <v>#DIV/0!</v>
      </c>
    </row>
    <row r="21" spans="1:23" x14ac:dyDescent="0.25">
      <c r="B21">
        <f t="shared" si="11"/>
        <v>18.799999999999997</v>
      </c>
      <c r="C21">
        <f t="shared" si="1"/>
        <v>25.483156985273592</v>
      </c>
      <c r="D21">
        <f t="shared" si="9"/>
        <v>5617.9775280898884</v>
      </c>
      <c r="F21">
        <f t="shared" si="10"/>
        <v>0</v>
      </c>
      <c r="G21">
        <f t="shared" si="8"/>
        <v>0</v>
      </c>
      <c r="I21" t="e">
        <f t="shared" si="4"/>
        <v>#DIV/0!</v>
      </c>
    </row>
    <row r="22" spans="1:23" x14ac:dyDescent="0.25">
      <c r="B22">
        <v>19</v>
      </c>
      <c r="C22">
        <f t="shared" si="1"/>
        <v>25.575072019056577</v>
      </c>
      <c r="D22">
        <f>$D$3/(B22-1)</f>
        <v>5555.5555555555557</v>
      </c>
      <c r="E22">
        <v>13.43</v>
      </c>
      <c r="F22">
        <f>E22*SQRT(2)</f>
        <v>18.992888142670669</v>
      </c>
      <c r="G22">
        <f>H22/SQRT(2)</f>
        <v>63.802244866462182</v>
      </c>
      <c r="H22">
        <v>90.23</v>
      </c>
      <c r="I22">
        <f t="shared" si="4"/>
        <v>4.7507256043531036</v>
      </c>
    </row>
    <row r="25" spans="1:23" x14ac:dyDescent="0.25">
      <c r="B25">
        <v>1.1000000000000001</v>
      </c>
      <c r="C25">
        <f>LOG(B25,10)*20</f>
        <v>0.82785370316450146</v>
      </c>
    </row>
    <row r="26" spans="1:23" x14ac:dyDescent="0.25">
      <c r="B26">
        <v>2.1</v>
      </c>
      <c r="C26">
        <f>LOG(B26,10)*20</f>
        <v>6.4443858946783852</v>
      </c>
    </row>
    <row r="27" spans="1:23" x14ac:dyDescent="0.25">
      <c r="B27">
        <v>3.1</v>
      </c>
      <c r="C27">
        <f>LOG(B27,10)*20</f>
        <v>9.8272338766854528</v>
      </c>
      <c r="W27" t="s">
        <v>47</v>
      </c>
    </row>
    <row r="28" spans="1:23" x14ac:dyDescent="0.25">
      <c r="B28">
        <v>4.0999999999999996</v>
      </c>
      <c r="C28">
        <f>LOG(B28,10)*20</f>
        <v>12.255677134394709</v>
      </c>
    </row>
    <row r="29" spans="1:23" x14ac:dyDescent="0.25">
      <c r="B29">
        <v>5.0999999999999996</v>
      </c>
      <c r="C29">
        <f>LOG(B29,10)*20</f>
        <v>14.151403521958725</v>
      </c>
    </row>
    <row r="30" spans="1:23" x14ac:dyDescent="0.25">
      <c r="B30">
        <v>6.1</v>
      </c>
      <c r="C30">
        <f>LOG(B30,10)*20</f>
        <v>15.706596700215339</v>
      </c>
    </row>
    <row r="31" spans="1:23" x14ac:dyDescent="0.25">
      <c r="B31">
        <v>7.1</v>
      </c>
      <c r="C31">
        <f>LOG(B31,10)*20</f>
        <v>17.025166974381506</v>
      </c>
    </row>
    <row r="32" spans="1:23" x14ac:dyDescent="0.25">
      <c r="B32">
        <v>8.1</v>
      </c>
      <c r="C32">
        <f>LOG(B32,10)*20</f>
        <v>18.169700377572994</v>
      </c>
    </row>
    <row r="33" spans="2:3" x14ac:dyDescent="0.25">
      <c r="B33">
        <v>9.1</v>
      </c>
      <c r="C33">
        <f>LOG(B33,10)*20</f>
        <v>19.18082784642187</v>
      </c>
    </row>
    <row r="34" spans="2:3" x14ac:dyDescent="0.25">
      <c r="B34">
        <v>10.1</v>
      </c>
      <c r="C34">
        <f>LOG(B34,10)*20</f>
        <v>20.086427475652847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9103D-81D6-4A69-9C27-66BC04D4E7BA}">
  <dimension ref="B10:E12"/>
  <sheetViews>
    <sheetView workbookViewId="0">
      <selection activeCell="G29" sqref="G29"/>
    </sheetView>
  </sheetViews>
  <sheetFormatPr defaultRowHeight="15" x14ac:dyDescent="0.25"/>
  <sheetData>
    <row r="10" spans="2:5" ht="18" x14ac:dyDescent="0.35">
      <c r="B10" s="6" t="s">
        <v>50</v>
      </c>
      <c r="C10">
        <f xml:space="preserve"> ('Power Supply'!E6 - 2.6)/0.0005</f>
        <v>65633.760332114631</v>
      </c>
      <c r="D10" s="6" t="s">
        <v>51</v>
      </c>
      <c r="E10">
        <f>'Power Supply'!E6</f>
        <v>35.416880166057318</v>
      </c>
    </row>
    <row r="11" spans="2:5" x14ac:dyDescent="0.25">
      <c r="C11">
        <f xml:space="preserve"> ('Power Supply'!E7 - 2.6)/0.0005</f>
        <v>57025.396744416183</v>
      </c>
      <c r="E11">
        <f>'Power Supply'!E7</f>
        <v>31.112698372208094</v>
      </c>
    </row>
    <row r="12" spans="2:5" x14ac:dyDescent="0.25">
      <c r="C12">
        <f xml:space="preserve"> ('Power Supply'!E8 - 2.6)/0.0005</f>
        <v>58620.985008828276</v>
      </c>
      <c r="E12">
        <f>'Power Supply'!E8</f>
        <v>31.91049250441414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9BB97-2DD2-4CC1-B4D7-155B693D6619}">
  <dimension ref="B3:D5"/>
  <sheetViews>
    <sheetView workbookViewId="0">
      <selection activeCell="C6" sqref="C6"/>
    </sheetView>
  </sheetViews>
  <sheetFormatPr defaultRowHeight="15" x14ac:dyDescent="0.25"/>
  <cols>
    <col min="3" max="3" width="36.28515625" bestFit="1" customWidth="1"/>
    <col min="4" max="4" width="15.140625" bestFit="1" customWidth="1"/>
  </cols>
  <sheetData>
    <row r="3" spans="2:4" x14ac:dyDescent="0.25">
      <c r="B3" t="s">
        <v>53</v>
      </c>
      <c r="C3" t="s">
        <v>54</v>
      </c>
      <c r="D3" t="s">
        <v>55</v>
      </c>
    </row>
    <row r="4" spans="2:4" x14ac:dyDescent="0.25">
      <c r="B4" t="s">
        <v>37</v>
      </c>
      <c r="C4" t="s">
        <v>56</v>
      </c>
      <c r="D4" t="s">
        <v>57</v>
      </c>
    </row>
    <row r="5" spans="2:4" ht="18" x14ac:dyDescent="0.35">
      <c r="B5" t="s">
        <v>58</v>
      </c>
      <c r="C5" t="s">
        <v>59</v>
      </c>
      <c r="D5" t="s">
        <v>60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SPL</vt:lpstr>
      <vt:lpstr>Power Supply</vt:lpstr>
      <vt:lpstr>Gain</vt:lpstr>
      <vt:lpstr>Mute Attenuation</vt:lpstr>
      <vt:lpstr>Optional Components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2018-03-29T02:35:17Z</dcterms:modified>
</cp:coreProperties>
</file>