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en\Desktop\ITMO-main\4sem\матСтат\"/>
    </mc:Choice>
  </mc:AlternateContent>
  <bookViews>
    <workbookView xWindow="0" yWindow="0" windowWidth="23040" windowHeight="9072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M265" i="1" l="1"/>
  <c r="M264" i="1"/>
  <c r="M263" i="1"/>
  <c r="M270" i="1" s="1"/>
  <c r="D259" i="1"/>
  <c r="C259" i="1"/>
  <c r="J258" i="1"/>
  <c r="I258" i="1"/>
  <c r="H258" i="1"/>
  <c r="G258" i="1"/>
  <c r="F258" i="1"/>
  <c r="E258" i="1"/>
  <c r="H257" i="1"/>
  <c r="G257" i="1"/>
  <c r="F257" i="1"/>
  <c r="E257" i="1"/>
  <c r="H256" i="1"/>
  <c r="G256" i="1"/>
  <c r="F256" i="1"/>
  <c r="E256" i="1"/>
  <c r="I256" i="1" s="1"/>
  <c r="J255" i="1"/>
  <c r="I255" i="1"/>
  <c r="H255" i="1"/>
  <c r="G255" i="1"/>
  <c r="F255" i="1"/>
  <c r="E255" i="1"/>
  <c r="J254" i="1"/>
  <c r="I254" i="1"/>
  <c r="H254" i="1"/>
  <c r="H259" i="1" s="1"/>
  <c r="G254" i="1"/>
  <c r="F254" i="1"/>
  <c r="E254" i="1"/>
  <c r="H253" i="1"/>
  <c r="G253" i="1"/>
  <c r="F253" i="1"/>
  <c r="E253" i="1"/>
  <c r="H252" i="1"/>
  <c r="G252" i="1"/>
  <c r="F252" i="1"/>
  <c r="E252" i="1"/>
  <c r="I252" i="1" s="1"/>
  <c r="J251" i="1"/>
  <c r="I251" i="1"/>
  <c r="H251" i="1"/>
  <c r="G251" i="1"/>
  <c r="F251" i="1"/>
  <c r="E251" i="1"/>
  <c r="J250" i="1"/>
  <c r="I250" i="1"/>
  <c r="H250" i="1"/>
  <c r="G250" i="1"/>
  <c r="F250" i="1"/>
  <c r="E250" i="1"/>
  <c r="H249" i="1"/>
  <c r="G249" i="1"/>
  <c r="G259" i="1" s="1"/>
  <c r="F249" i="1"/>
  <c r="E249" i="1"/>
  <c r="D233" i="1"/>
  <c r="C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F233" i="1" s="1"/>
  <c r="L224" i="1" s="1"/>
  <c r="E224" i="1"/>
  <c r="F223" i="1"/>
  <c r="E223" i="1"/>
  <c r="E191" i="1"/>
  <c r="E153" i="1"/>
  <c r="E110" i="1"/>
  <c r="G89" i="1"/>
  <c r="F89" i="1"/>
  <c r="E89" i="1"/>
  <c r="G88" i="1"/>
  <c r="G87" i="1"/>
  <c r="G86" i="1"/>
  <c r="G85" i="1"/>
  <c r="G84" i="1"/>
  <c r="G83" i="1"/>
  <c r="E6" i="1"/>
  <c r="E7" i="1" s="1"/>
  <c r="E48" i="1" s="1"/>
  <c r="E5" i="1"/>
  <c r="E57" i="1" s="1"/>
  <c r="D15" i="1"/>
  <c r="D24" i="1"/>
  <c r="D36" i="1"/>
  <c r="D19" i="1"/>
  <c r="D20" i="1"/>
  <c r="D17" i="1"/>
  <c r="D22" i="1"/>
  <c r="D37" i="1"/>
  <c r="D33" i="1"/>
  <c r="D35" i="1"/>
  <c r="D29" i="1"/>
  <c r="D26" i="1"/>
  <c r="D38" i="1"/>
  <c r="D32" i="1"/>
  <c r="D25" i="1"/>
  <c r="D31" i="1"/>
  <c r="D21" i="1"/>
  <c r="D28" i="1"/>
  <c r="D23" i="1"/>
  <c r="D34" i="1"/>
  <c r="D27" i="1"/>
  <c r="D16" i="1"/>
  <c r="D30" i="1"/>
  <c r="D18" i="1"/>
  <c r="E15" i="1" l="1" a="1"/>
  <c r="F57" i="1"/>
  <c r="E72" i="1"/>
  <c r="M57" i="1"/>
  <c r="J253" i="1"/>
  <c r="I253" i="1"/>
  <c r="E233" i="1"/>
  <c r="E259" i="1"/>
  <c r="J249" i="1"/>
  <c r="I249" i="1"/>
  <c r="J257" i="1"/>
  <c r="I257" i="1"/>
  <c r="F259" i="1"/>
  <c r="J252" i="1"/>
  <c r="J256" i="1"/>
  <c r="L225" i="1" l="1"/>
  <c r="L223" i="1"/>
  <c r="L229" i="1" s="1"/>
  <c r="F141" i="1"/>
  <c r="F72" i="1"/>
  <c r="E58" i="1"/>
  <c r="F125" i="1"/>
  <c r="I259" i="1"/>
  <c r="J259" i="1"/>
  <c r="G57" i="1"/>
  <c r="E38" i="1"/>
  <c r="E30" i="1"/>
  <c r="E22" i="1"/>
  <c r="E15" i="1"/>
  <c r="E37" i="1"/>
  <c r="E29" i="1"/>
  <c r="E21" i="1"/>
  <c r="E36" i="1"/>
  <c r="E28" i="1"/>
  <c r="E20" i="1"/>
  <c r="E32" i="1"/>
  <c r="E18" i="1"/>
  <c r="E23" i="1"/>
  <c r="E33" i="1"/>
  <c r="E31" i="1"/>
  <c r="E17" i="1"/>
  <c r="E25" i="1"/>
  <c r="E27" i="1"/>
  <c r="E16" i="1"/>
  <c r="E26" i="1"/>
  <c r="E34" i="1"/>
  <c r="E19" i="1"/>
  <c r="E35" i="1"/>
  <c r="E24" i="1"/>
  <c r="G226" i="1" l="1"/>
  <c r="H226" i="1" s="1"/>
  <c r="I226" i="1" s="1"/>
  <c r="G229" i="1"/>
  <c r="H229" i="1" s="1"/>
  <c r="I229" i="1" s="1"/>
  <c r="G223" i="1"/>
  <c r="H223" i="1" s="1"/>
  <c r="I223" i="1" s="1"/>
  <c r="G230" i="1"/>
  <c r="H230" i="1" s="1"/>
  <c r="I230" i="1" s="1"/>
  <c r="G227" i="1"/>
  <c r="H227" i="1" s="1"/>
  <c r="I227" i="1" s="1"/>
  <c r="G225" i="1"/>
  <c r="H225" i="1" s="1"/>
  <c r="I225" i="1" s="1"/>
  <c r="G228" i="1"/>
  <c r="H228" i="1" s="1"/>
  <c r="I228" i="1" s="1"/>
  <c r="E39" i="1"/>
  <c r="E126" i="1"/>
  <c r="E142" i="1"/>
  <c r="G58" i="1"/>
  <c r="F58" i="1"/>
  <c r="M58" i="1" s="1"/>
  <c r="L230" i="1"/>
  <c r="G224" i="1" s="1"/>
  <c r="H224" i="1" s="1"/>
  <c r="I224" i="1" s="1"/>
  <c r="I57" i="1"/>
  <c r="K57" i="1"/>
  <c r="H125" i="1"/>
  <c r="E203" i="1" l="1"/>
  <c r="E164" i="1"/>
  <c r="E166" i="1" s="1"/>
  <c r="E165" i="1"/>
  <c r="E167" i="1" s="1"/>
  <c r="E93" i="1"/>
  <c r="E211" i="1"/>
  <c r="E212" i="1"/>
  <c r="E46" i="1"/>
  <c r="E47" i="1" s="1"/>
  <c r="H58" i="1"/>
  <c r="L58" i="1" s="1"/>
  <c r="H126" i="1"/>
  <c r="K58" i="1"/>
  <c r="G141" i="1"/>
  <c r="H57" i="1"/>
  <c r="J57" i="1"/>
  <c r="I58" i="1"/>
  <c r="J58" i="1" s="1"/>
  <c r="G232" i="1"/>
  <c r="H232" i="1" s="1"/>
  <c r="I232" i="1" s="1"/>
  <c r="G231" i="1"/>
  <c r="H231" i="1" s="1"/>
  <c r="I231" i="1" s="1"/>
  <c r="I233" i="1" s="1"/>
  <c r="L235" i="1"/>
  <c r="F142" i="1"/>
  <c r="E59" i="1"/>
  <c r="F126" i="1"/>
  <c r="G72" i="1"/>
  <c r="L57" i="1" l="1"/>
  <c r="F73" i="1"/>
  <c r="J141" i="1"/>
  <c r="E143" i="1"/>
  <c r="E127" i="1"/>
  <c r="F59" i="1"/>
  <c r="M59" i="1"/>
  <c r="G142" i="1"/>
  <c r="H87" i="1"/>
  <c r="H83" i="1"/>
  <c r="H84" i="1"/>
  <c r="H88" i="1"/>
  <c r="H86" i="1"/>
  <c r="H85" i="1"/>
  <c r="H141" i="1"/>
  <c r="J142" i="1"/>
  <c r="G73" i="1"/>
  <c r="F143" i="1" l="1"/>
  <c r="F127" i="1"/>
  <c r="E60" i="1"/>
  <c r="H72" i="1"/>
  <c r="G59" i="1"/>
  <c r="H142" i="1"/>
  <c r="H89" i="1"/>
  <c r="E94" i="1" s="1"/>
  <c r="E95" i="1" s="1"/>
  <c r="K59" i="1" l="1"/>
  <c r="H127" i="1"/>
  <c r="H59" i="1"/>
  <c r="I59" i="1"/>
  <c r="J59" i="1" s="1"/>
  <c r="E144" i="1"/>
  <c r="F60" i="1"/>
  <c r="E128" i="1"/>
  <c r="M60" i="1"/>
  <c r="G60" i="1"/>
  <c r="I60" i="1" s="1"/>
  <c r="J60" i="1" s="1"/>
  <c r="E111" i="1"/>
  <c r="E163" i="1"/>
  <c r="E177" i="1"/>
  <c r="E207" i="1" s="1"/>
  <c r="E213" i="1" s="1"/>
  <c r="D177" i="1"/>
  <c r="J144" i="1" l="1"/>
  <c r="I73" i="1"/>
  <c r="G125" i="1"/>
  <c r="G126" i="1"/>
  <c r="J143" i="1"/>
  <c r="H73" i="1"/>
  <c r="G127" i="1"/>
  <c r="F144" i="1"/>
  <c r="F128" i="1"/>
  <c r="G128" i="1" s="1"/>
  <c r="E61" i="1"/>
  <c r="I72" i="1"/>
  <c r="L59" i="1"/>
  <c r="H128" i="1"/>
  <c r="H60" i="1"/>
  <c r="L60" i="1" s="1"/>
  <c r="K60" i="1"/>
  <c r="G143" i="1"/>
  <c r="D172" i="1"/>
  <c r="E188" i="1" s="1"/>
  <c r="E193" i="1" s="1"/>
  <c r="E172" i="1"/>
  <c r="E145" i="1" l="1"/>
  <c r="E129" i="1"/>
  <c r="F61" i="1"/>
  <c r="I144" i="1"/>
  <c r="I128" i="1"/>
  <c r="J128" i="1" s="1"/>
  <c r="K128" i="1" s="1"/>
  <c r="I141" i="1"/>
  <c r="I125" i="1"/>
  <c r="I142" i="1"/>
  <c r="I126" i="1"/>
  <c r="J126" i="1" s="1"/>
  <c r="K126" i="1" s="1"/>
  <c r="I143" i="1"/>
  <c r="I127" i="1"/>
  <c r="J127" i="1" s="1"/>
  <c r="K127" i="1" s="1"/>
  <c r="G144" i="1"/>
  <c r="H143" i="1"/>
  <c r="F145" i="1" l="1"/>
  <c r="F129" i="1"/>
  <c r="G129" i="1" s="1"/>
  <c r="J72" i="1"/>
  <c r="E62" i="1"/>
  <c r="G61" i="1"/>
  <c r="H144" i="1"/>
  <c r="J125" i="1"/>
  <c r="M61" i="1"/>
  <c r="K144" i="1"/>
  <c r="L144" i="1" s="1"/>
  <c r="K143" i="1"/>
  <c r="L143" i="1" s="1"/>
  <c r="K142" i="1"/>
  <c r="L142" i="1" s="1"/>
  <c r="K141" i="1"/>
  <c r="L141" i="1" s="1"/>
  <c r="E146" i="1" l="1"/>
  <c r="E130" i="1"/>
  <c r="G130" i="1" s="1"/>
  <c r="M62" i="1"/>
  <c r="M63" i="1" s="1"/>
  <c r="F62" i="1"/>
  <c r="K72" i="1" s="1"/>
  <c r="G62" i="1"/>
  <c r="H129" i="1"/>
  <c r="K61" i="1"/>
  <c r="H61" i="1"/>
  <c r="I61" i="1"/>
  <c r="J61" i="1" s="1"/>
  <c r="K125" i="1"/>
  <c r="I145" i="1"/>
  <c r="I129" i="1"/>
  <c r="K145" i="1" l="1"/>
  <c r="L61" i="1"/>
  <c r="G145" i="1"/>
  <c r="J129" i="1"/>
  <c r="I146" i="1"/>
  <c r="I147" i="1" s="1"/>
  <c r="I130" i="1"/>
  <c r="I131" i="1" s="1"/>
  <c r="H130" i="1"/>
  <c r="K62" i="1"/>
  <c r="K63" i="1" s="1"/>
  <c r="H62" i="1"/>
  <c r="L62" i="1" s="1"/>
  <c r="J145" i="1"/>
  <c r="J73" i="1"/>
  <c r="I62" i="1"/>
  <c r="J62" i="1" s="1"/>
  <c r="G131" i="1"/>
  <c r="G63" i="1"/>
  <c r="I63" i="1" s="1"/>
  <c r="L145" i="1" l="1"/>
  <c r="K129" i="1"/>
  <c r="L63" i="1"/>
  <c r="H145" i="1"/>
  <c r="H146" i="1"/>
  <c r="J146" i="1"/>
  <c r="K73" i="1"/>
  <c r="K146" i="1"/>
  <c r="H63" i="1"/>
  <c r="G146" i="1"/>
  <c r="G147" i="1" s="1"/>
  <c r="J130" i="1"/>
  <c r="K130" i="1" s="1"/>
  <c r="J63" i="1"/>
  <c r="H131" i="1"/>
  <c r="L146" i="1" l="1"/>
  <c r="E151" i="1" s="1"/>
  <c r="E152" i="1" s="1"/>
  <c r="K131" i="1"/>
  <c r="E135" i="1" s="1"/>
  <c r="J131" i="1"/>
</calcChain>
</file>

<file path=xl/sharedStrings.xml><?xml version="1.0" encoding="utf-8"?>
<sst xmlns="http://schemas.openxmlformats.org/spreadsheetml/2006/main" count="180" uniqueCount="129">
  <si>
    <t>Шаг №1</t>
  </si>
  <si>
    <t>Xmin</t>
  </si>
  <si>
    <t>Xmax</t>
  </si>
  <si>
    <t>Размах R</t>
  </si>
  <si>
    <t>Шаг №2</t>
  </si>
  <si>
    <t>Диаметр цапф xi, мм</t>
  </si>
  <si>
    <t>Частота mi</t>
  </si>
  <si>
    <t>Шаг №3</t>
  </si>
  <si>
    <t>h</t>
  </si>
  <si>
    <t>k</t>
  </si>
  <si>
    <t>h*</t>
  </si>
  <si>
    <t>Шаг №4</t>
  </si>
  <si>
    <t>№</t>
  </si>
  <si>
    <t>Диапазон</t>
  </si>
  <si>
    <t>Частота в интервале</t>
  </si>
  <si>
    <t>Относ. частота wi</t>
  </si>
  <si>
    <t>Накопленная частота nx</t>
  </si>
  <si>
    <t>Относительная накопленная частота</t>
  </si>
  <si>
    <t>Плотность частоты</t>
  </si>
  <si>
    <t>Плотность относительной частоты</t>
  </si>
  <si>
    <t>Середина интервала</t>
  </si>
  <si>
    <t>от</t>
  </si>
  <si>
    <t>до</t>
  </si>
  <si>
    <t>SUM</t>
  </si>
  <si>
    <r>
      <t xml:space="preserve">Полигон и гистограмма: </t>
    </r>
    <r>
      <rPr>
        <u/>
        <sz val="10"/>
        <color rgb="FF1155CC"/>
        <rFont val="Arial"/>
      </rPr>
      <t>https://www.desmos.com/calculator/z2v1kpf2kx?lang=ru</t>
    </r>
  </si>
  <si>
    <t>Шаг №5</t>
  </si>
  <si>
    <t>x</t>
  </si>
  <si>
    <t>F*(x)</t>
  </si>
  <si>
    <t>График эмпирической функции: https://www.desmos.com/calculator/z2v1kpf2kx?lang=ru</t>
  </si>
  <si>
    <t>Шаг №6</t>
  </si>
  <si>
    <t>i</t>
  </si>
  <si>
    <t>yi</t>
  </si>
  <si>
    <t>ni</t>
  </si>
  <si>
    <t>yi * ni</t>
  </si>
  <si>
    <t>(yi - M(X))^2 * ni</t>
  </si>
  <si>
    <t>Вычисленные значения</t>
  </si>
  <si>
    <t>M(X)</t>
  </si>
  <si>
    <t>D(X)</t>
  </si>
  <si>
    <t>σ(X)</t>
  </si>
  <si>
    <t>Шаг №7</t>
  </si>
  <si>
    <t>Распределение</t>
  </si>
  <si>
    <t>Нормальное</t>
  </si>
  <si>
    <t>Шаг №8</t>
  </si>
  <si>
    <t>Вспомогательные величины</t>
  </si>
  <si>
    <t>~a</t>
  </si>
  <si>
    <t>σ</t>
  </si>
  <si>
    <t>f(x)</t>
  </si>
  <si>
    <t>формула</t>
  </si>
  <si>
    <t>F(x)</t>
  </si>
  <si>
    <t>Шаг №9</t>
  </si>
  <si>
    <t>pi</t>
  </si>
  <si>
    <t>Частота ni</t>
  </si>
  <si>
    <t>npi</t>
  </si>
  <si>
    <t>(ni - npi)^2</t>
  </si>
  <si>
    <t xml:space="preserve">(ni - npi)^2 / npi
</t>
  </si>
  <si>
    <t>-Inf</t>
  </si>
  <si>
    <t>Inf</t>
  </si>
  <si>
    <t>У нас λ, таблица не имеет смысла</t>
  </si>
  <si>
    <t>X^2 набл</t>
  </si>
  <si>
    <t>X^2 0,05</t>
  </si>
  <si>
    <t>X^2 набл &gt; X^2 0,05 =&gt; отклоняем гипотезу о нормальном распределении диаметров цапф</t>
  </si>
  <si>
    <t>nx</t>
  </si>
  <si>
    <t>F*(x) = nx/n</t>
  </si>
  <si>
    <t>F(x) = P(X &lt; x)</t>
  </si>
  <si>
    <t>|F*(x) - F(x)|</t>
  </si>
  <si>
    <t>-</t>
  </si>
  <si>
    <t>Д</t>
  </si>
  <si>
    <t>λ набл</t>
  </si>
  <si>
    <t>P</t>
  </si>
  <si>
    <t>λ 0,05</t>
  </si>
  <si>
    <t>Шаг №10</t>
  </si>
  <si>
    <t>Вспомогательные характеристики</t>
  </si>
  <si>
    <t>Квантиль t</t>
  </si>
  <si>
    <t>Точность σ</t>
  </si>
  <si>
    <t>хи-квадрат a/2</t>
  </si>
  <si>
    <t>хи-квадрат 1-a/2</t>
  </si>
  <si>
    <t>j1</t>
  </si>
  <si>
    <t>j2</t>
  </si>
  <si>
    <t>Доверительный интервал M(X)</t>
  </si>
  <si>
    <t>от (</t>
  </si>
  <si>
    <t>до ]</t>
  </si>
  <si>
    <t>Доверительный интервал σ(X)</t>
  </si>
  <si>
    <t>Шаг №11</t>
  </si>
  <si>
    <t>Уровень значимости</t>
  </si>
  <si>
    <t>Гипотеза H0</t>
  </si>
  <si>
    <t>Гипотеза Ha</t>
  </si>
  <si>
    <t>a0 = a2 =</t>
  </si>
  <si>
    <t>a &lt; a0</t>
  </si>
  <si>
    <t>Правило 3</t>
  </si>
  <si>
    <t>Ф(Uкр)</t>
  </si>
  <si>
    <t>Uкр</t>
  </si>
  <si>
    <t>Uнабл</t>
  </si>
  <si>
    <t>Uнабл &gt; -Uкр =&gt; H0 принимается</t>
  </si>
  <si>
    <t>Шаг №12</t>
  </si>
  <si>
    <t>Степень свободы</t>
  </si>
  <si>
    <t>σ0 = σ1</t>
  </si>
  <si>
    <t>σ ^ 2 ≠ σ0 ^ 2</t>
  </si>
  <si>
    <t>Правило 5</t>
  </si>
  <si>
    <t>X^2 лев. кр.</t>
  </si>
  <si>
    <t>X^2 прав. кр.</t>
  </si>
  <si>
    <t>X^2 лев. кр. &lt; X^2 набл &lt; X^2 прав. кр. =&gt; H0 принимается</t>
  </si>
  <si>
    <t>Задание 1</t>
  </si>
  <si>
    <t>y = kx + b</t>
  </si>
  <si>
    <t>170 - ?</t>
  </si>
  <si>
    <t>xi</t>
  </si>
  <si>
    <t>x^2</t>
  </si>
  <si>
    <t>x*y</t>
  </si>
  <si>
    <t>y рас.i</t>
  </si>
  <si>
    <t>δ</t>
  </si>
  <si>
    <t>δ^2</t>
  </si>
  <si>
    <t>Δ</t>
  </si>
  <si>
    <t>Δ1</t>
  </si>
  <si>
    <t>Δ2</t>
  </si>
  <si>
    <t>Вычисленные величины</t>
  </si>
  <si>
    <t>b</t>
  </si>
  <si>
    <t>Вычисленный y при x = 170</t>
  </si>
  <si>
    <t>y</t>
  </si>
  <si>
    <t>Задание 2</t>
  </si>
  <si>
    <t>t = a2 * x^2 + a1 * x + a0</t>
  </si>
  <si>
    <t>30 - ?</t>
  </si>
  <si>
    <t>x^3</t>
  </si>
  <si>
    <t>x^4</t>
  </si>
  <si>
    <t>x^2 * y</t>
  </si>
  <si>
    <t>y рас</t>
  </si>
  <si>
    <t>Δ3</t>
  </si>
  <si>
    <t>a2</t>
  </si>
  <si>
    <t>a1</t>
  </si>
  <si>
    <t>a0</t>
  </si>
  <si>
    <t>Вычисленный y при x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</si>
</sst>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#0.000"/>
    <numFmt numFmtId="165" formatCode="###,##0.0000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1F1F1F"/>
      <name val="Arial"/>
      <scheme val="minor"/>
    </font>
    <font>
      <sz val="9"/>
      <color rgb="FF1155CC"/>
      <name val="&quot;Google Sans Mono&quot;"/>
    </font>
    <font>
      <sz val="10"/>
      <color theme="1"/>
      <name val="Arial"/>
      <scheme val="minor"/>
    </font>
    <font>
      <sz val="9"/>
      <color rgb="FF000000"/>
      <name val="&quot;Google Sans Mono&quot;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5" fontId="0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65" fontId="0" fillId="3" borderId="8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65" fontId="1" fillId="3" borderId="8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/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3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 </a:t>
            </a:r>
            <a:r>
              <a:rPr lang="en-US" b="0">
                <a:solidFill>
                  <a:srgbClr val="757575"/>
                </a:solidFill>
                <a:latin typeface="+mn-lt"/>
              </a:rPr>
              <a:t>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Лист1!$D$222</c:f>
              <c:strCache>
                <c:ptCount val="1"/>
                <c:pt idx="0">
                  <c:v>yi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Лист1!$C$223:$C$232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</c:numCache>
            </c:numRef>
          </c:xVal>
          <c:yVal>
            <c:numRef>
              <c:f>Лист1!$D$223:$D$232</c:f>
              <c:numCache>
                <c:formatCode>General</c:formatCode>
                <c:ptCount val="10"/>
                <c:pt idx="0">
                  <c:v>3.8</c:v>
                </c:pt>
                <c:pt idx="1">
                  <c:v>4</c:v>
                </c:pt>
                <c:pt idx="2">
                  <c:v>4.2</c:v>
                </c:pt>
                <c:pt idx="3">
                  <c:v>4.8</c:v>
                </c:pt>
                <c:pt idx="4">
                  <c:v>5.5</c:v>
                </c:pt>
                <c:pt idx="5">
                  <c:v>6</c:v>
                </c:pt>
                <c:pt idx="6">
                  <c:v>7</c:v>
                </c:pt>
                <c:pt idx="7">
                  <c:v>8.1</c:v>
                </c:pt>
                <c:pt idx="8">
                  <c:v>10</c:v>
                </c:pt>
                <c:pt idx="9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24-4677-BF35-27D92C579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03475"/>
        <c:axId val="753198163"/>
      </c:scatterChart>
      <c:valAx>
        <c:axId val="218303475"/>
        <c:scaling>
          <c:orientation val="minMax"/>
          <c:max val="17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53198163"/>
        <c:crosses val="autoZero"/>
        <c:crossBetween val="midCat"/>
      </c:valAx>
      <c:valAx>
        <c:axId val="753198163"/>
        <c:scaling>
          <c:orientation val="minMax"/>
          <c:max val="1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830347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 </a:t>
            </a:r>
            <a:r>
              <a:rPr lang="ru-RU" b="0">
                <a:solidFill>
                  <a:srgbClr val="757575"/>
                </a:solidFill>
                <a:latin typeface="+mn-lt"/>
              </a:rPr>
              <a:t>рас. от </a:t>
            </a:r>
            <a:r>
              <a:rPr lang="en-US" b="0">
                <a:solidFill>
                  <a:srgbClr val="757575"/>
                </a:solidFill>
                <a:latin typeface="+mn-lt"/>
              </a:rPr>
              <a:t>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Лист1!$C$223:$C$232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</c:numCache>
            </c:numRef>
          </c:cat>
          <c:val>
            <c:numRef>
              <c:f>Лист1!$G$223:$G$232</c:f>
              <c:numCache>
                <c:formatCode>#,##0.00</c:formatCode>
                <c:ptCount val="10"/>
                <c:pt idx="0">
                  <c:v>2.9080173347779015</c:v>
                </c:pt>
                <c:pt idx="1">
                  <c:v>3.3564102564102591</c:v>
                </c:pt>
                <c:pt idx="2">
                  <c:v>4.2531960996749749</c:v>
                </c:pt>
                <c:pt idx="3">
                  <c:v>5.1499819429396911</c:v>
                </c:pt>
                <c:pt idx="4">
                  <c:v>6.4951607078367646</c:v>
                </c:pt>
                <c:pt idx="5">
                  <c:v>7.3919465511014808</c:v>
                </c:pt>
                <c:pt idx="6">
                  <c:v>8.2887323943661961</c:v>
                </c:pt>
                <c:pt idx="7">
                  <c:v>8.7371253159985542</c:v>
                </c:pt>
                <c:pt idx="8">
                  <c:v>9.1855182376309124</c:v>
                </c:pt>
                <c:pt idx="9">
                  <c:v>9.6339111592632705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E-4E46-8475-072E533A3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9020421"/>
        <c:axId val="451576471"/>
      </c:lineChart>
      <c:catAx>
        <c:axId val="1669020421"/>
        <c:scaling>
          <c:orientation val="minMax"/>
          <c:max val="17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51576471"/>
        <c:crosses val="autoZero"/>
        <c:auto val="1"/>
        <c:lblAlgn val="ctr"/>
        <c:lblOffset val="100"/>
        <c:noMultiLvlLbl val="1"/>
      </c:catAx>
      <c:valAx>
        <c:axId val="451576471"/>
        <c:scaling>
          <c:orientation val="minMax"/>
          <c:max val="1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690204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 </a:t>
            </a:r>
            <a:r>
              <a:rPr lang="en-US" b="0">
                <a:solidFill>
                  <a:srgbClr val="757575"/>
                </a:solidFill>
                <a:latin typeface="+mn-lt"/>
              </a:rPr>
              <a:t>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Лист1!$C$249:$C$258</c:f>
              <c:numCache>
                <c:formatCode>General</c:formatCode>
                <c:ptCount val="10"/>
                <c:pt idx="0">
                  <c:v>9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</c:numCache>
            </c:numRef>
          </c:xVal>
          <c:yVal>
            <c:numRef>
              <c:f>Лист1!$D$249:$D$258</c:f>
              <c:numCache>
                <c:formatCode>General</c:formatCode>
                <c:ptCount val="10"/>
                <c:pt idx="0">
                  <c:v>152</c:v>
                </c:pt>
                <c:pt idx="1">
                  <c:v>280</c:v>
                </c:pt>
                <c:pt idx="2">
                  <c:v>380</c:v>
                </c:pt>
                <c:pt idx="3">
                  <c:v>500</c:v>
                </c:pt>
                <c:pt idx="4">
                  <c:v>630</c:v>
                </c:pt>
                <c:pt idx="5">
                  <c:v>780</c:v>
                </c:pt>
                <c:pt idx="6">
                  <c:v>860</c:v>
                </c:pt>
                <c:pt idx="7">
                  <c:v>1025</c:v>
                </c:pt>
                <c:pt idx="8">
                  <c:v>1130</c:v>
                </c:pt>
                <c:pt idx="9">
                  <c:v>1225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22-410A-9379-B6EC9D4BB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766366"/>
        <c:axId val="117334547"/>
      </c:scatterChart>
      <c:valAx>
        <c:axId val="2144766366"/>
        <c:scaling>
          <c:orientation val="minMax"/>
          <c:max val="26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7334547"/>
        <c:crosses val="autoZero"/>
        <c:crossBetween val="midCat"/>
      </c:valAx>
      <c:valAx>
        <c:axId val="117334547"/>
        <c:scaling>
          <c:orientation val="minMax"/>
          <c:max val="12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4476636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Лист1!$C$249:$C$258</c:f>
              <c:numCache>
                <c:formatCode>General</c:formatCode>
                <c:ptCount val="10"/>
                <c:pt idx="0">
                  <c:v>9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</c:numCache>
            </c:numRef>
          </c:cat>
          <c:val>
            <c:numRef>
              <c:f>Лист1!$J$249:$J$258</c:f>
              <c:numCache>
                <c:formatCode>#,##0.00</c:formatCode>
                <c:ptCount val="10"/>
                <c:pt idx="0">
                  <c:v>154.1648461724406</c:v>
                </c:pt>
                <c:pt idx="1">
                  <c:v>277.66614437235125</c:v>
                </c:pt>
                <c:pt idx="2">
                  <c:v>379.6747816479342</c:v>
                </c:pt>
                <c:pt idx="3">
                  <c:v>497.42296970403129</c:v>
                </c:pt>
                <c:pt idx="4">
                  <c:v>630.9107085406423</c:v>
                </c:pt>
                <c:pt idx="5">
                  <c:v>780.13799815776758</c:v>
                </c:pt>
                <c:pt idx="6">
                  <c:v>860.65397450902299</c:v>
                </c:pt>
                <c:pt idx="7">
                  <c:v>1033.4905902969194</c:v>
                </c:pt>
                <c:pt idx="8">
                  <c:v>1125.8112297335604</c:v>
                </c:pt>
                <c:pt idx="9">
                  <c:v>1222.0667568653298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C-44F0-A0C3-E7196C295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636459"/>
        <c:axId val="2122101829"/>
      </c:lineChart>
      <c:catAx>
        <c:axId val="2029636459"/>
        <c:scaling>
          <c:orientation val="minMax"/>
          <c:max val="26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22101829"/>
        <c:crosses val="autoZero"/>
        <c:auto val="1"/>
        <c:lblAlgn val="ctr"/>
        <c:lblOffset val="100"/>
        <c:noMultiLvlLbl val="1"/>
      </c:catAx>
      <c:valAx>
        <c:axId val="2122101829"/>
        <c:scaling>
          <c:orientation val="minMax"/>
          <c:max val="12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2963645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323850</xdr:colOff>
      <xdr:row>220</xdr:row>
      <xdr:rowOff>47625</xdr:rowOff>
    </xdr:from>
    <xdr:ext cx="5715000" cy="353377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19</xdr:col>
      <xdr:colOff>438150</xdr:colOff>
      <xdr:row>220</xdr:row>
      <xdr:rowOff>47625</xdr:rowOff>
    </xdr:from>
    <xdr:ext cx="5715000" cy="3533775"/>
    <xdr:graphicFrame macro="">
      <xdr:nvGraphicFramePr>
        <xdr:cNvPr id="3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15</xdr:col>
      <xdr:colOff>485775</xdr:colOff>
      <xdr:row>245</xdr:row>
      <xdr:rowOff>180975</xdr:rowOff>
    </xdr:from>
    <xdr:ext cx="5715000" cy="3533775"/>
    <xdr:graphicFrame macro="">
      <xdr:nvGraphicFramePr>
        <xdr:cNvPr id="4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533400</xdr:colOff>
      <xdr:row>264</xdr:row>
      <xdr:rowOff>57150</xdr:rowOff>
    </xdr:from>
    <xdr:ext cx="5715000" cy="3533775"/>
    <xdr:graphicFrame macro="">
      <xdr:nvGraphicFramePr>
        <xdr:cNvPr id="5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971550</xdr:colOff>
      <xdr:row>1</xdr:row>
      <xdr:rowOff>200025</xdr:rowOff>
    </xdr:from>
    <xdr:ext cx="5086350" cy="2266950"/>
    <xdr:pic>
      <xdr:nvPicPr>
        <xdr:cNvPr id="6" name="image1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447675</xdr:colOff>
      <xdr:row>244</xdr:row>
      <xdr:rowOff>190500</xdr:rowOff>
    </xdr:from>
    <xdr:ext cx="3914775" cy="1409700"/>
    <xdr:pic>
      <xdr:nvPicPr>
        <xdr:cNvPr id="7" name="image2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esmos.com/calculator/z2v1kpf2kx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206" workbookViewId="0"/>
  </sheetViews>
  <sheetFormatPr defaultColWidth="12.6640625" defaultRowHeight="15.75" customHeight="1"/>
  <sheetData>
    <row r="1" spans="1:26">
      <c r="A1" s="1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39</v>
      </c>
      <c r="B3" s="2"/>
      <c r="C3" s="69" t="s">
        <v>0</v>
      </c>
      <c r="D3" s="71"/>
      <c r="E3" s="71"/>
      <c r="F3" s="7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43</v>
      </c>
      <c r="B4" s="2"/>
      <c r="C4" s="3"/>
      <c r="D4" s="2"/>
      <c r="E4" s="2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41</v>
      </c>
      <c r="B5" s="2"/>
      <c r="C5" s="3"/>
      <c r="D5" s="5" t="s">
        <v>1</v>
      </c>
      <c r="E5" s="6">
        <f>MIN(A:A)</f>
        <v>25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46</v>
      </c>
      <c r="B6" s="2"/>
      <c r="C6" s="3"/>
      <c r="D6" s="7" t="s">
        <v>2</v>
      </c>
      <c r="E6" s="8">
        <f>MAX(A:A)</f>
        <v>52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45</v>
      </c>
      <c r="B7" s="2"/>
      <c r="C7" s="3"/>
      <c r="D7" s="9" t="s">
        <v>3</v>
      </c>
      <c r="E7" s="10">
        <f>E6-E5</f>
        <v>27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43</v>
      </c>
      <c r="B8" s="2"/>
      <c r="C8" s="11"/>
      <c r="D8" s="12"/>
      <c r="E8" s="12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44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30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48</v>
      </c>
      <c r="B12" s="2"/>
      <c r="C12" s="69" t="s">
        <v>4</v>
      </c>
      <c r="D12" s="71"/>
      <c r="E12" s="71"/>
      <c r="F12" s="70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49</v>
      </c>
      <c r="B13" s="2"/>
      <c r="C13" s="3"/>
      <c r="D13" s="2"/>
      <c r="E13" s="2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39</v>
      </c>
      <c r="B14" s="2"/>
      <c r="C14" s="3"/>
      <c r="D14" s="14" t="s">
        <v>5</v>
      </c>
      <c r="E14" s="14" t="s">
        <v>6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37</v>
      </c>
      <c r="B15" s="2"/>
      <c r="C15" s="3"/>
      <c r="D15" s="8">
        <f ca="1">IFERROR(__xludf.DUMMYFUNCTION("SORT(UNIQUE(A:A))"),25)</f>
        <v>25</v>
      </c>
      <c r="E15" s="8">
        <f t="array" aca="1" ref="E15:E38" ca="1">FREQUENCY(A:A, D14:D37)</f>
        <v>1</v>
      </c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45</v>
      </c>
      <c r="B16" s="2"/>
      <c r="C16" s="3"/>
      <c r="D16" s="8">
        <f ca="1">IFERROR(__xludf.DUMMYFUNCTION("""COMPUTED_VALUE"""),30)</f>
        <v>30</v>
      </c>
      <c r="E16" s="8">
        <f ca="1"/>
        <v>4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40</v>
      </c>
      <c r="B17" s="2"/>
      <c r="C17" s="3"/>
      <c r="D17" s="8">
        <f ca="1">IFERROR(__xludf.DUMMYFUNCTION("""COMPUTED_VALUE"""),31)</f>
        <v>31</v>
      </c>
      <c r="E17" s="8">
        <f ca="1"/>
        <v>2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36</v>
      </c>
      <c r="B18" s="2"/>
      <c r="C18" s="3"/>
      <c r="D18" s="8">
        <f ca="1">IFERROR(__xludf.DUMMYFUNCTION("""COMPUTED_VALUE"""),32)</f>
        <v>32</v>
      </c>
      <c r="E18" s="8">
        <f ca="1"/>
        <v>5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42</v>
      </c>
      <c r="B19" s="2"/>
      <c r="C19" s="3"/>
      <c r="D19" s="8">
        <f ca="1">IFERROR(__xludf.DUMMYFUNCTION("""COMPUTED_VALUE"""),33)</f>
        <v>33</v>
      </c>
      <c r="E19" s="8">
        <f ca="1"/>
        <v>4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48</v>
      </c>
      <c r="B20" s="2"/>
      <c r="C20" s="3"/>
      <c r="D20" s="8">
        <f ca="1">IFERROR(__xludf.DUMMYFUNCTION("""COMPUTED_VALUE"""),34)</f>
        <v>34</v>
      </c>
      <c r="E20" s="8">
        <f ca="1"/>
        <v>9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>
        <v>33</v>
      </c>
      <c r="B21" s="2"/>
      <c r="C21" s="3"/>
      <c r="D21" s="8">
        <f ca="1">IFERROR(__xludf.DUMMYFUNCTION("""COMPUTED_VALUE"""),35)</f>
        <v>35</v>
      </c>
      <c r="E21" s="8">
        <f ca="1"/>
        <v>4</v>
      </c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>
        <v>51</v>
      </c>
      <c r="B22" s="2"/>
      <c r="C22" s="3"/>
      <c r="D22" s="8">
        <f ca="1">IFERROR(__xludf.DUMMYFUNCTION("""COMPUTED_VALUE"""),36)</f>
        <v>36</v>
      </c>
      <c r="E22" s="8">
        <f ca="1"/>
        <v>6</v>
      </c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>
        <v>42</v>
      </c>
      <c r="B23" s="2"/>
      <c r="C23" s="3"/>
      <c r="D23" s="8">
        <f ca="1">IFERROR(__xludf.DUMMYFUNCTION("""COMPUTED_VALUE"""),37)</f>
        <v>37</v>
      </c>
      <c r="E23" s="8">
        <f ca="1"/>
        <v>6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>
        <v>38</v>
      </c>
      <c r="B24" s="2"/>
      <c r="C24" s="3"/>
      <c r="D24" s="8">
        <f ca="1">IFERROR(__xludf.DUMMYFUNCTION("""COMPUTED_VALUE"""),38)</f>
        <v>38</v>
      </c>
      <c r="E24" s="8">
        <f ca="1"/>
        <v>3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>
        <v>41</v>
      </c>
      <c r="B25" s="2"/>
      <c r="C25" s="3"/>
      <c r="D25" s="8">
        <f ca="1">IFERROR(__xludf.DUMMYFUNCTION("""COMPUTED_VALUE"""),39)</f>
        <v>39</v>
      </c>
      <c r="E25" s="8">
        <f ca="1"/>
        <v>7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>
        <v>34</v>
      </c>
      <c r="B26" s="2"/>
      <c r="C26" s="3"/>
      <c r="D26" s="8">
        <f ca="1">IFERROR(__xludf.DUMMYFUNCTION("""COMPUTED_VALUE"""),40)</f>
        <v>40</v>
      </c>
      <c r="E26" s="8">
        <f ca="1"/>
        <v>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>
        <v>42</v>
      </c>
      <c r="B27" s="2"/>
      <c r="C27" s="3"/>
      <c r="D27" s="8">
        <f ca="1">IFERROR(__xludf.DUMMYFUNCTION("""COMPUTED_VALUE"""),41)</f>
        <v>41</v>
      </c>
      <c r="E27" s="8">
        <f ca="1"/>
        <v>7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42</v>
      </c>
      <c r="B28" s="2"/>
      <c r="C28" s="3"/>
      <c r="D28" s="8">
        <f ca="1">IFERROR(__xludf.DUMMYFUNCTION("""COMPUTED_VALUE"""),42)</f>
        <v>42</v>
      </c>
      <c r="E28" s="8">
        <f ca="1"/>
        <v>9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>
        <v>40</v>
      </c>
      <c r="B29" s="2"/>
      <c r="C29" s="3"/>
      <c r="D29" s="8">
        <f ca="1">IFERROR(__xludf.DUMMYFUNCTION("""COMPUTED_VALUE"""),43)</f>
        <v>43</v>
      </c>
      <c r="E29" s="8">
        <f ca="1"/>
        <v>11</v>
      </c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>
        <v>48</v>
      </c>
      <c r="B30" s="2"/>
      <c r="C30" s="3"/>
      <c r="D30" s="8">
        <f ca="1">IFERROR(__xludf.DUMMYFUNCTION("""COMPUTED_VALUE"""),44)</f>
        <v>44</v>
      </c>
      <c r="E30" s="8">
        <f ca="1"/>
        <v>6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>
        <v>50</v>
      </c>
      <c r="B31" s="2"/>
      <c r="C31" s="3"/>
      <c r="D31" s="8">
        <f ca="1">IFERROR(__xludf.DUMMYFUNCTION("""COMPUTED_VALUE"""),45)</f>
        <v>45</v>
      </c>
      <c r="E31" s="8">
        <f ca="1"/>
        <v>6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>
        <v>39</v>
      </c>
      <c r="B32" s="2"/>
      <c r="C32" s="3"/>
      <c r="D32" s="8">
        <f ca="1">IFERROR(__xludf.DUMMYFUNCTION("""COMPUTED_VALUE"""),46)</f>
        <v>46</v>
      </c>
      <c r="E32" s="8">
        <f ca="1"/>
        <v>4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47</v>
      </c>
      <c r="B33" s="2"/>
      <c r="C33" s="3"/>
      <c r="D33" s="8">
        <f ca="1">IFERROR(__xludf.DUMMYFUNCTION("""COMPUTED_VALUE"""),47)</f>
        <v>47</v>
      </c>
      <c r="E33" s="8">
        <f ca="1"/>
        <v>2</v>
      </c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>
        <v>43</v>
      </c>
      <c r="B34" s="2"/>
      <c r="C34" s="3"/>
      <c r="D34" s="8">
        <f ca="1">IFERROR(__xludf.DUMMYFUNCTION("""COMPUTED_VALUE"""),48)</f>
        <v>48</v>
      </c>
      <c r="E34" s="8">
        <f ca="1"/>
        <v>6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>
        <v>34</v>
      </c>
      <c r="B35" s="2"/>
      <c r="C35" s="3"/>
      <c r="D35" s="8">
        <f ca="1">IFERROR(__xludf.DUMMYFUNCTION("""COMPUTED_VALUE"""),49)</f>
        <v>49</v>
      </c>
      <c r="E35" s="8">
        <f ca="1"/>
        <v>4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>
        <v>40</v>
      </c>
      <c r="B36" s="2"/>
      <c r="C36" s="3"/>
      <c r="D36" s="8">
        <f ca="1">IFERROR(__xludf.DUMMYFUNCTION("""COMPUTED_VALUE"""),50)</f>
        <v>50</v>
      </c>
      <c r="E36" s="8">
        <f ca="1"/>
        <v>2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>
        <v>48</v>
      </c>
      <c r="B37" s="2"/>
      <c r="C37" s="3"/>
      <c r="D37" s="8">
        <f ca="1">IFERROR(__xludf.DUMMYFUNCTION("""COMPUTED_VALUE"""),51)</f>
        <v>51</v>
      </c>
      <c r="E37" s="8">
        <f ca="1"/>
        <v>3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30</v>
      </c>
      <c r="B38" s="2"/>
      <c r="C38" s="3"/>
      <c r="D38" s="8">
        <f ca="1">IFERROR(__xludf.DUMMYFUNCTION("""COMPUTED_VALUE"""),52)</f>
        <v>52</v>
      </c>
      <c r="E38" s="8">
        <f ca="1"/>
        <v>1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>
        <v>42</v>
      </c>
      <c r="B39" s="2"/>
      <c r="C39" s="3"/>
      <c r="D39" s="15"/>
      <c r="E39" s="15">
        <f ca="1">SUM(E15:E38)</f>
        <v>120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>
        <v>41</v>
      </c>
      <c r="B40" s="2"/>
      <c r="C40" s="11"/>
      <c r="D40" s="12"/>
      <c r="E40" s="12"/>
      <c r="F40" s="1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32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>
        <v>51</v>
      </c>
      <c r="B44" s="2"/>
      <c r="C44" s="69" t="s">
        <v>7</v>
      </c>
      <c r="D44" s="71"/>
      <c r="E44" s="71"/>
      <c r="F44" s="7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>
        <v>50</v>
      </c>
      <c r="B45" s="2"/>
      <c r="C45" s="3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>
        <v>31</v>
      </c>
      <c r="B46" s="2"/>
      <c r="C46" s="3"/>
      <c r="D46" s="5" t="s">
        <v>8</v>
      </c>
      <c r="E46" s="6">
        <f ca="1">(E7)/(1+3.2*LOG10(E39))</f>
        <v>3.5278530589907828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32</v>
      </c>
      <c r="B47" s="2"/>
      <c r="C47" s="3"/>
      <c r="D47" s="7" t="s">
        <v>9</v>
      </c>
      <c r="E47" s="8">
        <f ca="1">E7/E46</f>
        <v>7.6533799873523991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39</v>
      </c>
      <c r="B48" s="2"/>
      <c r="C48" s="3"/>
      <c r="D48" s="9" t="s">
        <v>10</v>
      </c>
      <c r="E48" s="10">
        <f>E7/6</f>
        <v>4.5</v>
      </c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38</v>
      </c>
      <c r="B49" s="2"/>
      <c r="C49" s="11"/>
      <c r="D49" s="12"/>
      <c r="E49" s="12"/>
      <c r="F49" s="1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>
        <v>41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>
        <v>37</v>
      </c>
      <c r="B53" s="2"/>
      <c r="C53" s="69" t="s">
        <v>11</v>
      </c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0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>
        <v>33</v>
      </c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>
        <v>37</v>
      </c>
      <c r="B55" s="2"/>
      <c r="C55" s="3"/>
      <c r="D55" s="66" t="s">
        <v>12</v>
      </c>
      <c r="E55" s="75" t="s">
        <v>13</v>
      </c>
      <c r="F55" s="70"/>
      <c r="G55" s="76" t="s">
        <v>14</v>
      </c>
      <c r="H55" s="76" t="s">
        <v>15</v>
      </c>
      <c r="I55" s="76" t="s">
        <v>16</v>
      </c>
      <c r="J55" s="66" t="s">
        <v>17</v>
      </c>
      <c r="K55" s="66" t="s">
        <v>18</v>
      </c>
      <c r="L55" s="66" t="s">
        <v>19</v>
      </c>
      <c r="M55" s="66" t="s">
        <v>20</v>
      </c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>
        <v>37</v>
      </c>
      <c r="B56" s="2"/>
      <c r="C56" s="3"/>
      <c r="D56" s="67"/>
      <c r="E56" s="16" t="s">
        <v>21</v>
      </c>
      <c r="F56" s="16" t="s">
        <v>22</v>
      </c>
      <c r="G56" s="67"/>
      <c r="H56" s="67"/>
      <c r="I56" s="67"/>
      <c r="J56" s="67"/>
      <c r="K56" s="67"/>
      <c r="L56" s="67"/>
      <c r="M56" s="67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25</v>
      </c>
      <c r="B57" s="2"/>
      <c r="C57" s="3"/>
      <c r="D57" s="5">
        <v>1</v>
      </c>
      <c r="E57" s="6">
        <f>E5</f>
        <v>25</v>
      </c>
      <c r="F57" s="6">
        <f t="shared" ref="F57:F62" si="0">E57+$E$48</f>
        <v>29.5</v>
      </c>
      <c r="G57" s="6">
        <f t="shared" ref="G57:G61" si="1">COUNTIFS(A:A, "&gt;="&amp;E57, A:A, "&lt;"&amp;F57)</f>
        <v>1</v>
      </c>
      <c r="H57" s="17">
        <f t="shared" ref="H57:H62" ca="1" si="2">G57/$E$39</f>
        <v>8.3333333333333332E-3</v>
      </c>
      <c r="I57" s="6">
        <f t="shared" ref="I57:I63" si="3">SUM($G$57:G57)</f>
        <v>1</v>
      </c>
      <c r="J57" s="18">
        <f t="shared" ref="J57:J62" ca="1" si="4">I57/$E$39</f>
        <v>8.3333333333333332E-3</v>
      </c>
      <c r="K57" s="19">
        <f t="shared" ref="K57:L57" si="5">G57/$E$48</f>
        <v>0.22222222222222221</v>
      </c>
      <c r="L57" s="19">
        <f t="shared" ca="1" si="5"/>
        <v>1.8518518518518519E-3</v>
      </c>
      <c r="M57" s="8">
        <f t="shared" ref="M57:M62" si="6">(E57+F57) / 2</f>
        <v>27.25</v>
      </c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>
        <v>42</v>
      </c>
      <c r="B58" s="2"/>
      <c r="C58" s="3"/>
      <c r="D58" s="7">
        <v>2</v>
      </c>
      <c r="E58" s="8">
        <f t="shared" ref="E58:E62" si="7">F57</f>
        <v>29.5</v>
      </c>
      <c r="F58" s="8">
        <f t="shared" si="0"/>
        <v>34</v>
      </c>
      <c r="G58" s="8">
        <f t="shared" si="1"/>
        <v>15</v>
      </c>
      <c r="H58" s="19">
        <f t="shared" ca="1" si="2"/>
        <v>0.125</v>
      </c>
      <c r="I58" s="8">
        <f t="shared" si="3"/>
        <v>16</v>
      </c>
      <c r="J58" s="18">
        <f t="shared" ca="1" si="4"/>
        <v>0.13333333333333333</v>
      </c>
      <c r="K58" s="19">
        <f t="shared" ref="K58:L58" si="8">G58/$E$48</f>
        <v>3.3333333333333335</v>
      </c>
      <c r="L58" s="19">
        <f t="shared" ca="1" si="8"/>
        <v>2.7777777777777776E-2</v>
      </c>
      <c r="M58" s="8">
        <f t="shared" si="6"/>
        <v>31.75</v>
      </c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>
        <v>40</v>
      </c>
      <c r="B59" s="2"/>
      <c r="C59" s="3"/>
      <c r="D59" s="7">
        <v>3</v>
      </c>
      <c r="E59" s="8">
        <f t="shared" si="7"/>
        <v>34</v>
      </c>
      <c r="F59" s="8">
        <f t="shared" si="0"/>
        <v>38.5</v>
      </c>
      <c r="G59" s="8">
        <f t="shared" si="1"/>
        <v>28</v>
      </c>
      <c r="H59" s="19">
        <f t="shared" ca="1" si="2"/>
        <v>0.23333333333333334</v>
      </c>
      <c r="I59" s="8">
        <f t="shared" si="3"/>
        <v>44</v>
      </c>
      <c r="J59" s="18">
        <f t="shared" ca="1" si="4"/>
        <v>0.36666666666666664</v>
      </c>
      <c r="K59" s="19">
        <f t="shared" ref="K59:L59" si="9">G59/$E$48</f>
        <v>6.2222222222222223</v>
      </c>
      <c r="L59" s="19">
        <f t="shared" ca="1" si="9"/>
        <v>5.185185185185185E-2</v>
      </c>
      <c r="M59" s="8">
        <f t="shared" si="6"/>
        <v>36.25</v>
      </c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43</v>
      </c>
      <c r="B60" s="2"/>
      <c r="C60" s="3"/>
      <c r="D60" s="7">
        <v>4</v>
      </c>
      <c r="E60" s="8">
        <f t="shared" si="7"/>
        <v>38.5</v>
      </c>
      <c r="F60" s="8">
        <f t="shared" si="0"/>
        <v>43</v>
      </c>
      <c r="G60" s="8">
        <f t="shared" si="1"/>
        <v>31</v>
      </c>
      <c r="H60" s="19">
        <f t="shared" ca="1" si="2"/>
        <v>0.25833333333333336</v>
      </c>
      <c r="I60" s="8">
        <f t="shared" si="3"/>
        <v>75</v>
      </c>
      <c r="J60" s="18">
        <f t="shared" ca="1" si="4"/>
        <v>0.625</v>
      </c>
      <c r="K60" s="19">
        <f t="shared" ref="K60:L60" si="10">G60/$E$48</f>
        <v>6.8888888888888893</v>
      </c>
      <c r="L60" s="19">
        <f t="shared" ca="1" si="10"/>
        <v>5.7407407407407414E-2</v>
      </c>
      <c r="M60" s="8">
        <f t="shared" si="6"/>
        <v>40.75</v>
      </c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>
        <v>33</v>
      </c>
      <c r="B61" s="2"/>
      <c r="C61" s="3"/>
      <c r="D61" s="7">
        <v>5</v>
      </c>
      <c r="E61" s="8">
        <f t="shared" si="7"/>
        <v>43</v>
      </c>
      <c r="F61" s="8">
        <f t="shared" si="0"/>
        <v>47.5</v>
      </c>
      <c r="G61" s="8">
        <f t="shared" si="1"/>
        <v>29</v>
      </c>
      <c r="H61" s="19">
        <f t="shared" ca="1" si="2"/>
        <v>0.24166666666666667</v>
      </c>
      <c r="I61" s="8">
        <f t="shared" si="3"/>
        <v>104</v>
      </c>
      <c r="J61" s="18">
        <f t="shared" ca="1" si="4"/>
        <v>0.8666666666666667</v>
      </c>
      <c r="K61" s="19">
        <f t="shared" ref="K61:L61" si="11">G61/$E$48</f>
        <v>6.4444444444444446</v>
      </c>
      <c r="L61" s="19">
        <f t="shared" ca="1" si="11"/>
        <v>5.3703703703703705E-2</v>
      </c>
      <c r="M61" s="8">
        <f t="shared" si="6"/>
        <v>45.25</v>
      </c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>
        <v>35</v>
      </c>
      <c r="B62" s="2"/>
      <c r="C62" s="3"/>
      <c r="D62" s="9">
        <v>6</v>
      </c>
      <c r="E62" s="10">
        <f t="shared" si="7"/>
        <v>47.5</v>
      </c>
      <c r="F62" s="10">
        <f t="shared" si="0"/>
        <v>52</v>
      </c>
      <c r="G62" s="8">
        <f>COUNTIFS(A:A, "&gt;="&amp;E62, A:A, "&lt;="&amp;F62)</f>
        <v>16</v>
      </c>
      <c r="H62" s="19">
        <f t="shared" ca="1" si="2"/>
        <v>0.13333333333333333</v>
      </c>
      <c r="I62" s="8">
        <f t="shared" si="3"/>
        <v>120</v>
      </c>
      <c r="J62" s="18">
        <f t="shared" ca="1" si="4"/>
        <v>1</v>
      </c>
      <c r="K62" s="19">
        <f t="shared" ref="K62:L62" si="12">G62/$E$48</f>
        <v>3.5555555555555554</v>
      </c>
      <c r="L62" s="19">
        <f t="shared" ca="1" si="12"/>
        <v>2.9629629629629631E-2</v>
      </c>
      <c r="M62" s="8">
        <f t="shared" si="6"/>
        <v>49.75</v>
      </c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49</v>
      </c>
      <c r="B63" s="2"/>
      <c r="C63" s="3"/>
      <c r="D63" s="69" t="s">
        <v>23</v>
      </c>
      <c r="E63" s="71"/>
      <c r="F63" s="70"/>
      <c r="G63" s="15">
        <f t="shared" ref="G63:H63" si="13">SUM(G57:G62)</f>
        <v>120</v>
      </c>
      <c r="H63" s="20">
        <f t="shared" ca="1" si="13"/>
        <v>1</v>
      </c>
      <c r="I63" s="15">
        <f t="shared" si="3"/>
        <v>240</v>
      </c>
      <c r="J63" s="20">
        <f t="shared" ref="J63:M63" ca="1" si="14">SUM(J57:J62)</f>
        <v>3</v>
      </c>
      <c r="K63" s="20">
        <f t="shared" si="14"/>
        <v>26.666666666666671</v>
      </c>
      <c r="L63" s="20">
        <f t="shared" ca="1" si="14"/>
        <v>0.22222222222222221</v>
      </c>
      <c r="M63" s="15">
        <f t="shared" si="14"/>
        <v>231</v>
      </c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>
        <v>43</v>
      </c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>
        <v>34</v>
      </c>
      <c r="B65" s="2"/>
      <c r="C65" s="3"/>
      <c r="D65" s="72" t="s">
        <v>24</v>
      </c>
      <c r="E65" s="73"/>
      <c r="F65" s="73"/>
      <c r="G65" s="73"/>
      <c r="H65" s="73"/>
      <c r="I65" s="73"/>
      <c r="J65" s="73"/>
      <c r="K65" s="73"/>
      <c r="L65" s="73"/>
      <c r="M65" s="73"/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40</v>
      </c>
      <c r="B66" s="2"/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>
        <v>35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>
        <v>46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>
        <v>35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>
        <v>38</v>
      </c>
      <c r="B70" s="2"/>
      <c r="C70" s="69" t="s">
        <v>25</v>
      </c>
      <c r="D70" s="71"/>
      <c r="E70" s="71"/>
      <c r="F70" s="71"/>
      <c r="G70" s="71"/>
      <c r="H70" s="71"/>
      <c r="I70" s="71"/>
      <c r="J70" s="71"/>
      <c r="K70" s="71"/>
      <c r="L70" s="7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>
        <v>43</v>
      </c>
      <c r="B71" s="2"/>
      <c r="C71" s="3"/>
      <c r="D71" s="2"/>
      <c r="E71" s="2"/>
      <c r="F71" s="2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44</v>
      </c>
      <c r="B72" s="2"/>
      <c r="C72" s="3"/>
      <c r="D72" s="14" t="s">
        <v>26</v>
      </c>
      <c r="E72" s="15" t="str">
        <f>"&lt;="&amp;E57</f>
        <v>&lt;=25</v>
      </c>
      <c r="F72" s="15">
        <f>F57</f>
        <v>29.5</v>
      </c>
      <c r="G72" s="15">
        <f>F58</f>
        <v>34</v>
      </c>
      <c r="H72" s="15">
        <f>F59</f>
        <v>38.5</v>
      </c>
      <c r="I72" s="15">
        <f>F60</f>
        <v>43</v>
      </c>
      <c r="J72" s="15">
        <f>F61</f>
        <v>47.5</v>
      </c>
      <c r="K72" s="15" t="str">
        <f>"&gt;"&amp;F62</f>
        <v>&gt;52</v>
      </c>
      <c r="L72" s="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>
        <v>34</v>
      </c>
      <c r="B73" s="2"/>
      <c r="C73" s="3"/>
      <c r="D73" s="14" t="s">
        <v>27</v>
      </c>
      <c r="E73" s="14">
        <v>0</v>
      </c>
      <c r="F73" s="20">
        <f ca="1">J57</f>
        <v>8.3333333333333332E-3</v>
      </c>
      <c r="G73" s="20">
        <f ca="1">J58</f>
        <v>0.13333333333333333</v>
      </c>
      <c r="H73" s="20">
        <f ca="1">J59</f>
        <v>0.36666666666666664</v>
      </c>
      <c r="I73" s="20">
        <f ca="1">J60</f>
        <v>0.625</v>
      </c>
      <c r="J73" s="20">
        <f ca="1">J61</f>
        <v>0.8666666666666667</v>
      </c>
      <c r="K73" s="21">
        <f ca="1">J62</f>
        <v>1</v>
      </c>
      <c r="L73" s="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>
        <v>36</v>
      </c>
      <c r="B74" s="2"/>
      <c r="C74" s="3"/>
      <c r="D74" s="2"/>
      <c r="E74" s="2"/>
      <c r="F74" s="2"/>
      <c r="G74" s="2"/>
      <c r="H74" s="2"/>
      <c r="I74" s="2"/>
      <c r="J74" s="2"/>
      <c r="K74" s="2"/>
      <c r="L74" s="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>
        <v>43</v>
      </c>
      <c r="B75" s="2"/>
      <c r="C75" s="3"/>
      <c r="D75" s="74" t="s">
        <v>28</v>
      </c>
      <c r="E75" s="73"/>
      <c r="F75" s="73"/>
      <c r="G75" s="73"/>
      <c r="H75" s="73"/>
      <c r="I75" s="73"/>
      <c r="J75" s="73"/>
      <c r="K75" s="73"/>
      <c r="L75" s="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>
        <v>45</v>
      </c>
      <c r="B76" s="2"/>
      <c r="C76" s="11"/>
      <c r="D76" s="12"/>
      <c r="E76" s="12"/>
      <c r="F76" s="12"/>
      <c r="G76" s="12"/>
      <c r="H76" s="12"/>
      <c r="I76" s="12"/>
      <c r="J76" s="12"/>
      <c r="K76" s="12"/>
      <c r="L76" s="1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>
        <v>42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>
        <v>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40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>
        <v>34</v>
      </c>
      <c r="B80" s="2"/>
      <c r="C80" s="69" t="s">
        <v>29</v>
      </c>
      <c r="D80" s="71"/>
      <c r="E80" s="71"/>
      <c r="F80" s="71"/>
      <c r="G80" s="71"/>
      <c r="H80" s="71"/>
      <c r="I80" s="7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>
        <v>44</v>
      </c>
      <c r="B81" s="2"/>
      <c r="C81" s="22"/>
      <c r="D81" s="23"/>
      <c r="E81" s="23"/>
      <c r="F81" s="23"/>
      <c r="G81" s="23"/>
      <c r="H81" s="23"/>
      <c r="I81" s="2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>
        <v>37</v>
      </c>
      <c r="B82" s="2"/>
      <c r="C82" s="3"/>
      <c r="D82" s="14" t="s">
        <v>30</v>
      </c>
      <c r="E82" s="14" t="s">
        <v>31</v>
      </c>
      <c r="F82" s="14" t="s">
        <v>32</v>
      </c>
      <c r="G82" s="14" t="s">
        <v>33</v>
      </c>
      <c r="H82" s="14" t="s">
        <v>34</v>
      </c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>
        <v>42</v>
      </c>
      <c r="B83" s="2"/>
      <c r="C83" s="3"/>
      <c r="D83" s="7">
        <v>1</v>
      </c>
      <c r="E83" s="7">
        <v>27.25</v>
      </c>
      <c r="F83" s="7">
        <v>1</v>
      </c>
      <c r="G83" s="8">
        <f t="shared" ref="G83:G88" si="15">E83*F83</f>
        <v>27.25</v>
      </c>
      <c r="H83" s="8">
        <f t="shared" ref="H83:H88" ca="1" si="16">(E83-$E$93)^2 * F83</f>
        <v>182.25</v>
      </c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>
        <v>43</v>
      </c>
      <c r="B84" s="2"/>
      <c r="C84" s="3"/>
      <c r="D84" s="7">
        <v>2</v>
      </c>
      <c r="E84" s="7">
        <v>31.75</v>
      </c>
      <c r="F84" s="7">
        <v>15</v>
      </c>
      <c r="G84" s="8">
        <f t="shared" si="15"/>
        <v>476.25</v>
      </c>
      <c r="H84" s="8">
        <f t="shared" ca="1" si="16"/>
        <v>1215</v>
      </c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>
        <v>52</v>
      </c>
      <c r="B85" s="2"/>
      <c r="C85" s="3"/>
      <c r="D85" s="7">
        <v>3</v>
      </c>
      <c r="E85" s="7">
        <v>36.25</v>
      </c>
      <c r="F85" s="7">
        <v>28</v>
      </c>
      <c r="G85" s="8">
        <f t="shared" si="15"/>
        <v>1015</v>
      </c>
      <c r="H85" s="8">
        <f t="shared" ca="1" si="16"/>
        <v>567</v>
      </c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45</v>
      </c>
      <c r="B86" s="2"/>
      <c r="C86" s="3"/>
      <c r="D86" s="7">
        <v>4</v>
      </c>
      <c r="E86" s="7">
        <v>40.75</v>
      </c>
      <c r="F86" s="7">
        <v>31</v>
      </c>
      <c r="G86" s="8">
        <f t="shared" si="15"/>
        <v>1263.25</v>
      </c>
      <c r="H86" s="8">
        <f t="shared" ca="1" si="16"/>
        <v>0</v>
      </c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>
        <v>39</v>
      </c>
      <c r="B87" s="2"/>
      <c r="C87" s="3"/>
      <c r="D87" s="7">
        <v>5</v>
      </c>
      <c r="E87" s="7">
        <v>45.25</v>
      </c>
      <c r="F87" s="7">
        <v>29</v>
      </c>
      <c r="G87" s="8">
        <f t="shared" si="15"/>
        <v>1312.25</v>
      </c>
      <c r="H87" s="8">
        <f t="shared" ca="1" si="16"/>
        <v>587.25</v>
      </c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>
        <v>35</v>
      </c>
      <c r="B88" s="2"/>
      <c r="C88" s="3"/>
      <c r="D88" s="7">
        <v>6</v>
      </c>
      <c r="E88" s="7">
        <v>49.75</v>
      </c>
      <c r="F88" s="7">
        <v>16</v>
      </c>
      <c r="G88" s="8">
        <f t="shared" si="15"/>
        <v>796</v>
      </c>
      <c r="H88" s="8">
        <f t="shared" ca="1" si="16"/>
        <v>1296</v>
      </c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39</v>
      </c>
      <c r="B89" s="2"/>
      <c r="C89" s="3"/>
      <c r="D89" s="14" t="s">
        <v>23</v>
      </c>
      <c r="E89" s="15">
        <f t="shared" ref="E89:H89" si="17">SUM(E83:E88)</f>
        <v>231</v>
      </c>
      <c r="F89" s="15">
        <f t="shared" si="17"/>
        <v>120</v>
      </c>
      <c r="G89" s="15">
        <f t="shared" si="17"/>
        <v>4890</v>
      </c>
      <c r="H89" s="15">
        <f t="shared" ca="1" si="17"/>
        <v>3847.5</v>
      </c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>
        <v>43</v>
      </c>
      <c r="B90" s="2"/>
      <c r="C90" s="3"/>
      <c r="D90" s="2"/>
      <c r="E90" s="2"/>
      <c r="F90" s="2"/>
      <c r="G90" s="2"/>
      <c r="H90" s="2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>
        <v>46</v>
      </c>
      <c r="B91" s="2"/>
      <c r="C91" s="3"/>
      <c r="D91" s="2"/>
      <c r="E91" s="2"/>
      <c r="F91" s="2"/>
      <c r="G91" s="2"/>
      <c r="H91" s="2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37</v>
      </c>
      <c r="B92" s="2"/>
      <c r="C92" s="3"/>
      <c r="D92" s="69" t="s">
        <v>35</v>
      </c>
      <c r="E92" s="70"/>
      <c r="F92" s="2"/>
      <c r="G92" s="2"/>
      <c r="H92" s="2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>
        <v>40</v>
      </c>
      <c r="B93" s="2"/>
      <c r="C93" s="3"/>
      <c r="D93" s="7" t="s">
        <v>36</v>
      </c>
      <c r="E93" s="25">
        <f ca="1">(1/E39) * G89</f>
        <v>40.75</v>
      </c>
      <c r="F93" s="2"/>
      <c r="G93" s="2"/>
      <c r="H93" s="2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>
        <v>36</v>
      </c>
      <c r="B94" s="2"/>
      <c r="C94" s="3"/>
      <c r="D94" s="7" t="s">
        <v>37</v>
      </c>
      <c r="E94" s="25">
        <f ca="1">(1/E39) * H89</f>
        <v>32.0625</v>
      </c>
      <c r="F94" s="2"/>
      <c r="G94" s="2"/>
      <c r="H94" s="2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45</v>
      </c>
      <c r="B95" s="2"/>
      <c r="C95" s="3"/>
      <c r="D95" s="9" t="s">
        <v>38</v>
      </c>
      <c r="E95" s="26">
        <f ca="1">SQRT(E94)</f>
        <v>5.6623758264530624</v>
      </c>
      <c r="F95" s="2"/>
      <c r="G95" s="2"/>
      <c r="H95" s="2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>
        <v>51</v>
      </c>
      <c r="B96" s="2"/>
      <c r="C96" s="11"/>
      <c r="D96" s="12"/>
      <c r="E96" s="12"/>
      <c r="F96" s="12"/>
      <c r="G96" s="12"/>
      <c r="H96" s="12"/>
      <c r="I96" s="1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>
        <v>32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>
        <v>36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>
        <v>41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>
        <v>31</v>
      </c>
      <c r="B100" s="2"/>
      <c r="C100" s="69" t="s">
        <v>39</v>
      </c>
      <c r="D100" s="71"/>
      <c r="E100" s="71"/>
      <c r="F100" s="71"/>
      <c r="G100" s="7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>
        <v>32</v>
      </c>
      <c r="B101" s="2"/>
      <c r="C101" s="3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>
        <v>43</v>
      </c>
      <c r="B102" s="2"/>
      <c r="C102" s="3"/>
      <c r="D102" s="1" t="s">
        <v>40</v>
      </c>
      <c r="E102" s="1" t="s">
        <v>41</v>
      </c>
      <c r="F102" s="1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>
        <v>34</v>
      </c>
      <c r="B103" s="2"/>
      <c r="C103" s="11"/>
      <c r="D103" s="12"/>
      <c r="E103" s="12"/>
      <c r="F103" s="12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>
        <v>41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>
        <v>44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>
        <v>34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>
        <v>40</v>
      </c>
      <c r="B107" s="2"/>
      <c r="C107" s="69" t="s">
        <v>42</v>
      </c>
      <c r="D107" s="71"/>
      <c r="E107" s="71"/>
      <c r="F107" s="7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>
        <v>34</v>
      </c>
      <c r="B108" s="2"/>
      <c r="C108" s="3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>
        <v>33</v>
      </c>
      <c r="B109" s="2"/>
      <c r="C109" s="3"/>
      <c r="D109" s="69" t="s">
        <v>43</v>
      </c>
      <c r="E109" s="70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>
        <v>49</v>
      </c>
      <c r="B110" s="2"/>
      <c r="C110" s="3"/>
      <c r="D110" s="5" t="s">
        <v>44</v>
      </c>
      <c r="E110" s="6">
        <f>AVERAGE(A:A)</f>
        <v>40.241666666666667</v>
      </c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>
        <v>43</v>
      </c>
      <c r="B111" s="2"/>
      <c r="C111" s="3"/>
      <c r="D111" s="27" t="s">
        <v>45</v>
      </c>
      <c r="E111" s="26">
        <f ca="1">E95</f>
        <v>5.6623758264530624</v>
      </c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>
        <v>34</v>
      </c>
      <c r="B112" s="2"/>
      <c r="C112" s="3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>
        <v>49</v>
      </c>
      <c r="B113" s="2"/>
      <c r="C113" s="3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>
        <v>47</v>
      </c>
      <c r="B114" s="2"/>
      <c r="C114" s="3"/>
      <c r="D114" s="69" t="s">
        <v>35</v>
      </c>
      <c r="E114" s="70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>
        <v>36</v>
      </c>
      <c r="B115" s="2"/>
      <c r="C115" s="3"/>
      <c r="D115" s="5" t="s">
        <v>46</v>
      </c>
      <c r="E115" s="5" t="s">
        <v>47</v>
      </c>
      <c r="F115" s="4"/>
      <c r="G115" s="2"/>
      <c r="H115" s="2"/>
      <c r="I115" s="2"/>
      <c r="J115" s="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>
        <v>30</v>
      </c>
      <c r="B116" s="2"/>
      <c r="C116" s="3"/>
      <c r="D116" s="9" t="s">
        <v>48</v>
      </c>
      <c r="E116" s="9" t="s">
        <v>47</v>
      </c>
      <c r="F116" s="4"/>
      <c r="G116" s="2"/>
      <c r="H116" s="2"/>
      <c r="I116" s="2"/>
      <c r="J116" s="2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>
        <v>48</v>
      </c>
      <c r="B117" s="2"/>
      <c r="C117" s="11"/>
      <c r="D117" s="12"/>
      <c r="E117" s="12"/>
      <c r="F117" s="1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>
        <v>45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>
        <v>32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>
        <v>46</v>
      </c>
      <c r="B120" s="2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69" t="s">
        <v>49</v>
      </c>
      <c r="D121" s="71"/>
      <c r="E121" s="71"/>
      <c r="F121" s="71"/>
      <c r="G121" s="71"/>
      <c r="H121" s="71"/>
      <c r="I121" s="71"/>
      <c r="J121" s="71"/>
      <c r="K121" s="71"/>
      <c r="L121" s="71"/>
      <c r="M121" s="7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3"/>
      <c r="D123" s="68" t="s">
        <v>12</v>
      </c>
      <c r="E123" s="84" t="s">
        <v>13</v>
      </c>
      <c r="F123" s="70"/>
      <c r="G123" s="85" t="s">
        <v>50</v>
      </c>
      <c r="H123" s="68" t="s">
        <v>51</v>
      </c>
      <c r="I123" s="82" t="s">
        <v>52</v>
      </c>
      <c r="J123" s="68" t="s">
        <v>53</v>
      </c>
      <c r="K123" s="68" t="s">
        <v>54</v>
      </c>
      <c r="L123" s="2"/>
      <c r="M123" s="4"/>
      <c r="N123" s="1"/>
      <c r="O123" s="1"/>
      <c r="P123" s="29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3"/>
      <c r="D124" s="67"/>
      <c r="E124" s="31" t="s">
        <v>21</v>
      </c>
      <c r="F124" s="31" t="s">
        <v>22</v>
      </c>
      <c r="G124" s="67"/>
      <c r="H124" s="67"/>
      <c r="I124" s="67"/>
      <c r="J124" s="67"/>
      <c r="K124" s="67"/>
      <c r="L124" s="2"/>
      <c r="M124" s="32"/>
      <c r="N124" s="33"/>
      <c r="O124" s="2"/>
      <c r="P124" s="29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3"/>
      <c r="D125" s="30">
        <v>1</v>
      </c>
      <c r="E125" s="34" t="s">
        <v>55</v>
      </c>
      <c r="F125" s="35">
        <f>$F$57</f>
        <v>29.5</v>
      </c>
      <c r="G125" s="36">
        <f ca="1">0.5 - (NORMSDIST(ABS((F125 - E110)/E111)) - 0.5)</f>
        <v>2.8912340711119477E-2</v>
      </c>
      <c r="H125" s="37">
        <f t="shared" ref="H125:H130" si="18">G57</f>
        <v>1</v>
      </c>
      <c r="I125" s="35">
        <f t="shared" ref="I125:I130" ca="1" si="19">$E$39*G125</f>
        <v>3.4694808853343373</v>
      </c>
      <c r="J125" s="35">
        <f t="shared" ref="J125:J130" ca="1" si="20">(H125-I125)^2</f>
        <v>6.0983358430316628</v>
      </c>
      <c r="K125" s="35">
        <f t="shared" ref="K125:K130" ca="1" si="21">J125/I125</f>
        <v>1.7577084424386431</v>
      </c>
      <c r="L125" s="1"/>
      <c r="M125" s="32"/>
      <c r="N125" s="33"/>
      <c r="O125" s="2"/>
      <c r="P125" s="29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3"/>
      <c r="D126" s="34">
        <v>2</v>
      </c>
      <c r="E126" s="35">
        <f>$E$58</f>
        <v>29.5</v>
      </c>
      <c r="F126" s="35">
        <f>$F$58</f>
        <v>34</v>
      </c>
      <c r="G126" s="36">
        <f ca="1">(NORMSDIST(ABS((E126 - E110)/E111)) - 0.5) - (NORMSDIST(ABS((F126 - E110)/E111)) - 0.5)</f>
        <v>0.10625215062698634</v>
      </c>
      <c r="H126" s="37">
        <f t="shared" si="18"/>
        <v>15</v>
      </c>
      <c r="I126" s="35">
        <f t="shared" ca="1" si="19"/>
        <v>12.75025807523836</v>
      </c>
      <c r="J126" s="35">
        <f t="shared" ca="1" si="20"/>
        <v>5.0613387280302087</v>
      </c>
      <c r="K126" s="35">
        <f t="shared" ca="1" si="21"/>
        <v>0.39695970843598705</v>
      </c>
      <c r="L126" s="1"/>
      <c r="M126" s="32"/>
      <c r="N126" s="33"/>
      <c r="O126" s="2"/>
      <c r="P126" s="29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3"/>
      <c r="D127" s="34">
        <v>3</v>
      </c>
      <c r="E127" s="35">
        <f>$E$59</f>
        <v>34</v>
      </c>
      <c r="F127" s="35">
        <f>$F$59</f>
        <v>38.5</v>
      </c>
      <c r="G127" s="36">
        <f ca="1">(NORMSDIST(ABS((F127 - E110)/E111)) - 0.5) + (NORMSDIST(ABS((E127 - E110)/E111)) - 0.5)</f>
        <v>0.48563676335180694</v>
      </c>
      <c r="H127" s="37">
        <f t="shared" si="18"/>
        <v>28</v>
      </c>
      <c r="I127" s="35">
        <f t="shared" ca="1" si="19"/>
        <v>58.276411602216832</v>
      </c>
      <c r="J127" s="35">
        <f t="shared" ca="1" si="20"/>
        <v>916.66109950685006</v>
      </c>
      <c r="K127" s="35">
        <f t="shared" ca="1" si="21"/>
        <v>15.729539178969974</v>
      </c>
      <c r="L127" s="1"/>
      <c r="M127" s="32"/>
      <c r="N127" s="33"/>
      <c r="O127" s="2"/>
      <c r="P127" s="29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3"/>
      <c r="D128" s="34">
        <v>4</v>
      </c>
      <c r="E128" s="35">
        <f>$E$60</f>
        <v>38.5</v>
      </c>
      <c r="F128" s="35">
        <f>$F$60</f>
        <v>43</v>
      </c>
      <c r="G128" s="36">
        <f ca="1">(NORMSDIST(ABS((F128 - E110)/E111)) - 0.5) - (NORMSDIST(ABS((E128 - E110)/E111)) - 0.5)</f>
        <v>6.6116905216945687E-2</v>
      </c>
      <c r="H128" s="37">
        <f t="shared" si="18"/>
        <v>31</v>
      </c>
      <c r="I128" s="35">
        <f t="shared" ca="1" si="19"/>
        <v>7.9340286260334825</v>
      </c>
      <c r="J128" s="35">
        <f t="shared" ca="1" si="20"/>
        <v>532.03903542464298</v>
      </c>
      <c r="K128" s="35">
        <f t="shared" ca="1" si="21"/>
        <v>67.057866879745447</v>
      </c>
      <c r="L128" s="1"/>
      <c r="M128" s="32"/>
      <c r="N128" s="33"/>
      <c r="O128" s="2"/>
      <c r="P128" s="29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3"/>
      <c r="D129" s="34">
        <v>5</v>
      </c>
      <c r="E129" s="35">
        <f>$E$61</f>
        <v>43</v>
      </c>
      <c r="F129" s="35">
        <f>$F$61</f>
        <v>47.5</v>
      </c>
      <c r="G129" s="36">
        <f ca="1">(NORMSDIST(ABS((F129 - E110)/E111)) - 0.5) - (NORMSDIST(ABS((E129 - E110)/E111)) - 0.5)</f>
        <v>0.21313472780681419</v>
      </c>
      <c r="H129" s="37">
        <f t="shared" si="18"/>
        <v>29</v>
      </c>
      <c r="I129" s="35">
        <f t="shared" ca="1" si="19"/>
        <v>25.576167336817704</v>
      </c>
      <c r="J129" s="35">
        <f t="shared" ca="1" si="20"/>
        <v>11.722630105473971</v>
      </c>
      <c r="K129" s="35">
        <f t="shared" ca="1" si="21"/>
        <v>0.4583419380666498</v>
      </c>
      <c r="L129" s="1"/>
      <c r="M129" s="32"/>
      <c r="N129" s="33"/>
      <c r="O129" s="1"/>
      <c r="P129" s="29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3"/>
      <c r="D130" s="38">
        <v>6</v>
      </c>
      <c r="E130" s="39">
        <f>$E$62</f>
        <v>47.5</v>
      </c>
      <c r="F130" s="38" t="s">
        <v>56</v>
      </c>
      <c r="G130" s="40">
        <f ca="1">0.5 - (NORMSDIST(ABS((E130 - E110)/E111)) - 0.5)</f>
        <v>9.9947112286327355E-2</v>
      </c>
      <c r="H130" s="41">
        <f t="shared" si="18"/>
        <v>16</v>
      </c>
      <c r="I130" s="39">
        <f t="shared" ca="1" si="19"/>
        <v>11.993653474359283</v>
      </c>
      <c r="J130" s="35">
        <f t="shared" ca="1" si="20"/>
        <v>16.050812483513447</v>
      </c>
      <c r="K130" s="35">
        <f t="shared" ca="1" si="21"/>
        <v>1.3382754902688985</v>
      </c>
      <c r="L130" s="1"/>
      <c r="M130" s="32"/>
      <c r="N130" s="2"/>
      <c r="O130" s="2"/>
      <c r="P130" s="29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3"/>
      <c r="D131" s="86" t="s">
        <v>23</v>
      </c>
      <c r="E131" s="80"/>
      <c r="F131" s="81"/>
      <c r="G131" s="42">
        <f t="shared" ref="G131:K131" ca="1" si="22">SUM(G125:G130)</f>
        <v>1</v>
      </c>
      <c r="H131" s="41">
        <f t="shared" si="22"/>
        <v>120</v>
      </c>
      <c r="I131" s="39">
        <f t="shared" ca="1" si="22"/>
        <v>119.99999999999999</v>
      </c>
      <c r="J131" s="43">
        <f t="shared" ca="1" si="22"/>
        <v>1487.6332520915425</v>
      </c>
      <c r="K131" s="43">
        <f t="shared" ca="1" si="22"/>
        <v>86.738691637925598</v>
      </c>
      <c r="L131" s="2"/>
      <c r="M131" s="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3"/>
      <c r="D132" s="44"/>
      <c r="E132" s="44"/>
      <c r="F132" s="44"/>
      <c r="G132" s="44"/>
      <c r="H132" s="44"/>
      <c r="I132" s="44"/>
      <c r="J132" s="44"/>
      <c r="K132" s="44"/>
      <c r="L132" s="2"/>
      <c r="M132" s="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3"/>
      <c r="D133" s="44"/>
      <c r="E133" s="44"/>
      <c r="F133" s="44"/>
      <c r="G133" s="44"/>
      <c r="H133" s="83" t="s">
        <v>57</v>
      </c>
      <c r="I133" s="73"/>
      <c r="J133" s="73"/>
      <c r="K133" s="44"/>
      <c r="L133" s="2"/>
      <c r="M133" s="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3"/>
      <c r="D134" s="87" t="s">
        <v>35</v>
      </c>
      <c r="E134" s="70"/>
      <c r="F134" s="45"/>
      <c r="G134" s="45"/>
      <c r="H134" s="45"/>
      <c r="I134" s="45"/>
      <c r="J134" s="45"/>
      <c r="K134" s="45"/>
      <c r="L134" s="29"/>
      <c r="M134" s="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3"/>
      <c r="D135" s="46" t="s">
        <v>58</v>
      </c>
      <c r="E135" s="37">
        <f ca="1">K131</f>
        <v>86.738691637925598</v>
      </c>
      <c r="F135" s="45"/>
      <c r="G135" s="45"/>
      <c r="H135" s="45"/>
      <c r="I135" s="45"/>
      <c r="J135" s="45"/>
      <c r="K135" s="45"/>
      <c r="L135" s="29"/>
      <c r="M135" s="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3"/>
      <c r="D136" s="47" t="s">
        <v>59</v>
      </c>
      <c r="E136" s="47">
        <v>7.8150000000000004</v>
      </c>
      <c r="F136" s="45"/>
      <c r="G136" s="48" t="s">
        <v>60</v>
      </c>
      <c r="H136" s="45"/>
      <c r="I136" s="45"/>
      <c r="J136" s="45"/>
      <c r="K136" s="45"/>
      <c r="L136" s="29"/>
      <c r="M136" s="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3"/>
      <c r="D137" s="29"/>
      <c r="E137" s="29"/>
      <c r="F137" s="29"/>
      <c r="G137" s="29"/>
      <c r="H137" s="29"/>
      <c r="I137" s="29"/>
      <c r="J137" s="29"/>
      <c r="K137" s="29"/>
      <c r="L137" s="29"/>
      <c r="M137" s="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3"/>
      <c r="D138" s="29"/>
      <c r="E138" s="29"/>
      <c r="F138" s="29"/>
      <c r="G138" s="29"/>
      <c r="H138" s="29"/>
      <c r="I138" s="29"/>
      <c r="J138" s="29"/>
      <c r="K138" s="29"/>
      <c r="L138" s="29"/>
      <c r="M138" s="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3"/>
      <c r="D139" s="66" t="s">
        <v>12</v>
      </c>
      <c r="E139" s="75" t="s">
        <v>13</v>
      </c>
      <c r="F139" s="70"/>
      <c r="G139" s="66" t="s">
        <v>51</v>
      </c>
      <c r="H139" s="66" t="s">
        <v>61</v>
      </c>
      <c r="I139" s="66" t="s">
        <v>50</v>
      </c>
      <c r="J139" s="66" t="s">
        <v>62</v>
      </c>
      <c r="K139" s="66" t="s">
        <v>63</v>
      </c>
      <c r="L139" s="66" t="s">
        <v>64</v>
      </c>
      <c r="M139" s="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3"/>
      <c r="D140" s="67"/>
      <c r="E140" s="16" t="s">
        <v>21</v>
      </c>
      <c r="F140" s="16" t="s">
        <v>22</v>
      </c>
      <c r="G140" s="67"/>
      <c r="H140" s="67"/>
      <c r="I140" s="67"/>
      <c r="J140" s="67"/>
      <c r="K140" s="67"/>
      <c r="L140" s="67"/>
      <c r="M140" s="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3"/>
      <c r="D141" s="5">
        <v>1</v>
      </c>
      <c r="E141" s="7" t="s">
        <v>55</v>
      </c>
      <c r="F141" s="8">
        <f>$F$57</f>
        <v>29.5</v>
      </c>
      <c r="G141" s="8">
        <f t="shared" ref="G141:G146" si="23">H125</f>
        <v>1</v>
      </c>
      <c r="H141" s="8">
        <f t="shared" ref="H141:H146" si="24">SUM($G$141:G141)</f>
        <v>1</v>
      </c>
      <c r="I141" s="49">
        <f t="shared" ref="I141:I146" ca="1" si="25">G125</f>
        <v>2.8912340711119477E-2</v>
      </c>
      <c r="J141" s="19">
        <f t="shared" ref="J141:J146" ca="1" si="26">J57</f>
        <v>8.3333333333333332E-3</v>
      </c>
      <c r="K141" s="49">
        <f t="shared" ref="K141:K146" ca="1" si="27">SUM($I$141:I141)</f>
        <v>2.8912340711119477E-2</v>
      </c>
      <c r="L141" s="49">
        <f t="shared" ref="L141:L146" ca="1" si="28">ABS(J141-K141)</f>
        <v>2.0579007377786146E-2</v>
      </c>
      <c r="M141" s="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3"/>
      <c r="D142" s="7">
        <v>2</v>
      </c>
      <c r="E142" s="8">
        <f>$E$58</f>
        <v>29.5</v>
      </c>
      <c r="F142" s="8">
        <f>$F$58</f>
        <v>34</v>
      </c>
      <c r="G142" s="8">
        <f t="shared" si="23"/>
        <v>15</v>
      </c>
      <c r="H142" s="8">
        <f t="shared" si="24"/>
        <v>16</v>
      </c>
      <c r="I142" s="49">
        <f t="shared" ca="1" si="25"/>
        <v>0.10625215062698634</v>
      </c>
      <c r="J142" s="19">
        <f t="shared" ca="1" si="26"/>
        <v>0.13333333333333333</v>
      </c>
      <c r="K142" s="49">
        <f t="shared" ca="1" si="27"/>
        <v>0.13516449133810582</v>
      </c>
      <c r="L142" s="49">
        <f t="shared" ca="1" si="28"/>
        <v>1.8311580047724874E-3</v>
      </c>
      <c r="M142" s="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3"/>
      <c r="D143" s="7">
        <v>3</v>
      </c>
      <c r="E143" s="8">
        <f>$E$59</f>
        <v>34</v>
      </c>
      <c r="F143" s="8">
        <f>$F$59</f>
        <v>38.5</v>
      </c>
      <c r="G143" s="8">
        <f t="shared" si="23"/>
        <v>28</v>
      </c>
      <c r="H143" s="8">
        <f t="shared" si="24"/>
        <v>44</v>
      </c>
      <c r="I143" s="49">
        <f t="shared" ca="1" si="25"/>
        <v>0.48563676335180694</v>
      </c>
      <c r="J143" s="19">
        <f t="shared" ca="1" si="26"/>
        <v>0.36666666666666664</v>
      </c>
      <c r="K143" s="49">
        <f t="shared" ca="1" si="27"/>
        <v>0.62080125468991276</v>
      </c>
      <c r="L143" s="49">
        <f t="shared" ca="1" si="28"/>
        <v>0.25413458802324612</v>
      </c>
      <c r="M143" s="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3"/>
      <c r="D144" s="7">
        <v>4</v>
      </c>
      <c r="E144" s="8">
        <f>$E$60</f>
        <v>38.5</v>
      </c>
      <c r="F144" s="8">
        <f>$F$60</f>
        <v>43</v>
      </c>
      <c r="G144" s="8">
        <f t="shared" si="23"/>
        <v>31</v>
      </c>
      <c r="H144" s="8">
        <f t="shared" si="24"/>
        <v>75</v>
      </c>
      <c r="I144" s="49">
        <f t="shared" ca="1" si="25"/>
        <v>6.6116905216945687E-2</v>
      </c>
      <c r="J144" s="19">
        <f t="shared" ca="1" si="26"/>
        <v>0.625</v>
      </c>
      <c r="K144" s="49">
        <f t="shared" ca="1" si="27"/>
        <v>0.68691815990685845</v>
      </c>
      <c r="L144" s="49">
        <f t="shared" ca="1" si="28"/>
        <v>6.191815990685845E-2</v>
      </c>
      <c r="M144" s="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3"/>
      <c r="D145" s="7">
        <v>5</v>
      </c>
      <c r="E145" s="8">
        <f>$E$61</f>
        <v>43</v>
      </c>
      <c r="F145" s="8">
        <f>$F$61</f>
        <v>47.5</v>
      </c>
      <c r="G145" s="8">
        <f t="shared" si="23"/>
        <v>29</v>
      </c>
      <c r="H145" s="8">
        <f t="shared" si="24"/>
        <v>104</v>
      </c>
      <c r="I145" s="49">
        <f t="shared" ca="1" si="25"/>
        <v>0.21313472780681419</v>
      </c>
      <c r="J145" s="19">
        <f t="shared" ca="1" si="26"/>
        <v>0.8666666666666667</v>
      </c>
      <c r="K145" s="49">
        <f t="shared" ca="1" si="27"/>
        <v>0.90005288771367264</v>
      </c>
      <c r="L145" s="49">
        <f t="shared" ca="1" si="28"/>
        <v>3.3386221047005948E-2</v>
      </c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3"/>
      <c r="D146" s="9">
        <v>6</v>
      </c>
      <c r="E146" s="10">
        <f>$E$62</f>
        <v>47.5</v>
      </c>
      <c r="F146" s="9" t="s">
        <v>56</v>
      </c>
      <c r="G146" s="8">
        <f t="shared" si="23"/>
        <v>16</v>
      </c>
      <c r="H146" s="8">
        <f t="shared" si="24"/>
        <v>120</v>
      </c>
      <c r="I146" s="49">
        <f t="shared" ca="1" si="25"/>
        <v>9.9947112286327355E-2</v>
      </c>
      <c r="J146" s="19">
        <f t="shared" ca="1" si="26"/>
        <v>1</v>
      </c>
      <c r="K146" s="49">
        <f t="shared" ca="1" si="27"/>
        <v>1</v>
      </c>
      <c r="L146" s="49">
        <f t="shared" ca="1" si="28"/>
        <v>0</v>
      </c>
      <c r="M146" s="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3"/>
      <c r="D147" s="79" t="s">
        <v>23</v>
      </c>
      <c r="E147" s="80"/>
      <c r="F147" s="81"/>
      <c r="G147" s="15">
        <f>SUM(G141:G146)</f>
        <v>120</v>
      </c>
      <c r="H147" s="14" t="s">
        <v>65</v>
      </c>
      <c r="I147" s="50">
        <f ca="1">SUM(I141:I146)</f>
        <v>1</v>
      </c>
      <c r="J147" s="14" t="s">
        <v>65</v>
      </c>
      <c r="K147" s="14" t="s">
        <v>65</v>
      </c>
      <c r="L147" s="14" t="s">
        <v>65</v>
      </c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3"/>
      <c r="D150" s="69" t="s">
        <v>35</v>
      </c>
      <c r="E150" s="70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3"/>
      <c r="D151" s="7" t="s">
        <v>66</v>
      </c>
      <c r="E151" s="49">
        <f ca="1">MAX(L141:L146)</f>
        <v>0.25413458802324612</v>
      </c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3"/>
      <c r="D152" s="7" t="s">
        <v>67</v>
      </c>
      <c r="E152" s="8">
        <f ca="1">E151*SQRT(E39)</f>
        <v>2.7839049300522825</v>
      </c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3"/>
      <c r="D153" s="51" t="s">
        <v>68</v>
      </c>
      <c r="E153" s="51">
        <f>1 - 0.05</f>
        <v>0.95</v>
      </c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3"/>
      <c r="D154" s="9" t="s">
        <v>69</v>
      </c>
      <c r="E154" s="9">
        <v>1.3580000000000001</v>
      </c>
      <c r="F154" s="2"/>
      <c r="G154" s="2"/>
      <c r="H154" s="2"/>
      <c r="I154" s="2"/>
      <c r="J154" s="2"/>
      <c r="K154" s="2"/>
      <c r="L154" s="2"/>
      <c r="M154" s="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11"/>
      <c r="D155" s="52"/>
      <c r="E155" s="52"/>
      <c r="F155" s="52"/>
      <c r="G155" s="52"/>
      <c r="H155" s="52"/>
      <c r="I155" s="52"/>
      <c r="J155" s="52"/>
      <c r="K155" s="52"/>
      <c r="L155" s="52"/>
      <c r="M155" s="1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69" t="s">
        <v>70</v>
      </c>
      <c r="D159" s="71"/>
      <c r="E159" s="71"/>
      <c r="F159" s="7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3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3"/>
      <c r="D161" s="69" t="s">
        <v>71</v>
      </c>
      <c r="E161" s="70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3"/>
      <c r="D162" s="7" t="s">
        <v>72</v>
      </c>
      <c r="E162" s="53">
        <v>1.9802</v>
      </c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3"/>
      <c r="D163" s="7" t="s">
        <v>73</v>
      </c>
      <c r="E163" s="49">
        <f ca="1">E162*(E95/SQRT(E39))</f>
        <v>1.0235690002083397</v>
      </c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3"/>
      <c r="D164" s="7" t="s">
        <v>74</v>
      </c>
      <c r="E164" s="53">
        <f ca="1">_xlfn.CHISQ.INV.RT(0.05/2, E39-1)</f>
        <v>151.08441934081313</v>
      </c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3"/>
      <c r="D165" s="51" t="s">
        <v>75</v>
      </c>
      <c r="E165" s="54">
        <f ca="1">_xlfn.CHISQ.INV.RT(1-0.05/2, E39-1)</f>
        <v>90.699586674337652</v>
      </c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3"/>
      <c r="D166" s="7" t="s">
        <v>76</v>
      </c>
      <c r="E166" s="53">
        <f ca="1">SQRT((E39-1)/E164)</f>
        <v>0.88749035261685139</v>
      </c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3"/>
      <c r="D167" s="55" t="s">
        <v>77</v>
      </c>
      <c r="E167" s="56">
        <f ca="1">SQRT((E39-1)/E165)</f>
        <v>1.1454359953957742</v>
      </c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3"/>
      <c r="D168" s="29"/>
      <c r="E168" s="29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3"/>
      <c r="D169" s="29"/>
      <c r="E169" s="29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3"/>
      <c r="D170" s="69" t="s">
        <v>78</v>
      </c>
      <c r="E170" s="70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3"/>
      <c r="D171" s="5" t="s">
        <v>79</v>
      </c>
      <c r="E171" s="5" t="s">
        <v>80</v>
      </c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3"/>
      <c r="D172" s="26">
        <f ca="1">$E$93 - E163</f>
        <v>39.72643099979166</v>
      </c>
      <c r="E172" s="26">
        <f ca="1">$E$93 + E163</f>
        <v>41.77356900020834</v>
      </c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3"/>
      <c r="D173" s="29"/>
      <c r="E173" s="29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3"/>
      <c r="D174" s="29"/>
      <c r="E174" s="29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3"/>
      <c r="D175" s="69" t="s">
        <v>81</v>
      </c>
      <c r="E175" s="70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3"/>
      <c r="D176" s="7" t="s">
        <v>79</v>
      </c>
      <c r="E176" s="7" t="s">
        <v>80</v>
      </c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3"/>
      <c r="D177" s="57">
        <f ca="1">E166*E95</f>
        <v>5.025303918867964</v>
      </c>
      <c r="E177" s="57">
        <f ca="1">E167*E95</f>
        <v>6.4858890910782332</v>
      </c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11"/>
      <c r="D178" s="52"/>
      <c r="E178" s="52"/>
      <c r="F178" s="1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69" t="s">
        <v>82</v>
      </c>
      <c r="D182" s="71"/>
      <c r="E182" s="71"/>
      <c r="F182" s="71"/>
      <c r="G182" s="7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3"/>
      <c r="D183" s="29"/>
      <c r="E183" s="29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58"/>
      <c r="D184" s="77" t="s">
        <v>71</v>
      </c>
      <c r="E184" s="70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58"/>
      <c r="D185" s="59" t="s">
        <v>83</v>
      </c>
      <c r="E185" s="59">
        <v>0.05</v>
      </c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3"/>
      <c r="D186" s="29"/>
      <c r="E186" s="29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3"/>
      <c r="D187" s="69" t="s">
        <v>84</v>
      </c>
      <c r="E187" s="70"/>
      <c r="F187" s="14" t="s">
        <v>85</v>
      </c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3"/>
      <c r="D188" s="14" t="s">
        <v>86</v>
      </c>
      <c r="E188" s="60">
        <f ca="1">D172</f>
        <v>39.72643099979166</v>
      </c>
      <c r="F188" s="14" t="s">
        <v>87</v>
      </c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3"/>
      <c r="D189" s="29"/>
      <c r="E189" s="29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3"/>
      <c r="D190" s="69" t="s">
        <v>88</v>
      </c>
      <c r="E190" s="70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3"/>
      <c r="D191" s="7" t="s">
        <v>89</v>
      </c>
      <c r="E191" s="8">
        <f>(1-2*E185)/2</f>
        <v>0.45</v>
      </c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3"/>
      <c r="D192" s="7" t="s">
        <v>90</v>
      </c>
      <c r="E192" s="7">
        <v>1.645</v>
      </c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3"/>
      <c r="D193" s="9" t="s">
        <v>91</v>
      </c>
      <c r="E193" s="10">
        <f ca="1">(E93-E188)*SQRT(90)/E95</f>
        <v>1.7149035045739465</v>
      </c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3"/>
      <c r="D194" s="74" t="s">
        <v>92</v>
      </c>
      <c r="E194" s="73"/>
      <c r="F194" s="73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11"/>
      <c r="D195" s="52"/>
      <c r="E195" s="52"/>
      <c r="F195" s="12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9"/>
      <c r="E196" s="2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9"/>
      <c r="E197" s="2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9"/>
      <c r="E198" s="2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69" t="s">
        <v>93</v>
      </c>
      <c r="D199" s="71"/>
      <c r="E199" s="71"/>
      <c r="F199" s="71"/>
      <c r="G199" s="7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3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3"/>
      <c r="D201" s="77" t="s">
        <v>71</v>
      </c>
      <c r="E201" s="70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3"/>
      <c r="D202" s="59" t="s">
        <v>83</v>
      </c>
      <c r="E202" s="59">
        <v>0.05</v>
      </c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58"/>
      <c r="D203" s="61" t="s">
        <v>94</v>
      </c>
      <c r="E203" s="62">
        <f ca="1">E39-1</f>
        <v>119</v>
      </c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58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58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3"/>
      <c r="D206" s="69" t="s">
        <v>84</v>
      </c>
      <c r="E206" s="70"/>
      <c r="F206" s="14" t="s">
        <v>85</v>
      </c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3"/>
      <c r="D207" s="14" t="s">
        <v>95</v>
      </c>
      <c r="E207" s="50">
        <f ca="1">E177</f>
        <v>6.4858890910782332</v>
      </c>
      <c r="F207" s="14" t="s">
        <v>96</v>
      </c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3"/>
      <c r="D208" s="29"/>
      <c r="E208" s="29"/>
      <c r="F208" s="29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3"/>
      <c r="D209" s="29"/>
      <c r="E209" s="29"/>
      <c r="F209" s="29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3"/>
      <c r="D210" s="77" t="s">
        <v>97</v>
      </c>
      <c r="E210" s="70"/>
      <c r="F210" s="29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3"/>
      <c r="D211" s="7" t="s">
        <v>98</v>
      </c>
      <c r="E211" s="8">
        <f ca="1">_xlfn.CHISQ.INV.RT(1-E202/2, E39-1)</f>
        <v>90.699586674337652</v>
      </c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3"/>
      <c r="D212" s="7" t="s">
        <v>99</v>
      </c>
      <c r="E212" s="8">
        <f ca="1">_xlfn.CHISQ.INV.RT(E202/2, E39-1)</f>
        <v>151.08441934081313</v>
      </c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3"/>
      <c r="D213" s="9" t="s">
        <v>58</v>
      </c>
      <c r="E213" s="10">
        <f ca="1">((E39-1)*E95^2)/E207^2</f>
        <v>90.699586674337667</v>
      </c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3"/>
      <c r="D214" s="78" t="s">
        <v>100</v>
      </c>
      <c r="E214" s="73"/>
      <c r="F214" s="73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11"/>
      <c r="D215" s="63"/>
      <c r="E215" s="12"/>
      <c r="F215" s="12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1" t="s">
        <v>101</v>
      </c>
      <c r="C220" s="74" t="s">
        <v>102</v>
      </c>
      <c r="D220" s="73"/>
      <c r="E220" s="1" t="s">
        <v>103</v>
      </c>
      <c r="G220" s="2"/>
      <c r="H220" s="2"/>
      <c r="I220" s="2"/>
      <c r="J220" s="2"/>
      <c r="K220" s="2"/>
      <c r="L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14" t="s">
        <v>12</v>
      </c>
      <c r="C222" s="14" t="s">
        <v>104</v>
      </c>
      <c r="D222" s="14" t="s">
        <v>31</v>
      </c>
      <c r="E222" s="14" t="s">
        <v>105</v>
      </c>
      <c r="F222" s="14" t="s">
        <v>106</v>
      </c>
      <c r="G222" s="14" t="s">
        <v>107</v>
      </c>
      <c r="H222" s="14" t="s">
        <v>108</v>
      </c>
      <c r="I222" s="14" t="s">
        <v>109</v>
      </c>
      <c r="J222" s="2"/>
      <c r="K222" s="77" t="s">
        <v>43</v>
      </c>
      <c r="L222" s="70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7">
        <v>1</v>
      </c>
      <c r="C223" s="7">
        <v>10</v>
      </c>
      <c r="D223" s="7">
        <v>3.8</v>
      </c>
      <c r="E223" s="8">
        <f t="shared" ref="E223:E232" si="29">C223^2</f>
        <v>100</v>
      </c>
      <c r="F223" s="8">
        <f t="shared" ref="F223:F232" si="30">C223*D223</f>
        <v>38</v>
      </c>
      <c r="G223" s="25">
        <f t="shared" ref="G223:G232" si="31">$L$229*C223+$L$230</f>
        <v>2.9080173347779015</v>
      </c>
      <c r="H223" s="25">
        <f t="shared" ref="H223:H232" si="32">D223-G223</f>
        <v>0.89198266522209835</v>
      </c>
      <c r="I223" s="25">
        <f t="shared" ref="I223:I232" si="33">H223^2</f>
        <v>0.79563307505671799</v>
      </c>
      <c r="J223" s="2"/>
      <c r="K223" s="7" t="s">
        <v>110</v>
      </c>
      <c r="L223" s="8">
        <f>E233*B232-C233^2</f>
        <v>276900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7">
        <v>2</v>
      </c>
      <c r="C224" s="7">
        <v>20</v>
      </c>
      <c r="D224" s="7">
        <v>4</v>
      </c>
      <c r="E224" s="8">
        <f t="shared" si="29"/>
        <v>400</v>
      </c>
      <c r="F224" s="8">
        <f t="shared" si="30"/>
        <v>80</v>
      </c>
      <c r="G224" s="25">
        <f t="shared" si="31"/>
        <v>3.3564102564102591</v>
      </c>
      <c r="H224" s="25">
        <f t="shared" si="32"/>
        <v>0.64358974358974086</v>
      </c>
      <c r="I224" s="25">
        <f t="shared" si="33"/>
        <v>0.41420775805390836</v>
      </c>
      <c r="J224" s="2"/>
      <c r="K224" s="7" t="s">
        <v>111</v>
      </c>
      <c r="L224" s="8">
        <f>F233*B232-C233*D233</f>
        <v>12415.999999999993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7">
        <v>3</v>
      </c>
      <c r="C225" s="7">
        <v>40</v>
      </c>
      <c r="D225" s="7">
        <v>4.2</v>
      </c>
      <c r="E225" s="8">
        <f t="shared" si="29"/>
        <v>1600</v>
      </c>
      <c r="F225" s="8">
        <f t="shared" si="30"/>
        <v>168</v>
      </c>
      <c r="G225" s="25">
        <f t="shared" si="31"/>
        <v>4.2531960996749749</v>
      </c>
      <c r="H225" s="25">
        <f t="shared" si="32"/>
        <v>-5.3196099674974739E-2</v>
      </c>
      <c r="I225" s="25">
        <f t="shared" si="33"/>
        <v>2.8298250206298474E-3</v>
      </c>
      <c r="J225" s="2"/>
      <c r="K225" s="9" t="s">
        <v>112</v>
      </c>
      <c r="L225" s="10">
        <f>E233*D233-C233*F233</f>
        <v>681070.00000000093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7">
        <v>4</v>
      </c>
      <c r="C226" s="7">
        <v>60</v>
      </c>
      <c r="D226" s="7">
        <v>4.8</v>
      </c>
      <c r="E226" s="8">
        <f t="shared" si="29"/>
        <v>3600</v>
      </c>
      <c r="F226" s="8">
        <f t="shared" si="30"/>
        <v>288</v>
      </c>
      <c r="G226" s="25">
        <f t="shared" si="31"/>
        <v>5.1499819429396911</v>
      </c>
      <c r="H226" s="25">
        <f t="shared" si="32"/>
        <v>-0.34998194293969132</v>
      </c>
      <c r="I226" s="25">
        <f t="shared" si="33"/>
        <v>0.12248736038384135</v>
      </c>
      <c r="J226" s="2"/>
      <c r="K226" s="29"/>
      <c r="L226" s="29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7">
        <v>5</v>
      </c>
      <c r="C227" s="7">
        <v>90</v>
      </c>
      <c r="D227" s="7">
        <v>5.5</v>
      </c>
      <c r="E227" s="8">
        <f t="shared" si="29"/>
        <v>8100</v>
      </c>
      <c r="F227" s="8">
        <f t="shared" si="30"/>
        <v>495</v>
      </c>
      <c r="G227" s="25">
        <f t="shared" si="31"/>
        <v>6.4951607078367646</v>
      </c>
      <c r="H227" s="25">
        <f t="shared" si="32"/>
        <v>-0.99516070783676458</v>
      </c>
      <c r="I227" s="25">
        <f t="shared" si="33"/>
        <v>0.99034483442217036</v>
      </c>
      <c r="J227" s="2"/>
      <c r="K227" s="29"/>
      <c r="L227" s="29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7">
        <v>6</v>
      </c>
      <c r="C228" s="7">
        <v>110</v>
      </c>
      <c r="D228" s="7">
        <v>6</v>
      </c>
      <c r="E228" s="8">
        <f t="shared" si="29"/>
        <v>12100</v>
      </c>
      <c r="F228" s="8">
        <f t="shared" si="30"/>
        <v>660</v>
      </c>
      <c r="G228" s="25">
        <f t="shared" si="31"/>
        <v>7.3919465511014808</v>
      </c>
      <c r="H228" s="25">
        <f t="shared" si="32"/>
        <v>-1.3919465511014808</v>
      </c>
      <c r="I228" s="25">
        <f t="shared" si="33"/>
        <v>1.9375152011233072</v>
      </c>
      <c r="J228" s="2"/>
      <c r="K228" s="69" t="s">
        <v>113</v>
      </c>
      <c r="L228" s="70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7">
        <v>7</v>
      </c>
      <c r="C229" s="7">
        <v>130</v>
      </c>
      <c r="D229" s="7">
        <v>7</v>
      </c>
      <c r="E229" s="8">
        <f t="shared" si="29"/>
        <v>16900</v>
      </c>
      <c r="F229" s="8">
        <f t="shared" si="30"/>
        <v>910</v>
      </c>
      <c r="G229" s="25">
        <f t="shared" si="31"/>
        <v>8.2887323943661961</v>
      </c>
      <c r="H229" s="25">
        <f t="shared" si="32"/>
        <v>-1.2887323943661961</v>
      </c>
      <c r="I229" s="25">
        <f t="shared" si="33"/>
        <v>1.6608311842888288</v>
      </c>
      <c r="J229" s="2"/>
      <c r="K229" s="51" t="s">
        <v>9</v>
      </c>
      <c r="L229" s="64">
        <f>L224/L223</f>
        <v>4.4839292163235796E-2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7">
        <v>8</v>
      </c>
      <c r="C230" s="7">
        <v>140</v>
      </c>
      <c r="D230" s="7">
        <v>8.1</v>
      </c>
      <c r="E230" s="8">
        <f t="shared" si="29"/>
        <v>19600</v>
      </c>
      <c r="F230" s="8">
        <f t="shared" si="30"/>
        <v>1134</v>
      </c>
      <c r="G230" s="25">
        <f t="shared" si="31"/>
        <v>8.7371253159985542</v>
      </c>
      <c r="H230" s="25">
        <f t="shared" si="32"/>
        <v>-0.6371253159985546</v>
      </c>
      <c r="I230" s="25">
        <f t="shared" si="33"/>
        <v>0.40592866828625807</v>
      </c>
      <c r="J230" s="2"/>
      <c r="K230" s="9" t="s">
        <v>114</v>
      </c>
      <c r="L230" s="26">
        <f>L225/L223</f>
        <v>2.4596244131455434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7">
        <v>9</v>
      </c>
      <c r="C231" s="7">
        <v>150</v>
      </c>
      <c r="D231" s="7">
        <v>10</v>
      </c>
      <c r="E231" s="8">
        <f t="shared" si="29"/>
        <v>22500</v>
      </c>
      <c r="F231" s="8">
        <f t="shared" si="30"/>
        <v>1500</v>
      </c>
      <c r="G231" s="25">
        <f t="shared" si="31"/>
        <v>9.1855182376309124</v>
      </c>
      <c r="H231" s="25">
        <f t="shared" si="32"/>
        <v>0.81448176236908765</v>
      </c>
      <c r="I231" s="25">
        <f t="shared" si="33"/>
        <v>0.66338054123185497</v>
      </c>
      <c r="J231" s="2"/>
      <c r="K231" s="2"/>
      <c r="L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7">
        <v>10</v>
      </c>
      <c r="C232" s="7">
        <v>160</v>
      </c>
      <c r="D232" s="7">
        <v>12</v>
      </c>
      <c r="E232" s="8">
        <f t="shared" si="29"/>
        <v>25600</v>
      </c>
      <c r="F232" s="8">
        <f t="shared" si="30"/>
        <v>1920</v>
      </c>
      <c r="G232" s="25">
        <f t="shared" si="31"/>
        <v>9.6339111592632705</v>
      </c>
      <c r="H232" s="25">
        <f t="shared" si="32"/>
        <v>2.3660888407367295</v>
      </c>
      <c r="I232" s="25">
        <f t="shared" si="33"/>
        <v>5.5983764022588804</v>
      </c>
      <c r="J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14" t="s">
        <v>23</v>
      </c>
      <c r="C233" s="15">
        <f t="shared" ref="C233:F233" si="34">SUM(C223:C232)</f>
        <v>910</v>
      </c>
      <c r="D233" s="15">
        <f t="shared" si="34"/>
        <v>65.400000000000006</v>
      </c>
      <c r="E233" s="15">
        <f t="shared" si="34"/>
        <v>110500</v>
      </c>
      <c r="F233" s="15">
        <f t="shared" si="34"/>
        <v>7193</v>
      </c>
      <c r="G233" s="14" t="s">
        <v>65</v>
      </c>
      <c r="H233" s="14" t="s">
        <v>65</v>
      </c>
      <c r="I233" s="60">
        <f>SUM(I223:I232)</f>
        <v>12.591534850126397</v>
      </c>
      <c r="J233" s="2"/>
      <c r="K233" s="69" t="s">
        <v>115</v>
      </c>
      <c r="L233" s="70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59" t="s">
        <v>26</v>
      </c>
      <c r="L234" s="59" t="s">
        <v>116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E235" s="2"/>
      <c r="F235" s="2"/>
      <c r="G235" s="2"/>
      <c r="H235" s="2"/>
      <c r="I235" s="2"/>
      <c r="J235" s="2"/>
      <c r="K235" s="14">
        <v>170</v>
      </c>
      <c r="L235" s="60">
        <f>L229*K235+L230</f>
        <v>10.082304080895629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E236" s="2"/>
      <c r="F236" s="2"/>
      <c r="G236" s="2"/>
      <c r="H236" s="2"/>
      <c r="I236" s="2"/>
      <c r="J236" s="2"/>
      <c r="K236" s="2"/>
      <c r="L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1" t="s">
        <v>117</v>
      </c>
      <c r="C246" s="74" t="s">
        <v>118</v>
      </c>
      <c r="D246" s="73"/>
      <c r="E246" s="1" t="s">
        <v>119</v>
      </c>
      <c r="G246" s="2"/>
      <c r="H246" s="2"/>
      <c r="I246" s="2"/>
      <c r="J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14" t="s">
        <v>12</v>
      </c>
      <c r="C248" s="14" t="s">
        <v>104</v>
      </c>
      <c r="D248" s="14" t="s">
        <v>31</v>
      </c>
      <c r="E248" s="14" t="s">
        <v>105</v>
      </c>
      <c r="F248" s="14" t="s">
        <v>120</v>
      </c>
      <c r="G248" s="14" t="s">
        <v>121</v>
      </c>
      <c r="H248" s="14" t="s">
        <v>106</v>
      </c>
      <c r="I248" s="14" t="s">
        <v>122</v>
      </c>
      <c r="J248" s="14" t="s">
        <v>123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5">
        <v>1</v>
      </c>
      <c r="C249" s="5">
        <v>9</v>
      </c>
      <c r="D249" s="5">
        <v>152</v>
      </c>
      <c r="E249" s="6">
        <f t="shared" ref="E249:E258" si="35">C249^2</f>
        <v>81</v>
      </c>
      <c r="F249" s="6">
        <f t="shared" ref="F249:F258" si="36">C249^3</f>
        <v>729</v>
      </c>
      <c r="G249" s="6">
        <f t="shared" ref="G249:G258" si="37">C249^4</f>
        <v>6561</v>
      </c>
      <c r="H249" s="6">
        <f t="shared" ref="H249:H258" si="38">C249*D249</f>
        <v>1368</v>
      </c>
      <c r="I249" s="6">
        <f t="shared" ref="I249:I258" si="39">E249*D249</f>
        <v>12312</v>
      </c>
      <c r="J249" s="65">
        <f t="shared" ref="J249:J258" si="40">$M$263*E249 + $M$264*C249 + $M$265</f>
        <v>154.1648461724406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7">
        <v>2</v>
      </c>
      <c r="C250" s="7">
        <v>12</v>
      </c>
      <c r="D250" s="7">
        <v>280</v>
      </c>
      <c r="E250" s="8">
        <f t="shared" si="35"/>
        <v>144</v>
      </c>
      <c r="F250" s="8">
        <f t="shared" si="36"/>
        <v>1728</v>
      </c>
      <c r="G250" s="8">
        <f t="shared" si="37"/>
        <v>20736</v>
      </c>
      <c r="H250" s="8">
        <f t="shared" si="38"/>
        <v>3360</v>
      </c>
      <c r="I250" s="8">
        <f t="shared" si="39"/>
        <v>40320</v>
      </c>
      <c r="J250" s="25">
        <f t="shared" si="40"/>
        <v>277.66614437235125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7">
        <v>3</v>
      </c>
      <c r="C251" s="7">
        <v>14</v>
      </c>
      <c r="D251" s="7">
        <v>380</v>
      </c>
      <c r="E251" s="8">
        <f t="shared" si="35"/>
        <v>196</v>
      </c>
      <c r="F251" s="8">
        <f t="shared" si="36"/>
        <v>2744</v>
      </c>
      <c r="G251" s="8">
        <f t="shared" si="37"/>
        <v>38416</v>
      </c>
      <c r="H251" s="8">
        <f t="shared" si="38"/>
        <v>5320</v>
      </c>
      <c r="I251" s="8">
        <f t="shared" si="39"/>
        <v>74480</v>
      </c>
      <c r="J251" s="25">
        <f t="shared" si="40"/>
        <v>379.6747816479342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7">
        <v>4</v>
      </c>
      <c r="C252" s="7">
        <v>16</v>
      </c>
      <c r="D252" s="7">
        <v>500</v>
      </c>
      <c r="E252" s="8">
        <f t="shared" si="35"/>
        <v>256</v>
      </c>
      <c r="F252" s="8">
        <f t="shared" si="36"/>
        <v>4096</v>
      </c>
      <c r="G252" s="8">
        <f t="shared" si="37"/>
        <v>65536</v>
      </c>
      <c r="H252" s="8">
        <f t="shared" si="38"/>
        <v>8000</v>
      </c>
      <c r="I252" s="8">
        <f t="shared" si="39"/>
        <v>128000</v>
      </c>
      <c r="J252" s="25">
        <f t="shared" si="40"/>
        <v>497.42296970403129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7">
        <v>5</v>
      </c>
      <c r="C253" s="7">
        <v>18</v>
      </c>
      <c r="D253" s="7">
        <v>630</v>
      </c>
      <c r="E253" s="8">
        <f t="shared" si="35"/>
        <v>324</v>
      </c>
      <c r="F253" s="8">
        <f t="shared" si="36"/>
        <v>5832</v>
      </c>
      <c r="G253" s="8">
        <f t="shared" si="37"/>
        <v>104976</v>
      </c>
      <c r="H253" s="8">
        <f t="shared" si="38"/>
        <v>11340</v>
      </c>
      <c r="I253" s="8">
        <f t="shared" si="39"/>
        <v>204120</v>
      </c>
      <c r="J253" s="25">
        <f t="shared" si="40"/>
        <v>630.9107085406423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7">
        <v>6</v>
      </c>
      <c r="C254" s="7">
        <v>20</v>
      </c>
      <c r="D254" s="7">
        <v>780</v>
      </c>
      <c r="E254" s="8">
        <f t="shared" si="35"/>
        <v>400</v>
      </c>
      <c r="F254" s="8">
        <f t="shared" si="36"/>
        <v>8000</v>
      </c>
      <c r="G254" s="8">
        <f t="shared" si="37"/>
        <v>160000</v>
      </c>
      <c r="H254" s="8">
        <f t="shared" si="38"/>
        <v>15600</v>
      </c>
      <c r="I254" s="8">
        <f t="shared" si="39"/>
        <v>312000</v>
      </c>
      <c r="J254" s="25">
        <f t="shared" si="40"/>
        <v>780.13799815776758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7">
        <v>7</v>
      </c>
      <c r="C255" s="7">
        <v>21</v>
      </c>
      <c r="D255" s="7">
        <v>860</v>
      </c>
      <c r="E255" s="8">
        <f t="shared" si="35"/>
        <v>441</v>
      </c>
      <c r="F255" s="8">
        <f t="shared" si="36"/>
        <v>9261</v>
      </c>
      <c r="G255" s="8">
        <f t="shared" si="37"/>
        <v>194481</v>
      </c>
      <c r="H255" s="8">
        <f t="shared" si="38"/>
        <v>18060</v>
      </c>
      <c r="I255" s="8">
        <f t="shared" si="39"/>
        <v>379260</v>
      </c>
      <c r="J255" s="25">
        <f t="shared" si="40"/>
        <v>860.65397450902299</v>
      </c>
      <c r="L255" s="77" t="s">
        <v>43</v>
      </c>
      <c r="M255" s="70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7">
        <v>8</v>
      </c>
      <c r="C256" s="7">
        <v>23</v>
      </c>
      <c r="D256" s="7">
        <v>1025</v>
      </c>
      <c r="E256" s="8">
        <f t="shared" si="35"/>
        <v>529</v>
      </c>
      <c r="F256" s="8">
        <f t="shared" si="36"/>
        <v>12167</v>
      </c>
      <c r="G256" s="8">
        <f t="shared" si="37"/>
        <v>279841</v>
      </c>
      <c r="H256" s="8">
        <f t="shared" si="38"/>
        <v>23575</v>
      </c>
      <c r="I256" s="8">
        <f t="shared" si="39"/>
        <v>542225</v>
      </c>
      <c r="J256" s="25">
        <f t="shared" si="40"/>
        <v>1033.4905902969194</v>
      </c>
      <c r="L256" s="5" t="s">
        <v>110</v>
      </c>
      <c r="M256" s="5">
        <v>13800648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7">
        <v>9</v>
      </c>
      <c r="C257" s="7">
        <v>24</v>
      </c>
      <c r="D257" s="7">
        <v>1130</v>
      </c>
      <c r="E257" s="8">
        <f t="shared" si="35"/>
        <v>576</v>
      </c>
      <c r="F257" s="8">
        <f t="shared" si="36"/>
        <v>13824</v>
      </c>
      <c r="G257" s="8">
        <f t="shared" si="37"/>
        <v>331776</v>
      </c>
      <c r="H257" s="8">
        <f t="shared" si="38"/>
        <v>27120</v>
      </c>
      <c r="I257" s="8">
        <f t="shared" si="39"/>
        <v>650880</v>
      </c>
      <c r="J257" s="25">
        <f t="shared" si="40"/>
        <v>1125.8112297335604</v>
      </c>
      <c r="L257" s="7" t="s">
        <v>111</v>
      </c>
      <c r="M257" s="7">
        <v>27152000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9">
        <v>10</v>
      </c>
      <c r="C258" s="9">
        <v>25</v>
      </c>
      <c r="D258" s="9">
        <v>1225</v>
      </c>
      <c r="E258" s="10">
        <f t="shared" si="35"/>
        <v>625</v>
      </c>
      <c r="F258" s="10">
        <f t="shared" si="36"/>
        <v>15625</v>
      </c>
      <c r="G258" s="10">
        <f t="shared" si="37"/>
        <v>390625</v>
      </c>
      <c r="H258" s="10">
        <f t="shared" si="38"/>
        <v>30625</v>
      </c>
      <c r="I258" s="10">
        <f t="shared" si="39"/>
        <v>765625</v>
      </c>
      <c r="J258" s="25">
        <f t="shared" si="40"/>
        <v>1222.0667568653298</v>
      </c>
      <c r="L258" s="7" t="s">
        <v>112</v>
      </c>
      <c r="M258" s="7">
        <v>-2059352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14" t="s">
        <v>23</v>
      </c>
      <c r="C259" s="15">
        <f t="shared" ref="C259:J259" si="41">SUM(C249:C258)</f>
        <v>182</v>
      </c>
      <c r="D259" s="15">
        <f t="shared" si="41"/>
        <v>6962</v>
      </c>
      <c r="E259" s="15">
        <f t="shared" si="41"/>
        <v>3572</v>
      </c>
      <c r="F259" s="15">
        <f t="shared" si="41"/>
        <v>74006</v>
      </c>
      <c r="G259" s="15">
        <f t="shared" si="41"/>
        <v>1592948</v>
      </c>
      <c r="H259" s="15">
        <f t="shared" si="41"/>
        <v>144368</v>
      </c>
      <c r="I259" s="15">
        <f t="shared" si="41"/>
        <v>3109222</v>
      </c>
      <c r="J259" s="60">
        <f t="shared" si="41"/>
        <v>6961.9999999999991</v>
      </c>
      <c r="L259" s="9" t="s">
        <v>124</v>
      </c>
      <c r="M259" s="9">
        <v>-53203056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69" t="s">
        <v>113</v>
      </c>
      <c r="M262" s="70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5" t="s">
        <v>125</v>
      </c>
      <c r="M263" s="65">
        <f t="shared" ref="M263:M265" si="42">M257/$M$256</f>
        <v>1.9674438475642593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7" t="s">
        <v>126</v>
      </c>
      <c r="M264" s="25">
        <f t="shared" si="42"/>
        <v>-0.14922139887924105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9" t="s">
        <v>127</v>
      </c>
      <c r="M265" s="26">
        <f t="shared" si="42"/>
        <v>-3.8551128903512355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69" t="s">
        <v>128</v>
      </c>
      <c r="M268" s="70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59" t="s">
        <v>26</v>
      </c>
      <c r="M269" s="59" t="s">
        <v>116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4">
        <v>30</v>
      </c>
      <c r="M270" s="60">
        <f>M263*L270^2 + M264*L270 + M265</f>
        <v>1762.3677079511049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6">
    <mergeCell ref="J123:J124"/>
    <mergeCell ref="H139:H140"/>
    <mergeCell ref="I139:I140"/>
    <mergeCell ref="D131:F131"/>
    <mergeCell ref="D134:E134"/>
    <mergeCell ref="D139:D140"/>
    <mergeCell ref="E139:F139"/>
    <mergeCell ref="G139:G140"/>
    <mergeCell ref="D147:F147"/>
    <mergeCell ref="D150:E150"/>
    <mergeCell ref="C159:F159"/>
    <mergeCell ref="D161:E161"/>
    <mergeCell ref="D170:E170"/>
    <mergeCell ref="D175:E175"/>
    <mergeCell ref="C182:G182"/>
    <mergeCell ref="D184:E184"/>
    <mergeCell ref="D187:E187"/>
    <mergeCell ref="D190:E190"/>
    <mergeCell ref="D194:F194"/>
    <mergeCell ref="C199:G199"/>
    <mergeCell ref="D201:E201"/>
    <mergeCell ref="D206:E206"/>
    <mergeCell ref="L255:M255"/>
    <mergeCell ref="L262:M262"/>
    <mergeCell ref="L268:M268"/>
    <mergeCell ref="D210:E210"/>
    <mergeCell ref="D214:F214"/>
    <mergeCell ref="C220:D220"/>
    <mergeCell ref="K222:L222"/>
    <mergeCell ref="K228:L228"/>
    <mergeCell ref="K233:L233"/>
    <mergeCell ref="C246:D246"/>
    <mergeCell ref="J55:J56"/>
    <mergeCell ref="K55:K56"/>
    <mergeCell ref="L55:L56"/>
    <mergeCell ref="M55:M56"/>
    <mergeCell ref="C3:F3"/>
    <mergeCell ref="C12:F12"/>
    <mergeCell ref="C44:F44"/>
    <mergeCell ref="C53:N53"/>
    <mergeCell ref="D55:D56"/>
    <mergeCell ref="E55:F55"/>
    <mergeCell ref="G55:G56"/>
    <mergeCell ref="H55:H56"/>
    <mergeCell ref="I55:I56"/>
    <mergeCell ref="D63:F63"/>
    <mergeCell ref="D65:M65"/>
    <mergeCell ref="C70:L70"/>
    <mergeCell ref="D75:K75"/>
    <mergeCell ref="C80:I80"/>
    <mergeCell ref="K139:K140"/>
    <mergeCell ref="L139:L140"/>
    <mergeCell ref="K123:K124"/>
    <mergeCell ref="D92:E92"/>
    <mergeCell ref="C100:G100"/>
    <mergeCell ref="C107:F107"/>
    <mergeCell ref="D109:E109"/>
    <mergeCell ref="D114:E114"/>
    <mergeCell ref="C121:M121"/>
    <mergeCell ref="D123:D124"/>
    <mergeCell ref="H123:H124"/>
    <mergeCell ref="I123:I124"/>
    <mergeCell ref="H133:J133"/>
    <mergeCell ref="J139:J140"/>
    <mergeCell ref="E123:F123"/>
    <mergeCell ref="G123:G124"/>
  </mergeCells>
  <hyperlinks>
    <hyperlink ref="D6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</cp:lastModifiedBy>
  <dcterms:modified xsi:type="dcterms:W3CDTF">2024-05-30T07:20:38Z</dcterms:modified>
</cp:coreProperties>
</file>