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Project\Business Financial Dataset - August 2024\"/>
    </mc:Choice>
  </mc:AlternateContent>
  <xr:revisionPtr revIDLastSave="0" documentId="13_ncr:1_{A32C1600-9C99-4219-83A9-945DC6D97094}" xr6:coauthVersionLast="47" xr6:coauthVersionMax="47" xr10:uidLastSave="{00000000-0000-0000-0000-000000000000}"/>
  <bookViews>
    <workbookView xWindow="-120" yWindow="-120" windowWidth="20730" windowHeight="11760" tabRatio="606" xr2:uid="{3064B7D1-BA91-42D9-BF05-3925B6EE44A4}"/>
  </bookViews>
  <sheets>
    <sheet name="Dashboard" sheetId="5" r:id="rId1"/>
    <sheet name="Monthly Pivot" sheetId="17" r:id="rId2"/>
    <sheet name="Yearly Pivot" sheetId="1" r:id="rId3"/>
    <sheet name="Matrix" sheetId="20" r:id="rId4"/>
  </sheets>
  <definedNames>
    <definedName name="_xlchart.v1.0" hidden="1">'Yearly Pivot'!$V$4:$AB$4</definedName>
    <definedName name="_xlchart.v1.1" hidden="1">'Yearly Pivot'!$V$5:$AB$5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  <pivotCache cacheId="13" r:id="rId18"/>
    <pivotCache cacheId="14" r:id="rId19"/>
    <pivotCache cacheId="15" r:id="rId20"/>
    <pivotCache cacheId="16" r:id="rId21"/>
    <pivotCache cacheId="17" r:id="rId22"/>
    <pivotCache cacheId="18" r:id="rId23"/>
    <pivotCache cacheId="19" r:id="rId24"/>
    <pivotCache cacheId="20" r:id="rId25"/>
    <pivotCache cacheId="21" r:id="rId26"/>
    <pivotCache cacheId="22" r:id="rId27"/>
    <pivotCache cacheId="23" r:id="rId28"/>
    <pivotCache cacheId="24" r:id="rId29"/>
    <pivotCache cacheId="25" r:id="rId30"/>
    <pivotCache cacheId="26" r:id="rId31"/>
    <pivotCache cacheId="27" r:id="rId32"/>
    <pivotCache cacheId="28" r:id="rId3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venue_expense_f619ba00-3629-4fd1-879b-05da290c62a1" name="revenue_expense" connection="Query - revenue_expense"/>
          <x15:modelTable id="Calculations_907e7c6e-fbc6-4c24-bea3-2d810a19b9e1" name="Calculations" connection="Query - Calculations"/>
        </x15:modelTables>
        <x15:extLst>
          <ext xmlns:x16="http://schemas.microsoft.com/office/spreadsheetml/2014/11/main" uri="{9835A34E-60A6-4A7C-AAB8-D5F71C897F49}">
            <x16:modelTimeGroupings>
              <x16:modelTimeGrouping tableName="revenue_expens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M6" i="20" l="1"/>
  <c r="L6" i="20"/>
  <c r="K6" i="20"/>
  <c r="I6" i="20"/>
  <c r="H6" i="20"/>
  <c r="G6" i="20"/>
  <c r="E6" i="20"/>
  <c r="D6" i="20"/>
  <c r="C6" i="20"/>
  <c r="B6" i="20" l="1"/>
  <c r="M5" i="20"/>
  <c r="L5" i="20"/>
  <c r="K5" i="20"/>
  <c r="I5" i="20"/>
  <c r="H5" i="20"/>
  <c r="G5" i="20"/>
  <c r="E5" i="20"/>
  <c r="D5" i="20"/>
  <c r="C5" i="20"/>
  <c r="B5" i="20"/>
  <c r="M4" i="20"/>
  <c r="L4" i="20"/>
  <c r="K4" i="20"/>
  <c r="I4" i="20"/>
  <c r="H4" i="20"/>
  <c r="G4" i="20"/>
  <c r="E4" i="20"/>
  <c r="D4" i="20"/>
  <c r="C4" i="20"/>
  <c r="B4" i="20"/>
  <c r="AN2" i="1"/>
  <c r="AN3" i="1"/>
  <c r="AN4" i="1"/>
  <c r="V5" i="1"/>
  <c r="W5" i="1"/>
  <c r="X5" i="1"/>
  <c r="Y5" i="1"/>
  <c r="Z5" i="1"/>
  <c r="AA5" i="1"/>
  <c r="AB5" i="1"/>
  <c r="AN5" i="1"/>
  <c r="AN6" i="1"/>
  <c r="AN7" i="1"/>
  <c r="AN8" i="1"/>
  <c r="AN9" i="1"/>
  <c r="AN10" i="1"/>
  <c r="AN11" i="1"/>
  <c r="AN12" i="1"/>
  <c r="AN13" i="1"/>
  <c r="C3" i="17"/>
  <c r="DR27" i="17"/>
  <c r="DZ29" i="17"/>
  <c r="DY29" i="17"/>
  <c r="DX29" i="17"/>
  <c r="DW29" i="17"/>
  <c r="DZ28" i="17"/>
  <c r="DY28" i="17"/>
  <c r="DX28" i="17"/>
  <c r="DW28" i="17"/>
  <c r="DZ27" i="17"/>
  <c r="DY27" i="17"/>
  <c r="DX27" i="17"/>
  <c r="DW27" i="17"/>
  <c r="DZ26" i="17"/>
  <c r="DY26" i="17"/>
  <c r="DX26" i="17"/>
  <c r="DW26" i="17"/>
  <c r="DZ25" i="17"/>
  <c r="DY25" i="17"/>
  <c r="DX25" i="17"/>
  <c r="DW25" i="17"/>
  <c r="DZ24" i="17"/>
  <c r="DY24" i="17"/>
  <c r="DX24" i="17"/>
  <c r="DW24" i="17"/>
  <c r="DZ23" i="17"/>
  <c r="DY23" i="17"/>
  <c r="DX23" i="17"/>
  <c r="DW23" i="17"/>
  <c r="DZ22" i="17"/>
  <c r="DY22" i="17"/>
  <c r="DX22" i="17"/>
  <c r="DW22" i="17"/>
  <c r="DZ21" i="17"/>
  <c r="DY21" i="17"/>
  <c r="DX21" i="17"/>
  <c r="DW21" i="17"/>
  <c r="DZ20" i="17"/>
  <c r="DY20" i="17"/>
  <c r="DX20" i="17"/>
  <c r="DW20" i="17"/>
  <c r="DZ19" i="17"/>
  <c r="DY19" i="17"/>
  <c r="DX19" i="17"/>
  <c r="DW19" i="17"/>
  <c r="DT20" i="17"/>
  <c r="DT21" i="17"/>
  <c r="DT22" i="17"/>
  <c r="DT23" i="17"/>
  <c r="DT24" i="17"/>
  <c r="DT25" i="17"/>
  <c r="DT26" i="17"/>
  <c r="DT27" i="17"/>
  <c r="DT28" i="17"/>
  <c r="DT29" i="17"/>
  <c r="DS20" i="17"/>
  <c r="DS21" i="17"/>
  <c r="DS22" i="17"/>
  <c r="DS23" i="17"/>
  <c r="DS24" i="17"/>
  <c r="DS25" i="17"/>
  <c r="DS26" i="17"/>
  <c r="DS27" i="17"/>
  <c r="DS28" i="17"/>
  <c r="DS29" i="17"/>
  <c r="DR20" i="17"/>
  <c r="DR21" i="17"/>
  <c r="DR22" i="17"/>
  <c r="DR23" i="17"/>
  <c r="DR24" i="17"/>
  <c r="DR25" i="17"/>
  <c r="DR26" i="17"/>
  <c r="DR28" i="17"/>
  <c r="DR29" i="17"/>
  <c r="DR19" i="17"/>
  <c r="DS19" i="17"/>
  <c r="DT19" i="17"/>
  <c r="DQ29" i="17"/>
  <c r="DQ20" i="17"/>
  <c r="DQ21" i="17"/>
  <c r="DQ22" i="17"/>
  <c r="DQ23" i="17"/>
  <c r="DQ24" i="17"/>
  <c r="DQ25" i="17"/>
  <c r="DQ26" i="17"/>
  <c r="DQ27" i="17"/>
  <c r="DQ28" i="17"/>
  <c r="DQ19" i="17"/>
  <c r="F3" i="17"/>
  <c r="AD16" i="20" s="1"/>
  <c r="A3" i="1"/>
  <c r="B3" i="1"/>
  <c r="C3" i="1"/>
  <c r="D3" i="1"/>
  <c r="E3" i="1"/>
  <c r="F3" i="1"/>
  <c r="T25" i="20" l="1"/>
  <c r="T34" i="20"/>
  <c r="T32" i="20"/>
  <c r="T26" i="20"/>
  <c r="T28" i="20"/>
  <c r="T27" i="20"/>
  <c r="T29" i="20"/>
  <c r="T30" i="20"/>
  <c r="T31" i="20"/>
  <c r="R34" i="20"/>
  <c r="T23" i="20"/>
  <c r="R19" i="20"/>
  <c r="P18" i="20"/>
  <c r="Q19" i="20"/>
  <c r="T10" i="20"/>
  <c r="P26" i="20"/>
  <c r="P12" i="20"/>
  <c r="Q29" i="20"/>
  <c r="Q12" i="20"/>
  <c r="R29" i="20"/>
  <c r="P31" i="20"/>
  <c r="R12" i="20"/>
  <c r="T19" i="20"/>
  <c r="Q27" i="20"/>
  <c r="Q31" i="20"/>
  <c r="T12" i="20"/>
  <c r="P21" i="20"/>
  <c r="R27" i="20"/>
  <c r="R31" i="20"/>
  <c r="P10" i="20"/>
  <c r="Q17" i="20"/>
  <c r="Q21" i="20"/>
  <c r="Q10" i="20"/>
  <c r="R17" i="20"/>
  <c r="R21" i="20"/>
  <c r="P28" i="20"/>
  <c r="T36" i="20"/>
  <c r="R10" i="20"/>
  <c r="T17" i="20"/>
  <c r="T21" i="20"/>
  <c r="P29" i="20"/>
  <c r="T37" i="20"/>
  <c r="P11" i="20"/>
  <c r="Q18" i="20"/>
  <c r="P20" i="20"/>
  <c r="P22" i="20"/>
  <c r="Q26" i="20"/>
  <c r="Q28" i="20"/>
  <c r="P30" i="20"/>
  <c r="T39" i="20"/>
  <c r="Q11" i="20"/>
  <c r="R18" i="20"/>
  <c r="R26" i="20"/>
  <c r="T40" i="20"/>
  <c r="T38" i="20"/>
  <c r="T14" i="20"/>
  <c r="Q20" i="20"/>
  <c r="Q22" i="20"/>
  <c r="R28" i="20"/>
  <c r="Q30" i="20"/>
  <c r="P34" i="20"/>
  <c r="R11" i="20"/>
  <c r="T18" i="20"/>
  <c r="R22" i="20"/>
  <c r="R30" i="20"/>
  <c r="Q34" i="20"/>
  <c r="T41" i="20"/>
  <c r="T16" i="20"/>
  <c r="R20" i="20"/>
  <c r="T9" i="20"/>
  <c r="T11" i="20"/>
  <c r="P17" i="20"/>
  <c r="P19" i="20"/>
  <c r="T20" i="20"/>
  <c r="T22" i="20"/>
  <c r="P27" i="20"/>
  <c r="X16" i="20"/>
  <c r="X18" i="20" s="1"/>
  <c r="AA22" i="20" l="1"/>
  <c r="Z22" i="20"/>
  <c r="Y22" i="20"/>
  <c r="X22" i="20"/>
  <c r="AA21" i="20"/>
  <c r="Z21" i="20"/>
  <c r="Y21" i="20"/>
  <c r="X21" i="20"/>
  <c r="Z19" i="20"/>
  <c r="Z18" i="20"/>
  <c r="X20" i="20"/>
  <c r="AA20" i="20"/>
  <c r="X19" i="20"/>
  <c r="Y20" i="20"/>
  <c r="Y19" i="20"/>
  <c r="Y18" i="20"/>
  <c r="Z20" i="20"/>
  <c r="AA19" i="20"/>
  <c r="AA18" i="20"/>
  <c r="S19" i="20"/>
  <c r="S34" i="20"/>
  <c r="AN23" i="20" s="1"/>
  <c r="S21" i="20"/>
  <c r="S22" i="20"/>
  <c r="S29" i="20"/>
  <c r="P9" i="20"/>
  <c r="S12" i="20"/>
  <c r="AN19" i="20" s="1"/>
  <c r="S17" i="20"/>
  <c r="S31" i="20"/>
  <c r="S10" i="20"/>
  <c r="AN18" i="20" s="1"/>
  <c r="S27" i="20"/>
  <c r="R9" i="20"/>
  <c r="S28" i="20"/>
  <c r="S11" i="20"/>
  <c r="AN17" i="20" s="1"/>
  <c r="S26" i="20"/>
  <c r="R16" i="20"/>
  <c r="Q16" i="20"/>
  <c r="S20" i="20"/>
  <c r="P25" i="20"/>
  <c r="Q9" i="20"/>
  <c r="S30" i="20"/>
  <c r="S18" i="20"/>
  <c r="R25" i="20"/>
  <c r="P16" i="20"/>
  <c r="Q25" i="20"/>
  <c r="AC19" i="20" l="1"/>
  <c r="AE19" i="20"/>
  <c r="AG19" i="20"/>
  <c r="AD19" i="20"/>
  <c r="AF19" i="20"/>
  <c r="Q23" i="20"/>
  <c r="P32" i="20"/>
  <c r="R36" i="20"/>
  <c r="R37" i="20" s="1"/>
  <c r="Q32" i="20"/>
  <c r="S16" i="20"/>
  <c r="AN21" i="20" s="1"/>
  <c r="R23" i="20"/>
  <c r="R32" i="20"/>
  <c r="Q36" i="20"/>
  <c r="S9" i="20"/>
  <c r="AC18" i="20" s="1"/>
  <c r="P14" i="20"/>
  <c r="P36" i="20"/>
  <c r="Q14" i="20"/>
  <c r="S25" i="20"/>
  <c r="AN22" i="20" s="1"/>
  <c r="R14" i="20"/>
  <c r="P23" i="20"/>
  <c r="AO18" i="20" l="1"/>
  <c r="AP18" i="20" s="1"/>
  <c r="AO19" i="20"/>
  <c r="AP19" i="20" s="1"/>
  <c r="AO17" i="20"/>
  <c r="AP17" i="20" s="1"/>
  <c r="AO22" i="20"/>
  <c r="AP22" i="20" s="1"/>
  <c r="AO23" i="20"/>
  <c r="AP23" i="20" s="1"/>
  <c r="S41" i="20"/>
  <c r="AO21" i="20"/>
  <c r="AP21" i="20" s="1"/>
  <c r="R38" i="20"/>
  <c r="R40" i="20" s="1"/>
  <c r="R41" i="20" s="1"/>
  <c r="S36" i="20"/>
  <c r="S32" i="20"/>
  <c r="S14" i="20"/>
  <c r="AD18" i="20" s="1"/>
  <c r="P38" i="20"/>
  <c r="P39" i="20" s="1"/>
  <c r="P37" i="20"/>
  <c r="Q37" i="20"/>
  <c r="Q38" i="20"/>
  <c r="S23" i="20"/>
  <c r="E58" i="17"/>
  <c r="E59" i="17" s="1"/>
  <c r="F58" i="17"/>
  <c r="F59" i="17" s="1"/>
  <c r="S37" i="20" l="1"/>
  <c r="AI18" i="20" s="1"/>
  <c r="AE18" i="20"/>
  <c r="R39" i="20"/>
  <c r="S38" i="20"/>
  <c r="P40" i="20"/>
  <c r="Q40" i="20"/>
  <c r="Q39" i="20"/>
  <c r="Q41" i="20" l="1"/>
  <c r="AK18" i="20" s="1"/>
  <c r="AG18" i="20"/>
  <c r="S39" i="20"/>
  <c r="AJ18" i="20" s="1"/>
  <c r="AJ21" i="20" s="1"/>
  <c r="AJ22" i="20" s="1"/>
  <c r="AF18" i="20"/>
  <c r="AI21" i="20"/>
  <c r="AI22" i="20" s="1"/>
  <c r="P41" i="20"/>
  <c r="G58" i="17" l="1"/>
  <c r="G59" i="17" s="1"/>
  <c r="AK21" i="20"/>
  <c r="AK22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26341C-1E0D-40DC-8BCD-CD5DA274D92D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3a42a40e-9be9-452e-a325-9335f0c607eb">
          <x15:oledbPr connection="Provider=Microsoft.Mashup.OleDb.1;Data Source=$Workbook$;Location=Calculations;Extended Properties=&quot;&quot;">
            <x15:dbTables>
              <x15:dbTable name="Calculations"/>
            </x15:dbTables>
          </x15:oledbPr>
        </x15:connection>
      </ext>
    </extLst>
  </connection>
  <connection id="2" xr16:uid="{9CD9EF13-AD6D-430D-8194-2B8466CCE930}" name="Query - revenue_expense" description="Connection to the 'revenue_expense' query in the workbook." type="100" refreshedVersion="8" minRefreshableVersion="5">
    <extLst>
      <ext xmlns:x15="http://schemas.microsoft.com/office/spreadsheetml/2010/11/main" uri="{DE250136-89BD-433C-8126-D09CA5730AF9}">
        <x15:connection id="f9ae248b-d837-4d4d-a5bc-12cf8f6a7156"/>
      </ext>
    </extLst>
  </connection>
  <connection id="3" xr16:uid="{F1F5F382-2220-40E1-B4DF-C86C9F1FE61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<sst xmlns="http://schemas.openxmlformats.org/spreadsheetml/2006/main" count="644" uniqueCount="87">
  <si>
    <t>Revenue</t>
  </si>
  <si>
    <t>Expense</t>
  </si>
  <si>
    <t>COGS</t>
  </si>
  <si>
    <t>Gross Profit</t>
  </si>
  <si>
    <t>Opex</t>
  </si>
  <si>
    <t>EBIT</t>
  </si>
  <si>
    <t>Interest and Tax</t>
  </si>
  <si>
    <t>Net Profit</t>
  </si>
  <si>
    <t>May</t>
  </si>
  <si>
    <t>Apr</t>
  </si>
  <si>
    <t>Aug</t>
  </si>
  <si>
    <t>Dec</t>
  </si>
  <si>
    <t>Feb</t>
  </si>
  <si>
    <t>Jan</t>
  </si>
  <si>
    <t>Jul</t>
  </si>
  <si>
    <t>Jun</t>
  </si>
  <si>
    <t>Mar</t>
  </si>
  <si>
    <t>Nov</t>
  </si>
  <si>
    <t>Oct</t>
  </si>
  <si>
    <t>Sep</t>
  </si>
  <si>
    <t>Date (Month)</t>
  </si>
  <si>
    <t>Expense min</t>
  </si>
  <si>
    <t>Row Labels</t>
  </si>
  <si>
    <t>Interest and tax</t>
  </si>
  <si>
    <t>Equipment</t>
  </si>
  <si>
    <t>Labor</t>
  </si>
  <si>
    <t>Marketing</t>
  </si>
  <si>
    <t>Materials</t>
  </si>
  <si>
    <t>Other</t>
  </si>
  <si>
    <t>Packaging</t>
  </si>
  <si>
    <t>Payroll</t>
  </si>
  <si>
    <t>R&amp;D</t>
  </si>
  <si>
    <t>Rent</t>
  </si>
  <si>
    <t>Sales</t>
  </si>
  <si>
    <t>Shipping</t>
  </si>
  <si>
    <t>Nutrition and Food Supplements </t>
  </si>
  <si>
    <t>Sports equipment</t>
  </si>
  <si>
    <t>Sportswear</t>
  </si>
  <si>
    <t>OPEX</t>
  </si>
  <si>
    <t>Consulting and professional services</t>
  </si>
  <si>
    <t>Other income</t>
  </si>
  <si>
    <t>Grand Total</t>
  </si>
  <si>
    <t>Expense subgroup</t>
  </si>
  <si>
    <t>Revenue / Expense Group</t>
  </si>
  <si>
    <t>Column Labels</t>
  </si>
  <si>
    <t>Nutrition &amp; Food Supplements </t>
  </si>
  <si>
    <t>Item</t>
  </si>
  <si>
    <t>Gross Margin</t>
  </si>
  <si>
    <t>EBIT Margin</t>
  </si>
  <si>
    <t>COGS Ratio</t>
  </si>
  <si>
    <t>Net Profit Margin</t>
  </si>
  <si>
    <t>Total</t>
  </si>
  <si>
    <t>Gross Profit2</t>
  </si>
  <si>
    <t>EBIT2</t>
  </si>
  <si>
    <t>Net Profit2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</si>
  <si>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</si>
  <si>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</si>
  <si>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</si>
  <si>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</si>
  <si>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</si>
  <si>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</si>
  <si>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</si>
  <si>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</si>
  <si>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</si>
  <si>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</si>
  <si>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</si>
  <si>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Revenue</t>
  </si>
  <si>
    <t>Revenue2</t>
  </si>
  <si>
    <t>Month</t>
  </si>
  <si>
    <t>No</t>
  </si>
  <si>
    <t>vs. PM</t>
  </si>
  <si>
    <t>COGS PM</t>
  </si>
  <si>
    <t>Opex PM</t>
  </si>
  <si>
    <t>Total Expense</t>
  </si>
  <si>
    <t>All</t>
  </si>
  <si>
    <t>Gross Profit Margin</t>
  </si>
  <si>
    <t>Opex Ratio</t>
  </si>
  <si>
    <t>COGS ABS</t>
  </si>
  <si>
    <t>COGS ABS2</t>
  </si>
  <si>
    <t>OPEX ABS</t>
  </si>
  <si>
    <t>OPEX ABS2</t>
  </si>
  <si>
    <t>ALL</t>
  </si>
  <si>
    <t>OPEX Ratio</t>
  </si>
  <si>
    <t>Bussines Line</t>
  </si>
  <si>
    <t>Filter</t>
  </si>
  <si>
    <t>Presentage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</si>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</sst>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3">
    <numFmt numFmtId="5" formatCode="&quot;$&quot;#,##0_);\(&quot;$&quot;#,##0\)"/>
    <numFmt numFmtId="164" formatCode="\$#,##0;\(\$#,##0\);\$#,##0"/>
    <numFmt numFmtId="165" formatCode="&quot;$&quot;0.0,,\ &quot;M&quot;"/>
    <numFmt numFmtId="166" formatCode="[&gt;=1000000]&quot;$&quot;0.0,,\ &quot;M&quot;;[&gt;=1000]&quot;$&quot;0.0,\ &quot;K&quot;;&quot;$&quot;0"/>
    <numFmt numFmtId="167" formatCode="0.0%"/>
    <numFmt numFmtId="168" formatCode="\$#,##0;&quot;$&quot;0.0,,\ &quot;M&quot;"/>
    <numFmt numFmtId="169" formatCode="_-[$$-C09]* #,##0_-;\-[$$-C09]* #,##0_-;_-[$$-C09]* &quot;-&quot;_-;_-@_-"/>
    <numFmt numFmtId="170" formatCode="#,##0_);&quot;$&quot;0.0,,\ &quot;M&quot;"/>
    <numFmt numFmtId="171" formatCode="0.0,,\ &quot;M&quot;"/>
    <numFmt numFmtId="172" formatCode="\$#,##0;0.0,,\ &quot;M&quot;"/>
    <numFmt numFmtId="173" formatCode="&quot;$&quot;#,##0"/>
    <numFmt numFmtId="174" formatCode="\$#,##0;\$#,##0;\$#,##0"/>
    <numFmt numFmtId="175" formatCode="&quot;$&quot;#,##0_);&quot;$&quot;#,##0"/>
    <numFmt numFmtId="176" formatCode="[Color41]\▲0.00%;[Color26]\▼0.00%"/>
    <numFmt numFmtId="177" formatCode="[Color41]\▲0.00%;[Color26]\▼0.00%;[Color16]\⏺0.00%"/>
    <numFmt numFmtId="178" formatCode="[Color12]\ .\⏺"/>
    <numFmt numFmtId="179" formatCode="[Color14]\ .\⏺"/>
    <numFmt numFmtId="180" formatCode="[Color15]\ .\⏺"/>
    <numFmt numFmtId="181" formatCode="[Color16]\ .\⏺"/>
    <numFmt numFmtId="182" formatCode="[Color17]\ .\⏺"/>
    <numFmt numFmtId="183" formatCode="[Color18]\ .\⏺"/>
    <numFmt numFmtId="184" formatCode="[Color19]\ .\⏺"/>
    <numFmt numFmtId="185" formatCode="[Color20]\ .\⏺"/>
    <numFmt numFmtId="186" formatCode="[Color21]\ .\⏺"/>
    <numFmt numFmtId="187" formatCode="[Color22]\ .\⏺"/>
    <numFmt numFmtId="188" formatCode="[Color23]\ .\⏺"/>
    <numFmt numFmtId="189" formatCode="[Color24]\ .\⏺"/>
    <numFmt numFmtId="190" formatCode="[Color25]\ .\⏺"/>
    <numFmt numFmtId="191" formatCode="[Color26]\ .\⏺"/>
    <numFmt numFmtId="192" formatCode="[Color27]\ .\⏺"/>
    <numFmt numFmtId="193" formatCode="[Color28]\ .\⏺"/>
    <numFmt numFmtId="194" formatCode="[Color29]\ .\⏺"/>
    <numFmt numFmtId="195" formatCode="[Color11]\ .\⏺"/>
    <numFmt numFmtId="196" formatCode="[Color10]\ .\⏺"/>
    <numFmt numFmtId="197" formatCode="[Color9]\ .\⏺"/>
    <numFmt numFmtId="198" formatCode="[Color8]\ .\⏺"/>
    <numFmt numFmtId="199" formatCode="[Color7]\ .\⏺"/>
    <numFmt numFmtId="200" formatCode="[Color6]\ .\⏺"/>
    <numFmt numFmtId="201" formatCode="[Color5]\ .\⏺"/>
    <numFmt numFmtId="202" formatCode="[Color4]\ .\⏺"/>
    <numFmt numFmtId="203" formatCode="[Color3]\ .\⏺"/>
    <numFmt numFmtId="204" formatCode="[Color30]\ .\⏺"/>
    <numFmt numFmtId="205" formatCode="[Color31]\ .\⏺"/>
    <numFmt numFmtId="206" formatCode="[Color32]\ .\⏺"/>
    <numFmt numFmtId="207" formatCode="[Color33]\ .\⏺"/>
    <numFmt numFmtId="208" formatCode="[Color34]\ .\⏺"/>
    <numFmt numFmtId="209" formatCode="[Color35]\ .\⏺"/>
    <numFmt numFmtId="210" formatCode="[Color36]\ .\⏺"/>
    <numFmt numFmtId="211" formatCode="[Color37]\ .\⏺"/>
    <numFmt numFmtId="212" formatCode="[Color38]\ .\⏺"/>
    <numFmt numFmtId="213" formatCode="[Color39]\ .\⏺"/>
    <numFmt numFmtId="214" formatCode="[Color40]\ .\⏺"/>
    <numFmt numFmtId="215" formatCode="[Color41]\ .\⏺"/>
    <numFmt numFmtId="216" formatCode="[Color42]\ .\⏺"/>
    <numFmt numFmtId="217" formatCode="[Color43]\ .\⏺"/>
    <numFmt numFmtId="218" formatCode="[Color44]\ .\⏺"/>
    <numFmt numFmtId="219" formatCode="[Color45]\ .\⏺"/>
    <numFmt numFmtId="220" formatCode="[Color46]\ .\⏺"/>
    <numFmt numFmtId="221" formatCode="[Color47]\ .\⏺"/>
    <numFmt numFmtId="222" formatCode="[Color48]\ .\⏺"/>
    <numFmt numFmtId="223" formatCode="[Color49]\ .\⏺"/>
    <numFmt numFmtId="224" formatCode="[Color50]\ .\⏺"/>
    <numFmt numFmtId="225" formatCode="[Color1]\ .\⏺"/>
    <numFmt numFmtId="226" formatCode="[Color2]\ .\⏺"/>
    <numFmt numFmtId="227" formatCode="[Color22]\+0.0%\▲;[Color42]\-0.0%\▼;[Color16]\0.0%\⏺"/>
    <numFmt numFmtId="228" formatCode="\+0.0%\▲;\-0.0%\▼;\0.0%\⏺"/>
    <numFmt numFmtId="229" formatCode="0.00%;\-0.00%;0.00%"/>
    <numFmt numFmtId="230" formatCode="0.0%;\-0.0%"/>
    <numFmt numFmtId="231" formatCode="&quot;$&quot;0.0,\ &quot;K&quot;"/>
    <numFmt numFmtId="232" formatCode="\+0.0%;\-0.0%"/>
    <numFmt numFmtId="233" formatCode="\▲\+0.0%;\▼\-0.0%;\⏺\ 0.0%"/>
    <numFmt numFmtId="234" formatCode="[Color26]\+0.0%\▲;[Color41]\-0.0%\▼;[Color16]\0\%\ \⏺"/>
    <numFmt numFmtId="235" formatCode="[Color41]\+0.0%\▲;[Color26]\-0.0%\▼;[Color16]\0\%\ \⏺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EEF2F5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EEF2F5"/>
        <bgColor indexed="64"/>
      </patternFill>
    </fill>
    <fill>
      <patternFill patternType="solid">
        <fgColor rgb="FF462AD1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6373BA"/>
        <bgColor indexed="64"/>
      </patternFill>
    </fill>
    <fill>
      <patternFill patternType="solid">
        <fgColor rgb="FFD9E1F2"/>
        <bgColor theme="4" tint="0.79998168889431442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dotted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2">
    <xf numFmtId="0" fontId="0" fillId="0" borderId="0" xfId="0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1" xfId="0" applyBorder="1"/>
    <xf numFmtId="17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5" borderId="0" xfId="0" applyFill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212" fontId="0" fillId="0" borderId="0" xfId="0" applyNumberFormat="1"/>
    <xf numFmtId="213" fontId="0" fillId="0" borderId="0" xfId="0" applyNumberFormat="1"/>
    <xf numFmtId="214" fontId="0" fillId="0" borderId="0" xfId="0" applyNumberFormat="1"/>
    <xf numFmtId="215" fontId="0" fillId="0" borderId="0" xfId="0" applyNumberFormat="1"/>
    <xf numFmtId="216" fontId="0" fillId="0" borderId="0" xfId="0" applyNumberFormat="1"/>
    <xf numFmtId="217" fontId="0" fillId="0" borderId="0" xfId="0" applyNumberFormat="1"/>
    <xf numFmtId="218" fontId="0" fillId="0" borderId="0" xfId="0" applyNumberFormat="1"/>
    <xf numFmtId="219" fontId="0" fillId="0" borderId="0" xfId="0" applyNumberFormat="1"/>
    <xf numFmtId="220" fontId="0" fillId="0" borderId="0" xfId="0" applyNumberFormat="1"/>
    <xf numFmtId="221" fontId="0" fillId="0" borderId="0" xfId="0" applyNumberFormat="1"/>
    <xf numFmtId="222" fontId="0" fillId="0" borderId="0" xfId="0" applyNumberFormat="1"/>
    <xf numFmtId="223" fontId="0" fillId="0" borderId="0" xfId="0" applyNumberFormat="1"/>
    <xf numFmtId="224" fontId="0" fillId="0" borderId="0" xfId="0" applyNumberFormat="1"/>
    <xf numFmtId="225" fontId="0" fillId="0" borderId="0" xfId="0" applyNumberFormat="1"/>
    <xf numFmtId="226" fontId="0" fillId="0" borderId="0" xfId="0" applyNumberFormat="1"/>
    <xf numFmtId="227" fontId="0" fillId="5" borderId="0" xfId="0" applyNumberFormat="1" applyFill="1"/>
    <xf numFmtId="228" fontId="0" fillId="5" borderId="0" xfId="0" applyNumberFormat="1" applyFill="1"/>
    <xf numFmtId="0" fontId="0" fillId="7" borderId="0" xfId="0" applyFill="1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/>
    <xf numFmtId="230" fontId="3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 indent="1"/>
    </xf>
    <xf numFmtId="173" fontId="8" fillId="4" borderId="0" xfId="0" applyNumberFormat="1" applyFont="1" applyFill="1" applyAlignment="1">
      <alignment vertical="center"/>
    </xf>
    <xf numFmtId="5" fontId="8" fillId="4" borderId="0" xfId="0" applyNumberFormat="1" applyFont="1" applyFill="1"/>
    <xf numFmtId="173" fontId="5" fillId="2" borderId="0" xfId="0" applyNumberFormat="1" applyFont="1" applyFill="1" applyAlignment="1">
      <alignment vertical="center"/>
    </xf>
    <xf numFmtId="173" fontId="5" fillId="2" borderId="0" xfId="0" applyNumberFormat="1" applyFont="1" applyFill="1" applyAlignment="1">
      <alignment horizontal="right" vertical="center"/>
    </xf>
    <xf numFmtId="5" fontId="5" fillId="5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 indent="2"/>
    </xf>
    <xf numFmtId="5" fontId="5" fillId="5" borderId="0" xfId="0" applyNumberFormat="1" applyFont="1" applyFill="1"/>
    <xf numFmtId="177" fontId="5" fillId="5" borderId="0" xfId="0" applyNumberFormat="1" applyFont="1" applyFill="1"/>
    <xf numFmtId="174" fontId="8" fillId="4" borderId="0" xfId="0" applyNumberFormat="1" applyFont="1" applyFill="1" applyAlignment="1">
      <alignment vertical="center"/>
    </xf>
    <xf numFmtId="175" fontId="8" fillId="4" borderId="0" xfId="0" applyNumberFormat="1" applyFont="1" applyFill="1"/>
    <xf numFmtId="174" fontId="8" fillId="5" borderId="0" xfId="0" applyNumberFormat="1" applyFont="1" applyFill="1" applyAlignment="1">
      <alignment vertical="center"/>
    </xf>
    <xf numFmtId="174" fontId="8" fillId="5" borderId="0" xfId="0" applyNumberFormat="1" applyFont="1" applyFill="1" applyAlignment="1">
      <alignment horizontal="right" vertical="center"/>
    </xf>
    <xf numFmtId="175" fontId="5" fillId="5" borderId="0" xfId="0" applyNumberFormat="1" applyFont="1" applyFill="1"/>
    <xf numFmtId="174" fontId="5" fillId="2" borderId="0" xfId="0" applyNumberFormat="1" applyFont="1" applyFill="1" applyAlignment="1">
      <alignment vertical="center"/>
    </xf>
    <xf numFmtId="174" fontId="5" fillId="2" borderId="0" xfId="0" applyNumberFormat="1" applyFont="1" applyFill="1" applyAlignment="1">
      <alignment horizontal="right" vertical="center"/>
    </xf>
    <xf numFmtId="167" fontId="5" fillId="5" borderId="0" xfId="0" applyNumberFormat="1" applyFont="1" applyFill="1" applyAlignment="1">
      <alignment vertical="center"/>
    </xf>
    <xf numFmtId="0" fontId="5" fillId="5" borderId="0" xfId="0" applyFont="1" applyFill="1"/>
    <xf numFmtId="167" fontId="5" fillId="2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indent="1"/>
    </xf>
    <xf numFmtId="174" fontId="8" fillId="4" borderId="0" xfId="0" applyNumberFormat="1" applyFont="1" applyFill="1" applyAlignment="1">
      <alignment horizontal="right" vertical="center"/>
    </xf>
    <xf numFmtId="173" fontId="8" fillId="5" borderId="0" xfId="0" applyNumberFormat="1" applyFont="1" applyFill="1" applyAlignment="1">
      <alignment vertical="center"/>
    </xf>
    <xf numFmtId="175" fontId="8" fillId="5" borderId="0" xfId="0" applyNumberFormat="1" applyFont="1" applyFill="1"/>
    <xf numFmtId="0" fontId="5" fillId="5" borderId="0" xfId="0" applyFont="1" applyFill="1" applyAlignment="1">
      <alignment horizontal="left" vertical="center" indent="1"/>
    </xf>
    <xf numFmtId="5" fontId="8" fillId="5" borderId="0" xfId="0" applyNumberFormat="1" applyFont="1" applyFill="1"/>
    <xf numFmtId="173" fontId="8" fillId="5" borderId="0" xfId="0" applyNumberFormat="1" applyFont="1" applyFill="1"/>
    <xf numFmtId="0" fontId="5" fillId="5" borderId="0" xfId="0" applyFont="1" applyFill="1" applyAlignment="1">
      <alignment horizontal="left" vertical="top" indent="1"/>
    </xf>
    <xf numFmtId="167" fontId="5" fillId="5" borderId="0" xfId="0" applyNumberFormat="1" applyFont="1" applyFill="1" applyAlignment="1">
      <alignment vertical="top"/>
    </xf>
    <xf numFmtId="0" fontId="9" fillId="7" borderId="0" xfId="0" applyFont="1" applyFill="1"/>
    <xf numFmtId="0" fontId="9" fillId="8" borderId="0" xfId="0" applyFont="1" applyFill="1"/>
    <xf numFmtId="0" fontId="0" fillId="8" borderId="0" xfId="0" applyFill="1"/>
    <xf numFmtId="0" fontId="9" fillId="0" borderId="0" xfId="0" applyFont="1"/>
    <xf numFmtId="0" fontId="5" fillId="5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/>
    </xf>
    <xf numFmtId="0" fontId="1" fillId="6" borderId="0" xfId="0" applyFont="1" applyFill="1"/>
    <xf numFmtId="229" fontId="0" fillId="0" borderId="0" xfId="0" applyNumberFormat="1"/>
    <xf numFmtId="164" fontId="0" fillId="0" borderId="0" xfId="0" applyNumberFormat="1" applyAlignment="1">
      <alignment horizontal="center" vertical="center"/>
    </xf>
    <xf numFmtId="229" fontId="0" fillId="0" borderId="0" xfId="0" applyNumberFormat="1" applyAlignment="1">
      <alignment horizontal="center" vertical="center"/>
    </xf>
    <xf numFmtId="232" fontId="0" fillId="0" borderId="0" xfId="0" applyNumberFormat="1"/>
    <xf numFmtId="233" fontId="3" fillId="0" borderId="4" xfId="0" applyNumberFormat="1" applyFont="1" applyBorder="1" applyAlignment="1">
      <alignment horizontal="center" vertical="center"/>
    </xf>
    <xf numFmtId="233" fontId="4" fillId="0" borderId="4" xfId="0" applyNumberFormat="1" applyFont="1" applyBorder="1" applyAlignment="1">
      <alignment horizontal="center" vertical="center"/>
    </xf>
    <xf numFmtId="234" fontId="5" fillId="5" borderId="0" xfId="0" applyNumberFormat="1" applyFont="1" applyFill="1"/>
    <xf numFmtId="234" fontId="5" fillId="4" borderId="0" xfId="0" applyNumberFormat="1" applyFont="1" applyFill="1"/>
    <xf numFmtId="235" fontId="5" fillId="5" borderId="0" xfId="0" applyNumberFormat="1" applyFont="1" applyFill="1" applyAlignment="1">
      <alignment vertical="center"/>
    </xf>
    <xf numFmtId="235" fontId="5" fillId="4" borderId="0" xfId="0" applyNumberFormat="1" applyFont="1" applyFill="1" applyAlignment="1">
      <alignment vertical="center"/>
    </xf>
    <xf numFmtId="0" fontId="10" fillId="5" borderId="7" xfId="0" applyFont="1" applyFill="1" applyBorder="1" applyAlignment="1">
      <alignment vertical="center"/>
    </xf>
    <xf numFmtId="0" fontId="10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165" fontId="11" fillId="5" borderId="6" xfId="0" applyNumberFormat="1" applyFont="1" applyFill="1" applyBorder="1" applyAlignment="1">
      <alignment horizontal="center" vertical="center"/>
    </xf>
    <xf numFmtId="167" fontId="11" fillId="5" borderId="6" xfId="0" applyNumberFormat="1" applyFont="1" applyFill="1" applyBorder="1" applyAlignment="1">
      <alignment vertical="center"/>
    </xf>
    <xf numFmtId="0" fontId="11" fillId="5" borderId="7" xfId="0" applyFont="1" applyFill="1" applyBorder="1" applyAlignment="1">
      <alignment vertical="center" wrapText="1"/>
    </xf>
    <xf numFmtId="231" fontId="11" fillId="5" borderId="5" xfId="0" applyNumberFormat="1" applyFont="1" applyFill="1" applyBorder="1" applyAlignment="1">
      <alignment horizontal="center" vertical="center"/>
    </xf>
    <xf numFmtId="167" fontId="11" fillId="5" borderId="5" xfId="0" applyNumberFormat="1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5" borderId="0" xfId="0" applyFont="1" applyFill="1" applyAlignment="1">
      <alignment vertical="center" wrapText="1"/>
    </xf>
    <xf numFmtId="231" fontId="11" fillId="5" borderId="0" xfId="0" applyNumberFormat="1" applyFont="1" applyFill="1" applyAlignment="1">
      <alignment horizontal="center" vertical="center"/>
    </xf>
    <xf numFmtId="167" fontId="11" fillId="5" borderId="0" xfId="0" applyNumberFormat="1" applyFont="1" applyFill="1" applyAlignment="1">
      <alignment vertical="center"/>
    </xf>
    <xf numFmtId="0" fontId="0" fillId="0" borderId="8" xfId="0" applyBorder="1"/>
    <xf numFmtId="165" fontId="0" fillId="0" borderId="8" xfId="0" applyNumberFormat="1" applyBorder="1"/>
    <xf numFmtId="170" fontId="0" fillId="0" borderId="8" xfId="0" applyNumberFormat="1" applyBorder="1"/>
    <xf numFmtId="165" fontId="0" fillId="0" borderId="9" xfId="0" applyNumberFormat="1" applyBorder="1"/>
    <xf numFmtId="166" fontId="0" fillId="0" borderId="9" xfId="0" applyNumberFormat="1" applyBorder="1"/>
    <xf numFmtId="164" fontId="0" fillId="0" borderId="9" xfId="0" applyNumberFormat="1" applyBorder="1"/>
    <xf numFmtId="169" fontId="0" fillId="0" borderId="8" xfId="0" applyNumberFormat="1" applyBorder="1"/>
    <xf numFmtId="0" fontId="0" fillId="9" borderId="8" xfId="0" applyFill="1" applyBorder="1"/>
    <xf numFmtId="164" fontId="0" fillId="0" borderId="8" xfId="0" applyNumberFormat="1" applyBorder="1"/>
    <xf numFmtId="167" fontId="0" fillId="0" borderId="8" xfId="0" applyNumberFormat="1" applyBorder="1"/>
    <xf numFmtId="171" fontId="0" fillId="0" borderId="8" xfId="0" applyNumberFormat="1" applyBorder="1"/>
    <xf numFmtId="172" fontId="0" fillId="0" borderId="8" xfId="0" applyNumberFormat="1" applyBorder="1"/>
    <xf numFmtId="0" fontId="0" fillId="10" borderId="0" xfId="0" applyFill="1"/>
    <xf numFmtId="164" fontId="0" fillId="10" borderId="0" xfId="0" applyNumberFormat="1" applyFill="1"/>
    <xf numFmtId="0" fontId="0" fillId="0" borderId="8" xfId="0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2" fontId="0" fillId="12" borderId="0" xfId="0" applyNumberFormat="1" applyFill="1"/>
    <xf numFmtId="2" fontId="1" fillId="11" borderId="0" xfId="0" applyNumberFormat="1" applyFont="1" applyFill="1"/>
    <xf numFmtId="173" fontId="0" fillId="0" borderId="10" xfId="0" applyNumberFormat="1" applyBorder="1" applyAlignment="1">
      <alignment horizontal="center" vertical="center"/>
    </xf>
    <xf numFmtId="175" fontId="0" fillId="0" borderId="10" xfId="0" applyNumberFormat="1" applyBorder="1" applyAlignment="1">
      <alignment horizontal="center" vertical="center"/>
    </xf>
    <xf numFmtId="0" fontId="1" fillId="12" borderId="0" xfId="0" applyFont="1" applyFill="1"/>
    <xf numFmtId="0" fontId="1" fillId="12" borderId="4" xfId="0" applyFont="1" applyFill="1" applyBorder="1" applyAlignment="1">
      <alignment vertical="center"/>
    </xf>
    <xf numFmtId="0" fontId="1" fillId="12" borderId="4" xfId="0" applyFont="1" applyFill="1" applyBorder="1" applyAlignment="1">
      <alignment vertical="top"/>
    </xf>
    <xf numFmtId="0" fontId="0" fillId="0" borderId="8" xfId="0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12" borderId="0" xfId="0" applyFont="1" applyFill="1" applyAlignment="1">
      <alignment vertical="center"/>
    </xf>
    <xf numFmtId="0" fontId="1" fillId="12" borderId="0" xfId="0" applyFont="1" applyFill="1" applyAlignment="1">
      <alignment horizontal="left" vertical="center"/>
    </xf>
    <xf numFmtId="0" fontId="0" fillId="2" borderId="0" xfId="0" applyFill="1"/>
    <xf numFmtId="0" fontId="10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64">
    <dxf>
      <font>
        <color rgb="FF462AD1"/>
      </font>
      <fill>
        <patternFill patternType="none">
          <bgColor auto="1"/>
        </patternFill>
      </fill>
    </dxf>
    <dxf>
      <font>
        <color rgb="FFFF0000"/>
      </font>
      <fill>
        <patternFill patternType="solid">
          <fgColor auto="1"/>
          <bgColor auto="1"/>
        </patternFill>
      </fill>
    </dxf>
    <dxf>
      <font>
        <color rgb="FF292929"/>
      </font>
    </dxf>
    <dxf>
      <font>
        <color rgb="FF00B050"/>
      </font>
    </dxf>
    <dxf>
      <font>
        <color rgb="FFFF0000"/>
      </font>
    </dxf>
    <dxf>
      <font>
        <color theme="2" tint="-0.499984740745262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72" formatCode="\$#,##0;0.0,,\ &quot;M&quot;"/>
    </dxf>
    <dxf>
      <numFmt numFmtId="171" formatCode="0.0,,\ &quot;M&quot;"/>
    </dxf>
    <dxf>
      <numFmt numFmtId="168" formatCode="\$#,##0;&quot;$&quot;0.0,,\ &quot;M&quot;"/>
    </dxf>
    <dxf>
      <numFmt numFmtId="165" formatCode="&quot;$&quot;0.0,,\ &quot;M&quot;"/>
    </dxf>
    <dxf>
      <numFmt numFmtId="236" formatCode="\+0.0%\,\-0.0%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/>
        <right/>
        <top/>
        <bottom/>
        <vertic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</dxf>
    <dxf>
      <numFmt numFmtId="165" formatCode="&quot;$&quot;0.0,,\ &quot;M&quot;"/>
    </dxf>
    <dxf>
      <numFmt numFmtId="165" formatCode="&quot;$&quot;0.0,,\ &quot;M&quot;"/>
    </dxf>
    <dxf>
      <numFmt numFmtId="165" formatCode="&quot;$&quot;0.0,,\ &quot;M&quot;"/>
    </dxf>
    <dxf>
      <numFmt numFmtId="166" formatCode="[&gt;=1000000]&quot;$&quot;0.0,,\ &quot;M&quot;;[&gt;=1000]&quot;$&quot;0.0,\ &quot;K&quot;;&quot;$&quot;0"/>
    </dxf>
    <dxf>
      <numFmt numFmtId="237" formatCode="[&gt;=1000000]&quot;$&quot;0.0,,\ &quot;M&quot;;[&gt;=1000]0.0,\ &quot;K&quot;;0"/>
    </dxf>
    <dxf>
      <numFmt numFmtId="165" formatCode="&quot;$&quot;0.0,,\ &quot;M&quot;"/>
    </dxf>
    <dxf>
      <numFmt numFmtId="174" formatCode="\$#,##0;\$#,##0;\$#,##0"/>
    </dxf>
    <dxf>
      <numFmt numFmtId="165" formatCode="&quot;$&quot;0.0,,\ &quot;M&quot;"/>
    </dxf>
    <dxf>
      <numFmt numFmtId="168" formatCode="\$#,##0;&quot;$&quot;0.0,,\ &quot;M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</dxf>
    <dxf>
      <numFmt numFmtId="228" formatCode="\+0.0%\▲;\-0.0%\▼;\0.0%\⏺"/>
    </dxf>
    <dxf>
      <numFmt numFmtId="228" formatCode="\+0.0%\▲;\-0.0%\▼;\0.0%\⏺"/>
    </dxf>
    <dxf>
      <numFmt numFmtId="14" formatCode="0.00%"/>
    </dxf>
    <dxf>
      <numFmt numFmtId="14" formatCode="0.00%"/>
    </dxf>
    <dxf>
      <numFmt numFmtId="14" formatCode="0.00%"/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</dxf>
    <dxf>
      <numFmt numFmtId="228" formatCode="\+0.0%\▲;\-0.0%\▼;\0.0%\⏺"/>
    </dxf>
    <dxf>
      <numFmt numFmtId="227" formatCode="[Color22]\+0.0%\▲;[Color42]\-0.0%\▼;[Color16]\0.0%\⏺"/>
      <fill>
        <patternFill patternType="solid">
          <fgColor indexed="64"/>
          <bgColor theme="0"/>
        </patternFill>
      </fill>
    </dxf>
    <dxf>
      <numFmt numFmtId="227" formatCode="[Color22]\+0.0%\▲;[Color42]\-0.0%\▼;[Color16]\0.0%\⏺"/>
      <fill>
        <patternFill patternType="solid">
          <fgColor indexed="64"/>
          <bgColor theme="0"/>
        </patternFill>
      </fill>
    </dxf>
    <dxf>
      <numFmt numFmtId="176" formatCode="[Color41]\▲0.00%;[Color26]\▼0.00%"/>
    </dxf>
    <dxf>
      <numFmt numFmtId="228" formatCode="\+0.0%\▲;\-0.0%\▼;\0.0%\⏺"/>
      <fill>
        <patternFill patternType="solid">
          <fgColor indexed="64"/>
          <bgColor theme="0"/>
        </patternFill>
      </fill>
    </dxf>
    <dxf>
      <numFmt numFmtId="228" formatCode="\+0.0%\▲;\-0.0%\▼;\0.0%\⏺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FF"/>
      <color rgb="FFD9E1F2"/>
      <color rgb="FFDB99DD"/>
      <color rgb="FFBD44BE"/>
      <color rgb="FF412FC7"/>
      <color rgb="FF4D4D4D"/>
      <color rgb="FF333333"/>
      <color rgb="FF080808"/>
      <color rgb="FF111111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22.xml"/><Relationship Id="rId21" Type="http://schemas.openxmlformats.org/officeDocument/2006/relationships/pivotCacheDefinition" Target="pivotCache/pivotCacheDefinition17.xml"/><Relationship Id="rId42" Type="http://schemas.openxmlformats.org/officeDocument/2006/relationships/customXml" Target="../customXml/item3.xml"/><Relationship Id="rId47" Type="http://schemas.openxmlformats.org/officeDocument/2006/relationships/customXml" Target="../customXml/item8.xml"/><Relationship Id="rId63" Type="http://schemas.openxmlformats.org/officeDocument/2006/relationships/customXml" Target="../customXml/item24.xml"/><Relationship Id="rId68" Type="http://schemas.openxmlformats.org/officeDocument/2006/relationships/customXml" Target="../customXml/item29.xml"/><Relationship Id="rId84" Type="http://schemas.openxmlformats.org/officeDocument/2006/relationships/customXml" Target="../customXml/item45.xml"/><Relationship Id="rId16" Type="http://schemas.openxmlformats.org/officeDocument/2006/relationships/pivotCacheDefinition" Target="pivotCache/pivotCacheDefinition12.xml"/><Relationship Id="rId11" Type="http://schemas.openxmlformats.org/officeDocument/2006/relationships/pivotCacheDefinition" Target="pivotCache/pivotCacheDefinition7.xml"/><Relationship Id="rId32" Type="http://schemas.openxmlformats.org/officeDocument/2006/relationships/pivotCacheDefinition" Target="pivotCache/pivotCacheDefinition28.xml"/><Relationship Id="rId37" Type="http://schemas.openxmlformats.org/officeDocument/2006/relationships/sharedStrings" Target="sharedStrings.xml"/><Relationship Id="rId53" Type="http://schemas.openxmlformats.org/officeDocument/2006/relationships/customXml" Target="../customXml/item14.xml"/><Relationship Id="rId58" Type="http://schemas.openxmlformats.org/officeDocument/2006/relationships/customXml" Target="../customXml/item19.xml"/><Relationship Id="rId74" Type="http://schemas.openxmlformats.org/officeDocument/2006/relationships/customXml" Target="../customXml/item35.xml"/><Relationship Id="rId79" Type="http://schemas.openxmlformats.org/officeDocument/2006/relationships/customXml" Target="../customXml/item40.xml"/><Relationship Id="rId5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pivotCacheDefinition" Target="pivotCache/pivotCacheDefinition23.xml"/><Relationship Id="rId30" Type="http://schemas.openxmlformats.org/officeDocument/2006/relationships/pivotCacheDefinition" Target="pivotCache/pivotCacheDefinition26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48" Type="http://schemas.openxmlformats.org/officeDocument/2006/relationships/customXml" Target="../customXml/item9.xml"/><Relationship Id="rId56" Type="http://schemas.openxmlformats.org/officeDocument/2006/relationships/customXml" Target="../customXml/item17.xml"/><Relationship Id="rId64" Type="http://schemas.openxmlformats.org/officeDocument/2006/relationships/customXml" Target="../customXml/item25.xml"/><Relationship Id="rId69" Type="http://schemas.openxmlformats.org/officeDocument/2006/relationships/customXml" Target="../customXml/item30.xml"/><Relationship Id="rId77" Type="http://schemas.openxmlformats.org/officeDocument/2006/relationships/customXml" Target="../customXml/item38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2.xml"/><Relationship Id="rId72" Type="http://schemas.openxmlformats.org/officeDocument/2006/relationships/customXml" Target="../customXml/item33.xml"/><Relationship Id="rId80" Type="http://schemas.openxmlformats.org/officeDocument/2006/relationships/customXml" Target="../customXml/item41.xml"/><Relationship Id="rId85" Type="http://schemas.openxmlformats.org/officeDocument/2006/relationships/customXml" Target="../customXml/item4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33" Type="http://schemas.openxmlformats.org/officeDocument/2006/relationships/pivotCacheDefinition" Target="pivotCache/pivotCacheDefinition29.xml"/><Relationship Id="rId38" Type="http://schemas.openxmlformats.org/officeDocument/2006/relationships/powerPivotData" Target="model/item.data"/><Relationship Id="rId46" Type="http://schemas.openxmlformats.org/officeDocument/2006/relationships/customXml" Target="../customXml/item7.xml"/><Relationship Id="rId59" Type="http://schemas.openxmlformats.org/officeDocument/2006/relationships/customXml" Target="../customXml/item20.xml"/><Relationship Id="rId67" Type="http://schemas.openxmlformats.org/officeDocument/2006/relationships/customXml" Target="../customXml/item28.xml"/><Relationship Id="rId20" Type="http://schemas.openxmlformats.org/officeDocument/2006/relationships/pivotCacheDefinition" Target="pivotCache/pivotCacheDefinition16.xml"/><Relationship Id="rId41" Type="http://schemas.openxmlformats.org/officeDocument/2006/relationships/customXml" Target="../customXml/item2.xml"/><Relationship Id="rId54" Type="http://schemas.openxmlformats.org/officeDocument/2006/relationships/customXml" Target="../customXml/item15.xml"/><Relationship Id="rId62" Type="http://schemas.openxmlformats.org/officeDocument/2006/relationships/customXml" Target="../customXml/item23.xml"/><Relationship Id="rId70" Type="http://schemas.openxmlformats.org/officeDocument/2006/relationships/customXml" Target="../customXml/item31.xml"/><Relationship Id="rId75" Type="http://schemas.openxmlformats.org/officeDocument/2006/relationships/customXml" Target="../customXml/item36.xml"/><Relationship Id="rId83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openxmlformats.org/officeDocument/2006/relationships/pivotCacheDefinition" Target="pivotCache/pivotCacheDefinition24.xml"/><Relationship Id="rId36" Type="http://schemas.openxmlformats.org/officeDocument/2006/relationships/styles" Target="styles.xml"/><Relationship Id="rId49" Type="http://schemas.openxmlformats.org/officeDocument/2006/relationships/customXml" Target="../customXml/item10.xml"/><Relationship Id="rId57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6.xml"/><Relationship Id="rId31" Type="http://schemas.openxmlformats.org/officeDocument/2006/relationships/pivotCacheDefinition" Target="pivotCache/pivotCacheDefinition27.xml"/><Relationship Id="rId44" Type="http://schemas.openxmlformats.org/officeDocument/2006/relationships/customXml" Target="../customXml/item5.xml"/><Relationship Id="rId52" Type="http://schemas.openxmlformats.org/officeDocument/2006/relationships/customXml" Target="../customXml/item13.xml"/><Relationship Id="rId60" Type="http://schemas.openxmlformats.org/officeDocument/2006/relationships/customXml" Target="../customXml/item21.xml"/><Relationship Id="rId65" Type="http://schemas.openxmlformats.org/officeDocument/2006/relationships/customXml" Target="../customXml/item26.xml"/><Relationship Id="rId73" Type="http://schemas.openxmlformats.org/officeDocument/2006/relationships/customXml" Target="../customXml/item34.xml"/><Relationship Id="rId78" Type="http://schemas.openxmlformats.org/officeDocument/2006/relationships/customXml" Target="../customXml/item39.xml"/><Relationship Id="rId81" Type="http://schemas.openxmlformats.org/officeDocument/2006/relationships/customXml" Target="../customXml/item4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39" Type="http://schemas.openxmlformats.org/officeDocument/2006/relationships/calcChain" Target="calcChain.xml"/><Relationship Id="rId34" Type="http://schemas.openxmlformats.org/officeDocument/2006/relationships/theme" Target="theme/theme1.xml"/><Relationship Id="rId50" Type="http://schemas.openxmlformats.org/officeDocument/2006/relationships/customXml" Target="../customXml/item11.xml"/><Relationship Id="rId55" Type="http://schemas.openxmlformats.org/officeDocument/2006/relationships/customXml" Target="../customXml/item16.xml"/><Relationship Id="rId76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3.xml"/><Relationship Id="rId71" Type="http://schemas.openxmlformats.org/officeDocument/2006/relationships/customXml" Target="../customXml/item32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25.xml"/><Relationship Id="rId24" Type="http://schemas.openxmlformats.org/officeDocument/2006/relationships/pivotCacheDefinition" Target="pivotCache/pivotCacheDefinition20.xml"/><Relationship Id="rId40" Type="http://schemas.openxmlformats.org/officeDocument/2006/relationships/customXml" Target="../customXml/item1.xml"/><Relationship Id="rId45" Type="http://schemas.openxmlformats.org/officeDocument/2006/relationships/customXml" Target="../customXml/item6.xml"/><Relationship Id="rId66" Type="http://schemas.openxmlformats.org/officeDocument/2006/relationships/customXml" Target="../customXml/item27.xml"/><Relationship Id="rId61" Type="http://schemas.openxmlformats.org/officeDocument/2006/relationships/customXml" Target="../customXml/item22.xml"/><Relationship Id="rId82" Type="http://schemas.openxmlformats.org/officeDocument/2006/relationships/customXml" Target="../customXml/item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[Dashboard(AutoRecovered)a.xlsx]Yearly Pivot!PivotTable4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D84E8B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D84E8B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84E8B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D84E8B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AEA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EAEAE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CA8C5"/>
          </a:solidFill>
          <a:ln>
            <a:noFill/>
          </a:ln>
          <a:effectLst/>
        </c:spPr>
      </c:pivotFmt>
      <c:pivotFmt>
        <c:idx val="11"/>
        <c:spPr>
          <a:solidFill>
            <a:srgbClr val="EFA3B6"/>
          </a:solidFill>
          <a:ln>
            <a:noFill/>
          </a:ln>
          <a:effectLst/>
        </c:spPr>
      </c:pivotFmt>
      <c:pivotFmt>
        <c:idx val="12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EAEAE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412FC7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756EA858-BD1C-4D33-BD55-22CF9AD61312}" type="VALUE">
                  <a:rPr lang="en-US" b="1">
                    <a:solidFill>
                      <a:schemeClr val="bg1"/>
                    </a:solidFill>
                  </a:rPr>
                  <a:pPr>
                    <a:defRPr b="1">
                      <a:solidFill>
                        <a:srgbClr val="412FC7"/>
                      </a:solidFill>
                    </a:defRPr>
                  </a:pPr>
                  <a:t>[VALUE]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5"/>
        <c:spPr>
          <a:solidFill>
            <a:srgbClr val="BD44B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C87F9BC-4D15-43E5-862C-8EC55CFAD593}" type="VALU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2331124005486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0B88B38E-217B-4BF9-8182-B6FE57F68ECE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8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742208496371320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ED7BBB8A-C581-4CB0-BEF7-2D0874F013CC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39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52040083318942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F660ED0C-C70A-494D-869B-E93913E386DB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0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5877069460687207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2139491F-FC31-4778-B7F2-97F70070069D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1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-7.7715726602774247E-17"/>
              <c:y val="-0.1835841888164707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F06FF741-ED67-4043-9C6C-DDE4C3344CA9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2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929003874396366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666F1A37-B1C7-4785-8202-0CE371AE1CC5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3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2313562097380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47FF025E-9A3B-4A87-A66E-27B0CE5B1385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4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9811984843103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C63CA5AC-4861-4534-BCD9-0FC0E83F9636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5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633389114052008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3481D3E0-11FA-405C-B224-39CF4E166B4F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6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79047653217382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9B6CF406-8578-41CC-81B0-8B007E07962E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  <c:pivotFmt>
        <c:idx val="47"/>
        <c:spPr>
          <a:solidFill>
            <a:srgbClr val="D8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047295814801986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fld id="{DC08A5C3-210F-493C-9A3F-B2A639044BE2}" type="CELLRANGE">
                  <a:rPr lang="en-US"/>
                  <a:pPr>
                    <a:defRPr>
                      <a:solidFill>
                        <a:srgbClr val="412FC7"/>
                      </a:solidFill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12FC7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317846237785841E-2"/>
          <c:y val="5.7846857686247397E-3"/>
          <c:w val="0.94547707558859972"/>
          <c:h val="0.84942174201359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'Yearly Pivot'!$AX$16:$AX$27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12FC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C-4F07-B7B3-B3323EBAC72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35C-4F07-B7B3-B3323EBAC72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35C-4F07-B7B3-B3323EBAC72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35C-4F07-B7B3-B3323EBAC72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35C-4F07-B7B3-B3323EBAC72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35C-4F07-B7B3-B3323EBAC72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35C-4F07-B7B3-B3323EBAC72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35C-4F07-B7B3-B3323EBAC72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35C-4F07-B7B3-B3323EBAC72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35C-4F07-B7B3-B3323EBAC72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35C-4F07-B7B3-B3323EBAC72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35C-4F07-B7B3-B3323EBAC72D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412FC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6EA858-BD1C-4D33-BD55-22CF9AD61312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rgbClr val="412FC7"/>
                          </a:solidFill>
                        </a:defRPr>
                      </a:pPr>
                      <a:t>[VALUE]</a:t>
                    </a:fld>
                    <a:endParaRPr lang="id-ID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412F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5C-4F07-B7B3-B3323EBAC72D}"/>
                </c:ext>
              </c:extLst>
            </c:dLbl>
            <c:dLbl>
              <c:idx val="1"/>
              <c:layout>
                <c:manualLayout>
                  <c:x val="0"/>
                  <c:y val="-0.20472958148019865"/>
                </c:manualLayout>
              </c:layout>
              <c:tx>
                <c:rich>
                  <a:bodyPr/>
                  <a:lstStyle/>
                  <a:p>
                    <a:fld id="{DC08A5C3-210F-493C-9A3F-B2A639044BE2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5C-4F07-B7B3-B3323EBAC72D}"/>
                </c:ext>
              </c:extLst>
            </c:dLbl>
            <c:dLbl>
              <c:idx val="2"/>
              <c:layout>
                <c:manualLayout>
                  <c:x val="0"/>
                  <c:y val="-0.1790476532173822"/>
                </c:manualLayout>
              </c:layout>
              <c:tx>
                <c:rich>
                  <a:bodyPr/>
                  <a:lstStyle/>
                  <a:p>
                    <a:fld id="{9B6CF406-8578-41CC-81B0-8B007E07962E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5C-4F07-B7B3-B3323EBAC72D}"/>
                </c:ext>
              </c:extLst>
            </c:dLbl>
            <c:dLbl>
              <c:idx val="3"/>
              <c:layout>
                <c:manualLayout>
                  <c:x val="0"/>
                  <c:y val="-0.16333891140520088"/>
                </c:manualLayout>
              </c:layout>
              <c:tx>
                <c:rich>
                  <a:bodyPr/>
                  <a:lstStyle/>
                  <a:p>
                    <a:fld id="{3481D3E0-11FA-405C-B224-39CF4E166B4F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5C-4F07-B7B3-B3323EBAC72D}"/>
                </c:ext>
              </c:extLst>
            </c:dLbl>
            <c:dLbl>
              <c:idx val="4"/>
              <c:layout>
                <c:manualLayout>
                  <c:x val="0"/>
                  <c:y val="-0.22398119848431031"/>
                </c:manualLayout>
              </c:layout>
              <c:tx>
                <c:rich>
                  <a:bodyPr/>
                  <a:lstStyle/>
                  <a:p>
                    <a:fld id="{C63CA5AC-4861-4534-BCD9-0FC0E83F9636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5C-4F07-B7B3-B3323EBAC72D}"/>
                </c:ext>
              </c:extLst>
            </c:dLbl>
            <c:dLbl>
              <c:idx val="5"/>
              <c:layout>
                <c:manualLayout>
                  <c:x val="0"/>
                  <c:y val="-0.22623135620973803"/>
                </c:manualLayout>
              </c:layout>
              <c:tx>
                <c:rich>
                  <a:bodyPr/>
                  <a:lstStyle/>
                  <a:p>
                    <a:fld id="{47FF025E-9A3B-4A87-A66E-27B0CE5B1385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5C-4F07-B7B3-B3323EBAC72D}"/>
                </c:ext>
              </c:extLst>
            </c:dLbl>
            <c:dLbl>
              <c:idx val="6"/>
              <c:layout>
                <c:manualLayout>
                  <c:x val="0"/>
                  <c:y val="-0.19290038743963661"/>
                </c:manualLayout>
              </c:layout>
              <c:tx>
                <c:rich>
                  <a:bodyPr/>
                  <a:lstStyle/>
                  <a:p>
                    <a:fld id="{666F1A37-B1C7-4785-8202-0CE371AE1CC5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35C-4F07-B7B3-B3323EBAC72D}"/>
                </c:ext>
              </c:extLst>
            </c:dLbl>
            <c:dLbl>
              <c:idx val="7"/>
              <c:layout>
                <c:manualLayout>
                  <c:x val="-7.7715726602774247E-17"/>
                  <c:y val="-0.18358418881647071"/>
                </c:manualLayout>
              </c:layout>
              <c:tx>
                <c:rich>
                  <a:bodyPr/>
                  <a:lstStyle/>
                  <a:p>
                    <a:fld id="{F06FF741-ED67-4043-9C6C-DDE4C3344CA9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35C-4F07-B7B3-B3323EBAC72D}"/>
                </c:ext>
              </c:extLst>
            </c:dLbl>
            <c:dLbl>
              <c:idx val="8"/>
              <c:layout>
                <c:manualLayout>
                  <c:x val="0"/>
                  <c:y val="-0.15877069460687207"/>
                </c:manualLayout>
              </c:layout>
              <c:tx>
                <c:rich>
                  <a:bodyPr/>
                  <a:lstStyle/>
                  <a:p>
                    <a:fld id="{2139491F-FC31-4778-B7F2-97F70070069D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5C-4F07-B7B3-B3323EBAC72D}"/>
                </c:ext>
              </c:extLst>
            </c:dLbl>
            <c:dLbl>
              <c:idx val="9"/>
              <c:layout>
                <c:manualLayout>
                  <c:x val="0"/>
                  <c:y val="-0.18520400833189429"/>
                </c:manualLayout>
              </c:layout>
              <c:tx>
                <c:rich>
                  <a:bodyPr/>
                  <a:lstStyle/>
                  <a:p>
                    <a:fld id="{F660ED0C-C70A-494D-869B-E93913E386DB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5C-4F07-B7B3-B3323EBAC72D}"/>
                </c:ext>
              </c:extLst>
            </c:dLbl>
            <c:dLbl>
              <c:idx val="10"/>
              <c:layout>
                <c:manualLayout>
                  <c:x val="0"/>
                  <c:y val="-0.17422084963713202"/>
                </c:manualLayout>
              </c:layout>
              <c:tx>
                <c:rich>
                  <a:bodyPr/>
                  <a:lstStyle/>
                  <a:p>
                    <a:fld id="{ED7BBB8A-C581-4CB0-BEF7-2D0874F013CC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35C-4F07-B7B3-B3323EBAC72D}"/>
                </c:ext>
              </c:extLst>
            </c:dLbl>
            <c:dLbl>
              <c:idx val="11"/>
              <c:layout>
                <c:manualLayout>
                  <c:x val="0"/>
                  <c:y val="-0.22623311240054866"/>
                </c:manualLayout>
              </c:layout>
              <c:tx>
                <c:rich>
                  <a:bodyPr/>
                  <a:lstStyle/>
                  <a:p>
                    <a:fld id="{0B88B38E-217B-4BF9-8182-B6FE57F68ECE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35C-4F07-B7B3-B3323EBAC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12FC7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'Yearly Pivot'!$AX$16:$AX$27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Pivot'!$AX$16:$AX$27</c:f>
              <c:numCache>
                <c:formatCode>0.0,,\ "M"</c:formatCode>
                <c:ptCount val="12"/>
                <c:pt idx="0">
                  <c:v>1949000</c:v>
                </c:pt>
                <c:pt idx="1">
                  <c:v>1567700</c:v>
                </c:pt>
                <c:pt idx="2">
                  <c:v>1313350</c:v>
                </c:pt>
                <c:pt idx="3">
                  <c:v>1156100</c:v>
                </c:pt>
                <c:pt idx="4">
                  <c:v>1698500</c:v>
                </c:pt>
                <c:pt idx="5">
                  <c:v>1719200</c:v>
                </c:pt>
                <c:pt idx="6">
                  <c:v>1400050</c:v>
                </c:pt>
                <c:pt idx="7">
                  <c:v>1304850</c:v>
                </c:pt>
                <c:pt idx="8">
                  <c:v>1120890</c:v>
                </c:pt>
                <c:pt idx="9">
                  <c:v>1322475</c:v>
                </c:pt>
                <c:pt idx="10">
                  <c:v>1277530</c:v>
                </c:pt>
                <c:pt idx="11">
                  <c:v>1730175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'Yearly Pivot'!$AX$16:$AX$27</c15:f>
                <c15:dlblRangeCache>
                  <c:ptCount val="12"/>
                  <c:pt idx="1">
                    <c:v>-19.6%</c:v>
                  </c:pt>
                  <c:pt idx="2">
                    <c:v>-16.2%</c:v>
                  </c:pt>
                  <c:pt idx="3">
                    <c:v>-12.0%</c:v>
                  </c:pt>
                  <c:pt idx="4">
                    <c:v>+46.9%</c:v>
                  </c:pt>
                  <c:pt idx="5">
                    <c:v>+1.2%</c:v>
                  </c:pt>
                  <c:pt idx="6">
                    <c:v>-18.6%</c:v>
                  </c:pt>
                  <c:pt idx="7">
                    <c:v>-6.8%</c:v>
                  </c:pt>
                  <c:pt idx="8">
                    <c:v>-14.1%</c:v>
                  </c:pt>
                  <c:pt idx="9">
                    <c:v>+18.0%</c:v>
                  </c:pt>
                  <c:pt idx="10">
                    <c:v>-3.4%</c:v>
                  </c:pt>
                  <c:pt idx="11">
                    <c:v>+35.4%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8E1-4DC1-A5C2-42046A889752}"/>
            </c:ext>
          </c:extLst>
        </c:ser>
        <c:ser>
          <c:idx val="1"/>
          <c:order val="1"/>
          <c:tx>
            <c:strRef>
              <c:f>'Yearly Pivot'!$AX$16:$AX$27</c:f>
              <c:strCache>
                <c:ptCount val="1"/>
                <c:pt idx="0">
                  <c:v>Expense min</c:v>
                </c:pt>
              </c:strCache>
            </c:strRef>
          </c:tx>
          <c:spPr>
            <a:solidFill>
              <a:srgbClr val="EAEAE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D44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C-4F07-B7B3-B3323EBAC72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35C-4F07-B7B3-B3323EBAC72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235C-4F07-B7B3-B3323EBAC72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35C-4F07-B7B3-B3323EBAC72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35C-4F07-B7B3-B3323EBAC72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35C-4F07-B7B3-B3323EBAC72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35C-4F07-B7B3-B3323EBAC72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35C-4F07-B7B3-B3323EBAC72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235C-4F07-B7B3-B3323EBAC72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35C-4F07-B7B3-B3323EBAC72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235C-4F07-B7B3-B3323EBAC72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235C-4F07-B7B3-B3323EBAC72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87F9BC-4D15-43E5-862C-8EC55CFAD593}" type="VALUE">
                      <a:rPr lang="en-US"/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id-ID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5C-4F07-B7B3-B3323EBAC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AEAEA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Pivot'!$AX$16:$AX$27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Pivot'!$AX$16:$AX$27</c:f>
              <c:numCache>
                <c:formatCode>\$#,##0;0.0,,\ "M"</c:formatCode>
                <c:ptCount val="12"/>
                <c:pt idx="0">
                  <c:v>-1254500</c:v>
                </c:pt>
                <c:pt idx="1">
                  <c:v>-1089000</c:v>
                </c:pt>
                <c:pt idx="2">
                  <c:v>-1010800</c:v>
                </c:pt>
                <c:pt idx="3">
                  <c:v>-963400</c:v>
                </c:pt>
                <c:pt idx="4">
                  <c:v>-1230900</c:v>
                </c:pt>
                <c:pt idx="5">
                  <c:v>-1226100</c:v>
                </c:pt>
                <c:pt idx="6">
                  <c:v>-1111200</c:v>
                </c:pt>
                <c:pt idx="7">
                  <c:v>-1036300</c:v>
                </c:pt>
                <c:pt idx="8">
                  <c:v>-1029300</c:v>
                </c:pt>
                <c:pt idx="9">
                  <c:v>-1027400</c:v>
                </c:pt>
                <c:pt idx="10">
                  <c:v>-1067600</c:v>
                </c:pt>
                <c:pt idx="11">
                  <c:v>-1199200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1-4DC1-A5C2-42046A8897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600113295"/>
        <c:axId val="600115215"/>
      </c:barChart>
      <c:catAx>
        <c:axId val="6001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0115215"/>
        <c:crosses val="autoZero"/>
        <c:auto val="1"/>
        <c:lblAlgn val="ctr"/>
        <c:lblOffset val="0"/>
        <c:noMultiLvlLbl val="0"/>
      </c:catAx>
      <c:valAx>
        <c:axId val="600115215"/>
        <c:scaling>
          <c:orientation val="minMax"/>
        </c:scaling>
        <c:delete val="1"/>
        <c:axPos val="l"/>
        <c:numFmt formatCode="0.0,,\ &quot;M&quot;" sourceLinked="1"/>
        <c:majorTickMark val="none"/>
        <c:minorTickMark val="none"/>
        <c:tickLblPos val="nextTo"/>
        <c:crossAx val="60011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54714800128902E-2"/>
          <c:y val="7.0445269572413857E-3"/>
          <c:w val="0.78936910649983882"/>
          <c:h val="0.992955473042758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62A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C5-4586-A52E-B2C859D5B23E}"/>
              </c:ext>
            </c:extLst>
          </c:dPt>
          <c:dPt>
            <c:idx val="1"/>
            <c:bubble3D val="0"/>
            <c:spPr>
              <a:solidFill>
                <a:srgbClr val="F0F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C5-4586-A52E-B2C859D5B23E}"/>
              </c:ext>
            </c:extLst>
          </c:dPt>
          <c:val>
            <c:numRef>
              <c:f>Matrix!$AI$21:$AI$22</c:f>
              <c:numCache>
                <c:formatCode>General</c:formatCode>
                <c:ptCount val="2"/>
                <c:pt idx="0">
                  <c:v>0.75033377837116155</c:v>
                </c:pt>
                <c:pt idx="1">
                  <c:v>0.24966622162883845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5-4586-A52E-B2C859D5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049786223646038E-2"/>
          <c:y val="0.14215376952340711"/>
          <c:w val="0.92000095571365015"/>
          <c:h val="0.60907713381063044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BD44B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F37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8-4BE7-BF97-27581B8F12AE}"/>
              </c:ext>
            </c:extLst>
          </c:dPt>
          <c:val>
            <c:numRef>
              <c:f>Matrix!$AO$21</c:f>
              <c:numCache>
                <c:formatCode>0.00</c:formatCode>
                <c:ptCount val="1"/>
                <c:pt idx="0">
                  <c:v>0.4713889589110159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8-4BE7-BF97-27581B8F12AE}"/>
            </c:ext>
          </c:extLst>
        </c:ser>
        <c:ser>
          <c:idx val="1"/>
          <c:order val="1"/>
          <c:spPr>
            <a:solidFill>
              <a:srgbClr val="D892D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7F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48-4BE7-BF97-27581B8F12AE}"/>
              </c:ext>
            </c:extLst>
          </c:dPt>
          <c:val>
            <c:numRef>
              <c:f>Matrix!$AO$22</c:f>
              <c:numCache>
                <c:formatCode>0.00</c:formatCode>
                <c:ptCount val="1"/>
                <c:pt idx="0">
                  <c:v>0.38568187547264937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8-4BE7-BF97-27581B8F12AE}"/>
            </c:ext>
          </c:extLst>
        </c:ser>
        <c:ser>
          <c:idx val="2"/>
          <c:order val="2"/>
          <c:spPr>
            <a:solidFill>
              <a:srgbClr val="EBC6EC"/>
            </a:solidFill>
            <a:ln>
              <a:noFill/>
            </a:ln>
            <a:effectLst/>
          </c:spPr>
          <c:invertIfNegative val="0"/>
          <c:val>
            <c:numRef>
              <c:f>Matrix!$AO$23</c:f>
              <c:numCache>
                <c:formatCode>0.00</c:formatCode>
                <c:ptCount val="1"/>
                <c:pt idx="0">
                  <c:v>0.14292916561633476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8-4BE7-BF97-27581B8F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923264"/>
        <c:axId val="962234240"/>
      </c:barChart>
      <c:catAx>
        <c:axId val="2047923264"/>
        <c:scaling>
          <c:orientation val="minMax"/>
        </c:scaling>
        <c:delete val="1"/>
        <c:axPos val="l"/>
        <c:majorTickMark val="none"/>
        <c:minorTickMark val="none"/>
        <c:tickLblPos val="nextTo"/>
        <c:crossAx val="962234240"/>
        <c:crosses val="autoZero"/>
        <c:auto val="1"/>
        <c:lblAlgn val="ctr"/>
        <c:lblOffset val="100"/>
        <c:noMultiLvlLbl val="0"/>
      </c:catAx>
      <c:valAx>
        <c:axId val="9622342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479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0"/>
          <c:spPr>
            <a:solidFill>
              <a:srgbClr val="826DDD"/>
            </a:soli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462A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13-4A91-B4FE-C5D1C0268652}"/>
              </c:ext>
            </c:extLst>
          </c:dPt>
          <c:val>
            <c:numRef>
              <c:f>Matrix!$AO$17</c:f>
              <c:numCache>
                <c:formatCode>0.00</c:formatCode>
                <c:ptCount val="1"/>
                <c:pt idx="0">
                  <c:v>0.74899866488651534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5-4653-AC3F-C9F2AA2394D4}"/>
            </c:ext>
          </c:extLst>
        </c:ser>
        <c:ser>
          <c:idx val="0"/>
          <c:order val="1"/>
          <c:spPr>
            <a:solidFill>
              <a:srgbClr val="826DDD"/>
            </a:solidFill>
            <a:ln>
              <a:noFill/>
            </a:ln>
            <a:effectLst/>
          </c:spPr>
          <c:invertIfNegative val="0"/>
          <c:val>
            <c:numRef>
              <c:f>Matrix!$AO$18</c:f>
              <c:numCache>
                <c:formatCode>0.00</c:formatCode>
                <c:ptCount val="1"/>
                <c:pt idx="0">
                  <c:v>0.14419225634178906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5-4653-AC3F-C9F2AA2394D4}"/>
            </c:ext>
          </c:extLst>
        </c:ser>
        <c:ser>
          <c:idx val="2"/>
          <c:order val="2"/>
          <c:spPr>
            <a:solidFill>
              <a:srgbClr val="AFA2EA"/>
            </a:solidFill>
            <a:ln>
              <a:noFill/>
            </a:ln>
            <a:effectLst/>
          </c:spPr>
          <c:invertIfNegative val="0"/>
          <c:val>
            <c:numRef>
              <c:f>Matrix!$AO$19</c:f>
              <c:numCache>
                <c:formatCode>0.00</c:formatCode>
                <c:ptCount val="1"/>
                <c:pt idx="0">
                  <c:v>0.1068090787716956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5-4653-AC3F-C9F2AA23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444464"/>
        <c:axId val="908446864"/>
      </c:barChart>
      <c:catAx>
        <c:axId val="908444464"/>
        <c:scaling>
          <c:orientation val="minMax"/>
        </c:scaling>
        <c:delete val="1"/>
        <c:axPos val="l"/>
        <c:majorTickMark val="none"/>
        <c:minorTickMark val="none"/>
        <c:tickLblPos val="nextTo"/>
        <c:crossAx val="908446864"/>
        <c:crosses val="autoZero"/>
        <c:auto val="1"/>
        <c:lblAlgn val="ctr"/>
        <c:lblOffset val="100"/>
        <c:noMultiLvlLbl val="0"/>
      </c:catAx>
      <c:valAx>
        <c:axId val="908446864"/>
        <c:scaling>
          <c:orientation val="minMax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9084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54714800128902E-2"/>
          <c:y val="7.0445269572413857E-3"/>
          <c:w val="0.78936910649983882"/>
          <c:h val="0.992955473042758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12F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C-4F66-AD59-377A70E91B6C}"/>
              </c:ext>
            </c:extLst>
          </c:dPt>
          <c:dPt>
            <c:idx val="1"/>
            <c:bubble3D val="0"/>
            <c:spPr>
              <a:solidFill>
                <a:srgbClr val="F0F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C-4F66-AD59-377A70E91B6C}"/>
              </c:ext>
            </c:extLst>
          </c:dPt>
          <c:val>
            <c:numRef>
              <c:f>Matrix!$AJ$21:$AJ$22</c:f>
              <c:numCache>
                <c:formatCode>General</c:formatCode>
                <c:ptCount val="2"/>
                <c:pt idx="0">
                  <c:v>0.54606141522029372</c:v>
                </c:pt>
                <c:pt idx="1">
                  <c:v>0.45393858477970628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C-4F66-AD59-377A70E9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54714800128902E-2"/>
          <c:y val="7.0445269572413857E-3"/>
          <c:w val="0.78936910649983882"/>
          <c:h val="0.992955473042758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12F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A0-41E3-82C2-6E6ED3211AE7}"/>
              </c:ext>
            </c:extLst>
          </c:dPt>
          <c:dPt>
            <c:idx val="1"/>
            <c:bubble3D val="0"/>
            <c:spPr>
              <a:solidFill>
                <a:srgbClr val="F0F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A0-41E3-82C2-6E6ED3211AE7}"/>
              </c:ext>
            </c:extLst>
          </c:dPt>
          <c:val>
            <c:numRef>
              <c:f>Matrix!$AK$21:$AK$22</c:f>
              <c:numCache>
                <c:formatCode>General</c:formatCode>
                <c:ptCount val="2"/>
                <c:pt idx="0">
                  <c:v>0.47036048064085445</c:v>
                </c:pt>
                <c:pt idx="1">
                  <c:v>0.52963951935914555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0-41E3-82C2-6E6ED321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[Dashboard(AutoRecovered)a.xlsx]Yearly Pivot!PivotTable2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>
                  <a:solidFill>
                    <a:srgbClr val="4F4F4F"/>
                  </a:solidFill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  <c:spPr>
          <a:solidFill>
            <a:srgbClr val="412FC7"/>
          </a:solidFill>
          <a:ln>
            <a:noFill/>
          </a:ln>
          <a:effectLst/>
        </c:spPr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rgbClr val="FFFFFF"/>
                    </a:solidFill>
                  </a:defRPr>
                </a:pPr>
                <a:fld id="{A9FAA98B-8BB9-47F9-8D75-C0EFE238A7A3}" type="VALUE">
                  <a:rPr lang="en-US" b="1">
                    <a:solidFill>
                      <a:srgbClr val="FFFFFF"/>
                    </a:solidFill>
                  </a:rPr>
                  <a:pPr>
                    <a:defRPr sz="900" b="1">
                      <a:solidFill>
                        <a:srgbClr val="FFFFFF"/>
                      </a:solidFill>
                    </a:defRPr>
                  </a:pPr>
                  <a:t>[VALUE]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rgbClr val="EEEEE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>
                  <a:solidFill>
                    <a:srgbClr val="4F4F4F"/>
                  </a:solidFill>
                </a:defRPr>
              </a:pPr>
              <a:endParaRPr lang="id-ID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EEEEE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185138464348147E-2"/>
          <c:y val="0.10647447844335801"/>
          <c:w val="0.93481483002278676"/>
          <c:h val="0.854185943712851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'Yearly Pivot'!$AG$1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EE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5-4087-987E-3AE27D54B5EB}"/>
              </c:ext>
            </c:extLst>
          </c:dPt>
          <c:dPt>
            <c:idx val="1"/>
            <c:invertIfNegative val="0"/>
            <c:bubble3D val="0"/>
            <c:spPr>
              <a:solidFill>
                <a:srgbClr val="EEEE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15-4087-987E-3AE27D54B5EB}"/>
              </c:ext>
            </c:extLst>
          </c:dPt>
          <c:dPt>
            <c:idx val="2"/>
            <c:invertIfNegative val="0"/>
            <c:bubble3D val="0"/>
            <c:spPr>
              <a:solidFill>
                <a:srgbClr val="412FC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15-4087-987E-3AE27D54B5EB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15-4087-987E-3AE27D54B5EB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1">
                        <a:solidFill>
                          <a:srgbClr val="FFFFFF"/>
                        </a:solidFill>
                      </a:defRPr>
                    </a:pPr>
                    <a:fld id="{A9FAA98B-8BB9-47F9-8D75-C0EFE238A7A3}" type="VALUE">
                      <a:rPr lang="en-US" b="1">
                        <a:solidFill>
                          <a:srgbClr val="FFFFFF"/>
                        </a:solidFill>
                      </a:rPr>
                      <a:pPr>
                        <a:defRPr sz="900" b="1">
                          <a:solidFill>
                            <a:srgbClr val="FFFFFF"/>
                          </a:solidFill>
                        </a:defRPr>
                      </a:pPr>
                      <a:t>[VALUE]</a:t>
                    </a:fld>
                    <a:endParaRPr lang="id-ID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E15-4087-987E-3AE27D54B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rgbClr val="4F4F4F"/>
                    </a:solidFill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'Yearly Pivot'!$AF$2:$AF$4</c:f>
              <c:strCache>
                <c:ptCount val="3"/>
                <c:pt idx="0">
                  <c:v>Nutrition and Food Supplements </c:v>
                </c:pt>
                <c:pt idx="1">
                  <c:v>Sportswear</c:v>
                </c:pt>
                <c:pt idx="2">
                  <c:v>Sports equipment</c:v>
                </c:pt>
              </c:strCache>
            </c:strRef>
          </c:cat>
          <c:val>
            <c:numRef>
              <c:f>'Yearly Pivot'!$AG$2:$AG$4</c:f>
              <c:numCache>
                <c:formatCode>"$"0.0,,\ "M"</c:formatCode>
                <c:ptCount val="3"/>
                <c:pt idx="0">
                  <c:v>1843620</c:v>
                </c:pt>
                <c:pt idx="1">
                  <c:v>6807700</c:v>
                </c:pt>
                <c:pt idx="2">
                  <c:v>8908500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5-4087-987E-3AE27D54B5EB}"/>
            </c:ext>
          </c:extLst>
        </c:ser>
        <c:ser>
          <c:idx val="1"/>
          <c:order val="1"/>
          <c:tx>
            <c:strRef>
              <c:f>'Yearly Pivot'!$AH$1</c:f>
              <c:strCache>
                <c:ptCount val="1"/>
                <c:pt idx="0">
                  <c:v>Expense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15-4087-987E-3AE27D54B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id-ID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'Yearly Pivot'!$AF$2:$AF$4</c:f>
              <c:strCache>
                <c:ptCount val="3"/>
                <c:pt idx="0">
                  <c:v>Nutrition and Food Supplements </c:v>
                </c:pt>
                <c:pt idx="1">
                  <c:v>Sportswear</c:v>
                </c:pt>
                <c:pt idx="2">
                  <c:v>Sports equipment</c:v>
                </c:pt>
              </c:strCache>
            </c:strRef>
          </c:cat>
          <c:val>
            <c:numRef>
              <c:f>'Yearly Pivot'!$AH$2:$AH$4</c:f>
              <c:numCache>
                <c:formatCode>\$#,##0;"$"0.0,,\ "M"</c:formatCode>
                <c:ptCount val="3"/>
                <c:pt idx="0">
                  <c:v>-2556500</c:v>
                </c:pt>
                <c:pt idx="1">
                  <c:v>-4070900</c:v>
                </c:pt>
                <c:pt idx="2">
                  <c:v>-6618300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5-4087-987E-3AE27D54B5E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26621567"/>
        <c:axId val="426623007"/>
      </c:barChart>
      <c:catAx>
        <c:axId val="426621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6623007"/>
        <c:crosses val="autoZero"/>
        <c:auto val="1"/>
        <c:lblAlgn val="ctr"/>
        <c:lblOffset val="100"/>
        <c:noMultiLvlLbl val="0"/>
      </c:catAx>
      <c:valAx>
        <c:axId val="426623007"/>
        <c:scaling>
          <c:orientation val="minMax"/>
        </c:scaling>
        <c:delete val="1"/>
        <c:axPos val="b"/>
        <c:numFmt formatCode="&quot;$&quot;0.0,,\ &quot;M&quot;" sourceLinked="1"/>
        <c:majorTickMark val="none"/>
        <c:minorTickMark val="none"/>
        <c:tickLblPos val="nextTo"/>
        <c:crossAx val="4266215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[Dashboard(AutoRecovered)a.xlsx]Yearly Pivot!PivotTable2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D84E8B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0">
                  <a:solidFill>
                    <a:srgbClr val="4F4F4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D44B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900" b="1">
                  <a:solidFill>
                    <a:srgbClr val="FFFFFF"/>
                  </a:solidFill>
                </a:defRPr>
              </a:pPr>
              <a:endParaRPr lang="id-ID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EEEEEE"/>
          </a:solidFill>
          <a:ln>
            <a:noFill/>
          </a:ln>
          <a:effectLst/>
        </c:spPr>
      </c:pivotFmt>
      <c:pivotFmt>
        <c:idx val="29"/>
        <c:spPr>
          <a:solidFill>
            <a:srgbClr val="EEEEE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9.2626261889554903E-2"/>
          <c:w val="0.93481483002278676"/>
          <c:h val="0.8544444456021279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'Yearly Pivot'!$AG$1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id-ID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'Yearly Pivot'!$AF$2:$AF$4</c:f>
              <c:strCache>
                <c:ptCount val="3"/>
                <c:pt idx="0">
                  <c:v>Nutrition and Food Supplements </c:v>
                </c:pt>
                <c:pt idx="1">
                  <c:v>Sportswear</c:v>
                </c:pt>
                <c:pt idx="2">
                  <c:v>Sports equipment</c:v>
                </c:pt>
              </c:strCache>
            </c:strRef>
          </c:cat>
          <c:val>
            <c:numRef>
              <c:f>'Yearly Pivot'!$AG$2:$AG$4</c:f>
              <c:numCache>
                <c:formatCode>"$"0.0,,\ "M"</c:formatCode>
                <c:ptCount val="3"/>
                <c:pt idx="0">
                  <c:v>1843620</c:v>
                </c:pt>
                <c:pt idx="1">
                  <c:v>6807700</c:v>
                </c:pt>
                <c:pt idx="2">
                  <c:v>8908500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18-4C9A-B2AA-28AEC59D1F4B}"/>
            </c:ext>
          </c:extLst>
        </c:ser>
        <c:ser>
          <c:idx val="0"/>
          <c:order val="1"/>
          <c:tx>
            <c:strRef>
              <c:f>'Yearly Pivot'!$AH$1</c:f>
              <c:strCache>
                <c:ptCount val="1"/>
                <c:pt idx="0">
                  <c:v>Expense min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EE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18-4C9A-B2AA-28AEC59D1F4B}"/>
              </c:ext>
            </c:extLst>
          </c:dPt>
          <c:dPt>
            <c:idx val="1"/>
            <c:invertIfNegative val="0"/>
            <c:bubble3D val="0"/>
            <c:spPr>
              <a:solidFill>
                <a:srgbClr val="EEEE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518-4C9A-B2AA-28AEC59D1F4B}"/>
              </c:ext>
            </c:extLst>
          </c:dPt>
          <c:dPt>
            <c:idx val="2"/>
            <c:invertIfNegative val="0"/>
            <c:bubble3D val="0"/>
            <c:spPr>
              <a:solidFill>
                <a:srgbClr val="BD44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B1-4D5A-8649-EF522B35B8CF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>
                      <a:solidFill>
                        <a:srgbClr val="FFFFFF"/>
                      </a:solidFill>
                    </a:defRPr>
                  </a:pPr>
                  <a:endParaRPr lang="id-ID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7B1-4D5A-8649-EF522B35B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rgbClr val="4F4F4F"/>
                    </a:solidFill>
                  </a:defRPr>
                </a:pPr>
                <a:endParaRPr lang="id-ID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'Yearly Pivot'!$AF$2:$AF$4</c:f>
              <c:strCache>
                <c:ptCount val="3"/>
                <c:pt idx="0">
                  <c:v>Nutrition and Food Supplements </c:v>
                </c:pt>
                <c:pt idx="1">
                  <c:v>Sportswear</c:v>
                </c:pt>
                <c:pt idx="2">
                  <c:v>Sports equipment</c:v>
                </c:pt>
              </c:strCache>
            </c:strRef>
          </c:cat>
          <c:val>
            <c:numRef>
              <c:f>'Yearly Pivot'!$AH$2:$AH$4</c:f>
              <c:numCache>
                <c:formatCode>\$#,##0;"$"0.0,,\ "M"</c:formatCode>
                <c:ptCount val="3"/>
                <c:pt idx="0">
                  <c:v>-2556500</c:v>
                </c:pt>
                <c:pt idx="1">
                  <c:v>-4070900</c:v>
                </c:pt>
                <c:pt idx="2">
                  <c:v>-6618300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18-4C9A-B2AA-28AEC59D1F4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26621567"/>
        <c:axId val="426623007"/>
      </c:barChart>
      <c:catAx>
        <c:axId val="426621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6623007"/>
        <c:crosses val="autoZero"/>
        <c:auto val="1"/>
        <c:lblAlgn val="ctr"/>
        <c:lblOffset val="100"/>
        <c:noMultiLvlLbl val="0"/>
      </c:catAx>
      <c:valAx>
        <c:axId val="426623007"/>
        <c:scaling>
          <c:orientation val="minMax"/>
        </c:scaling>
        <c:delete val="1"/>
        <c:axPos val="b"/>
        <c:numFmt formatCode="&quot;$&quot;0.0,,\ &quot;M&quot;" sourceLinked="1"/>
        <c:majorTickMark val="none"/>
        <c:minorTickMark val="none"/>
        <c:tickLblPos val="nextTo"/>
        <c:crossAx val="4266215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[Dashboard(AutoRecovered)a.xlsx]Yearly Pivot!PivotTable10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94495">
                <a:schemeClr val="accent1">
                  <a:alpha val="10000"/>
                  <a:lumMod val="13000"/>
                  <a:lumOff val="87000"/>
                </a:schemeClr>
              </a:gs>
            </a:gsLst>
            <a:lin ang="5400000" scaled="1"/>
          </a:gradFill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5000">
                <a:srgbClr val="412FC7"/>
              </a:gs>
              <a:gs pos="100000">
                <a:srgbClr val="2BD3BF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5671885908246347E-2"/>
          <c:w val="1"/>
          <c:h val="0.89725625664901687"/>
        </c:manualLayout>
      </c:layout>
      <c:areaChart>
        <c:grouping val="standard"/>
        <c:varyColors val="0"/>
        <c:ser>
          <c:idx val="1"/>
          <c:order val="1"/>
          <c:tx>
            <c:strRef>
              <c:f>'Yearly Pivot'!$J$1</c:f>
              <c:strCache>
                <c:ptCount val="1"/>
                <c:pt idx="0">
                  <c:v>Revenue2</c:v>
                </c:pt>
              </c:strCache>
            </c:strRef>
          </c:tx>
          <c:spPr>
            <a:gradFill>
              <a:gsLst>
                <a:gs pos="15000">
                  <a:srgbClr val="412FC7"/>
                </a:gs>
                <a:gs pos="100000">
                  <a:srgbClr val="2BD3BF"/>
                </a:gs>
              </a:gsLst>
              <a:lin ang="5400000" scaled="1"/>
            </a:gradFill>
            <a:ln>
              <a:noFill/>
            </a:ln>
          </c:spPr>
          <c:cat>
            <c:strRef>
              <c:f>'Yearly Pivot'!$H$2:$H$13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Pivot'!$J$2:$J$13</c:f>
              <c:numCache>
                <c:formatCode>\$#,##0;\(\$#,##0\);\$#,##0</c:formatCode>
                <c:ptCount val="12"/>
                <c:pt idx="0">
                  <c:v>1949000</c:v>
                </c:pt>
                <c:pt idx="1">
                  <c:v>1567700</c:v>
                </c:pt>
                <c:pt idx="2">
                  <c:v>1313350</c:v>
                </c:pt>
                <c:pt idx="3">
                  <c:v>1156100</c:v>
                </c:pt>
                <c:pt idx="4">
                  <c:v>1698500</c:v>
                </c:pt>
                <c:pt idx="5">
                  <c:v>1719200</c:v>
                </c:pt>
                <c:pt idx="6">
                  <c:v>1400050</c:v>
                </c:pt>
                <c:pt idx="7">
                  <c:v>1304850</c:v>
                </c:pt>
                <c:pt idx="8">
                  <c:v>1120890</c:v>
                </c:pt>
                <c:pt idx="9">
                  <c:v>1322475</c:v>
                </c:pt>
                <c:pt idx="10">
                  <c:v>1277530</c:v>
                </c:pt>
                <c:pt idx="11">
                  <c:v>1730175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0-459F-B128-A73DE02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240"/>
        <c:axId val="1333978048"/>
      </c:areaChart>
      <c:lineChart>
        <c:grouping val="standard"/>
        <c:varyColors val="0"/>
        <c:ser>
          <c:idx val="0"/>
          <c:order val="0"/>
          <c:tx>
            <c:strRef>
              <c:f>'Yearly Pivot'!$I$1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3970" cap="rnd">
              <a:solidFill>
                <a:srgbClr val="2C2088"/>
              </a:solidFill>
              <a:round/>
            </a:ln>
            <a:effectLst/>
          </c:spPr>
          <c:marker>
            <c:symbol val="none"/>
          </c:marker>
          <c:cat>
            <c:strRef>
              <c:f>'Yearly Pivot'!$H$2:$H$13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Pivot'!$I$2:$I$13</c:f>
              <c:numCache>
                <c:formatCode>\$#,##0;\(\$#,##0\);\$#,##0</c:formatCode>
                <c:ptCount val="12"/>
                <c:pt idx="0">
                  <c:v>1949000</c:v>
                </c:pt>
                <c:pt idx="1">
                  <c:v>1567700</c:v>
                </c:pt>
                <c:pt idx="2">
                  <c:v>1313350</c:v>
                </c:pt>
                <c:pt idx="3">
                  <c:v>1156100</c:v>
                </c:pt>
                <c:pt idx="4">
                  <c:v>1698500</c:v>
                </c:pt>
                <c:pt idx="5">
                  <c:v>1719200</c:v>
                </c:pt>
                <c:pt idx="6">
                  <c:v>1400050</c:v>
                </c:pt>
                <c:pt idx="7">
                  <c:v>1304850</c:v>
                </c:pt>
                <c:pt idx="8">
                  <c:v>1120890</c:v>
                </c:pt>
                <c:pt idx="9">
                  <c:v>1322475</c:v>
                </c:pt>
                <c:pt idx="10">
                  <c:v>1277530</c:v>
                </c:pt>
                <c:pt idx="11">
                  <c:v>1730175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88-4DC3-9D70-75F62C2F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8240"/>
        <c:axId val="1333978048"/>
      </c:lineChart>
      <c:catAx>
        <c:axId val="15426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3978048"/>
        <c:crosses val="autoZero"/>
        <c:auto val="1"/>
        <c:lblAlgn val="ctr"/>
        <c:lblOffset val="100"/>
        <c:noMultiLvlLbl val="0"/>
      </c:catAx>
      <c:valAx>
        <c:axId val="1333978048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1542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  <a:round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[Dashboard(AutoRecovered)a.xlsx]Yearly Pivot!PivotTable8</c:name>
    <c:fmtId val="9"/>
  </c:pivotSource>
  <c:chart>
    <c:autoTitleDeleted val="1"/>
    <c:pivotFmts>
      <c:pivotFmt>
        <c:idx val="0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84E8B"/>
          </a:solidFill>
          <a:ln>
            <a:noFill/>
          </a:ln>
          <a:effectLst/>
        </c:spPr>
      </c:pivotFmt>
      <c:pivotFmt>
        <c:idx val="2"/>
        <c:spPr>
          <a:solidFill>
            <a:srgbClr val="D8D8D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84E8B"/>
          </a:solidFill>
          <a:ln>
            <a:noFill/>
          </a:ln>
          <a:effectLst/>
        </c:spPr>
      </c:pivotFmt>
      <c:pivotFmt>
        <c:idx val="4"/>
        <c:spPr>
          <a:solidFill>
            <a:srgbClr val="D8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rgbClr val="D84E8B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120E2B23-6633-493C-8FD2-5737B66DF7E5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EC787666-DE83-4B1C-8B77-65831110924D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9CAE40ED-6A21-4B8A-AE2A-6763AE665862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ADED9158-128F-4606-96E8-80A532740B20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FF894B14-E2D4-4771-B455-EB454E28A582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1410F67F-E43D-4599-A29A-A6CB87343398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0A1AB4CE-B9BD-4B36-9542-41FA28FC4B6A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29AF8EB3-D17F-4B13-8967-E75018EB8ADF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FD804A82-0E89-40A6-AEBB-6B93550E9381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ABEEB14E-D377-4738-92A2-33176DD43BF5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22C8A798-E058-4853-AF1C-920A3D467F6F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A6A6A"/>
                    </a:solidFill>
                    <a:latin typeface="+mn-lt"/>
                    <a:ea typeface="+mn-ea"/>
                    <a:cs typeface="+mn-cs"/>
                  </a:defRPr>
                </a:pPr>
                <a:fld id="{FED494D9-33C4-44F8-9DCE-4D3C37DA0321}" type="CELLRANGE">
                  <a:rPr lang="en-US"/>
                  <a:pPr>
                    <a:defRPr sz="900" b="0" i="0" u="none" strike="noStrike" kern="1200" baseline="0">
                      <a:solidFill>
                        <a:srgbClr val="6A6A6A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A6A6A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8"/>
        <c:spPr>
          <a:solidFill>
            <a:srgbClr val="EFA3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2FFB56-0408-4C42-AE18-484AE3F4F354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ACDD40-0084-4832-B7A7-00D0EB5F6EEF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4FB463F-DFF3-4032-9A62-6F282AD7AD58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44E1D69-E193-4ADD-A22C-4C17471A078B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5B8CAB-BCD7-4C84-B4C5-78D8DAB28630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C265D3-3BCA-42AE-81B1-9EC402A53F4A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91A108-C342-4353-A126-3EC9F3441EE9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90569B7-4EE3-49F1-BFCA-D327BEE4D2D3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22CE06D-232C-4CB3-8D58-4E62404065E5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1DF02E-3E90-4736-9EEB-1D2C4FA081AB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4AEF3D-E703-4D54-AF7F-EA9BA1F9B36C}" type="CELLRANGE">
                  <a:rPr lang="id-ID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rgbClr val="EAEA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1"/>
        <c:spPr>
          <a:solidFill>
            <a:srgbClr val="BD44B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3175302-7643-4BC8-9EEC-4E38534E4ECA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559DDE-8DDB-4FA2-8A3D-6357E626ECDF}" type="CELLRANGE">
                  <a:rPr lang="en-US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C943D45-308C-4EE2-8FFB-735DABDEE680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7A8511-7DFE-4740-97CA-AF5CCC9FCF7D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5D9C41B-CE28-4690-AE24-6EB2F1FB1139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B63A920-5D76-4D54-B32B-8D4B5FA4AA5E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771FE2-BEE4-44F2-B965-07EC7B0A9472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59AF70-78A9-468C-8976-30970ADB04BF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B805AC7-B776-41E3-87A9-DE170948F39D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8B6619-000C-4CCE-977B-64A7B17C99A7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596BED-50A2-48F4-B6A5-7D7973C6A6D3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solidFill>
            <a:srgbClr val="EAEAE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42C15A-C431-49D1-9F75-2EA9AE073F2C}" type="CELLRANGE">
                  <a:rPr lang="id-ID"/>
                  <a:pPr>
                    <a:defRPr/>
                  </a:pPr>
                  <a:t>[CELLRANGE]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790552374532735"/>
          <c:y val="6.0668098305893585E-2"/>
          <c:w val="0.74897128368114674"/>
          <c:h val="0.899886234357224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'Yearly Pivot'!$AN$2:$AN$13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AEAE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27ED-46EE-A0E3-15A3C68B217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7ED-46EE-A0E3-15A3C68B21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7ED-46EE-A0E3-15A3C68B217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7ED-46EE-A0E3-15A3C68B217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7ED-46EE-A0E3-15A3C68B217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7ED-46EE-A0E3-15A3C68B21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27ED-46EE-A0E3-15A3C68B217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7ED-46EE-A0E3-15A3C68B217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27ED-46EE-A0E3-15A3C68B217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27ED-46EE-A0E3-15A3C68B217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27ED-46EE-A0E3-15A3C68B217B}"/>
              </c:ext>
            </c:extLst>
          </c:dPt>
          <c:dPt>
            <c:idx val="11"/>
            <c:invertIfNegative val="0"/>
            <c:bubble3D val="0"/>
            <c:spPr>
              <a:solidFill>
                <a:srgbClr val="BD44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ED-46EE-A0E3-15A3C68B217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9559DDE-8DDB-4FA2-8A3D-6357E626ECDF}" type="CELLRANGE">
                      <a:rPr lang="en-US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7ED-46EE-A0E3-15A3C68B21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943D45-308C-4EE2-8FFB-735DABDEE68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ED-46EE-A0E3-15A3C68B21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7A8511-7DFE-4740-97CA-AF5CCC9FCF7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7ED-46EE-A0E3-15A3C68B21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D9C41B-CE28-4690-AE24-6EB2F1FB113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ED-46EE-A0E3-15A3C68B21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63A920-5D76-4D54-B32B-8D4B5FA4AA5E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ED-46EE-A0E3-15A3C68B21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771FE2-BEE4-44F2-B965-07EC7B0A947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ED-46EE-A0E3-15A3C68B21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59AF70-78A9-468C-8976-30970ADB04BF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7ED-46EE-A0E3-15A3C68B21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805AC7-B776-41E3-87A9-DE170948F39D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ED-46EE-A0E3-15A3C68B21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8B6619-000C-4CCE-977B-64A7B17C99A7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7ED-46EE-A0E3-15A3C68B21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596BED-50A2-48F4-B6A5-7D7973C6A6D3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ED-46EE-A0E3-15A3C68B21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42C15A-C431-49D1-9F75-2EA9AE073F2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ED-46EE-A0E3-15A3C68B21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3175302-7643-4BC8-9EEC-4E38534E4ECA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ED-46EE-A0E3-15A3C68B2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'Yearly Pivot'!$AN$2:$AN$13</c:f>
              <c:strCache>
                <c:ptCount val="12"/>
                <c:pt idx="0">
                  <c:v>Packaging</c:v>
                </c:pt>
                <c:pt idx="1">
                  <c:v>Shipping</c:v>
                </c:pt>
                <c:pt idx="2">
                  <c:v>Other</c:v>
                </c:pt>
                <c:pt idx="3">
                  <c:v>Sales</c:v>
                </c:pt>
                <c:pt idx="4">
                  <c:v>R&amp;D</c:v>
                </c:pt>
                <c:pt idx="5">
                  <c:v>Rent</c:v>
                </c:pt>
                <c:pt idx="6">
                  <c:v>Interest and tax</c:v>
                </c:pt>
                <c:pt idx="7">
                  <c:v>Marketing</c:v>
                </c:pt>
                <c:pt idx="8">
                  <c:v>Materials</c:v>
                </c:pt>
                <c:pt idx="9">
                  <c:v>Equipment</c:v>
                </c:pt>
                <c:pt idx="10">
                  <c:v>Payroll</c:v>
                </c:pt>
                <c:pt idx="11">
                  <c:v>Labor</c:v>
                </c:pt>
              </c:strCache>
            </c:strRef>
          </c:cat>
          <c:val>
            <c:numRef>
              <c:f>'Yearly Pivot'!$AN$2:$AN$13</c:f>
              <c:numCache>
                <c:formatCode>\$#,##0;\(\$#,##0\);\$#,##0</c:formatCode>
                <c:ptCount val="12"/>
                <c:pt idx="0">
                  <c:v>98200</c:v>
                </c:pt>
                <c:pt idx="1">
                  <c:v>345600</c:v>
                </c:pt>
                <c:pt idx="2">
                  <c:v>405500</c:v>
                </c:pt>
                <c:pt idx="3">
                  <c:v>447000</c:v>
                </c:pt>
                <c:pt idx="4">
                  <c:v>540000</c:v>
                </c:pt>
                <c:pt idx="5">
                  <c:v>745000</c:v>
                </c:pt>
                <c:pt idx="6">
                  <c:v>929400</c:v>
                </c:pt>
                <c:pt idx="7">
                  <c:v>1055000</c:v>
                </c:pt>
                <c:pt idx="8">
                  <c:v>1065000</c:v>
                </c:pt>
                <c:pt idx="9">
                  <c:v>1333000</c:v>
                </c:pt>
                <c:pt idx="10">
                  <c:v>1790000</c:v>
                </c:pt>
                <c:pt idx="11">
                  <c:v>4492000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'Yearly Pivot'!$AN$2:$AN$13</c15:f>
                <c15:dlblRangeCache>
                  <c:ptCount val="12"/>
                  <c:pt idx="0">
                    <c:v>0.7%</c:v>
                  </c:pt>
                  <c:pt idx="1">
                    <c:v>2.6%</c:v>
                  </c:pt>
                  <c:pt idx="2">
                    <c:v>3.1%</c:v>
                  </c:pt>
                  <c:pt idx="3">
                    <c:v>3.4%</c:v>
                  </c:pt>
                  <c:pt idx="4">
                    <c:v>4.1%</c:v>
                  </c:pt>
                  <c:pt idx="5">
                    <c:v>5.6%</c:v>
                  </c:pt>
                  <c:pt idx="6">
                    <c:v>7.0%</c:v>
                  </c:pt>
                  <c:pt idx="7">
                    <c:v>8.0%</c:v>
                  </c:pt>
                  <c:pt idx="8">
                    <c:v>8.0%</c:v>
                  </c:pt>
                  <c:pt idx="9">
                    <c:v>10.1%</c:v>
                  </c:pt>
                  <c:pt idx="10">
                    <c:v>13.5%</c:v>
                  </c:pt>
                  <c:pt idx="11">
                    <c:v>33.9%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27ED-46EE-A0E3-15A3C68B2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9753984"/>
        <c:axId val="29250416"/>
      </c:barChart>
      <c:catAx>
        <c:axId val="79753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A6A6A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250416"/>
        <c:crosses val="autoZero"/>
        <c:auto val="1"/>
        <c:lblAlgn val="ctr"/>
        <c:lblOffset val="100"/>
        <c:noMultiLvlLbl val="0"/>
      </c:catAx>
      <c:valAx>
        <c:axId val="29250416"/>
        <c:scaling>
          <c:orientation val="minMax"/>
        </c:scaling>
        <c:delete val="1"/>
        <c:axPos val="b"/>
        <c:numFmt formatCode="\$#,##0;\(\$#,##0\);\$#,##0" sourceLinked="1"/>
        <c:majorTickMark val="none"/>
        <c:minorTickMark val="none"/>
        <c:tickLblPos val="nextTo"/>
        <c:crossAx val="797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[Dashboard(AutoRecovered)a.xlsx]Yearly Pivot!PivotTable5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rgbClr val="EEEEEE"/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EEEEE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rgbClr val="EEEEEE"/>
            </a:outerShdw>
          </a:effectLst>
        </c:spPr>
        <c:dLbl>
          <c:idx val="0"/>
          <c:layout>
            <c:manualLayout>
              <c:x val="0.30063492495336686"/>
              <c:y val="-0.1420439632545931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BAC7353-227D-425A-901D-93C6200D4AF4}" type="CATEGORYNAME">
                  <a:rPr lang="en-US" b="1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FD0ABC61-1297-4BCC-9C03-59718D39607E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2689385262518725"/>
                  <c:h val="0.32033762492033668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EEEEEE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rgbClr val="EEEEEE"/>
            </a:outerShdw>
          </a:effectLst>
        </c:spPr>
        <c:dLbl>
          <c:idx val="0"/>
          <c:layout>
            <c:manualLayout>
              <c:x val="7.2785611694532676E-3"/>
              <c:y val="-0.2028813614838132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6A7E325-8D69-4068-ADAD-8BFD9AD7DE81}" type="CATEGORYNAME">
                  <a:rPr lang="en-US" b="1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809DF2A2-3ED5-4B27-91C8-5BA245FE56FC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4954283049226165"/>
                  <c:h val="0.19883883059188898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412FC7"/>
          </a:solidFill>
          <a:ln w="19050" cap="rnd">
            <a:solidFill>
              <a:schemeClr val="lt1"/>
            </a:solidFill>
            <a:round/>
          </a:ln>
          <a:effectLst>
            <a:outerShdw blurRad="50800" dist="50800" dir="5400000" algn="ctr" rotWithShape="0">
              <a:srgbClr val="EEEEEE"/>
            </a:outerShdw>
          </a:effectLst>
        </c:spPr>
        <c:dLbl>
          <c:idx val="0"/>
          <c:layout>
            <c:manualLayout>
              <c:x val="-0.17682851222544552"/>
              <c:y val="8.834577716942512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2DC539-2CEA-4A36-9227-66BCD38BCF4A}" type="CATEGORYNAME">
                  <a:rPr lang="en-US" b="1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5EAA77D6-D79C-4820-812F-2F036EE36BF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510976856016228"/>
          <c:y val="0.30341254218222724"/>
          <c:w val="0.441308963572346"/>
          <c:h val="0.67038308226771592"/>
        </c:manualLayout>
      </c:layout>
      <c:doughnutChart>
        <c:varyColors val="1"/>
        <c:ser>
          <c:idx val="0"/>
          <c:order val="0"/>
          <c:tx>
            <c:strRef>
              <c:f>'Yearly Pivot'!$AS$1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algn="ctr" rotWithShape="0">
                <a:srgbClr val="EEEEEE"/>
              </a:outerShdw>
            </a:effectLst>
          </c:spPr>
          <c:dPt>
            <c:idx val="0"/>
            <c:bubble3D val="0"/>
            <c:spPr>
              <a:solidFill>
                <a:srgbClr val="EEEEEE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rgbClr val="EEEEEE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81-4503-B8A8-D6997E356917}"/>
              </c:ext>
            </c:extLst>
          </c:dPt>
          <c:dPt>
            <c:idx val="1"/>
            <c:bubble3D val="0"/>
            <c:spPr>
              <a:solidFill>
                <a:srgbClr val="EEEEEE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rgbClr val="EEEEEE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81-4503-B8A8-D6997E356917}"/>
              </c:ext>
            </c:extLst>
          </c:dPt>
          <c:dPt>
            <c:idx val="2"/>
            <c:bubble3D val="0"/>
            <c:spPr>
              <a:solidFill>
                <a:srgbClr val="412FC7"/>
              </a:solidFill>
              <a:ln w="19050" cap="rnd">
                <a:solidFill>
                  <a:schemeClr val="lt1"/>
                </a:solidFill>
                <a:round/>
              </a:ln>
              <a:effectLst>
                <a:outerShdw blurRad="50800" dist="50800" dir="5400000" algn="ctr" rotWithShape="0">
                  <a:srgbClr val="EEEEEE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81-4503-B8A8-D6997E356917}"/>
              </c:ext>
            </c:extLst>
          </c:dPt>
          <c:dLbls>
            <c:dLbl>
              <c:idx val="0"/>
              <c:layout>
                <c:manualLayout>
                  <c:x val="7.2785611694532676E-3"/>
                  <c:y val="-0.20288136148381325"/>
                </c:manualLayout>
              </c:layout>
              <c:tx>
                <c:rich>
                  <a:bodyPr/>
                  <a:lstStyle/>
                  <a:p>
                    <a:fld id="{06A7E325-8D69-4068-ADAD-8BFD9AD7DE81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09DF2A2-3ED5-4B27-91C8-5BA245FE56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54283049226165"/>
                      <c:h val="0.198838830591888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81-4503-B8A8-D6997E356917}"/>
                </c:ext>
              </c:extLst>
            </c:dLbl>
            <c:dLbl>
              <c:idx val="1"/>
              <c:layout>
                <c:manualLayout>
                  <c:x val="0.30063492495336686"/>
                  <c:y val="-0.14204396325459315"/>
                </c:manualLayout>
              </c:layout>
              <c:tx>
                <c:rich>
                  <a:bodyPr/>
                  <a:lstStyle/>
                  <a:p>
                    <a:fld id="{4BAC7353-227D-425A-901D-93C6200D4AF4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D0ABC61-1297-4BCC-9C03-59718D39607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689385262518725"/>
                      <c:h val="0.320337624920336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81-4503-B8A8-D6997E356917}"/>
                </c:ext>
              </c:extLst>
            </c:dLbl>
            <c:dLbl>
              <c:idx val="2"/>
              <c:layout>
                <c:manualLayout>
                  <c:x val="-0.17682851222544552"/>
                  <c:y val="8.8345777169425127E-2"/>
                </c:manualLayout>
              </c:layout>
              <c:tx>
                <c:rich>
                  <a:bodyPr/>
                  <a:lstStyle/>
                  <a:p>
                    <a:fld id="{F42DC539-2CEA-4A36-9227-66BCD38BCF4A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EAA77D6-D79C-4820-812F-2F036EE36BF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A81-4503-B8A8-D6997E35691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'Yearly Pivot'!$AR$2:$AR$4</c:f>
              <c:strCache>
                <c:ptCount val="3"/>
                <c:pt idx="0">
                  <c:v>Other income</c:v>
                </c:pt>
                <c:pt idx="1">
                  <c:v>Consulting and professional services</c:v>
                </c:pt>
                <c:pt idx="2">
                  <c:v>Sales</c:v>
                </c:pt>
              </c:strCache>
            </c:strRef>
          </c:cat>
          <c:val>
            <c:numRef>
              <c:f>'Yearly Pivot'!$AS$2:$AS$4</c:f>
              <c:numCache>
                <c:formatCode>\$#,##0;\(\$#,##0\);\$#,##0</c:formatCode>
                <c:ptCount val="3"/>
                <c:pt idx="0">
                  <c:v>966190</c:v>
                </c:pt>
                <c:pt idx="1">
                  <c:v>2817000</c:v>
                </c:pt>
                <c:pt idx="2">
                  <c:v>13776630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81-4503-B8A8-D6997E3569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[Dashboard(AutoRecovered)a.xlsx]Yearly Pivot!PivotTable11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94495">
                <a:schemeClr val="accent1">
                  <a:alpha val="10000"/>
                  <a:lumMod val="13000"/>
                  <a:lumOff val="87000"/>
                </a:schemeClr>
              </a:gs>
            </a:gsLst>
            <a:lin ang="5400000" scaled="1"/>
          </a:gradFill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rgbClr val="BD44BE"/>
              </a:gs>
              <a:gs pos="100000">
                <a:sysClr val="window" lastClr="FFFFFF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3970" cap="rnd">
            <a:solidFill>
              <a:srgbClr val="782A7A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7030565600298936"/>
          <c:w val="1"/>
          <c:h val="0.7457419109141028"/>
        </c:manualLayout>
      </c:layout>
      <c:areaChart>
        <c:grouping val="standard"/>
        <c:varyColors val="0"/>
        <c:ser>
          <c:idx val="1"/>
          <c:order val="1"/>
          <c:tx>
            <c:strRef>
              <c:f>'Yearly Pivot'!$N$1</c:f>
              <c:strCache>
                <c:ptCount val="1"/>
                <c:pt idx="0">
                  <c:v>COGS ABS2</c:v>
                </c:pt>
              </c:strCache>
            </c:strRef>
          </c:tx>
          <c:spPr>
            <a:gradFill>
              <a:gsLst>
                <a:gs pos="0">
                  <a:srgbClr val="BD44BE"/>
                </a:gs>
                <a:gs pos="100000">
                  <a:sysClr val="window" lastClr="FFFFFF"/>
                </a:gs>
              </a:gsLst>
              <a:lin ang="5400000" scaled="1"/>
            </a:gradFill>
            <a:ln>
              <a:noFill/>
            </a:ln>
          </c:spPr>
          <c:cat>
            <c:strRef>
              <c:f>'Yearly Pivot'!$L$2:$L$13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Pivot'!$N$2:$N$13</c:f>
              <c:numCache>
                <c:formatCode>\$#,##0;\$#,##0;\$#,##0</c:formatCode>
                <c:ptCount val="12"/>
                <c:pt idx="0">
                  <c:v>662600</c:v>
                </c:pt>
                <c:pt idx="1">
                  <c:v>507000</c:v>
                </c:pt>
                <c:pt idx="2">
                  <c:v>513500</c:v>
                </c:pt>
                <c:pt idx="3">
                  <c:v>482900</c:v>
                </c:pt>
                <c:pt idx="4">
                  <c:v>641900</c:v>
                </c:pt>
                <c:pt idx="5">
                  <c:v>634600</c:v>
                </c:pt>
                <c:pt idx="6">
                  <c:v>580900</c:v>
                </c:pt>
                <c:pt idx="7">
                  <c:v>546900</c:v>
                </c:pt>
                <c:pt idx="8">
                  <c:v>535900</c:v>
                </c:pt>
                <c:pt idx="9">
                  <c:v>515900</c:v>
                </c:pt>
                <c:pt idx="10">
                  <c:v>535700</c:v>
                </c:pt>
                <c:pt idx="11">
                  <c:v>553700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0-459F-B128-A73DE02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240"/>
        <c:axId val="1333978048"/>
      </c:areaChart>
      <c:lineChart>
        <c:grouping val="standard"/>
        <c:varyColors val="0"/>
        <c:ser>
          <c:idx val="0"/>
          <c:order val="0"/>
          <c:tx>
            <c:strRef>
              <c:f>'Yearly Pivot'!$M$1</c:f>
              <c:strCache>
                <c:ptCount val="1"/>
                <c:pt idx="0">
                  <c:v>COGS ABS</c:v>
                </c:pt>
              </c:strCache>
            </c:strRef>
          </c:tx>
          <c:spPr>
            <a:ln w="13970" cap="rnd">
              <a:solidFill>
                <a:srgbClr val="782A7A"/>
              </a:solidFill>
              <a:round/>
            </a:ln>
            <a:effectLst/>
          </c:spPr>
          <c:marker>
            <c:symbol val="none"/>
          </c:marker>
          <c:cat>
            <c:strRef>
              <c:f>'Yearly Pivot'!$L$2:$L$13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Pivot'!$M$2:$M$13</c:f>
              <c:numCache>
                <c:formatCode>\$#,##0;\$#,##0;\$#,##0</c:formatCode>
                <c:ptCount val="12"/>
                <c:pt idx="0">
                  <c:v>662600</c:v>
                </c:pt>
                <c:pt idx="1">
                  <c:v>507000</c:v>
                </c:pt>
                <c:pt idx="2">
                  <c:v>513500</c:v>
                </c:pt>
                <c:pt idx="3">
                  <c:v>482900</c:v>
                </c:pt>
                <c:pt idx="4">
                  <c:v>641900</c:v>
                </c:pt>
                <c:pt idx="5">
                  <c:v>634600</c:v>
                </c:pt>
                <c:pt idx="6">
                  <c:v>580900</c:v>
                </c:pt>
                <c:pt idx="7">
                  <c:v>546900</c:v>
                </c:pt>
                <c:pt idx="8">
                  <c:v>535900</c:v>
                </c:pt>
                <c:pt idx="9">
                  <c:v>515900</c:v>
                </c:pt>
                <c:pt idx="10">
                  <c:v>535700</c:v>
                </c:pt>
                <c:pt idx="11">
                  <c:v>553700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88-4DC3-9D70-75F62C2F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8240"/>
        <c:axId val="1333978048"/>
      </c:lineChart>
      <c:catAx>
        <c:axId val="15426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3978048"/>
        <c:crosses val="autoZero"/>
        <c:auto val="1"/>
        <c:lblAlgn val="ctr"/>
        <c:lblOffset val="100"/>
        <c:noMultiLvlLbl val="0"/>
      </c:catAx>
      <c:valAx>
        <c:axId val="1333978048"/>
        <c:scaling>
          <c:orientation val="minMax"/>
        </c:scaling>
        <c:delete val="1"/>
        <c:axPos val="l"/>
        <c:numFmt formatCode="\$#,##0;\$#,##0;\$#,##0" sourceLinked="1"/>
        <c:majorTickMark val="none"/>
        <c:minorTickMark val="none"/>
        <c:tickLblPos val="nextTo"/>
        <c:crossAx val="1542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  <a:round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[Dashboard(AutoRecovered)a.xlsx]Yearly Pivot!PivotTable12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94495">
                <a:schemeClr val="accent1">
                  <a:alpha val="10000"/>
                  <a:lumMod val="13000"/>
                  <a:lumOff val="87000"/>
                </a:schemeClr>
              </a:gs>
            </a:gsLst>
            <a:lin ang="5400000" scaled="1"/>
          </a:gradFill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0">
                <a:srgbClr val="412FC7"/>
              </a:gs>
              <a:gs pos="100000">
                <a:sysClr val="window" lastClr="FFFFFF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2.2325460265721277E-2"/>
          <c:w val="1"/>
          <c:h val="0.95110337571191217"/>
        </c:manualLayout>
      </c:layout>
      <c:areaChart>
        <c:grouping val="standard"/>
        <c:varyColors val="0"/>
        <c:ser>
          <c:idx val="1"/>
          <c:order val="1"/>
          <c:tx>
            <c:strRef>
              <c:f>'Yearly Pivot'!$R$1</c:f>
              <c:strCache>
                <c:ptCount val="1"/>
                <c:pt idx="0">
                  <c:v>Gross Profit2</c:v>
                </c:pt>
              </c:strCache>
            </c:strRef>
          </c:tx>
          <c:spPr>
            <a:gradFill>
              <a:gsLst>
                <a:gs pos="0">
                  <a:srgbClr val="412FC7"/>
                </a:gs>
                <a:gs pos="100000">
                  <a:sysClr val="window" lastClr="FFFFFF"/>
                </a:gs>
              </a:gsLst>
              <a:lin ang="5400000" scaled="1"/>
            </a:gradFill>
            <a:ln>
              <a:noFill/>
            </a:ln>
          </c:spPr>
          <c:cat>
            <c:strRef>
              <c:f>'Yearly Pivot'!$P$2:$P$13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Pivot'!$R$2:$R$13</c:f>
              <c:numCache>
                <c:formatCode>\$#,##0;\(\$#,##0\);\$#,##0</c:formatCode>
                <c:ptCount val="12"/>
                <c:pt idx="0">
                  <c:v>1286400</c:v>
                </c:pt>
                <c:pt idx="1">
                  <c:v>1060700</c:v>
                </c:pt>
                <c:pt idx="2">
                  <c:v>799850</c:v>
                </c:pt>
                <c:pt idx="3">
                  <c:v>673200</c:v>
                </c:pt>
                <c:pt idx="4">
                  <c:v>1056600</c:v>
                </c:pt>
                <c:pt idx="5">
                  <c:v>1084600</c:v>
                </c:pt>
                <c:pt idx="6">
                  <c:v>819150</c:v>
                </c:pt>
                <c:pt idx="7">
                  <c:v>757950</c:v>
                </c:pt>
                <c:pt idx="8">
                  <c:v>584990</c:v>
                </c:pt>
                <c:pt idx="9">
                  <c:v>806575</c:v>
                </c:pt>
                <c:pt idx="10">
                  <c:v>741830</c:v>
                </c:pt>
                <c:pt idx="11">
                  <c:v>1176475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B05-46DE-A8DE-BF08E913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240"/>
        <c:axId val="1333978048"/>
      </c:areaChart>
      <c:lineChart>
        <c:grouping val="standard"/>
        <c:varyColors val="0"/>
        <c:ser>
          <c:idx val="0"/>
          <c:order val="0"/>
          <c:tx>
            <c:strRef>
              <c:f>'Yearly Pivot'!$Q$1</c:f>
              <c:strCache>
                <c:ptCount val="1"/>
                <c:pt idx="0">
                  <c:v>Gross Profit</c:v>
                </c:pt>
              </c:strCache>
            </c:strRef>
          </c:tx>
          <c:spPr>
            <a:ln w="13970" cap="rnd">
              <a:solidFill>
                <a:srgbClr val="2C2088"/>
              </a:solidFill>
              <a:round/>
            </a:ln>
            <a:effectLst/>
          </c:spPr>
          <c:marker>
            <c:symbol val="none"/>
          </c:marker>
          <c:cat>
            <c:strRef>
              <c:f>'Yearly Pivot'!$P$2:$P$13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Pivot'!$Q$2:$Q$13</c:f>
              <c:numCache>
                <c:formatCode>\$#,##0;\(\$#,##0\);\$#,##0</c:formatCode>
                <c:ptCount val="12"/>
                <c:pt idx="0">
                  <c:v>1286400</c:v>
                </c:pt>
                <c:pt idx="1">
                  <c:v>1060700</c:v>
                </c:pt>
                <c:pt idx="2">
                  <c:v>799850</c:v>
                </c:pt>
                <c:pt idx="3">
                  <c:v>673200</c:v>
                </c:pt>
                <c:pt idx="4">
                  <c:v>1056600</c:v>
                </c:pt>
                <c:pt idx="5">
                  <c:v>1084600</c:v>
                </c:pt>
                <c:pt idx="6">
                  <c:v>819150</c:v>
                </c:pt>
                <c:pt idx="7">
                  <c:v>757950</c:v>
                </c:pt>
                <c:pt idx="8">
                  <c:v>584990</c:v>
                </c:pt>
                <c:pt idx="9">
                  <c:v>806575</c:v>
                </c:pt>
                <c:pt idx="10">
                  <c:v>741830</c:v>
                </c:pt>
                <c:pt idx="11">
                  <c:v>1176475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DB05-46DE-A8DE-BF08E913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8240"/>
        <c:axId val="1333978048"/>
      </c:lineChart>
      <c:catAx>
        <c:axId val="15426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3978048"/>
        <c:crosses val="autoZero"/>
        <c:auto val="1"/>
        <c:lblAlgn val="ctr"/>
        <c:lblOffset val="100"/>
        <c:noMultiLvlLbl val="0"/>
      </c:catAx>
      <c:valAx>
        <c:axId val="1333978048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1542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  <a:round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[Dashboard(AutoRecovered)a.xlsx]Yearly Pivot!PivotTable13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94495">
                <a:schemeClr val="accent1">
                  <a:alpha val="10000"/>
                  <a:lumMod val="13000"/>
                  <a:lumOff val="87000"/>
                </a:schemeClr>
              </a:gs>
            </a:gsLst>
            <a:lin ang="5400000" scaled="1"/>
          </a:gradFill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rgbClr val="BD44BE"/>
              </a:gs>
              <a:gs pos="94495">
                <a:srgbClr val="4472C4">
                  <a:alpha val="10000"/>
                  <a:lumMod val="13000"/>
                  <a:lumOff val="87000"/>
                </a:srgbClr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3970" cap="rnd">
            <a:solidFill>
              <a:srgbClr val="782A7A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rgbClr val="BD44BE"/>
              </a:gs>
              <a:gs pos="94495">
                <a:srgbClr val="4472C4">
                  <a:alpha val="10000"/>
                  <a:lumMod val="13000"/>
                  <a:lumOff val="87000"/>
                </a:srgbClr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3970" cap="rnd">
            <a:solidFill>
              <a:srgbClr val="782A7A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BD44BE"/>
              </a:gs>
              <a:gs pos="100000">
                <a:sysClr val="window" lastClr="FFFFFF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3970" cap="rnd">
            <a:solidFill>
              <a:srgbClr val="782A7A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6056254238854661E-3"/>
          <c:w val="1"/>
          <c:h val="0.95104060938785939"/>
        </c:manualLayout>
      </c:layout>
      <c:areaChart>
        <c:grouping val="standard"/>
        <c:varyColors val="0"/>
        <c:ser>
          <c:idx val="1"/>
          <c:order val="1"/>
          <c:tx>
            <c:strRef>
              <c:f>'Yearly Pivot'!$J$15</c:f>
              <c:strCache>
                <c:ptCount val="1"/>
                <c:pt idx="0">
                  <c:v>OPEX ABS2</c:v>
                </c:pt>
              </c:strCache>
            </c:strRef>
          </c:tx>
          <c:spPr>
            <a:gradFill>
              <a:gsLst>
                <a:gs pos="0">
                  <a:srgbClr val="BD44BE"/>
                </a:gs>
                <a:gs pos="100000">
                  <a:sysClr val="window" lastClr="FFFFFF"/>
                </a:gs>
              </a:gsLst>
              <a:lin ang="5400000" scaled="1"/>
            </a:gradFill>
            <a:ln>
              <a:noFill/>
            </a:ln>
          </c:spPr>
          <c:cat>
            <c:strRef>
              <c:f>'Yearly Pivot'!$H$16:$H$27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Pivot'!$J$16:$J$27</c:f>
              <c:numCache>
                <c:formatCode>General</c:formatCode>
                <c:ptCount val="12"/>
                <c:pt idx="0">
                  <c:v>478900</c:v>
                </c:pt>
                <c:pt idx="1">
                  <c:v>482500</c:v>
                </c:pt>
                <c:pt idx="2">
                  <c:v>421300</c:v>
                </c:pt>
                <c:pt idx="3">
                  <c:v>421300</c:v>
                </c:pt>
                <c:pt idx="4">
                  <c:v>504200</c:v>
                </c:pt>
                <c:pt idx="5">
                  <c:v>501100</c:v>
                </c:pt>
                <c:pt idx="6">
                  <c:v>461000</c:v>
                </c:pt>
                <c:pt idx="7">
                  <c:v>435000</c:v>
                </c:pt>
                <c:pt idx="8">
                  <c:v>440100</c:v>
                </c:pt>
                <c:pt idx="9">
                  <c:v>443200</c:v>
                </c:pt>
                <c:pt idx="10">
                  <c:v>479400</c:v>
                </c:pt>
                <c:pt idx="11">
                  <c:v>536800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7-4637-8BDC-22A0C3CD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240"/>
        <c:axId val="1333978048"/>
      </c:areaChart>
      <c:lineChart>
        <c:grouping val="standard"/>
        <c:varyColors val="0"/>
        <c:ser>
          <c:idx val="0"/>
          <c:order val="0"/>
          <c:tx>
            <c:strRef>
              <c:f>'Yearly Pivot'!$I$15</c:f>
              <c:strCache>
                <c:ptCount val="1"/>
                <c:pt idx="0">
                  <c:v>OPEX ABS</c:v>
                </c:pt>
              </c:strCache>
            </c:strRef>
          </c:tx>
          <c:spPr>
            <a:ln w="13970" cap="rnd">
              <a:solidFill>
                <a:srgbClr val="782A7A"/>
              </a:solidFill>
              <a:round/>
            </a:ln>
            <a:effectLst/>
          </c:spPr>
          <c:marker>
            <c:symbol val="none"/>
          </c:marker>
          <c:cat>
            <c:strRef>
              <c:f>'Yearly Pivot'!$H$16:$H$27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Pivot'!$I$16:$I$27</c:f>
              <c:numCache>
                <c:formatCode>General</c:formatCode>
                <c:ptCount val="12"/>
                <c:pt idx="0">
                  <c:v>478900</c:v>
                </c:pt>
                <c:pt idx="1">
                  <c:v>482500</c:v>
                </c:pt>
                <c:pt idx="2">
                  <c:v>421300</c:v>
                </c:pt>
                <c:pt idx="3">
                  <c:v>421300</c:v>
                </c:pt>
                <c:pt idx="4">
                  <c:v>504200</c:v>
                </c:pt>
                <c:pt idx="5">
                  <c:v>501100</c:v>
                </c:pt>
                <c:pt idx="6">
                  <c:v>461000</c:v>
                </c:pt>
                <c:pt idx="7">
                  <c:v>435000</c:v>
                </c:pt>
                <c:pt idx="8">
                  <c:v>440100</c:v>
                </c:pt>
                <c:pt idx="9">
                  <c:v>443200</c:v>
                </c:pt>
                <c:pt idx="10">
                  <c:v>479400</c:v>
                </c:pt>
                <c:pt idx="11">
                  <c:v>536800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37-4637-8BDC-22A0C3CD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8240"/>
        <c:axId val="1333978048"/>
      </c:lineChart>
      <c:catAx>
        <c:axId val="15426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3978048"/>
        <c:crosses val="autoZero"/>
        <c:auto val="1"/>
        <c:lblAlgn val="ctr"/>
        <c:lblOffset val="100"/>
        <c:noMultiLvlLbl val="0"/>
      </c:catAx>
      <c:valAx>
        <c:axId val="1333978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  <a:round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[Dashboard(AutoRecovered)a.xlsx]Yearly Pivot!PivotTable16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94495">
                <a:schemeClr val="accent1">
                  <a:alpha val="10000"/>
                  <a:lumMod val="13000"/>
                  <a:lumOff val="87000"/>
                </a:schemeClr>
              </a:gs>
            </a:gsLst>
            <a:lin ang="5400000" scaled="1"/>
          </a:gradFill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412FC7"/>
              </a:gs>
              <a:gs pos="96000">
                <a:sysClr val="window" lastClr="FFFFFF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8574652124858968E-2"/>
          <c:w val="1"/>
          <c:h val="0.81195535378498895"/>
        </c:manualLayout>
      </c:layout>
      <c:areaChart>
        <c:grouping val="standard"/>
        <c:varyColors val="0"/>
        <c:ser>
          <c:idx val="1"/>
          <c:order val="1"/>
          <c:tx>
            <c:strRef>
              <c:f>'Yearly Pivot'!$N$15</c:f>
              <c:strCache>
                <c:ptCount val="1"/>
                <c:pt idx="0">
                  <c:v>EBIT2</c:v>
                </c:pt>
              </c:strCache>
            </c:strRef>
          </c:tx>
          <c:spPr>
            <a:gradFill>
              <a:gsLst>
                <a:gs pos="0">
                  <a:srgbClr val="412FC7"/>
                </a:gs>
                <a:gs pos="96000">
                  <a:sysClr val="window" lastClr="FFFFFF"/>
                </a:gs>
              </a:gsLst>
              <a:lin ang="5400000" scaled="1"/>
            </a:gradFill>
            <a:ln>
              <a:noFill/>
            </a:ln>
          </c:spPr>
          <c:cat>
            <c:strRef>
              <c:f>'Yearly Pivot'!$L$16:$L$27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Pivot'!$N$16:$N$27</c:f>
              <c:numCache>
                <c:formatCode>\$#,##0;\(\$#,##0\);\$#,##0</c:formatCode>
                <c:ptCount val="12"/>
                <c:pt idx="0">
                  <c:v>807500</c:v>
                </c:pt>
                <c:pt idx="1">
                  <c:v>578200</c:v>
                </c:pt>
                <c:pt idx="2">
                  <c:v>378550</c:v>
                </c:pt>
                <c:pt idx="3">
                  <c:v>251900</c:v>
                </c:pt>
                <c:pt idx="4">
                  <c:v>552400</c:v>
                </c:pt>
                <c:pt idx="5">
                  <c:v>583500</c:v>
                </c:pt>
                <c:pt idx="6">
                  <c:v>358150</c:v>
                </c:pt>
                <c:pt idx="7">
                  <c:v>322950</c:v>
                </c:pt>
                <c:pt idx="8">
                  <c:v>144890</c:v>
                </c:pt>
                <c:pt idx="9">
                  <c:v>363375</c:v>
                </c:pt>
                <c:pt idx="10">
                  <c:v>262430</c:v>
                </c:pt>
                <c:pt idx="11">
                  <c:v>639675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FFC-BF73-F5D530C7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240"/>
        <c:axId val="1333978048"/>
      </c:areaChart>
      <c:lineChart>
        <c:grouping val="standard"/>
        <c:varyColors val="0"/>
        <c:ser>
          <c:idx val="0"/>
          <c:order val="0"/>
          <c:tx>
            <c:strRef>
              <c:f>'Yearly Pivot'!$M$15</c:f>
              <c:strCache>
                <c:ptCount val="1"/>
                <c:pt idx="0">
                  <c:v>EBIT</c:v>
                </c:pt>
              </c:strCache>
            </c:strRef>
          </c:tx>
          <c:spPr>
            <a:ln w="13970" cap="rnd">
              <a:solidFill>
                <a:srgbClr val="2C2088"/>
              </a:solidFill>
              <a:round/>
            </a:ln>
            <a:effectLst/>
          </c:spPr>
          <c:marker>
            <c:symbol val="none"/>
          </c:marker>
          <c:cat>
            <c:strRef>
              <c:f>'Yearly Pivot'!$L$16:$L$27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Pivot'!$M$16:$M$27</c:f>
              <c:numCache>
                <c:formatCode>\$#,##0;\(\$#,##0\);\$#,##0</c:formatCode>
                <c:ptCount val="12"/>
                <c:pt idx="0">
                  <c:v>807500</c:v>
                </c:pt>
                <c:pt idx="1">
                  <c:v>578200</c:v>
                </c:pt>
                <c:pt idx="2">
                  <c:v>378550</c:v>
                </c:pt>
                <c:pt idx="3">
                  <c:v>251900</c:v>
                </c:pt>
                <c:pt idx="4">
                  <c:v>552400</c:v>
                </c:pt>
                <c:pt idx="5">
                  <c:v>583500</c:v>
                </c:pt>
                <c:pt idx="6">
                  <c:v>358150</c:v>
                </c:pt>
                <c:pt idx="7">
                  <c:v>322950</c:v>
                </c:pt>
                <c:pt idx="8">
                  <c:v>144890</c:v>
                </c:pt>
                <c:pt idx="9">
                  <c:v>363375</c:v>
                </c:pt>
                <c:pt idx="10">
                  <c:v>262430</c:v>
                </c:pt>
                <c:pt idx="11">
                  <c:v>639675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7E4-4FFC-BF73-F5D530C7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8240"/>
        <c:axId val="1333978048"/>
      </c:lineChart>
      <c:catAx>
        <c:axId val="15426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3978048"/>
        <c:crosses val="autoZero"/>
        <c:auto val="1"/>
        <c:lblAlgn val="ctr"/>
        <c:lblOffset val="100"/>
        <c:noMultiLvlLbl val="0"/>
      </c:catAx>
      <c:valAx>
        <c:axId val="1333978048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1542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  <a:round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[Dashboard(AutoRecovered)a.xlsx]Yearly Pivot!PivotTable17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8B4BC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94495">
                <a:schemeClr val="accent1">
                  <a:alpha val="10000"/>
                  <a:lumMod val="13000"/>
                  <a:lumOff val="87000"/>
                </a:schemeClr>
              </a:gs>
            </a:gsLst>
            <a:lin ang="5400000" scaled="1"/>
          </a:gradFill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rgbClr val="412FC7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rgbClr val="412FC7"/>
              </a:gs>
              <a:gs pos="99000">
                <a:sysClr val="window" lastClr="FFFFFF"/>
              </a:gs>
            </a:gsLst>
            <a:lin ang="5400000" scaled="1"/>
          </a:gra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3970" cap="rnd">
            <a:solidFill>
              <a:srgbClr val="2C2088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5671885908246347E-2"/>
          <c:w val="1"/>
          <c:h val="0.89725625664901687"/>
        </c:manualLayout>
      </c:layout>
      <c:areaChart>
        <c:grouping val="standard"/>
        <c:varyColors val="0"/>
        <c:ser>
          <c:idx val="1"/>
          <c:order val="1"/>
          <c:tx>
            <c:strRef>
              <c:f>'Yearly Pivot'!$R$15</c:f>
              <c:strCache>
                <c:ptCount val="1"/>
                <c:pt idx="0">
                  <c:v>Net Profit2</c:v>
                </c:pt>
              </c:strCache>
            </c:strRef>
          </c:tx>
          <c:spPr>
            <a:gradFill>
              <a:gsLst>
                <a:gs pos="0">
                  <a:srgbClr val="412FC7"/>
                </a:gs>
                <a:gs pos="99000">
                  <a:sysClr val="window" lastClr="FFFFFF"/>
                </a:gs>
              </a:gsLst>
              <a:lin ang="5400000" scaled="1"/>
            </a:gradFill>
            <a:ln>
              <a:noFill/>
            </a:ln>
          </c:spPr>
          <c:cat>
            <c:strRef>
              <c:f>'Yearly Pivot'!$P$16:$P$27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Jun</c:v>
                </c:pt>
                <c:pt idx="8">
                  <c:v>Jul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Pivot'!$R$16:$R$27</c:f>
              <c:numCache>
                <c:formatCode>\$#,##0;\(\$#,##0\);\$#,##0</c:formatCode>
                <c:ptCount val="12"/>
                <c:pt idx="0">
                  <c:v>694500</c:v>
                </c:pt>
                <c:pt idx="1">
                  <c:v>478700</c:v>
                </c:pt>
                <c:pt idx="2">
                  <c:v>302550</c:v>
                </c:pt>
                <c:pt idx="3">
                  <c:v>192700</c:v>
                </c:pt>
                <c:pt idx="4">
                  <c:v>467600</c:v>
                </c:pt>
                <c:pt idx="5">
                  <c:v>268550</c:v>
                </c:pt>
                <c:pt idx="6">
                  <c:v>91590</c:v>
                </c:pt>
                <c:pt idx="7">
                  <c:v>493100</c:v>
                </c:pt>
                <c:pt idx="8">
                  <c:v>288850</c:v>
                </c:pt>
                <c:pt idx="9">
                  <c:v>295075</c:v>
                </c:pt>
                <c:pt idx="10">
                  <c:v>209930</c:v>
                </c:pt>
                <c:pt idx="11">
                  <c:v>530975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0-459F-B128-A73DE02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240"/>
        <c:axId val="1333978048"/>
      </c:areaChart>
      <c:lineChart>
        <c:grouping val="standard"/>
        <c:varyColors val="0"/>
        <c:ser>
          <c:idx val="0"/>
          <c:order val="0"/>
          <c:tx>
            <c:strRef>
              <c:f>'Yearly Pivot'!$Q$15</c:f>
              <c:strCache>
                <c:ptCount val="1"/>
                <c:pt idx="0">
                  <c:v>Net Profit</c:v>
                </c:pt>
              </c:strCache>
            </c:strRef>
          </c:tx>
          <c:spPr>
            <a:ln w="13970" cap="rnd">
              <a:solidFill>
                <a:srgbClr val="2C2088"/>
              </a:solidFill>
              <a:round/>
            </a:ln>
            <a:effectLst/>
          </c:spPr>
          <c:marker>
            <c:symbol val="none"/>
          </c:marker>
          <c:cat>
            <c:strRef>
              <c:f>'Yearly Pivot'!$P$16:$P$27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Jun</c:v>
                </c:pt>
                <c:pt idx="8">
                  <c:v>Jul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Pivot'!$Q$16:$Q$27</c:f>
              <c:numCache>
                <c:formatCode>\$#,##0;\(\$#,##0\);\$#,##0</c:formatCode>
                <c:ptCount val="12"/>
                <c:pt idx="0">
                  <c:v>694500</c:v>
                </c:pt>
                <c:pt idx="1">
                  <c:v>478700</c:v>
                </c:pt>
                <c:pt idx="2">
                  <c:v>302550</c:v>
                </c:pt>
                <c:pt idx="3">
                  <c:v>192700</c:v>
                </c:pt>
                <c:pt idx="4">
                  <c:v>467600</c:v>
                </c:pt>
                <c:pt idx="5">
                  <c:v>268550</c:v>
                </c:pt>
                <c:pt idx="6">
                  <c:v>91590</c:v>
                </c:pt>
                <c:pt idx="7">
                  <c:v>493100</c:v>
                </c:pt>
                <c:pt idx="8">
                  <c:v>288850</c:v>
                </c:pt>
                <c:pt idx="9">
                  <c:v>295075</c:v>
                </c:pt>
                <c:pt idx="10">
                  <c:v>209930</c:v>
                </c:pt>
                <c:pt idx="11">
                  <c:v>530975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88-4DC3-9D70-75F62C2F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8240"/>
        <c:axId val="1333978048"/>
      </c:lineChart>
      <c:catAx>
        <c:axId val="15426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3978048"/>
        <c:crosses val="autoZero"/>
        <c:auto val="1"/>
        <c:lblAlgn val="ctr"/>
        <c:lblOffset val="100"/>
        <c:noMultiLvlLbl val="0"/>
      </c:catAx>
      <c:valAx>
        <c:axId val="1333978048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154268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  <a:round/>
    </a:ln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plotArea>
      <cx:plotAreaRegion>
        <cx:series layoutId="waterfall" uniqueId="{86604EF1-A657-422D-99F6-2908A8140C8F}">
          <cx:dataPt idx="0">
            <cx:spPr>
              <a:solidFill>
                <a:srgbClr val="412FC7"/>
              </a:solidFill>
            </cx:spPr>
          </cx:dataPt>
          <cx:dataPt idx="1">
            <cx:spPr>
              <a:solidFill>
                <a:srgbClr val="BD44BE"/>
              </a:solidFill>
            </cx:spPr>
          </cx:dataPt>
          <cx:dataPt idx="2">
            <cx:spPr>
              <a:solidFill>
                <a:srgbClr val="412FC7"/>
              </a:solidFill>
            </cx:spPr>
          </cx:dataPt>
          <cx:dataPt idx="3">
            <cx:spPr>
              <a:solidFill>
                <a:srgbClr val="BD44BE"/>
              </a:solidFill>
            </cx:spPr>
          </cx:dataPt>
          <cx:dataPt idx="4">
            <cx:spPr>
              <a:solidFill>
                <a:srgbClr val="412FC7"/>
              </a:solidFill>
            </cx:spPr>
          </cx:dataPt>
          <cx:dataPt idx="5">
            <cx:spPr>
              <a:solidFill>
                <a:srgbClr val="BD44BE"/>
              </a:solidFill>
            </cx:spPr>
          </cx:dataPt>
          <cx:dataPt idx="6">
            <cx:spPr>
              <a:solidFill>
                <a:srgbClr val="412FC7"/>
              </a:solidFill>
            </cx:spPr>
          </cx:dataPt>
          <cx:dataLabels pos="outEnd">
            <cx:numFmt formatCode="$0.0,, &quot;M&quot;" sourceLinked="0"/>
            <cx:visibility seriesName="0" categoryName="0" value="1"/>
            <cx:separator>, </cx:separator>
            <cx:dataLabel idx="5">
              <cx:numFmt formatCode="$0.0, &quot;K&quot;" sourceLinked="0"/>
              <cx:visibility seriesName="0" categoryName="0" value="1"/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F4F4F"/>
                </a:solidFill>
              </a:defRPr>
            </a:pPr>
            <a:endParaRPr lang="en-US" sz="900" b="0" i="0" u="none" strike="noStrike" baseline="0">
              <a:solidFill>
                <a:srgbClr val="4F4F4F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'Monthly Pivot'!$B$3" fmlaRange="'Monthly Pivot'!$C$5:$C$17" noThreeD="1" sel="7" val="5"/>
</file>

<file path=xl/ctrlProps/ctrlProp2.xml><?xml version="1.0" encoding="utf-8"?>
<formControlPr xmlns="http://schemas.microsoft.com/office/spreadsheetml/2009/9/main" objectType="Drop" dropStyle="combo" dx="22" fmlaLink="'Monthly Pivot'!$E$3" fmlaRange="'Monthly Pivot'!$F$5:$F$8" noThreeD="1" sel="4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image" Target="../media/image4.emf"/><Relationship Id="rId26" Type="http://schemas.openxmlformats.org/officeDocument/2006/relationships/image" Target="../media/image9.emf"/><Relationship Id="rId3" Type="http://schemas.microsoft.com/office/2014/relationships/chartEx" Target="../charts/chartEx1.xml"/><Relationship Id="rId21" Type="http://schemas.openxmlformats.org/officeDocument/2006/relationships/image" Target="../media/image6.emf"/><Relationship Id="rId7" Type="http://schemas.openxmlformats.org/officeDocument/2006/relationships/chart" Target="../charts/chart6.xml"/><Relationship Id="rId12" Type="http://schemas.openxmlformats.org/officeDocument/2006/relationships/image" Target="../media/image1.emf"/><Relationship Id="rId17" Type="http://schemas.openxmlformats.org/officeDocument/2006/relationships/chart" Target="../charts/chart13.xml"/><Relationship Id="rId25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15.xml"/><Relationship Id="rId5" Type="http://schemas.openxmlformats.org/officeDocument/2006/relationships/chart" Target="../charts/chart4.xml"/><Relationship Id="rId15" Type="http://schemas.openxmlformats.org/officeDocument/2006/relationships/image" Target="../media/image3.emf"/><Relationship Id="rId23" Type="http://schemas.openxmlformats.org/officeDocument/2006/relationships/image" Target="../media/image8.emf"/><Relationship Id="rId10" Type="http://schemas.openxmlformats.org/officeDocument/2006/relationships/chart" Target="../charts/chart9.xml"/><Relationship Id="rId19" Type="http://schemas.openxmlformats.org/officeDocument/2006/relationships/chart" Target="../charts/chart1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2.emf"/><Relationship Id="rId22" Type="http://schemas.openxmlformats.org/officeDocument/2006/relationships/image" Target="../media/image7.emf"/><Relationship Id="rId27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187470</xdr:colOff>
      <xdr:row>29</xdr:row>
      <xdr:rowOff>125498</xdr:rowOff>
    </xdr:from>
    <xdr:to>
      <xdr:col>13</xdr:col>
      <xdr:colOff>288300</xdr:colOff>
      <xdr:row>46</xdr:row>
      <xdr:rowOff>21648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16587F-6AA7-4225-AD8D-2EE91D867BE7}"/>
            </a:ext>
          </a:extLst>
        </xdr:cNvPr>
        <xdr:cNvSpPr/>
      </xdr:nvSpPr>
      <xdr:spPr>
        <a:xfrm>
          <a:off x="3362470" y="5692824"/>
          <a:ext cx="4287400" cy="3159754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</xdr:col>
      <xdr:colOff>4379</xdr:colOff>
      <xdr:row>29</xdr:row>
      <xdr:rowOff>125499</xdr:rowOff>
    </xdr:from>
    <xdr:to>
      <xdr:col>6</xdr:col>
      <xdr:colOff>57726</xdr:colOff>
      <xdr:row>46</xdr:row>
      <xdr:rowOff>17595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A598F5B-ACB9-4219-BD9E-4B0BCE1BC3C0}"/>
            </a:ext>
          </a:extLst>
        </xdr:cNvPr>
        <xdr:cNvSpPr/>
      </xdr:nvSpPr>
      <xdr:spPr>
        <a:xfrm>
          <a:off x="184777" y="5566294"/>
          <a:ext cx="3047949" cy="3081528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10</xdr:col>
      <xdr:colOff>273707</xdr:colOff>
      <xdr:row>13</xdr:row>
      <xdr:rowOff>116260</xdr:rowOff>
    </xdr:from>
    <xdr:to>
      <xdr:col>20</xdr:col>
      <xdr:colOff>427567</xdr:colOff>
      <xdr:row>29</xdr:row>
      <xdr:rowOff>20005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F9D0418-C8B4-45BE-AE8D-7F46DAC5832B}"/>
            </a:ext>
          </a:extLst>
        </xdr:cNvPr>
        <xdr:cNvSpPr/>
      </xdr:nvSpPr>
      <xdr:spPr>
        <a:xfrm>
          <a:off x="5810113" y="2592760"/>
          <a:ext cx="6106985" cy="295174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10</xdr:col>
      <xdr:colOff>356077</xdr:colOff>
      <xdr:row>17</xdr:row>
      <xdr:rowOff>157580</xdr:rowOff>
    </xdr:from>
    <xdr:to>
      <xdr:col>20</xdr:col>
      <xdr:colOff>345197</xdr:colOff>
      <xdr:row>29</xdr:row>
      <xdr:rowOff>8429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59F9964-A069-40F1-9CBF-A27FBC5B3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4380</xdr:colOff>
      <xdr:row>13</xdr:row>
      <xdr:rowOff>116260</xdr:rowOff>
    </xdr:from>
    <xdr:to>
      <xdr:col>10</xdr:col>
      <xdr:colOff>97014</xdr:colOff>
      <xdr:row>29</xdr:row>
      <xdr:rowOff>18954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974DD3C8-F847-5B75-4BEA-EDFAEC1523E3}"/>
            </a:ext>
          </a:extLst>
        </xdr:cNvPr>
        <xdr:cNvSpPr/>
      </xdr:nvSpPr>
      <xdr:spPr>
        <a:xfrm>
          <a:off x="189331" y="2640847"/>
          <a:ext cx="5502465" cy="3009879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</xdr:col>
      <xdr:colOff>18484</xdr:colOff>
      <xdr:row>1</xdr:row>
      <xdr:rowOff>31095</xdr:rowOff>
    </xdr:from>
    <xdr:to>
      <xdr:col>7</xdr:col>
      <xdr:colOff>408214</xdr:colOff>
      <xdr:row>3</xdr:row>
      <xdr:rowOff>93881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E59E05-3F63-4FC7-6A85-CF91D90E3658}"/>
            </a:ext>
          </a:extLst>
        </xdr:cNvPr>
        <xdr:cNvSpPr txBox="1"/>
      </xdr:nvSpPr>
      <xdr:spPr>
        <a:xfrm>
          <a:off x="204605" y="217216"/>
          <a:ext cx="4002661" cy="43502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rgbClr val="412FC7"/>
              </a:solidFill>
            </a:rPr>
            <a:t>Financial</a:t>
          </a:r>
          <a:r>
            <a:rPr lang="en-US" sz="2400" b="1" kern="1200" baseline="0">
              <a:solidFill>
                <a:srgbClr val="412FC7"/>
              </a:solidFill>
            </a:rPr>
            <a:t> Performance Report </a:t>
          </a:r>
          <a:endParaRPr lang="id-ID" sz="2000" b="0" kern="1200">
            <a:solidFill>
              <a:srgbClr val="412FC7"/>
            </a:solidFill>
          </a:endParaRPr>
        </a:p>
      </xdr:txBody>
    </xdr:sp>
    <xdr:clientData/>
  </xdr:twoCellAnchor>
  <xdr:twoCellAnchor>
    <xdr:from>
      <xdr:col>1</xdr:col>
      <xdr:colOff>655</xdr:colOff>
      <xdr:row>6</xdr:row>
      <xdr:rowOff>117574</xdr:rowOff>
    </xdr:from>
    <xdr:to>
      <xdr:col>4</xdr:col>
      <xdr:colOff>24837</xdr:colOff>
      <xdr:row>12</xdr:row>
      <xdr:rowOff>155706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4CE3766-D035-D270-5835-FC079903DA91}"/>
            </a:ext>
          </a:extLst>
        </xdr:cNvPr>
        <xdr:cNvSpPr/>
      </xdr:nvSpPr>
      <xdr:spPr>
        <a:xfrm>
          <a:off x="186776" y="1234298"/>
          <a:ext cx="1830647" cy="1154856"/>
        </a:xfrm>
        <a:prstGeom prst="rect">
          <a:avLst/>
        </a:prstGeom>
        <a:solidFill>
          <a:srgbClr val="43C996"/>
        </a:solidFill>
        <a:ln>
          <a:noFill/>
        </a:ln>
        <a:effectLst>
          <a:outerShdw blurRad="50800" dist="38100" dir="2700000" algn="tl" rotWithShape="0">
            <a:srgbClr val="4D4D4D">
              <a:alpha val="5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0</xdr:col>
      <xdr:colOff>95320</xdr:colOff>
      <xdr:row>7</xdr:row>
      <xdr:rowOff>89160</xdr:rowOff>
    </xdr:from>
    <xdr:to>
      <xdr:col>4</xdr:col>
      <xdr:colOff>103926</xdr:colOff>
      <xdr:row>12</xdr:row>
      <xdr:rowOff>183061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84AA8F7-45A0-4C9F-AD76-438F3F70F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34675</xdr:colOff>
      <xdr:row>6</xdr:row>
      <xdr:rowOff>138218</xdr:rowOff>
    </xdr:from>
    <xdr:to>
      <xdr:col>2</xdr:col>
      <xdr:colOff>482435</xdr:colOff>
      <xdr:row>8</xdr:row>
      <xdr:rowOff>59366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78F918-1653-4D21-AF26-7BDB6FE12B36}"/>
            </a:ext>
          </a:extLst>
        </xdr:cNvPr>
        <xdr:cNvSpPr txBox="1"/>
      </xdr:nvSpPr>
      <xdr:spPr>
        <a:xfrm>
          <a:off x="218371" y="1281218"/>
          <a:ext cx="1046475" cy="302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kern="1200">
              <a:solidFill>
                <a:schemeClr val="bg1"/>
              </a:solidFill>
              <a:latin typeface="+mn-lt"/>
            </a:rPr>
            <a:t>Revenue</a:t>
          </a:r>
          <a:endParaRPr lang="id-ID" sz="1300" b="0" kern="12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34675</xdr:colOff>
      <xdr:row>7</xdr:row>
      <xdr:rowOff>101967</xdr:rowOff>
    </xdr:from>
    <xdr:to>
      <xdr:col>3</xdr:col>
      <xdr:colOff>209509</xdr:colOff>
      <xdr:row>10</xdr:row>
      <xdr:rowOff>169343</xdr:rowOff>
    </xdr:to>
    <xdr:sp macro="" textlink="'Yearly Pivot'!A3">
      <xdr:nvSpPr>
        <xdr:cNvPr id="17" name="TextBox 16">
          <a:extLst>
            <a:ext uri="{FF2B5EF4-FFF2-40B4-BE49-F238E27FC236}">
              <a16:creationId xmlns:a16="http://schemas.microsoft.com/office/drawing/2014/main" id="{88C45DE0-06D7-2429-CECA-22B04FD074F6}"/>
            </a:ext>
          </a:extLst>
        </xdr:cNvPr>
        <xdr:cNvSpPr txBox="1"/>
      </xdr:nvSpPr>
      <xdr:spPr>
        <a:xfrm>
          <a:off x="218371" y="1435467"/>
          <a:ext cx="1372263" cy="638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CD89FA7-7267-4C64-9432-3095E1E258BF}" type="TxLink">
            <a:rPr lang="en-US" sz="23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l"/>
            <a:t>$17.6 M</a:t>
          </a:fld>
          <a:endParaRPr lang="id-ID" sz="23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820</xdr:colOff>
      <xdr:row>17</xdr:row>
      <xdr:rowOff>122336</xdr:rowOff>
    </xdr:from>
    <xdr:to>
      <xdr:col>10</xdr:col>
      <xdr:colOff>131380</xdr:colOff>
      <xdr:row>28</xdr:row>
      <xdr:rowOff>117835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E5F4C2E4-D7B2-46C0-B161-35BCF8808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795" y="3360836"/>
              <a:ext cx="5531235" cy="2090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273381</xdr:colOff>
      <xdr:row>35</xdr:row>
      <xdr:rowOff>0</xdr:rowOff>
    </xdr:from>
    <xdr:to>
      <xdr:col>13</xdr:col>
      <xdr:colOff>139653</xdr:colOff>
      <xdr:row>45</xdr:row>
      <xdr:rowOff>115454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C98C71F-6433-402D-B5CE-DBDECD83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255308</xdr:colOff>
      <xdr:row>33</xdr:row>
      <xdr:rowOff>174371</xdr:rowOff>
    </xdr:from>
    <xdr:to>
      <xdr:col>5</xdr:col>
      <xdr:colOff>317500</xdr:colOff>
      <xdr:row>46</xdr:row>
      <xdr:rowOff>79374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9E81BBB-1E0A-4340-9E8E-7772EB2A1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173809</xdr:colOff>
      <xdr:row>6</xdr:row>
      <xdr:rowOff>117574</xdr:rowOff>
    </xdr:from>
    <xdr:to>
      <xdr:col>7</xdr:col>
      <xdr:colOff>226316</xdr:colOff>
      <xdr:row>12</xdr:row>
      <xdr:rowOff>153024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3E5184D1-4EA4-E978-F4CB-B299F51EDF0B}"/>
            </a:ext>
          </a:extLst>
        </xdr:cNvPr>
        <xdr:cNvSpPr/>
      </xdr:nvSpPr>
      <xdr:spPr>
        <a:xfrm>
          <a:off x="2166395" y="1234298"/>
          <a:ext cx="1858973" cy="1152174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srgbClr val="4D4D4D">
              <a:alpha val="5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4</xdr:col>
      <xdr:colOff>207829</xdr:colOff>
      <xdr:row>6</xdr:row>
      <xdr:rowOff>138787</xdr:rowOff>
    </xdr:from>
    <xdr:to>
      <xdr:col>6</xdr:col>
      <xdr:colOff>66664</xdr:colOff>
      <xdr:row>8</xdr:row>
      <xdr:rowOff>56520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F299877-D59F-70D5-D7E8-E532DAACC7A8}"/>
            </a:ext>
          </a:extLst>
        </xdr:cNvPr>
        <xdr:cNvSpPr txBox="1"/>
      </xdr:nvSpPr>
      <xdr:spPr>
        <a:xfrm>
          <a:off x="2187668" y="1281787"/>
          <a:ext cx="1056264" cy="298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kern="1200">
              <a:solidFill>
                <a:srgbClr val="BD44BE"/>
              </a:solidFill>
              <a:latin typeface="+mn-lt"/>
            </a:rPr>
            <a:t>COGS</a:t>
          </a:r>
          <a:endParaRPr lang="id-ID" sz="1300" b="0" kern="1200">
            <a:solidFill>
              <a:srgbClr val="BD44BE"/>
            </a:solidFill>
            <a:latin typeface="+mn-lt"/>
          </a:endParaRPr>
        </a:p>
      </xdr:txBody>
    </xdr:sp>
    <xdr:clientData/>
  </xdr:twoCellAnchor>
  <xdr:twoCellAnchor>
    <xdr:from>
      <xdr:col>4</xdr:col>
      <xdr:colOff>86292</xdr:colOff>
      <xdr:row>8</xdr:row>
      <xdr:rowOff>47194</xdr:rowOff>
    </xdr:from>
    <xdr:to>
      <xdr:col>7</xdr:col>
      <xdr:colOff>307115</xdr:colOff>
      <xdr:row>13</xdr:row>
      <xdr:rowOff>44502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EC95BDF0-11CD-4A31-A81D-D0F238D2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207829</xdr:colOff>
      <xdr:row>7</xdr:row>
      <xdr:rowOff>42600</xdr:rowOff>
    </xdr:from>
    <xdr:to>
      <xdr:col>6</xdr:col>
      <xdr:colOff>410836</xdr:colOff>
      <xdr:row>11</xdr:row>
      <xdr:rowOff>39572</xdr:rowOff>
    </xdr:to>
    <xdr:sp macro="" textlink="'Yearly Pivot'!B3">
      <xdr:nvSpPr>
        <xdr:cNvPr id="57" name="TextBox 56">
          <a:extLst>
            <a:ext uri="{FF2B5EF4-FFF2-40B4-BE49-F238E27FC236}">
              <a16:creationId xmlns:a16="http://schemas.microsoft.com/office/drawing/2014/main" id="{6655A877-BC11-9323-F261-72BDAA8C9F55}"/>
            </a:ext>
          </a:extLst>
        </xdr:cNvPr>
        <xdr:cNvSpPr txBox="1"/>
      </xdr:nvSpPr>
      <xdr:spPr>
        <a:xfrm>
          <a:off x="2187668" y="1376100"/>
          <a:ext cx="1400436" cy="758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A554D6E-0542-445C-8854-864E496B3AB0}" type="TxLink">
            <a:rPr lang="en-US" sz="24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l"/>
            <a:t>$6.7 M</a:t>
          </a:fld>
          <a:endParaRPr lang="id-ID" sz="24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373762</xdr:colOff>
      <xdr:row>6</xdr:row>
      <xdr:rowOff>117574</xdr:rowOff>
    </xdr:from>
    <xdr:to>
      <xdr:col>10</xdr:col>
      <xdr:colOff>425299</xdr:colOff>
      <xdr:row>12</xdr:row>
      <xdr:rowOff>156156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B978276F-C07C-2ACC-2E8A-34354507FB9A}"/>
            </a:ext>
          </a:extLst>
        </xdr:cNvPr>
        <xdr:cNvSpPr/>
      </xdr:nvSpPr>
      <xdr:spPr>
        <a:xfrm>
          <a:off x="4172814" y="1234298"/>
          <a:ext cx="1858002" cy="1155306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srgbClr val="4D4D4D">
              <a:alpha val="5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7</xdr:col>
      <xdr:colOff>407782</xdr:colOff>
      <xdr:row>6</xdr:row>
      <xdr:rowOff>137895</xdr:rowOff>
    </xdr:from>
    <xdr:to>
      <xdr:col>9</xdr:col>
      <xdr:colOff>268505</xdr:colOff>
      <xdr:row>8</xdr:row>
      <xdr:rowOff>60629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1433DD8E-A0D0-24E7-F579-4146A20010E4}"/>
            </a:ext>
          </a:extLst>
        </xdr:cNvPr>
        <xdr:cNvSpPr txBox="1"/>
      </xdr:nvSpPr>
      <xdr:spPr>
        <a:xfrm>
          <a:off x="4183764" y="1280895"/>
          <a:ext cx="1058152" cy="303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kern="1200">
              <a:solidFill>
                <a:srgbClr val="412FC7"/>
              </a:solidFill>
              <a:latin typeface="+mn-lt"/>
            </a:rPr>
            <a:t>Gross</a:t>
          </a:r>
          <a:r>
            <a:rPr lang="en-US" sz="1300" b="0" kern="1200" baseline="0">
              <a:solidFill>
                <a:srgbClr val="412FC7"/>
              </a:solidFill>
              <a:latin typeface="+mn-lt"/>
            </a:rPr>
            <a:t> Profit</a:t>
          </a:r>
          <a:endParaRPr lang="id-ID" sz="1300" b="0" kern="1200">
            <a:solidFill>
              <a:srgbClr val="412FC7"/>
            </a:solidFill>
            <a:latin typeface="+mn-lt"/>
          </a:endParaRPr>
        </a:p>
      </xdr:txBody>
    </xdr:sp>
    <xdr:clientData/>
  </xdr:twoCellAnchor>
  <xdr:twoCellAnchor>
    <xdr:from>
      <xdr:col>7</xdr:col>
      <xdr:colOff>407782</xdr:colOff>
      <xdr:row>7</xdr:row>
      <xdr:rowOff>42160</xdr:rowOff>
    </xdr:from>
    <xdr:to>
      <xdr:col>10</xdr:col>
      <xdr:colOff>246399</xdr:colOff>
      <xdr:row>11</xdr:row>
      <xdr:rowOff>37886</xdr:rowOff>
    </xdr:to>
    <xdr:sp macro="" textlink="'Yearly Pivot'!C3">
      <xdr:nvSpPr>
        <xdr:cNvPr id="66" name="TextBox 65">
          <a:extLst>
            <a:ext uri="{FF2B5EF4-FFF2-40B4-BE49-F238E27FC236}">
              <a16:creationId xmlns:a16="http://schemas.microsoft.com/office/drawing/2014/main" id="{FEB71326-15BC-E51A-A28E-5099D7DE2529}"/>
            </a:ext>
          </a:extLst>
        </xdr:cNvPr>
        <xdr:cNvSpPr txBox="1"/>
      </xdr:nvSpPr>
      <xdr:spPr>
        <a:xfrm>
          <a:off x="4183764" y="1375660"/>
          <a:ext cx="1634760" cy="757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F67551B-B15C-4F71-B541-324B168FFBD4}" type="TxLink">
            <a:rPr lang="en-US" sz="24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l"/>
            <a:t>$10.8 M</a:t>
          </a:fld>
          <a:endParaRPr lang="id-ID" sz="24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288559</xdr:colOff>
      <xdr:row>8</xdr:row>
      <xdr:rowOff>147892</xdr:rowOff>
    </xdr:from>
    <xdr:to>
      <xdr:col>10</xdr:col>
      <xdr:colOff>513514</xdr:colOff>
      <xdr:row>12</xdr:row>
      <xdr:rowOff>181874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671469A5-C062-4384-97FA-AE771CD7E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570878</xdr:colOff>
      <xdr:row>6</xdr:row>
      <xdr:rowOff>117574</xdr:rowOff>
    </xdr:from>
    <xdr:to>
      <xdr:col>14</xdr:col>
      <xdr:colOff>15710</xdr:colOff>
      <xdr:row>12</xdr:row>
      <xdr:rowOff>150554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CFE28BBA-B625-1263-9922-A2AFFEF2F25D}"/>
            </a:ext>
          </a:extLst>
        </xdr:cNvPr>
        <xdr:cNvSpPr/>
      </xdr:nvSpPr>
      <xdr:spPr>
        <a:xfrm>
          <a:off x="6176395" y="1234298"/>
          <a:ext cx="1853453" cy="1149704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srgbClr val="4D4D4D">
              <a:alpha val="5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11</xdr:col>
      <xdr:colOff>6184</xdr:colOff>
      <xdr:row>6</xdr:row>
      <xdr:rowOff>139263</xdr:rowOff>
    </xdr:from>
    <xdr:to>
      <xdr:col>12</xdr:col>
      <xdr:colOff>459610</xdr:colOff>
      <xdr:row>8</xdr:row>
      <xdr:rowOff>54062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C3EFA998-6C87-6A51-A85B-EDB37F5636B7}"/>
            </a:ext>
          </a:extLst>
        </xdr:cNvPr>
        <xdr:cNvSpPr txBox="1"/>
      </xdr:nvSpPr>
      <xdr:spPr>
        <a:xfrm>
          <a:off x="6177023" y="1282263"/>
          <a:ext cx="1052141" cy="295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kern="1200">
              <a:solidFill>
                <a:srgbClr val="BD44BE"/>
              </a:solidFill>
              <a:latin typeface="+mn-lt"/>
            </a:rPr>
            <a:t>OPEX</a:t>
          </a:r>
          <a:endParaRPr lang="id-ID" sz="1300" b="0" kern="1200">
            <a:solidFill>
              <a:srgbClr val="BD44BE"/>
            </a:solidFill>
            <a:latin typeface="+mn-lt"/>
          </a:endParaRPr>
        </a:p>
      </xdr:txBody>
    </xdr:sp>
    <xdr:clientData/>
  </xdr:twoCellAnchor>
  <xdr:twoCellAnchor>
    <xdr:from>
      <xdr:col>11</xdr:col>
      <xdr:colOff>6184</xdr:colOff>
      <xdr:row>7</xdr:row>
      <xdr:rowOff>9704</xdr:rowOff>
    </xdr:from>
    <xdr:to>
      <xdr:col>13</xdr:col>
      <xdr:colOff>375526</xdr:colOff>
      <xdr:row>11</xdr:row>
      <xdr:rowOff>55085</xdr:rowOff>
    </xdr:to>
    <xdr:sp macro="" textlink="'Yearly Pivot'!D3">
      <xdr:nvSpPr>
        <xdr:cNvPr id="85" name="TextBox 84">
          <a:extLst>
            <a:ext uri="{FF2B5EF4-FFF2-40B4-BE49-F238E27FC236}">
              <a16:creationId xmlns:a16="http://schemas.microsoft.com/office/drawing/2014/main" id="{FC52805F-A1A6-455D-9D90-C81E263B25D2}"/>
            </a:ext>
          </a:extLst>
        </xdr:cNvPr>
        <xdr:cNvSpPr txBox="1"/>
      </xdr:nvSpPr>
      <xdr:spPr>
        <a:xfrm>
          <a:off x="6177023" y="1343204"/>
          <a:ext cx="1566771" cy="807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D59639D-7DBE-4759-B8DC-5A001E895044}" type="TxLink">
            <a:rPr lang="en-US" sz="24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l"/>
            <a:t>$5.6 M</a:t>
          </a:fld>
          <a:endParaRPr lang="id-ID" sz="24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483706</xdr:colOff>
      <xdr:row>8</xdr:row>
      <xdr:rowOff>80771</xdr:rowOff>
    </xdr:from>
    <xdr:to>
      <xdr:col>14</xdr:col>
      <xdr:colOff>104432</xdr:colOff>
      <xdr:row>13</xdr:row>
      <xdr:rowOff>577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551D88CD-1318-49AE-BD2E-D7A7FBDCB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161854</xdr:colOff>
      <xdr:row>6</xdr:row>
      <xdr:rowOff>117574</xdr:rowOff>
    </xdr:from>
    <xdr:to>
      <xdr:col>17</xdr:col>
      <xdr:colOff>216155</xdr:colOff>
      <xdr:row>12</xdr:row>
      <xdr:rowOff>158260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6B8E82B-38D3-F236-F940-C9A3FA78A133}"/>
            </a:ext>
          </a:extLst>
        </xdr:cNvPr>
        <xdr:cNvSpPr/>
      </xdr:nvSpPr>
      <xdr:spPr>
        <a:xfrm>
          <a:off x="8175992" y="1234298"/>
          <a:ext cx="1860766" cy="115741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srgbClr val="4D4D4D">
              <a:alpha val="5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14</xdr:col>
      <xdr:colOff>195874</xdr:colOff>
      <xdr:row>6</xdr:row>
      <xdr:rowOff>138228</xdr:rowOff>
    </xdr:from>
    <xdr:to>
      <xdr:col>16</xdr:col>
      <xdr:colOff>57614</xdr:colOff>
      <xdr:row>8</xdr:row>
      <xdr:rowOff>62433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22A6AD8F-2BF7-8A9A-0636-DCAFB334F028}"/>
            </a:ext>
          </a:extLst>
        </xdr:cNvPr>
        <xdr:cNvSpPr txBox="1"/>
      </xdr:nvSpPr>
      <xdr:spPr>
        <a:xfrm>
          <a:off x="8162856" y="1281228"/>
          <a:ext cx="1059169" cy="305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kern="1200">
              <a:solidFill>
                <a:srgbClr val="412FC7"/>
              </a:solidFill>
              <a:latin typeface="+mn-lt"/>
            </a:rPr>
            <a:t>EBIT</a:t>
          </a:r>
          <a:endParaRPr lang="id-ID" sz="1300" b="0" kern="1200">
            <a:solidFill>
              <a:srgbClr val="412FC7"/>
            </a:solidFill>
            <a:latin typeface="+mn-lt"/>
          </a:endParaRPr>
        </a:p>
      </xdr:txBody>
    </xdr:sp>
    <xdr:clientData/>
  </xdr:twoCellAnchor>
  <xdr:twoCellAnchor>
    <xdr:from>
      <xdr:col>14</xdr:col>
      <xdr:colOff>195874</xdr:colOff>
      <xdr:row>7</xdr:row>
      <xdr:rowOff>38860</xdr:rowOff>
    </xdr:from>
    <xdr:to>
      <xdr:col>17</xdr:col>
      <xdr:colOff>90392</xdr:colOff>
      <xdr:row>11</xdr:row>
      <xdr:rowOff>36119</xdr:rowOff>
    </xdr:to>
    <xdr:sp macro="" textlink="'Yearly Pivot'!E3">
      <xdr:nvSpPr>
        <xdr:cNvPr id="91" name="TextBox 90">
          <a:extLst>
            <a:ext uri="{FF2B5EF4-FFF2-40B4-BE49-F238E27FC236}">
              <a16:creationId xmlns:a16="http://schemas.microsoft.com/office/drawing/2014/main" id="{F675FF37-0DF3-7A2B-5EE5-2EFCA062A216}"/>
            </a:ext>
          </a:extLst>
        </xdr:cNvPr>
        <xdr:cNvSpPr txBox="1"/>
      </xdr:nvSpPr>
      <xdr:spPr>
        <a:xfrm>
          <a:off x="8162856" y="1372360"/>
          <a:ext cx="1690661" cy="759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256A0FA-FB92-4B76-B8B3-4CEB104AA308}" type="TxLink">
            <a:rPr lang="en-US" sz="24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l"/>
            <a:t>$5.2 M</a:t>
          </a:fld>
          <a:endParaRPr lang="id-ID" sz="24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76976</xdr:colOff>
      <xdr:row>9</xdr:row>
      <xdr:rowOff>13276</xdr:rowOff>
    </xdr:from>
    <xdr:to>
      <xdr:col>17</xdr:col>
      <xdr:colOff>303437</xdr:colOff>
      <xdr:row>13</xdr:row>
      <xdr:rowOff>81341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79B147D7-6D9B-41FA-B4B0-81EA24DF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361664</xdr:colOff>
      <xdr:row>6</xdr:row>
      <xdr:rowOff>117574</xdr:rowOff>
    </xdr:from>
    <xdr:to>
      <xdr:col>20</xdr:col>
      <xdr:colOff>421710</xdr:colOff>
      <xdr:row>12</xdr:row>
      <xdr:rowOff>158071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7FC6DBC4-D879-6AC1-8530-DE677B58E669}"/>
            </a:ext>
          </a:extLst>
        </xdr:cNvPr>
        <xdr:cNvSpPr/>
      </xdr:nvSpPr>
      <xdr:spPr>
        <a:xfrm>
          <a:off x="10182267" y="1234298"/>
          <a:ext cx="1866512" cy="1157221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srgbClr val="4D4D4D">
              <a:alpha val="5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17</xdr:col>
      <xdr:colOff>395684</xdr:colOff>
      <xdr:row>6</xdr:row>
      <xdr:rowOff>138504</xdr:rowOff>
    </xdr:from>
    <xdr:to>
      <xdr:col>19</xdr:col>
      <xdr:colOff>259927</xdr:colOff>
      <xdr:row>8</xdr:row>
      <xdr:rowOff>61386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33E4568-FA87-DA06-94CC-C9021BDFF021}"/>
            </a:ext>
          </a:extLst>
        </xdr:cNvPr>
        <xdr:cNvSpPr txBox="1"/>
      </xdr:nvSpPr>
      <xdr:spPr>
        <a:xfrm>
          <a:off x="10158809" y="1281504"/>
          <a:ext cx="1061672" cy="303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0" kern="1200" baseline="0">
              <a:solidFill>
                <a:srgbClr val="412FC7"/>
              </a:solidFill>
              <a:latin typeface="+mn-lt"/>
            </a:rPr>
            <a:t>Net Profit</a:t>
          </a:r>
          <a:endParaRPr lang="id-ID" sz="1300" b="0" kern="1200">
            <a:solidFill>
              <a:srgbClr val="412FC7"/>
            </a:solidFill>
            <a:latin typeface="+mn-lt"/>
          </a:endParaRPr>
        </a:p>
      </xdr:txBody>
    </xdr:sp>
    <xdr:clientData/>
  </xdr:twoCellAnchor>
  <xdr:twoCellAnchor>
    <xdr:from>
      <xdr:col>17</xdr:col>
      <xdr:colOff>395684</xdr:colOff>
      <xdr:row>7</xdr:row>
      <xdr:rowOff>41176</xdr:rowOff>
    </xdr:from>
    <xdr:to>
      <xdr:col>20</xdr:col>
      <xdr:colOff>202467</xdr:colOff>
      <xdr:row>11</xdr:row>
      <xdr:rowOff>40567</xdr:rowOff>
    </xdr:to>
    <xdr:sp macro="" textlink="'Yearly Pivot'!F3">
      <xdr:nvSpPr>
        <xdr:cNvPr id="97" name="TextBox 96">
          <a:extLst>
            <a:ext uri="{FF2B5EF4-FFF2-40B4-BE49-F238E27FC236}">
              <a16:creationId xmlns:a16="http://schemas.microsoft.com/office/drawing/2014/main" id="{36117BAE-2B41-8C04-C3D2-68CED99D637F}"/>
            </a:ext>
          </a:extLst>
        </xdr:cNvPr>
        <xdr:cNvSpPr txBox="1"/>
      </xdr:nvSpPr>
      <xdr:spPr>
        <a:xfrm>
          <a:off x="10158809" y="1374676"/>
          <a:ext cx="1602926" cy="761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6D882DF-E400-422F-B5BC-0A04C52CC008}" type="TxLink">
            <a:rPr lang="en-US" sz="24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l"/>
            <a:t>$4.3 M</a:t>
          </a:fld>
          <a:endParaRPr lang="id-ID" sz="24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268480</xdr:colOff>
      <xdr:row>8</xdr:row>
      <xdr:rowOff>84368</xdr:rowOff>
    </xdr:from>
    <xdr:to>
      <xdr:col>21</xdr:col>
      <xdr:colOff>58795</xdr:colOff>
      <xdr:row>12</xdr:row>
      <xdr:rowOff>182747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7A7318F7-897A-4908-8987-0D27FF821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39461</xdr:colOff>
      <xdr:row>54</xdr:row>
      <xdr:rowOff>62047</xdr:rowOff>
    </xdr:from>
    <xdr:to>
      <xdr:col>4</xdr:col>
      <xdr:colOff>570664</xdr:colOff>
      <xdr:row>56</xdr:row>
      <xdr:rowOff>119402</xdr:rowOff>
    </xdr:to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DB56BC1F-6FC9-4FD5-A78F-A6D64FC9005B}"/>
            </a:ext>
          </a:extLst>
        </xdr:cNvPr>
        <xdr:cNvSpPr txBox="1"/>
      </xdr:nvSpPr>
      <xdr:spPr>
        <a:xfrm>
          <a:off x="256961" y="8499547"/>
          <a:ext cx="2331203" cy="432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kern="1200" baseline="0">
              <a:solidFill>
                <a:srgbClr val="462AD1"/>
              </a:solidFill>
            </a:rPr>
            <a:t>| </a:t>
          </a:r>
          <a:r>
            <a:rPr lang="en-US" sz="1800" b="0" kern="1200" baseline="0">
              <a:solidFill>
                <a:srgbClr val="462AD1"/>
              </a:solidFill>
            </a:rPr>
            <a:t>Income Statement</a:t>
          </a:r>
          <a:endParaRPr lang="id-ID" sz="1800" b="0" kern="1200">
            <a:solidFill>
              <a:srgbClr val="462AD1"/>
            </a:solidFill>
          </a:endParaRPr>
        </a:p>
      </xdr:txBody>
    </xdr:sp>
    <xdr:clientData/>
  </xdr:twoCellAnchor>
  <xdr:twoCellAnchor>
    <xdr:from>
      <xdr:col>0</xdr:col>
      <xdr:colOff>88799</xdr:colOff>
      <xdr:row>3</xdr:row>
      <xdr:rowOff>185715</xdr:rowOff>
    </xdr:from>
    <xdr:to>
      <xdr:col>6</xdr:col>
      <xdr:colOff>169520</xdr:colOff>
      <xdr:row>6</xdr:row>
      <xdr:rowOff>5110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44F5F57E-3781-4D4C-A4E7-E28E11A48C9D}"/>
            </a:ext>
          </a:extLst>
        </xdr:cNvPr>
        <xdr:cNvSpPr txBox="1"/>
      </xdr:nvSpPr>
      <xdr:spPr>
        <a:xfrm>
          <a:off x="88799" y="770986"/>
          <a:ext cx="3248070" cy="404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kern="1200" baseline="0">
              <a:solidFill>
                <a:schemeClr val="bg1"/>
              </a:solidFill>
            </a:rPr>
            <a:t>| </a:t>
          </a:r>
          <a:r>
            <a:rPr lang="en-US" sz="1800" b="0" kern="1200" baseline="0">
              <a:solidFill>
                <a:schemeClr val="bg1"/>
              </a:solidFill>
            </a:rPr>
            <a:t>Executive Summary</a:t>
          </a:r>
          <a:endParaRPr lang="id-ID" sz="1800" b="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158910</xdr:colOff>
      <xdr:row>66</xdr:row>
      <xdr:rowOff>108601</xdr:rowOff>
    </xdr:from>
    <xdr:to>
      <xdr:col>4</xdr:col>
      <xdr:colOff>390525</xdr:colOff>
      <xdr:row>78</xdr:row>
      <xdr:rowOff>122339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7C5DC7CA-5969-4053-AFBF-D5BAE5B0591A}"/>
            </a:ext>
          </a:extLst>
        </xdr:cNvPr>
        <xdr:cNvSpPr/>
      </xdr:nvSpPr>
      <xdr:spPr>
        <a:xfrm>
          <a:off x="342419" y="11066720"/>
          <a:ext cx="2040491" cy="2320711"/>
        </a:xfrm>
        <a:prstGeom prst="rect">
          <a:avLst/>
        </a:prstGeom>
        <a:solidFill>
          <a:srgbClr val="FFFFFF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</xdr:col>
      <xdr:colOff>217274</xdr:colOff>
      <xdr:row>67</xdr:row>
      <xdr:rowOff>172480</xdr:rowOff>
    </xdr:from>
    <xdr:to>
      <xdr:col>3</xdr:col>
      <xdr:colOff>373258</xdr:colOff>
      <xdr:row>70</xdr:row>
      <xdr:rowOff>31982</xdr:rowOff>
    </xdr:to>
    <xdr:sp macro="" textlink="Matrix!AE18">
      <xdr:nvSpPr>
        <xdr:cNvPr id="124" name="TextBox 123">
          <a:extLst>
            <a:ext uri="{FF2B5EF4-FFF2-40B4-BE49-F238E27FC236}">
              <a16:creationId xmlns:a16="http://schemas.microsoft.com/office/drawing/2014/main" id="{1CC4C172-33BF-4005-B5BD-BF454E594473}"/>
            </a:ext>
          </a:extLst>
        </xdr:cNvPr>
        <xdr:cNvSpPr txBox="1"/>
      </xdr:nvSpPr>
      <xdr:spPr>
        <a:xfrm>
          <a:off x="434388" y="11140237"/>
          <a:ext cx="1360616" cy="4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355D54-ED58-4F91-A279-FB88701E53D6}" type="TxLink">
            <a:rPr lang="en-US" sz="18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pPr/>
            <a:t>$562,000</a:t>
          </a:fld>
          <a:endParaRPr lang="id-ID" sz="1800" b="1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217274</xdr:colOff>
      <xdr:row>66</xdr:row>
      <xdr:rowOff>155677</xdr:rowOff>
    </xdr:from>
    <xdr:to>
      <xdr:col>3</xdr:col>
      <xdr:colOff>333231</xdr:colOff>
      <xdr:row>68</xdr:row>
      <xdr:rowOff>27876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4E7CFF5F-D960-4DC9-99A1-5A29F02A4079}"/>
            </a:ext>
          </a:extLst>
        </xdr:cNvPr>
        <xdr:cNvSpPr txBox="1"/>
      </xdr:nvSpPr>
      <xdr:spPr>
        <a:xfrm>
          <a:off x="434388" y="10934335"/>
          <a:ext cx="1320589" cy="250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kern="1200">
              <a:solidFill>
                <a:schemeClr val="tx1">
                  <a:lumMod val="85000"/>
                  <a:lumOff val="15000"/>
                </a:schemeClr>
              </a:solidFill>
            </a:rPr>
            <a:t>Gross Profit</a:t>
          </a:r>
          <a:endParaRPr lang="id-ID" sz="12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218689</xdr:colOff>
      <xdr:row>70</xdr:row>
      <xdr:rowOff>180102</xdr:rowOff>
    </xdr:from>
    <xdr:to>
      <xdr:col>4</xdr:col>
      <xdr:colOff>330747</xdr:colOff>
      <xdr:row>78</xdr:row>
      <xdr:rowOff>1656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FB2F90E9-CEEA-483B-BD2A-A5A93DAC8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595828</xdr:colOff>
      <xdr:row>74</xdr:row>
      <xdr:rowOff>98394</xdr:rowOff>
    </xdr:from>
    <xdr:to>
      <xdr:col>3</xdr:col>
      <xdr:colOff>536534</xdr:colOff>
      <xdr:row>75</xdr:row>
      <xdr:rowOff>135618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81C6B63D-B0C9-42E1-9500-49F5E3C56254}"/>
            </a:ext>
          </a:extLst>
        </xdr:cNvPr>
        <xdr:cNvSpPr txBox="1"/>
      </xdr:nvSpPr>
      <xdr:spPr>
        <a:xfrm>
          <a:off x="777603" y="12444539"/>
          <a:ext cx="1147691" cy="226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kern="1200">
              <a:solidFill>
                <a:schemeClr val="bg1">
                  <a:lumMod val="50000"/>
                </a:schemeClr>
              </a:solidFill>
            </a:rPr>
            <a:t>Gross Profit Margin</a:t>
          </a:r>
          <a:endParaRPr lang="id-ID" sz="9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173513</xdr:colOff>
          <xdr:row>73</xdr:row>
          <xdr:rowOff>62167</xdr:rowOff>
        </xdr:from>
        <xdr:to>
          <xdr:col>3</xdr:col>
          <xdr:colOff>375923</xdr:colOff>
          <xdr:row>74</xdr:row>
          <xdr:rowOff>147441</xdr:rowOff>
        </xdr:to>
        <xdr:pic>
          <xdr:nvPicPr>
            <xdr:cNvPr id="135" name="Picture 134">
              <a:extLst>
                <a:ext uri="{FF2B5EF4-FFF2-40B4-BE49-F238E27FC236}">
                  <a16:creationId xmlns:a16="http://schemas.microsoft.com/office/drawing/2014/main" id="{5A367E66-640D-1926-2778-3080FE79416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$AI$18" spid="_x0000_s1897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958780" y="12219266"/>
              <a:ext cx="805903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348165</xdr:colOff>
      <xdr:row>56</xdr:row>
      <xdr:rowOff>185519</xdr:rowOff>
    </xdr:from>
    <xdr:to>
      <xdr:col>11</xdr:col>
      <xdr:colOff>442442</xdr:colOff>
      <xdr:row>66</xdr:row>
      <xdr:rowOff>22501</xdr:rowOff>
    </xdr:to>
    <xdr:grpSp>
      <xdr:nvGrpSpPr>
        <xdr:cNvPr id="1168" name="Group 1167">
          <a:extLst>
            <a:ext uri="{FF2B5EF4-FFF2-40B4-BE49-F238E27FC236}">
              <a16:creationId xmlns:a16="http://schemas.microsoft.com/office/drawing/2014/main" id="{47EF6283-3607-3E82-44B6-E34952C38503}"/>
            </a:ext>
          </a:extLst>
        </xdr:cNvPr>
        <xdr:cNvGrpSpPr/>
      </xdr:nvGrpSpPr>
      <xdr:grpSpPr>
        <a:xfrm>
          <a:off x="3545062" y="10608278"/>
          <a:ext cx="3105052" cy="1698189"/>
          <a:chOff x="3565665" y="8930519"/>
          <a:chExt cx="3094277" cy="1711982"/>
        </a:xfrm>
      </xdr:grpSpPr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E52AFC88-A053-1E0C-A58C-2D09EF813227}"/>
              </a:ext>
            </a:extLst>
          </xdr:cNvPr>
          <xdr:cNvSpPr/>
        </xdr:nvSpPr>
        <xdr:spPr>
          <a:xfrm>
            <a:off x="3565665" y="8930519"/>
            <a:ext cx="3092781" cy="1711982"/>
          </a:xfrm>
          <a:prstGeom prst="rect">
            <a:avLst/>
          </a:prstGeom>
          <a:solidFill>
            <a:srgbClr val="FFFFFF"/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 kern="1200"/>
          </a:p>
        </xdr:txBody>
      </xdr:sp>
      <xdr:grpSp>
        <xdr:nvGrpSpPr>
          <xdr:cNvPr id="1167" name="Group 1166">
            <a:extLst>
              <a:ext uri="{FF2B5EF4-FFF2-40B4-BE49-F238E27FC236}">
                <a16:creationId xmlns:a16="http://schemas.microsoft.com/office/drawing/2014/main" id="{069193F6-F12C-338E-118D-702DEDA76BCB}"/>
              </a:ext>
            </a:extLst>
          </xdr:cNvPr>
          <xdr:cNvGrpSpPr/>
        </xdr:nvGrpSpPr>
        <xdr:grpSpPr>
          <a:xfrm>
            <a:off x="3573909" y="9855852"/>
            <a:ext cx="3086033" cy="743330"/>
            <a:chOff x="3573909" y="9855852"/>
            <a:chExt cx="3086033" cy="743330"/>
          </a:xfrm>
        </xdr:grpSpPr>
        <xdr:graphicFrame macro="">
          <xdr:nvGraphicFramePr>
            <xdr:cNvPr id="1104" name="Chart 1103">
              <a:extLst>
                <a:ext uri="{FF2B5EF4-FFF2-40B4-BE49-F238E27FC236}">
                  <a16:creationId xmlns:a16="http://schemas.microsoft.com/office/drawing/2014/main" id="{6E12791B-84C3-728A-0A44-CD8C1E81F94A}"/>
                </a:ext>
              </a:extLst>
            </xdr:cNvPr>
            <xdr:cNvGraphicFramePr>
              <a:graphicFrameLocks/>
            </xdr:cNvGraphicFramePr>
          </xdr:nvGraphicFramePr>
          <xdr:xfrm>
            <a:off x="3573909" y="9855852"/>
            <a:ext cx="3086033" cy="7433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pSp>
          <xdr:nvGrpSpPr>
            <xdr:cNvPr id="1108" name="Group 1107">
              <a:extLst>
                <a:ext uri="{FF2B5EF4-FFF2-40B4-BE49-F238E27FC236}">
                  <a16:creationId xmlns:a16="http://schemas.microsoft.com/office/drawing/2014/main" id="{BAD1DA2C-3CCD-8BE6-1F97-6267F9861C1C}"/>
                </a:ext>
              </a:extLst>
            </xdr:cNvPr>
            <xdr:cNvGrpSpPr/>
          </xdr:nvGrpSpPr>
          <xdr:grpSpPr>
            <a:xfrm>
              <a:off x="3702739" y="10287428"/>
              <a:ext cx="663693" cy="203302"/>
              <a:chOff x="3355409" y="10398218"/>
              <a:chExt cx="611369" cy="181778"/>
            </a:xfrm>
          </xdr:grpSpPr>
          <xdr:sp macro="" textlink="">
            <xdr:nvSpPr>
              <xdr:cNvPr id="1117" name="TextBox 1116">
                <a:extLst>
                  <a:ext uri="{FF2B5EF4-FFF2-40B4-BE49-F238E27FC236}">
                    <a16:creationId xmlns:a16="http://schemas.microsoft.com/office/drawing/2014/main" id="{F2B3EA4A-16DC-A806-B71D-5D8481BF69A7}"/>
                  </a:ext>
                </a:extLst>
              </xdr:cNvPr>
              <xdr:cNvSpPr txBox="1"/>
            </xdr:nvSpPr>
            <xdr:spPr>
              <a:xfrm>
                <a:off x="3355409" y="10402881"/>
                <a:ext cx="432783" cy="1724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700" kern="12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COGS</a:t>
                </a:r>
                <a:endParaRPr lang="id-ID" sz="700" kern="12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xdr:txBody>
          </xdr:sp>
          <xdr:sp macro="" textlink="">
            <xdr:nvSpPr>
              <xdr:cNvPr id="1118" name="Oval 1117">
                <a:extLst>
                  <a:ext uri="{FF2B5EF4-FFF2-40B4-BE49-F238E27FC236}">
                    <a16:creationId xmlns:a16="http://schemas.microsoft.com/office/drawing/2014/main" id="{FC049922-9DBD-A2D0-07E1-3D1C89CF6E2F}"/>
                  </a:ext>
                </a:extLst>
              </xdr:cNvPr>
              <xdr:cNvSpPr/>
            </xdr:nvSpPr>
            <xdr:spPr>
              <a:xfrm flipV="1">
                <a:off x="3363889" y="10460702"/>
                <a:ext cx="54413" cy="56734"/>
              </a:xfrm>
              <a:prstGeom prst="ellipse">
                <a:avLst/>
              </a:prstGeom>
              <a:solidFill>
                <a:srgbClr val="BD44B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d-ID" sz="1100" kern="1200"/>
              </a:p>
            </xdr:txBody>
          </xdr:sp>
          <xdr:sp macro="" textlink="Matrix!AP21">
            <xdr:nvSpPr>
              <xdr:cNvPr id="1119" name="TextBox 1118">
                <a:extLst>
                  <a:ext uri="{FF2B5EF4-FFF2-40B4-BE49-F238E27FC236}">
                    <a16:creationId xmlns:a16="http://schemas.microsoft.com/office/drawing/2014/main" id="{659D6FCA-5C67-7B63-2BFB-538CA5D9532C}"/>
                  </a:ext>
                </a:extLst>
              </xdr:cNvPr>
              <xdr:cNvSpPr txBox="1"/>
            </xdr:nvSpPr>
            <xdr:spPr>
              <a:xfrm>
                <a:off x="3573896" y="10398218"/>
                <a:ext cx="392882" cy="1817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B9AF742E-9ED5-4C84-9B22-D310B579DACB}" type="TxLink">
                  <a:rPr lang="en-US" sz="700" b="0" i="0" u="none" strike="noStrike" kern="1200">
                    <a:solidFill>
                      <a:schemeClr val="bg1">
                        <a:lumMod val="50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(47%)</a:t>
                </a:fld>
                <a:endParaRPr lang="id-ID" sz="700" kern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xdr:grpSp>
        <xdr:grpSp>
          <xdr:nvGrpSpPr>
            <xdr:cNvPr id="1109" name="Group 1108">
              <a:extLst>
                <a:ext uri="{FF2B5EF4-FFF2-40B4-BE49-F238E27FC236}">
                  <a16:creationId xmlns:a16="http://schemas.microsoft.com/office/drawing/2014/main" id="{15154306-96C7-EC3A-5B24-C324EDDE723F}"/>
                </a:ext>
              </a:extLst>
            </xdr:cNvPr>
            <xdr:cNvGrpSpPr/>
          </xdr:nvGrpSpPr>
          <xdr:grpSpPr>
            <a:xfrm>
              <a:off x="4303543" y="10287466"/>
              <a:ext cx="663687" cy="203302"/>
              <a:chOff x="3359933" y="10559293"/>
              <a:chExt cx="611364" cy="181777"/>
            </a:xfrm>
          </xdr:grpSpPr>
          <xdr:sp macro="" textlink="">
            <xdr:nvSpPr>
              <xdr:cNvPr id="1114" name="TextBox 1113">
                <a:extLst>
                  <a:ext uri="{FF2B5EF4-FFF2-40B4-BE49-F238E27FC236}">
                    <a16:creationId xmlns:a16="http://schemas.microsoft.com/office/drawing/2014/main" id="{C44E1356-10C7-A491-FCFF-1D27592D4595}"/>
                  </a:ext>
                </a:extLst>
              </xdr:cNvPr>
              <xdr:cNvSpPr txBox="1"/>
            </xdr:nvSpPr>
            <xdr:spPr>
              <a:xfrm>
                <a:off x="3359933" y="10563957"/>
                <a:ext cx="432782" cy="1724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700" kern="12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OPEX</a:t>
                </a:r>
                <a:endParaRPr lang="id-ID" sz="700" kern="12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xdr:txBody>
          </xdr:sp>
          <xdr:sp macro="" textlink="">
            <xdr:nvSpPr>
              <xdr:cNvPr id="1115" name="Oval 1114">
                <a:extLst>
                  <a:ext uri="{FF2B5EF4-FFF2-40B4-BE49-F238E27FC236}">
                    <a16:creationId xmlns:a16="http://schemas.microsoft.com/office/drawing/2014/main" id="{45131D1C-E672-4C08-3BD2-9FD99931D607}"/>
                  </a:ext>
                </a:extLst>
              </xdr:cNvPr>
              <xdr:cNvSpPr/>
            </xdr:nvSpPr>
            <xdr:spPr>
              <a:xfrm flipV="1">
                <a:off x="3368414" y="10621813"/>
                <a:ext cx="54413" cy="56734"/>
              </a:xfrm>
              <a:prstGeom prst="ellipse">
                <a:avLst/>
              </a:prstGeom>
              <a:solidFill>
                <a:srgbClr val="D17FD3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d-ID" sz="1100" kern="1200"/>
              </a:p>
            </xdr:txBody>
          </xdr:sp>
          <xdr:sp macro="" textlink="Matrix!AP22">
            <xdr:nvSpPr>
              <xdr:cNvPr id="1116" name="TextBox 1115">
                <a:extLst>
                  <a:ext uri="{FF2B5EF4-FFF2-40B4-BE49-F238E27FC236}">
                    <a16:creationId xmlns:a16="http://schemas.microsoft.com/office/drawing/2014/main" id="{5020CA87-E84E-5C13-3071-6D5C1F98ACA3}"/>
                  </a:ext>
                </a:extLst>
              </xdr:cNvPr>
              <xdr:cNvSpPr txBox="1"/>
            </xdr:nvSpPr>
            <xdr:spPr>
              <a:xfrm>
                <a:off x="3578415" y="10559293"/>
                <a:ext cx="392882" cy="18177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8D5B4172-E484-44DF-B501-2B167803A04A}" type="TxLink">
                  <a:rPr lang="en-US" sz="700" b="0" i="0" u="none" strike="noStrike" kern="1200">
                    <a:solidFill>
                      <a:schemeClr val="bg1">
                        <a:lumMod val="50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(39%)</a:t>
                </a:fld>
                <a:endParaRPr lang="id-ID" sz="700" kern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xdr:grpSp>
        <xdr:grpSp>
          <xdr:nvGrpSpPr>
            <xdr:cNvPr id="1110" name="Group 1109">
              <a:extLst>
                <a:ext uri="{FF2B5EF4-FFF2-40B4-BE49-F238E27FC236}">
                  <a16:creationId xmlns:a16="http://schemas.microsoft.com/office/drawing/2014/main" id="{1FE719F5-C0C7-480D-BF16-6797CEE8620E}"/>
                </a:ext>
              </a:extLst>
            </xdr:cNvPr>
            <xdr:cNvGrpSpPr/>
          </xdr:nvGrpSpPr>
          <xdr:grpSpPr>
            <a:xfrm>
              <a:off x="4899586" y="10287466"/>
              <a:ext cx="1055109" cy="203302"/>
              <a:chOff x="4277802" y="10481180"/>
              <a:chExt cx="970850" cy="181777"/>
            </a:xfrm>
          </xdr:grpSpPr>
          <xdr:sp macro="" textlink="">
            <xdr:nvSpPr>
              <xdr:cNvPr id="1111" name="TextBox 1110">
                <a:extLst>
                  <a:ext uri="{FF2B5EF4-FFF2-40B4-BE49-F238E27FC236}">
                    <a16:creationId xmlns:a16="http://schemas.microsoft.com/office/drawing/2014/main" id="{E034428F-0663-79A0-DD46-7190025CFEAC}"/>
                  </a:ext>
                </a:extLst>
              </xdr:cNvPr>
              <xdr:cNvSpPr txBox="1"/>
            </xdr:nvSpPr>
            <xdr:spPr>
              <a:xfrm>
                <a:off x="4277802" y="10485858"/>
                <a:ext cx="848740" cy="17241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700" kern="12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Interest</a:t>
                </a:r>
                <a:r>
                  <a:rPr lang="en-US" sz="700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and Tax</a:t>
                </a:r>
                <a:endParaRPr lang="id-ID" sz="700" kern="12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xdr:txBody>
          </xdr:sp>
          <xdr:sp macro="" textlink="">
            <xdr:nvSpPr>
              <xdr:cNvPr id="1112" name="Oval 1111">
                <a:extLst>
                  <a:ext uri="{FF2B5EF4-FFF2-40B4-BE49-F238E27FC236}">
                    <a16:creationId xmlns:a16="http://schemas.microsoft.com/office/drawing/2014/main" id="{0B26CD4E-C064-2F3C-31D5-61F4C43FF182}"/>
                  </a:ext>
                </a:extLst>
              </xdr:cNvPr>
              <xdr:cNvSpPr/>
            </xdr:nvSpPr>
            <xdr:spPr>
              <a:xfrm flipV="1">
                <a:off x="4286294" y="10543701"/>
                <a:ext cx="54413" cy="56734"/>
              </a:xfrm>
              <a:prstGeom prst="ellipse">
                <a:avLst/>
              </a:prstGeom>
              <a:solidFill>
                <a:srgbClr val="EBC6EC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d-ID" sz="1100" kern="1200"/>
              </a:p>
            </xdr:txBody>
          </xdr:sp>
          <xdr:sp macro="" textlink="Matrix!AP23">
            <xdr:nvSpPr>
              <xdr:cNvPr id="1113" name="TextBox 1112">
                <a:extLst>
                  <a:ext uri="{FF2B5EF4-FFF2-40B4-BE49-F238E27FC236}">
                    <a16:creationId xmlns:a16="http://schemas.microsoft.com/office/drawing/2014/main" id="{EA2B13B4-7861-CAF0-6810-2E07BFF91321}"/>
                  </a:ext>
                </a:extLst>
              </xdr:cNvPr>
              <xdr:cNvSpPr txBox="1"/>
            </xdr:nvSpPr>
            <xdr:spPr>
              <a:xfrm>
                <a:off x="4855770" y="10481180"/>
                <a:ext cx="392882" cy="18177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6AAAC3FF-7036-4C38-BDA9-5E61D9B94EB7}" type="TxLink">
                  <a:rPr lang="en-US" sz="700" b="0" i="0" u="none" strike="noStrike" kern="1200">
                    <a:solidFill>
                      <a:schemeClr val="bg1">
                        <a:lumMod val="50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(14%)</a:t>
                </a:fld>
                <a:endParaRPr lang="id-ID" sz="700" kern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xdr:grpSp>
      </xdr:grpSp>
      <xdr:grpSp>
        <xdr:nvGrpSpPr>
          <xdr:cNvPr id="1166" name="Group 1165">
            <a:extLst>
              <a:ext uri="{FF2B5EF4-FFF2-40B4-BE49-F238E27FC236}">
                <a16:creationId xmlns:a16="http://schemas.microsoft.com/office/drawing/2014/main" id="{F326DBEA-AAE9-94C1-A5C8-58E5D1FF514C}"/>
              </a:ext>
            </a:extLst>
          </xdr:cNvPr>
          <xdr:cNvGrpSpPr/>
        </xdr:nvGrpSpPr>
        <xdr:grpSpPr>
          <a:xfrm>
            <a:off x="3616801" y="8975859"/>
            <a:ext cx="1854294" cy="951303"/>
            <a:chOff x="3616801" y="8975859"/>
            <a:chExt cx="1854294" cy="951303"/>
          </a:xfrm>
        </xdr:grpSpPr>
        <xdr:sp macro="" textlink="Matrix!AD18">
          <xdr:nvSpPr>
            <xdr:cNvPr id="72" name="TextBox 71">
              <a:extLst>
                <a:ext uri="{FF2B5EF4-FFF2-40B4-BE49-F238E27FC236}">
                  <a16:creationId xmlns:a16="http://schemas.microsoft.com/office/drawing/2014/main" id="{341B7D0F-677A-9A87-57B4-BFEB7C37128F}"/>
                </a:ext>
              </a:extLst>
            </xdr:cNvPr>
            <xdr:cNvSpPr txBox="1"/>
          </xdr:nvSpPr>
          <xdr:spPr>
            <a:xfrm>
              <a:off x="3616801" y="9216047"/>
              <a:ext cx="1430599" cy="4259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89F1D38-0452-4B79-BF40-5C65A88F1F12}" type="TxLink">
                <a:rPr lang="en-US" sz="2400" b="1" i="0" u="none" strike="noStrike" kern="1200">
                  <a:solidFill>
                    <a:schemeClr val="tx1">
                      <a:lumMod val="85000"/>
                      <a:lumOff val="15000"/>
                    </a:schemeClr>
                  </a:solidFill>
                  <a:latin typeface="Calibri"/>
                  <a:ea typeface="Calibri"/>
                  <a:cs typeface="Calibri"/>
                </a:rPr>
                <a:pPr/>
                <a:t>$396,700</a:t>
              </a:fld>
              <a:endParaRPr lang="id-ID" sz="2400" b="1" kern="12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06C1F88F-C025-4F2B-AE0D-E6FBB75DC880}"/>
                </a:ext>
              </a:extLst>
            </xdr:cNvPr>
            <xdr:cNvSpPr txBox="1"/>
          </xdr:nvSpPr>
          <xdr:spPr>
            <a:xfrm>
              <a:off x="3617604" y="8975859"/>
              <a:ext cx="1151668" cy="2731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kern="1200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Expense</a:t>
              </a:r>
              <a:endParaRPr lang="id-ID" sz="1400" kern="12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C58DFA7-07DE-08AD-81AA-09CA0CA7C76A}"/>
                </a:ext>
              </a:extLst>
            </xdr:cNvPr>
            <xdr:cNvSpPr txBox="1"/>
          </xdr:nvSpPr>
          <xdr:spPr>
            <a:xfrm>
              <a:off x="4297355" y="9707616"/>
              <a:ext cx="1173740" cy="2195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 b="0" i="1" kern="1200">
                  <a:solidFill>
                    <a:schemeClr val="bg1">
                      <a:lumMod val="50000"/>
                    </a:schemeClr>
                  </a:solidFill>
                </a:rPr>
                <a:t>vs previous</a:t>
              </a:r>
              <a:r>
                <a:rPr lang="en-US" sz="800" b="0" i="1" kern="1200" baseline="0">
                  <a:solidFill>
                    <a:schemeClr val="bg1">
                      <a:lumMod val="50000"/>
                    </a:schemeClr>
                  </a:solidFill>
                </a:rPr>
                <a:t> month</a:t>
              </a:r>
              <a:endParaRPr lang="id-ID" sz="800" b="0" i="1" kern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126" name="Picture 1125">
                  <a:extLst>
                    <a:ext uri="{FF2B5EF4-FFF2-40B4-BE49-F238E27FC236}">
                      <a16:creationId xmlns:a16="http://schemas.microsoft.com/office/drawing/2014/main" id="{FA2236C3-8409-C25B-88A5-2FE324DE6EFD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Matrix!$AD$19" spid="_x0000_s1898"/>
                    </a:ext>
                  </a:extLst>
                </xdr:cNvPicPr>
              </xdr:nvPicPr>
              <xdr:blipFill>
                <a:blip xmlns:r="http://schemas.openxmlformats.org/officeDocument/2006/relationships" r:embed="rId14"/>
                <a:srcRect/>
                <a:stretch>
                  <a:fillRect/>
                </a:stretch>
              </xdr:blipFill>
              <xdr:spPr bwMode="auto">
                <a:xfrm>
                  <a:off x="3716575" y="9710169"/>
                  <a:ext cx="649799" cy="18371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</xdr:grpSp>
    </xdr:grpSp>
    <xdr:clientData/>
  </xdr:twoCellAnchor>
  <xdr:twoCellAnchor>
    <xdr:from>
      <xdr:col>1</xdr:col>
      <xdr:colOff>158910</xdr:colOff>
      <xdr:row>56</xdr:row>
      <xdr:rowOff>185519</xdr:rowOff>
    </xdr:from>
    <xdr:to>
      <xdr:col>6</xdr:col>
      <xdr:colOff>271651</xdr:colOff>
      <xdr:row>66</xdr:row>
      <xdr:rowOff>22501</xdr:rowOff>
    </xdr:to>
    <xdr:grpSp>
      <xdr:nvGrpSpPr>
        <xdr:cNvPr id="1165" name="Group 1164">
          <a:extLst>
            <a:ext uri="{FF2B5EF4-FFF2-40B4-BE49-F238E27FC236}">
              <a16:creationId xmlns:a16="http://schemas.microsoft.com/office/drawing/2014/main" id="{63F109DA-EBB0-9BFF-E529-D2BD16414646}"/>
            </a:ext>
          </a:extLst>
        </xdr:cNvPr>
        <xdr:cNvGrpSpPr/>
      </xdr:nvGrpSpPr>
      <xdr:grpSpPr>
        <a:xfrm>
          <a:off x="345031" y="10608278"/>
          <a:ext cx="3123517" cy="1698189"/>
          <a:chOff x="376410" y="8930519"/>
          <a:chExt cx="3112741" cy="1711982"/>
        </a:xfrm>
      </xdr:grpSpPr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C4DFD791-B5DE-408B-8E8D-CD31D3BE3610}"/>
              </a:ext>
            </a:extLst>
          </xdr:cNvPr>
          <xdr:cNvSpPr/>
        </xdr:nvSpPr>
        <xdr:spPr>
          <a:xfrm>
            <a:off x="380178" y="8930519"/>
            <a:ext cx="3102148" cy="1711982"/>
          </a:xfrm>
          <a:prstGeom prst="rect">
            <a:avLst/>
          </a:prstGeom>
          <a:noFill/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 kern="1200"/>
          </a:p>
        </xdr:txBody>
      </xdr:sp>
      <xdr:grpSp>
        <xdr:nvGrpSpPr>
          <xdr:cNvPr id="1163" name="Group 1162">
            <a:extLst>
              <a:ext uri="{FF2B5EF4-FFF2-40B4-BE49-F238E27FC236}">
                <a16:creationId xmlns:a16="http://schemas.microsoft.com/office/drawing/2014/main" id="{AFB8D37D-41DA-703F-B0DC-03B7999EEF5D}"/>
              </a:ext>
            </a:extLst>
          </xdr:cNvPr>
          <xdr:cNvGrpSpPr/>
        </xdr:nvGrpSpPr>
        <xdr:grpSpPr>
          <a:xfrm>
            <a:off x="435081" y="8974754"/>
            <a:ext cx="2476024" cy="951057"/>
            <a:chOff x="435081" y="8974754"/>
            <a:chExt cx="2476024" cy="951057"/>
          </a:xfrm>
        </xdr:grpSpPr>
        <xdr:sp macro="" textlink="Matrix!AC18">
          <xdr:nvSpPr>
            <xdr:cNvPr id="1094" name="TextBox 1093">
              <a:extLst>
                <a:ext uri="{FF2B5EF4-FFF2-40B4-BE49-F238E27FC236}">
                  <a16:creationId xmlns:a16="http://schemas.microsoft.com/office/drawing/2014/main" id="{876167AC-BA0F-5094-5B3D-ABFCB0A30A76}"/>
                </a:ext>
              </a:extLst>
            </xdr:cNvPr>
            <xdr:cNvSpPr txBox="1"/>
          </xdr:nvSpPr>
          <xdr:spPr>
            <a:xfrm>
              <a:off x="435081" y="9219277"/>
              <a:ext cx="2476024" cy="4619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86580AB-F80E-4BE0-9EB1-491744F67923}" type="TxLink">
                <a:rPr lang="en-US" sz="2400" b="1" i="0" u="none" strike="noStrike" kern="1200">
                  <a:solidFill>
                    <a:schemeClr val="tx1">
                      <a:lumMod val="85000"/>
                      <a:lumOff val="15000"/>
                    </a:schemeClr>
                  </a:solidFill>
                  <a:latin typeface="Calibri"/>
                  <a:ea typeface="Calibri"/>
                  <a:cs typeface="Calibri"/>
                </a:rPr>
                <a:pPr/>
                <a:t>$749,000</a:t>
              </a:fld>
              <a:endParaRPr lang="id-ID" sz="2400" b="1" kern="12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  <xdr:sp macro="" textlink="">
          <xdr:nvSpPr>
            <xdr:cNvPr id="1097" name="TextBox 1096">
              <a:extLst>
                <a:ext uri="{FF2B5EF4-FFF2-40B4-BE49-F238E27FC236}">
                  <a16:creationId xmlns:a16="http://schemas.microsoft.com/office/drawing/2014/main" id="{1F40EA54-26AF-DA17-CBB5-8D41FE6A5FF2}"/>
                </a:ext>
              </a:extLst>
            </xdr:cNvPr>
            <xdr:cNvSpPr txBox="1"/>
          </xdr:nvSpPr>
          <xdr:spPr>
            <a:xfrm>
              <a:off x="435081" y="8974754"/>
              <a:ext cx="1429105" cy="2751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kern="1200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Revenue</a:t>
              </a:r>
              <a:endParaRPr lang="id-ID" sz="1400" kern="1200">
                <a:solidFill>
                  <a:schemeClr val="tx1">
                    <a:lumMod val="85000"/>
                    <a:lumOff val="15000"/>
                  </a:schemeClr>
                </a:solidFill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124" name="Picture 1123">
                  <a:extLst>
                    <a:ext uri="{FF2B5EF4-FFF2-40B4-BE49-F238E27FC236}">
                      <a16:creationId xmlns:a16="http://schemas.microsoft.com/office/drawing/2014/main" id="{EAF30A47-F7E7-36EC-EA81-8A56C093F903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Matrix!$AC$19" spid="_x0000_s1899"/>
                    </a:ext>
                  </a:extLst>
                </xdr:cNvPicPr>
              </xdr:nvPicPr>
              <xdr:blipFill>
                <a:blip xmlns:r="http://schemas.openxmlformats.org/officeDocument/2006/relationships" r:embed="rId15"/>
                <a:srcRect/>
                <a:stretch>
                  <a:fillRect/>
                </a:stretch>
              </xdr:blipFill>
              <xdr:spPr bwMode="auto">
                <a:xfrm>
                  <a:off x="510853" y="9709510"/>
                  <a:ext cx="649655" cy="18365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xdr:sp macro="" textlink="">
          <xdr:nvSpPr>
            <xdr:cNvPr id="1107" name="TextBox 1106">
              <a:extLst>
                <a:ext uri="{FF2B5EF4-FFF2-40B4-BE49-F238E27FC236}">
                  <a16:creationId xmlns:a16="http://schemas.microsoft.com/office/drawing/2014/main" id="{28E250C9-3C52-44B8-B21E-81CF95388151}"/>
                </a:ext>
              </a:extLst>
            </xdr:cNvPr>
            <xdr:cNvSpPr txBox="1"/>
          </xdr:nvSpPr>
          <xdr:spPr>
            <a:xfrm>
              <a:off x="1097620" y="9707310"/>
              <a:ext cx="1176685" cy="2185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 b="0" i="1" kern="1200">
                  <a:solidFill>
                    <a:schemeClr val="bg1">
                      <a:lumMod val="50000"/>
                    </a:schemeClr>
                  </a:solidFill>
                </a:rPr>
                <a:t>vs previous</a:t>
              </a:r>
              <a:r>
                <a:rPr lang="en-US" sz="800" b="0" i="1" kern="1200" baseline="0">
                  <a:solidFill>
                    <a:schemeClr val="bg1">
                      <a:lumMod val="50000"/>
                    </a:schemeClr>
                  </a:solidFill>
                </a:rPr>
                <a:t> month</a:t>
              </a:r>
              <a:endParaRPr lang="id-ID" sz="800" b="0" i="1" kern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grpSp>
        <xdr:nvGrpSpPr>
          <xdr:cNvPr id="1164" name="Group 1163">
            <a:extLst>
              <a:ext uri="{FF2B5EF4-FFF2-40B4-BE49-F238E27FC236}">
                <a16:creationId xmlns:a16="http://schemas.microsoft.com/office/drawing/2014/main" id="{30FA84AE-ED00-E5C3-4A60-0356EA6843DC}"/>
              </a:ext>
            </a:extLst>
          </xdr:cNvPr>
          <xdr:cNvGrpSpPr/>
        </xdr:nvGrpSpPr>
        <xdr:grpSpPr>
          <a:xfrm>
            <a:off x="376410" y="9825020"/>
            <a:ext cx="3112741" cy="725752"/>
            <a:chOff x="376410" y="9825020"/>
            <a:chExt cx="3112741" cy="725752"/>
          </a:xfrm>
        </xdr:grpSpPr>
        <xdr:graphicFrame macro="">
          <xdr:nvGraphicFramePr>
            <xdr:cNvPr id="1091" name="Chart 1090">
              <a:extLst>
                <a:ext uri="{FF2B5EF4-FFF2-40B4-BE49-F238E27FC236}">
                  <a16:creationId xmlns:a16="http://schemas.microsoft.com/office/drawing/2014/main" id="{6100F719-D4CA-4A87-8396-286FBB130268}"/>
                </a:ext>
              </a:extLst>
            </xdr:cNvPr>
            <xdr:cNvGraphicFramePr>
              <a:graphicFrameLocks/>
            </xdr:cNvGraphicFramePr>
          </xdr:nvGraphicFramePr>
          <xdr:xfrm>
            <a:off x="376410" y="9825020"/>
            <a:ext cx="3112741" cy="7257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28AB9189-DA35-458D-85FF-1EA7CF57BD73}"/>
                </a:ext>
              </a:extLst>
            </xdr:cNvPr>
            <xdr:cNvGrpSpPr/>
          </xdr:nvGrpSpPr>
          <xdr:grpSpPr>
            <a:xfrm>
              <a:off x="510633" y="10287874"/>
              <a:ext cx="640975" cy="193967"/>
              <a:chOff x="393228" y="10394643"/>
              <a:chExt cx="587718" cy="181866"/>
            </a:xfrm>
          </xdr:grpSpPr>
          <xdr:sp macro="" textlink="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3FF00D91-3544-C49F-9201-6CC2FC4349B9}"/>
                  </a:ext>
                </a:extLst>
              </xdr:cNvPr>
              <xdr:cNvSpPr txBox="1"/>
            </xdr:nvSpPr>
            <xdr:spPr>
              <a:xfrm>
                <a:off x="393228" y="10399326"/>
                <a:ext cx="431387" cy="17250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700" kern="12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Sales</a:t>
                </a:r>
                <a:endParaRPr lang="id-ID" sz="700" kern="12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xdr:txBody>
          </xdr:sp>
          <xdr:sp macro="" textlink="">
            <xdr:nvSpPr>
              <xdr:cNvPr id="21" name="Oval 20">
                <a:extLst>
                  <a:ext uri="{FF2B5EF4-FFF2-40B4-BE49-F238E27FC236}">
                    <a16:creationId xmlns:a16="http://schemas.microsoft.com/office/drawing/2014/main" id="{9B30A83E-EB71-BB80-9151-836918576813}"/>
                  </a:ext>
                </a:extLst>
              </xdr:cNvPr>
              <xdr:cNvSpPr/>
            </xdr:nvSpPr>
            <xdr:spPr>
              <a:xfrm flipV="1">
                <a:off x="401699" y="10457194"/>
                <a:ext cx="54237" cy="56762"/>
              </a:xfrm>
              <a:prstGeom prst="ellipse">
                <a:avLst/>
              </a:prstGeom>
              <a:solidFill>
                <a:srgbClr val="462AD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d-ID" sz="1100" kern="1200"/>
              </a:p>
            </xdr:txBody>
          </xdr:sp>
          <xdr:sp macro="" textlink="Matrix!AP17">
            <xdr:nvSpPr>
              <xdr:cNvPr id="22" name="TextBox 21">
                <a:extLst>
                  <a:ext uri="{FF2B5EF4-FFF2-40B4-BE49-F238E27FC236}">
                    <a16:creationId xmlns:a16="http://schemas.microsoft.com/office/drawing/2014/main" id="{29C77799-A1A8-6C86-BBFA-28B59B790765}"/>
                  </a:ext>
                </a:extLst>
              </xdr:cNvPr>
              <xdr:cNvSpPr txBox="1"/>
            </xdr:nvSpPr>
            <xdr:spPr>
              <a:xfrm>
                <a:off x="589331" y="10394643"/>
                <a:ext cx="391615" cy="18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EC0354F9-2E62-4CF1-B117-D13F243E1B3E}" type="TxLink">
                  <a:rPr lang="en-US" sz="700" b="0" i="0" u="none" strike="noStrike" kern="1200">
                    <a:solidFill>
                      <a:schemeClr val="bg1">
                        <a:lumMod val="50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(75%)</a:t>
                </a:fld>
                <a:endParaRPr lang="id-ID" sz="700" kern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</xdr:grpSp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90CC570D-7588-934D-C3B8-F9073477D0AA}"/>
                </a:ext>
              </a:extLst>
            </xdr:cNvPr>
            <xdr:cNvGrpSpPr/>
          </xdr:nvGrpSpPr>
          <xdr:grpSpPr>
            <a:xfrm>
              <a:off x="1092398" y="10287847"/>
              <a:ext cx="1681082" cy="193966"/>
              <a:chOff x="932564" y="10394617"/>
              <a:chExt cx="1539354" cy="181865"/>
            </a:xfrm>
          </xdr:grpSpPr>
          <xdr:sp macro="" textlink="Matrix!AP18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91ACD73B-92C9-4514-8E3E-A4D541886F5D}"/>
                  </a:ext>
                </a:extLst>
              </xdr:cNvPr>
              <xdr:cNvSpPr txBox="1"/>
            </xdr:nvSpPr>
            <xdr:spPr>
              <a:xfrm>
                <a:off x="2081291" y="10394617"/>
                <a:ext cx="390627" cy="1818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84A8DF96-4801-4564-8FE8-47F22C1B232B}" type="TxLink">
                  <a:rPr lang="en-US" sz="700" b="0" i="0" u="none" strike="noStrike" kern="1200">
                    <a:solidFill>
                      <a:schemeClr val="bg1">
                        <a:lumMod val="50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(14%)</a:t>
                </a:fld>
                <a:endParaRPr lang="id-ID" sz="700" kern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008FE1E5-7A2E-DF12-32FB-9762162B3277}"/>
                  </a:ext>
                </a:extLst>
              </xdr:cNvPr>
              <xdr:cNvSpPr txBox="1"/>
            </xdr:nvSpPr>
            <xdr:spPr>
              <a:xfrm>
                <a:off x="932564" y="10399330"/>
                <a:ext cx="1306747" cy="17250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7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Consulting &amp; professional services</a:t>
                </a:r>
                <a:endParaRPr lang="id-ID" sz="7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xdr:txBody>
          </xdr:sp>
          <xdr:sp macro="" textlink="">
            <xdr:nvSpPr>
              <xdr:cNvPr id="43" name="Oval 42">
                <a:extLst>
                  <a:ext uri="{FF2B5EF4-FFF2-40B4-BE49-F238E27FC236}">
                    <a16:creationId xmlns:a16="http://schemas.microsoft.com/office/drawing/2014/main" id="{D950BFCB-1FEA-D0A3-B1BB-639528A3134F}"/>
                  </a:ext>
                </a:extLst>
              </xdr:cNvPr>
              <xdr:cNvSpPr/>
            </xdr:nvSpPr>
            <xdr:spPr>
              <a:xfrm flipV="1">
                <a:off x="941049" y="10457194"/>
                <a:ext cx="54234" cy="56762"/>
              </a:xfrm>
              <a:prstGeom prst="ellipse">
                <a:avLst/>
              </a:prstGeom>
              <a:solidFill>
                <a:srgbClr val="826DDD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d-ID" sz="1100" kern="1200"/>
              </a:p>
            </xdr:txBody>
          </xdr:sp>
        </xdr:grpSp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6F11ADBD-01B0-438E-1FFF-8B02DC524479}"/>
                </a:ext>
              </a:extLst>
            </xdr:cNvPr>
            <xdr:cNvGrpSpPr/>
          </xdr:nvGrpSpPr>
          <xdr:grpSpPr>
            <a:xfrm>
              <a:off x="2711678" y="10287874"/>
              <a:ext cx="704396" cy="193967"/>
              <a:chOff x="2519540" y="10394643"/>
              <a:chExt cx="646817" cy="181866"/>
            </a:xfrm>
          </xdr:grpSpPr>
          <xdr:sp macro="" textlink="Matrix!AP19">
            <xdr:nvSpPr>
              <xdr:cNvPr id="32" name="TextBox 31">
                <a:extLst>
                  <a:ext uri="{FF2B5EF4-FFF2-40B4-BE49-F238E27FC236}">
                    <a16:creationId xmlns:a16="http://schemas.microsoft.com/office/drawing/2014/main" id="{D6DF6E6A-584C-47B3-B554-E5FCAA773AFC}"/>
                  </a:ext>
                </a:extLst>
              </xdr:cNvPr>
              <xdr:cNvSpPr txBox="1"/>
            </xdr:nvSpPr>
            <xdr:spPr>
              <a:xfrm>
                <a:off x="2773459" y="10394643"/>
                <a:ext cx="392898" cy="18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B6346EE8-77F0-4A93-B8F7-A30780059F97}" type="TxLink">
                  <a:rPr lang="en-US" sz="700" b="0" i="0" u="none" strike="noStrike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(11%)</a:t>
                </a:fld>
                <a:endParaRPr lang="id-ID" sz="700" kern="12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  <xdr:sp macro="" textlink="">
            <xdr:nvSpPr>
              <xdr:cNvPr id="51" name="TextBox 50">
                <a:extLst>
                  <a:ext uri="{FF2B5EF4-FFF2-40B4-BE49-F238E27FC236}">
                    <a16:creationId xmlns:a16="http://schemas.microsoft.com/office/drawing/2014/main" id="{316E6EA8-0C61-9686-15DC-8F031021B53E}"/>
                  </a:ext>
                </a:extLst>
              </xdr:cNvPr>
              <xdr:cNvSpPr txBox="1"/>
            </xdr:nvSpPr>
            <xdr:spPr>
              <a:xfrm>
                <a:off x="2519540" y="10399326"/>
                <a:ext cx="431618" cy="17250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700" kern="12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Others</a:t>
                </a:r>
                <a:endParaRPr lang="id-ID" sz="700" kern="12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xdr:txBody>
          </xdr:sp>
          <xdr:sp macro="" textlink="">
            <xdr:nvSpPr>
              <xdr:cNvPr id="52" name="Oval 51">
                <a:extLst>
                  <a:ext uri="{FF2B5EF4-FFF2-40B4-BE49-F238E27FC236}">
                    <a16:creationId xmlns:a16="http://schemas.microsoft.com/office/drawing/2014/main" id="{32BEE021-914C-BE96-784C-3867D2B9A8DD}"/>
                  </a:ext>
                </a:extLst>
              </xdr:cNvPr>
              <xdr:cNvSpPr/>
            </xdr:nvSpPr>
            <xdr:spPr>
              <a:xfrm flipV="1">
                <a:off x="2527993" y="10457194"/>
                <a:ext cx="54266" cy="56762"/>
              </a:xfrm>
              <a:prstGeom prst="ellipse">
                <a:avLst/>
              </a:prstGeom>
              <a:solidFill>
                <a:srgbClr val="AFA2E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id-ID" sz="1100" kern="1200"/>
              </a:p>
            </xdr:txBody>
          </xdr:sp>
        </xdr:grpSp>
      </xdr:grpSp>
    </xdr:grpSp>
    <xdr:clientData/>
  </xdr:twoCellAnchor>
  <xdr:twoCellAnchor>
    <xdr:from>
      <xdr:col>4</xdr:col>
      <xdr:colOff>486403</xdr:colOff>
      <xdr:row>66</xdr:row>
      <xdr:rowOff>108601</xdr:rowOff>
    </xdr:from>
    <xdr:to>
      <xdr:col>8</xdr:col>
      <xdr:colOff>115703</xdr:colOff>
      <xdr:row>78</xdr:row>
      <xdr:rowOff>122339</xdr:rowOff>
    </xdr:to>
    <xdr:sp macro="" textlink="">
      <xdr:nvSpPr>
        <xdr:cNvPr id="1132" name="Rectangle 1131">
          <a:extLst>
            <a:ext uri="{FF2B5EF4-FFF2-40B4-BE49-F238E27FC236}">
              <a16:creationId xmlns:a16="http://schemas.microsoft.com/office/drawing/2014/main" id="{A64F7757-29EF-D93C-7151-05017CEF217A}"/>
            </a:ext>
          </a:extLst>
        </xdr:cNvPr>
        <xdr:cNvSpPr/>
      </xdr:nvSpPr>
      <xdr:spPr>
        <a:xfrm>
          <a:off x="2478788" y="11066720"/>
          <a:ext cx="2041135" cy="2320711"/>
        </a:xfrm>
        <a:prstGeom prst="rect">
          <a:avLst/>
        </a:prstGeom>
        <a:solidFill>
          <a:srgbClr val="FFFFFF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4</xdr:col>
      <xdr:colOff>546182</xdr:colOff>
      <xdr:row>70</xdr:row>
      <xdr:rowOff>180102</xdr:rowOff>
    </xdr:from>
    <xdr:to>
      <xdr:col>8</xdr:col>
      <xdr:colOff>55925</xdr:colOff>
      <xdr:row>78</xdr:row>
      <xdr:rowOff>1656</xdr:rowOff>
    </xdr:to>
    <xdr:graphicFrame macro="">
      <xdr:nvGraphicFramePr>
        <xdr:cNvPr id="1133" name="Chart 1132">
          <a:extLst>
            <a:ext uri="{FF2B5EF4-FFF2-40B4-BE49-F238E27FC236}">
              <a16:creationId xmlns:a16="http://schemas.microsoft.com/office/drawing/2014/main" id="{6734A782-E3A1-50A6-84E5-1DF3C166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544767</xdr:colOff>
      <xdr:row>67</xdr:row>
      <xdr:rowOff>172480</xdr:rowOff>
    </xdr:from>
    <xdr:to>
      <xdr:col>7</xdr:col>
      <xdr:colOff>98435</xdr:colOff>
      <xdr:row>70</xdr:row>
      <xdr:rowOff>31982</xdr:rowOff>
    </xdr:to>
    <xdr:sp macro="" textlink="Matrix!AF18">
      <xdr:nvSpPr>
        <xdr:cNvPr id="1134" name="TextBox 1133">
          <a:extLst>
            <a:ext uri="{FF2B5EF4-FFF2-40B4-BE49-F238E27FC236}">
              <a16:creationId xmlns:a16="http://schemas.microsoft.com/office/drawing/2014/main" id="{26651046-D33C-D9F2-73C6-957176335533}"/>
            </a:ext>
          </a:extLst>
        </xdr:cNvPr>
        <xdr:cNvSpPr txBox="1"/>
      </xdr:nvSpPr>
      <xdr:spPr>
        <a:xfrm>
          <a:off x="2568830" y="11140237"/>
          <a:ext cx="1360616" cy="4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63E795-622B-4472-B06B-B61D842E8A8A}" type="TxLink">
            <a:rPr lang="en-US" sz="18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pPr/>
            <a:t>$409,000</a:t>
          </a:fld>
          <a:endParaRPr lang="id-ID" sz="1800" b="1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544767</xdr:colOff>
      <xdr:row>66</xdr:row>
      <xdr:rowOff>155677</xdr:rowOff>
    </xdr:from>
    <xdr:to>
      <xdr:col>7</xdr:col>
      <xdr:colOff>58408</xdr:colOff>
      <xdr:row>68</xdr:row>
      <xdr:rowOff>27876</xdr:rowOff>
    </xdr:to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EE066D7A-1350-53EA-2E8B-9F9957A566DD}"/>
            </a:ext>
          </a:extLst>
        </xdr:cNvPr>
        <xdr:cNvSpPr txBox="1"/>
      </xdr:nvSpPr>
      <xdr:spPr>
        <a:xfrm>
          <a:off x="2568830" y="10934335"/>
          <a:ext cx="1320589" cy="250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kern="1200">
              <a:solidFill>
                <a:schemeClr val="tx1">
                  <a:lumMod val="85000"/>
                  <a:lumOff val="15000"/>
                </a:schemeClr>
              </a:solidFill>
            </a:rPr>
            <a:t>EBIT</a:t>
          </a:r>
          <a:endParaRPr lang="id-ID" sz="12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5</xdr:col>
      <xdr:colOff>320691</xdr:colOff>
      <xdr:row>74</xdr:row>
      <xdr:rowOff>96919</xdr:rowOff>
    </xdr:from>
    <xdr:to>
      <xdr:col>7</xdr:col>
      <xdr:colOff>261508</xdr:colOff>
      <xdr:row>75</xdr:row>
      <xdr:rowOff>134743</xdr:rowOff>
    </xdr:to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D430EFF3-CABE-0CAB-411D-520A0CC17074}"/>
            </a:ext>
          </a:extLst>
        </xdr:cNvPr>
        <xdr:cNvSpPr txBox="1"/>
      </xdr:nvSpPr>
      <xdr:spPr>
        <a:xfrm>
          <a:off x="2916035" y="12593020"/>
          <a:ext cx="1146734" cy="23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kern="1200">
              <a:solidFill>
                <a:schemeClr val="bg1">
                  <a:lumMod val="50000"/>
                </a:schemeClr>
              </a:solidFill>
            </a:rPr>
            <a:t>EBIT Margin</a:t>
          </a:r>
          <a:endParaRPr lang="id-ID" sz="9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503529</xdr:colOff>
          <xdr:row>73</xdr:row>
          <xdr:rowOff>60109</xdr:rowOff>
        </xdr:from>
        <xdr:to>
          <xdr:col>7</xdr:col>
          <xdr:colOff>98579</xdr:colOff>
          <xdr:row>74</xdr:row>
          <xdr:rowOff>145383</xdr:rowOff>
        </xdr:to>
        <xdr:pic>
          <xdr:nvPicPr>
            <xdr:cNvPr id="1138" name="Picture 1137">
              <a:extLst>
                <a:ext uri="{FF2B5EF4-FFF2-40B4-BE49-F238E27FC236}">
                  <a16:creationId xmlns:a16="http://schemas.microsoft.com/office/drawing/2014/main" id="{09D24702-0193-1D4E-5CD9-27B0630044C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AJ18" spid="_x0000_s1900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3099273" y="12217208"/>
              <a:ext cx="802035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211578</xdr:colOff>
      <xdr:row>66</xdr:row>
      <xdr:rowOff>108601</xdr:rowOff>
    </xdr:from>
    <xdr:to>
      <xdr:col>11</xdr:col>
      <xdr:colOff>443193</xdr:colOff>
      <xdr:row>78</xdr:row>
      <xdr:rowOff>122339</xdr:rowOff>
    </xdr:to>
    <xdr:sp macro="" textlink="">
      <xdr:nvSpPr>
        <xdr:cNvPr id="1140" name="Rectangle 1139">
          <a:extLst>
            <a:ext uri="{FF2B5EF4-FFF2-40B4-BE49-F238E27FC236}">
              <a16:creationId xmlns:a16="http://schemas.microsoft.com/office/drawing/2014/main" id="{3607FA97-657A-AE10-2364-9FC48EE519E8}"/>
            </a:ext>
          </a:extLst>
        </xdr:cNvPr>
        <xdr:cNvSpPr/>
      </xdr:nvSpPr>
      <xdr:spPr>
        <a:xfrm>
          <a:off x="4617799" y="12585624"/>
          <a:ext cx="2042092" cy="2282288"/>
        </a:xfrm>
        <a:prstGeom prst="rect">
          <a:avLst/>
        </a:prstGeom>
        <a:solidFill>
          <a:srgbClr val="FFFFFF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8</xdr:col>
      <xdr:colOff>271357</xdr:colOff>
      <xdr:row>70</xdr:row>
      <xdr:rowOff>180102</xdr:rowOff>
    </xdr:from>
    <xdr:to>
      <xdr:col>11</xdr:col>
      <xdr:colOff>383415</xdr:colOff>
      <xdr:row>78</xdr:row>
      <xdr:rowOff>1656</xdr:rowOff>
    </xdr:to>
    <xdr:graphicFrame macro="">
      <xdr:nvGraphicFramePr>
        <xdr:cNvPr id="1141" name="Chart 1140">
          <a:extLst>
            <a:ext uri="{FF2B5EF4-FFF2-40B4-BE49-F238E27FC236}">
              <a16:creationId xmlns:a16="http://schemas.microsoft.com/office/drawing/2014/main" id="{6198B3DF-850E-307E-FBCE-308EA9F7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269942</xdr:colOff>
      <xdr:row>67</xdr:row>
      <xdr:rowOff>172480</xdr:rowOff>
    </xdr:from>
    <xdr:to>
      <xdr:col>10</xdr:col>
      <xdr:colOff>425925</xdr:colOff>
      <xdr:row>70</xdr:row>
      <xdr:rowOff>31982</xdr:rowOff>
    </xdr:to>
    <xdr:sp macro="" textlink="Matrix!AG18">
      <xdr:nvSpPr>
        <xdr:cNvPr id="1142" name="TextBox 1141">
          <a:extLst>
            <a:ext uri="{FF2B5EF4-FFF2-40B4-BE49-F238E27FC236}">
              <a16:creationId xmlns:a16="http://schemas.microsoft.com/office/drawing/2014/main" id="{8AA3D03B-EE38-FD04-B1B8-E3273562165B}"/>
            </a:ext>
          </a:extLst>
        </xdr:cNvPr>
        <xdr:cNvSpPr txBox="1"/>
      </xdr:nvSpPr>
      <xdr:spPr>
        <a:xfrm>
          <a:off x="4703269" y="11140237"/>
          <a:ext cx="1360616" cy="4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683FB8-EBCF-4183-B4E1-BB6FCE7973CF}" type="TxLink">
            <a:rPr lang="en-US" sz="1800" b="1" i="0" u="none" strike="noStrike" kern="1200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Calibri"/>
              <a:cs typeface="Calibri"/>
            </a:rPr>
            <a:pPr/>
            <a:t>$352,300</a:t>
          </a:fld>
          <a:endParaRPr lang="id-ID" sz="1800" b="1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269942</xdr:colOff>
      <xdr:row>66</xdr:row>
      <xdr:rowOff>155677</xdr:rowOff>
    </xdr:from>
    <xdr:to>
      <xdr:col>10</xdr:col>
      <xdr:colOff>385898</xdr:colOff>
      <xdr:row>68</xdr:row>
      <xdr:rowOff>27876</xdr:rowOff>
    </xdr:to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BC23877-0C92-E784-1B3A-0127DC515CD4}"/>
            </a:ext>
          </a:extLst>
        </xdr:cNvPr>
        <xdr:cNvSpPr txBox="1"/>
      </xdr:nvSpPr>
      <xdr:spPr>
        <a:xfrm>
          <a:off x="4703269" y="10934335"/>
          <a:ext cx="1320589" cy="250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kern="1200">
              <a:solidFill>
                <a:schemeClr val="tx1">
                  <a:lumMod val="85000"/>
                  <a:lumOff val="15000"/>
                </a:schemeClr>
              </a:solidFill>
            </a:rPr>
            <a:t>Net Profit</a:t>
          </a:r>
          <a:endParaRPr lang="id-ID" sz="1200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45866</xdr:colOff>
      <xdr:row>74</xdr:row>
      <xdr:rowOff>96919</xdr:rowOff>
    </xdr:from>
    <xdr:to>
      <xdr:col>10</xdr:col>
      <xdr:colOff>588998</xdr:colOff>
      <xdr:row>75</xdr:row>
      <xdr:rowOff>134743</xdr:rowOff>
    </xdr:to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43E755E4-DDA8-FA05-F4F7-B5690F20F506}"/>
            </a:ext>
          </a:extLst>
        </xdr:cNvPr>
        <xdr:cNvSpPr txBox="1"/>
      </xdr:nvSpPr>
      <xdr:spPr>
        <a:xfrm>
          <a:off x="5053045" y="12593020"/>
          <a:ext cx="1146091" cy="23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kern="1200">
              <a:solidFill>
                <a:schemeClr val="bg1">
                  <a:lumMod val="50000"/>
                </a:schemeClr>
              </a:solidFill>
            </a:rPr>
            <a:t>Net Profit Margin</a:t>
          </a:r>
          <a:endParaRPr lang="id-ID" sz="9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228620</xdr:colOff>
          <xdr:row>73</xdr:row>
          <xdr:rowOff>60109</xdr:rowOff>
        </xdr:from>
        <xdr:to>
          <xdr:col>10</xdr:col>
          <xdr:colOff>426151</xdr:colOff>
          <xdr:row>74</xdr:row>
          <xdr:rowOff>145383</xdr:rowOff>
        </xdr:to>
        <xdr:pic>
          <xdr:nvPicPr>
            <xdr:cNvPr id="1146" name="Picture 1145">
              <a:extLst>
                <a:ext uri="{FF2B5EF4-FFF2-40B4-BE49-F238E27FC236}">
                  <a16:creationId xmlns:a16="http://schemas.microsoft.com/office/drawing/2014/main" id="{C3AB7D2B-7060-5F08-3340-C837D42959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AK18" spid="_x0000_s190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5238334" y="12217208"/>
              <a:ext cx="801023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217273</xdr:colOff>
          <xdr:row>69</xdr:row>
          <xdr:rowOff>126066</xdr:rowOff>
        </xdr:from>
        <xdr:to>
          <xdr:col>2</xdr:col>
          <xdr:colOff>332906</xdr:colOff>
          <xdr:row>70</xdr:row>
          <xdr:rowOff>132941</xdr:rowOff>
        </xdr:to>
        <xdr:pic>
          <xdr:nvPicPr>
            <xdr:cNvPr id="1147" name="Picture 1146">
              <a:extLst>
                <a:ext uri="{FF2B5EF4-FFF2-40B4-BE49-F238E27FC236}">
                  <a16:creationId xmlns:a16="http://schemas.microsoft.com/office/drawing/2014/main" id="{3D2A333C-0E1F-D81A-0EB2-6A328C9B78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$AE$19" spid="_x0000_s190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395310" y="11413636"/>
              <a:ext cx="7143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544767</xdr:colOff>
          <xdr:row>69</xdr:row>
          <xdr:rowOff>126066</xdr:rowOff>
        </xdr:from>
        <xdr:to>
          <xdr:col>6</xdr:col>
          <xdr:colOff>66291</xdr:colOff>
          <xdr:row>70</xdr:row>
          <xdr:rowOff>139152</xdr:rowOff>
        </xdr:to>
        <xdr:pic>
          <xdr:nvPicPr>
            <xdr:cNvPr id="1148" name="Picture 1147">
              <a:extLst>
                <a:ext uri="{FF2B5EF4-FFF2-40B4-BE49-F238E27FC236}">
                  <a16:creationId xmlns:a16="http://schemas.microsoft.com/office/drawing/2014/main" id="{AB721043-994A-D527-70BA-739FF7D6B8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$AF$19" spid="_x0000_s190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2512080" y="11413636"/>
              <a:ext cx="7143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269942</xdr:colOff>
          <xdr:row>69</xdr:row>
          <xdr:rowOff>126066</xdr:rowOff>
        </xdr:from>
        <xdr:to>
          <xdr:col>9</xdr:col>
          <xdr:colOff>389656</xdr:colOff>
          <xdr:row>70</xdr:row>
          <xdr:rowOff>136802</xdr:rowOff>
        </xdr:to>
        <xdr:pic>
          <xdr:nvPicPr>
            <xdr:cNvPr id="1150" name="Picture 1149">
              <a:extLst>
                <a:ext uri="{FF2B5EF4-FFF2-40B4-BE49-F238E27FC236}">
                  <a16:creationId xmlns:a16="http://schemas.microsoft.com/office/drawing/2014/main" id="{BBEF97A4-E69E-FC09-699A-9E9B49A54D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$AG$19" spid="_x0000_s190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4635567" y="11614274"/>
              <a:ext cx="7143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355349</xdr:colOff>
      <xdr:row>13</xdr:row>
      <xdr:rowOff>151045</xdr:rowOff>
    </xdr:from>
    <xdr:to>
      <xdr:col>20</xdr:col>
      <xdr:colOff>377338</xdr:colOff>
      <xdr:row>18</xdr:row>
      <xdr:rowOff>90713</xdr:rowOff>
    </xdr:to>
    <xdr:grpSp>
      <xdr:nvGrpSpPr>
        <xdr:cNvPr id="1192" name="Group 1191">
          <a:extLst>
            <a:ext uri="{FF2B5EF4-FFF2-40B4-BE49-F238E27FC236}">
              <a16:creationId xmlns:a16="http://schemas.microsoft.com/office/drawing/2014/main" id="{1EF16D02-C6B1-0C64-D86A-E7689696BBDC}"/>
            </a:ext>
          </a:extLst>
        </xdr:cNvPr>
        <xdr:cNvGrpSpPr/>
      </xdr:nvGrpSpPr>
      <xdr:grpSpPr>
        <a:xfrm>
          <a:off x="5960866" y="2570614"/>
          <a:ext cx="6043541" cy="870271"/>
          <a:chOff x="5853165" y="2616092"/>
          <a:chExt cx="6006724" cy="910332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3EB3A71-4513-4B9B-9914-1C74C6D580C6}"/>
              </a:ext>
            </a:extLst>
          </xdr:cNvPr>
          <xdr:cNvSpPr txBox="1"/>
        </xdr:nvSpPr>
        <xdr:spPr>
          <a:xfrm>
            <a:off x="5853165" y="2616092"/>
            <a:ext cx="5974113" cy="365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How Does </a:t>
            </a:r>
            <a:r>
              <a:rPr lang="en-US" sz="1400" b="1" kern="1200">
                <a:solidFill>
                  <a:srgbClr val="412FC7"/>
                </a:solidFill>
              </a:rPr>
              <a:t>Revenue</a:t>
            </a:r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 and </a:t>
            </a:r>
            <a:r>
              <a:rPr lang="en-US" sz="1400" b="1" kern="1200">
                <a:solidFill>
                  <a:srgbClr val="BD44BE"/>
                </a:solidFill>
              </a:rPr>
              <a:t>Expense</a:t>
            </a:r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 Fluctuate Month-to-Month?</a:t>
            </a:r>
            <a:endParaRPr lang="id-ID" sz="1400" b="1" kern="12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187" name="TextBox 1186">
            <a:extLst>
              <a:ext uri="{FF2B5EF4-FFF2-40B4-BE49-F238E27FC236}">
                <a16:creationId xmlns:a16="http://schemas.microsoft.com/office/drawing/2014/main" id="{6E3E06AA-0205-4456-B8B6-8C530F71008E}"/>
              </a:ext>
            </a:extLst>
          </xdr:cNvPr>
          <xdr:cNvSpPr txBox="1"/>
        </xdr:nvSpPr>
        <xdr:spPr>
          <a:xfrm>
            <a:off x="5853165" y="2918958"/>
            <a:ext cx="6006724" cy="6074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The trend shows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fluctuations in total revenue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with with the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highest revenue 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recorded at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$1.9M 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in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January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accompanied by the </a:t>
            </a:r>
            <a:r>
              <a:rPr lang="en-US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highest expenses 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of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$1.3M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</a:rPr>
              <a:t>The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</a:rPr>
              <a:t>lowest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</a:rPr>
              <a:t>revenue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</a:rPr>
              <a:t> was recorded in </a:t>
            </a:r>
            <a:r>
              <a:rPr lang="en-US" sz="1050" b="1">
                <a:solidFill>
                  <a:schemeClr val="tx1">
                    <a:lumMod val="65000"/>
                    <a:lumOff val="35000"/>
                  </a:schemeClr>
                </a:solidFill>
              </a:rPr>
              <a:t>September </a:t>
            </a:r>
            <a:r>
              <a:rPr lang="en-US" sz="1050" b="0">
                <a:solidFill>
                  <a:schemeClr val="tx1">
                    <a:lumMod val="65000"/>
                    <a:lumOff val="35000"/>
                  </a:schemeClr>
                </a:solidFill>
              </a:rPr>
              <a:t>at</a:t>
            </a:r>
            <a:r>
              <a:rPr lang="en-US" sz="105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r>
              <a:rPr lang="en-US" sz="105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$1.1M </a:t>
            </a:r>
            <a:r>
              <a:rPr lang="en-US" sz="105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and The </a:t>
            </a:r>
            <a:r>
              <a:rPr lang="en-US" sz="105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lowest expenses </a:t>
            </a:r>
            <a:r>
              <a:rPr lang="en-US" sz="105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were recorded in April at </a:t>
            </a:r>
            <a:r>
              <a:rPr lang="en-US" sz="105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$963.4K</a:t>
            </a:r>
            <a:r>
              <a:rPr lang="en-US" sz="1050" b="1" baseline="0">
                <a:solidFill>
                  <a:schemeClr val="dk1"/>
                </a:solidFill>
              </a:rPr>
              <a:t>.</a:t>
            </a:r>
            <a:endParaRPr lang="id-ID" sz="1050" b="1" kern="12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76950</xdr:colOff>
      <xdr:row>29</xdr:row>
      <xdr:rowOff>160286</xdr:rowOff>
    </xdr:from>
    <xdr:to>
      <xdr:col>6</xdr:col>
      <xdr:colOff>45356</xdr:colOff>
      <xdr:row>32</xdr:row>
      <xdr:rowOff>172281</xdr:rowOff>
    </xdr:to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6BFE8899-59EB-70B0-9380-A04B7775E34E}"/>
            </a:ext>
          </a:extLst>
        </xdr:cNvPr>
        <xdr:cNvSpPr txBox="1"/>
      </xdr:nvSpPr>
      <xdr:spPr>
        <a:xfrm>
          <a:off x="258379" y="5684786"/>
          <a:ext cx="2961977" cy="583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tx1">
                  <a:lumMod val="85000"/>
                  <a:lumOff val="15000"/>
                </a:schemeClr>
              </a:solidFill>
            </a:rPr>
            <a:t>Which category drives the company's growth?</a:t>
          </a:r>
        </a:p>
      </xdr:txBody>
    </xdr:sp>
    <xdr:clientData/>
  </xdr:twoCellAnchor>
  <xdr:twoCellAnchor>
    <xdr:from>
      <xdr:col>1</xdr:col>
      <xdr:colOff>76953</xdr:colOff>
      <xdr:row>32</xdr:row>
      <xdr:rowOff>109327</xdr:rowOff>
    </xdr:from>
    <xdr:to>
      <xdr:col>6</xdr:col>
      <xdr:colOff>54429</xdr:colOff>
      <xdr:row>37</xdr:row>
      <xdr:rowOff>33871</xdr:rowOff>
    </xdr:to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9FABB5CE-B4A3-08F1-9581-9CEE7EE62B56}"/>
            </a:ext>
          </a:extLst>
        </xdr:cNvPr>
        <xdr:cNvSpPr txBox="1"/>
      </xdr:nvSpPr>
      <xdr:spPr>
        <a:xfrm>
          <a:off x="258382" y="6205327"/>
          <a:ext cx="2971047" cy="877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05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chart highlights that </a:t>
          </a:r>
          <a:r>
            <a:rPr lang="id-ID" sz="105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id-ID" sz="105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make up the </a:t>
          </a:r>
          <a:r>
            <a:rPr lang="id-ID" sz="105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largest</a:t>
          </a:r>
          <a:r>
            <a:rPr lang="id-ID" sz="105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portion of the total revenue, contributing </a:t>
          </a:r>
          <a:r>
            <a:rPr lang="id-ID" sz="105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78.5%.</a:t>
          </a:r>
          <a:r>
            <a:rPr lang="id-ID" sz="105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This indicates that the company’s primary source of income is driven by sales</a:t>
          </a:r>
          <a:endParaRPr lang="id-ID" sz="1050">
            <a:solidFill>
              <a:schemeClr val="tx1">
                <a:lumMod val="65000"/>
                <a:lumOff val="3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86022</xdr:colOff>
      <xdr:row>13</xdr:row>
      <xdr:rowOff>151043</xdr:rowOff>
    </xdr:from>
    <xdr:to>
      <xdr:col>9</xdr:col>
      <xdr:colOff>583563</xdr:colOff>
      <xdr:row>19</xdr:row>
      <xdr:rowOff>59771</xdr:rowOff>
    </xdr:to>
    <xdr:grpSp>
      <xdr:nvGrpSpPr>
        <xdr:cNvPr id="1193" name="Group 1192">
          <a:extLst>
            <a:ext uri="{FF2B5EF4-FFF2-40B4-BE49-F238E27FC236}">
              <a16:creationId xmlns:a16="http://schemas.microsoft.com/office/drawing/2014/main" id="{7A8E72C5-0DA2-48D6-9A04-8E14451A25C4}"/>
            </a:ext>
          </a:extLst>
        </xdr:cNvPr>
        <xdr:cNvGrpSpPr/>
      </xdr:nvGrpSpPr>
      <xdr:grpSpPr>
        <a:xfrm>
          <a:off x="272143" y="2570612"/>
          <a:ext cx="5314782" cy="1025452"/>
          <a:chOff x="5930777" y="2611093"/>
          <a:chExt cx="5299168" cy="1065402"/>
        </a:xfrm>
      </xdr:grpSpPr>
      <xdr:sp macro="" textlink="">
        <xdr:nvSpPr>
          <xdr:cNvPr id="1194" name="TextBox 1193">
            <a:extLst>
              <a:ext uri="{FF2B5EF4-FFF2-40B4-BE49-F238E27FC236}">
                <a16:creationId xmlns:a16="http://schemas.microsoft.com/office/drawing/2014/main" id="{583CAE85-2FB5-C531-F009-6305B4B2C4D6}"/>
              </a:ext>
            </a:extLst>
          </xdr:cNvPr>
          <xdr:cNvSpPr txBox="1"/>
        </xdr:nvSpPr>
        <xdr:spPr>
          <a:xfrm>
            <a:off x="5930777" y="2611093"/>
            <a:ext cx="2218391" cy="362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Statement Breakdown</a:t>
            </a:r>
          </a:p>
        </xdr:txBody>
      </xdr:sp>
      <xdr:sp macro="" textlink="">
        <xdr:nvSpPr>
          <xdr:cNvPr id="1195" name="TextBox 1194">
            <a:extLst>
              <a:ext uri="{FF2B5EF4-FFF2-40B4-BE49-F238E27FC236}">
                <a16:creationId xmlns:a16="http://schemas.microsoft.com/office/drawing/2014/main" id="{CEE6EADD-1513-E1BA-ED24-8C9C56AD97FC}"/>
              </a:ext>
            </a:extLst>
          </xdr:cNvPr>
          <xdr:cNvSpPr txBox="1"/>
        </xdr:nvSpPr>
        <xdr:spPr>
          <a:xfrm>
            <a:off x="5930778" y="2910355"/>
            <a:ext cx="5299167" cy="7661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The waterfall chart highlights the financial breakdown leading to profitability.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COGS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and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OPEX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significantly reduce revenue by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$6.7M 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and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$5.6M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, respectively, while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interest and tax 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slightly offset gains by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$0.93M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. The final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net profit 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stands at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$4.3M</a:t>
            </a:r>
            <a:r>
              <a:rPr lang="id-ID" sz="1050" b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lang="id-ID" sz="105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6</xdr:col>
      <xdr:colOff>269112</xdr:colOff>
      <xdr:row>29</xdr:row>
      <xdr:rowOff>160287</xdr:rowOff>
    </xdr:from>
    <xdr:to>
      <xdr:col>13</xdr:col>
      <xdr:colOff>263045</xdr:colOff>
      <xdr:row>35</xdr:row>
      <xdr:rowOff>79377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975858C-7578-78A3-7435-BF86358C59E3}"/>
            </a:ext>
          </a:extLst>
        </xdr:cNvPr>
        <xdr:cNvGrpSpPr/>
      </xdr:nvGrpSpPr>
      <xdr:grpSpPr>
        <a:xfrm>
          <a:off x="3466009" y="5557787"/>
          <a:ext cx="4209019" cy="1035814"/>
          <a:chOff x="3408368" y="5684786"/>
          <a:chExt cx="4169903" cy="1063070"/>
        </a:xfrm>
      </xdr:grpSpPr>
      <xdr:sp macro="" textlink="">
        <xdr:nvSpPr>
          <xdr:cNvPr id="1197" name="TextBox 1196">
            <a:extLst>
              <a:ext uri="{FF2B5EF4-FFF2-40B4-BE49-F238E27FC236}">
                <a16:creationId xmlns:a16="http://schemas.microsoft.com/office/drawing/2014/main" id="{F0F9F03D-B63B-C9D9-434B-DDFF42EA3202}"/>
              </a:ext>
            </a:extLst>
          </xdr:cNvPr>
          <xdr:cNvSpPr txBox="1"/>
        </xdr:nvSpPr>
        <xdr:spPr>
          <a:xfrm>
            <a:off x="3408368" y="5684786"/>
            <a:ext cx="3703632" cy="3597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What are the largest expense categories? </a:t>
            </a:r>
          </a:p>
        </xdr:txBody>
      </xdr:sp>
      <xdr:sp macro="" textlink="">
        <xdr:nvSpPr>
          <xdr:cNvPr id="1198" name="TextBox 1197">
            <a:extLst>
              <a:ext uri="{FF2B5EF4-FFF2-40B4-BE49-F238E27FC236}">
                <a16:creationId xmlns:a16="http://schemas.microsoft.com/office/drawing/2014/main" id="{B9C6B75F-D293-39E1-90F0-F1BC85298F23}"/>
              </a:ext>
            </a:extLst>
          </xdr:cNvPr>
          <xdr:cNvSpPr txBox="1"/>
        </xdr:nvSpPr>
        <xdr:spPr>
          <a:xfrm>
            <a:off x="3408370" y="5981541"/>
            <a:ext cx="4169901" cy="766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The chart highlights that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labor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costs constitute the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largest expense 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category, accounting for nearly </a:t>
            </a:r>
            <a:r>
              <a:rPr lang="id-ID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34% </a:t>
            </a:r>
            <a:r>
              <a:rPr lang="id-ID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of the total expenses. This significant proportion highlights the substantial investment in human capital and the need for strategic workforce planning.</a:t>
            </a:r>
          </a:p>
        </xdr:txBody>
      </xdr:sp>
    </xdr:grpSp>
    <xdr:clientData/>
  </xdr:twoCellAnchor>
  <xdr:twoCellAnchor>
    <xdr:from>
      <xdr:col>13</xdr:col>
      <xdr:colOff>404699</xdr:colOff>
      <xdr:row>29</xdr:row>
      <xdr:rowOff>125498</xdr:rowOff>
    </xdr:from>
    <xdr:to>
      <xdr:col>20</xdr:col>
      <xdr:colOff>428255</xdr:colOff>
      <xdr:row>46</xdr:row>
      <xdr:rowOff>17594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617CDB7-C7C7-4429-87F7-B410B7AEE4E9}"/>
            </a:ext>
          </a:extLst>
        </xdr:cNvPr>
        <xdr:cNvSpPr/>
      </xdr:nvSpPr>
      <xdr:spPr>
        <a:xfrm>
          <a:off x="7766269" y="5692824"/>
          <a:ext cx="4210126" cy="31557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12</xdr:col>
      <xdr:colOff>494205</xdr:colOff>
      <xdr:row>35</xdr:row>
      <xdr:rowOff>55066</xdr:rowOff>
    </xdr:from>
    <xdr:to>
      <xdr:col>21</xdr:col>
      <xdr:colOff>30074</xdr:colOff>
      <xdr:row>46</xdr:row>
      <xdr:rowOff>110755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91F10E1-16F7-8C80-1147-CFE3CAC40F6E}"/>
            </a:ext>
          </a:extLst>
        </xdr:cNvPr>
        <xdr:cNvGrpSpPr/>
      </xdr:nvGrpSpPr>
      <xdr:grpSpPr>
        <a:xfrm>
          <a:off x="7304033" y="6569290"/>
          <a:ext cx="4812938" cy="2103017"/>
          <a:chOff x="194139" y="5347548"/>
          <a:chExt cx="4882727" cy="2282402"/>
        </a:xfrm>
      </xdr:grpSpPr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7CE0894B-25D8-482E-B684-F85277B119B5}"/>
              </a:ext>
            </a:extLst>
          </xdr:cNvPr>
          <xdr:cNvGraphicFramePr>
            <a:graphicFrameLocks/>
          </xdr:cNvGraphicFramePr>
        </xdr:nvGraphicFramePr>
        <xdr:xfrm>
          <a:off x="807677" y="5347548"/>
          <a:ext cx="4269189" cy="1972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B4F8B6FF-5183-46C6-A605-55ACB823CB72}"/>
              </a:ext>
            </a:extLst>
          </xdr:cNvPr>
          <xdr:cNvGraphicFramePr>
            <a:graphicFrameLocks/>
          </xdr:cNvGraphicFramePr>
        </xdr:nvGraphicFramePr>
        <xdr:xfrm>
          <a:off x="194139" y="5656975"/>
          <a:ext cx="4269191" cy="1972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FF0B7F71-7B3D-4E89-9159-4D1F05033C86}"/>
              </a:ext>
            </a:extLst>
          </xdr:cNvPr>
          <xdr:cNvSpPr txBox="1"/>
        </xdr:nvSpPr>
        <xdr:spPr>
          <a:xfrm>
            <a:off x="2012697" y="5759248"/>
            <a:ext cx="1243783" cy="15610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1" kern="1200">
                <a:solidFill>
                  <a:srgbClr val="4F4F4F"/>
                </a:solidFill>
              </a:rPr>
              <a:t>Sports </a:t>
            </a:r>
          </a:p>
          <a:p>
            <a:pPr algn="ctr"/>
            <a:r>
              <a:rPr lang="en-US" sz="900" b="1" kern="1200">
                <a:solidFill>
                  <a:srgbClr val="4F4F4F"/>
                </a:solidFill>
              </a:rPr>
              <a:t>Equipment </a:t>
            </a:r>
          </a:p>
          <a:p>
            <a:pPr algn="ctr"/>
            <a:endParaRPr lang="en-US" sz="700" b="1" kern="1200">
              <a:solidFill>
                <a:srgbClr val="4F4F4F"/>
              </a:solidFill>
            </a:endParaRPr>
          </a:p>
          <a:p>
            <a:pPr algn="ctr"/>
            <a:endParaRPr lang="en-US" sz="500" b="1" kern="1200">
              <a:solidFill>
                <a:srgbClr val="4F4F4F"/>
              </a:solidFill>
            </a:endParaRPr>
          </a:p>
          <a:p>
            <a:pPr algn="ctr"/>
            <a:endParaRPr lang="en-US" sz="500" b="1" kern="1200">
              <a:solidFill>
                <a:srgbClr val="4F4F4F"/>
              </a:solidFill>
            </a:endParaRPr>
          </a:p>
          <a:p>
            <a:pPr algn="ctr"/>
            <a:endParaRPr lang="en-US" sz="500" b="1" kern="1200">
              <a:solidFill>
                <a:srgbClr val="4F4F4F"/>
              </a:solidFill>
            </a:endParaRPr>
          </a:p>
          <a:p>
            <a:pPr algn="ctr"/>
            <a:r>
              <a:rPr lang="id-ID" sz="900" b="1" kern="1200">
                <a:solidFill>
                  <a:srgbClr val="4F4F4F"/>
                </a:solidFill>
              </a:rPr>
              <a:t>Sportswear</a:t>
            </a:r>
            <a:endParaRPr lang="en-US" sz="900" b="1" kern="1200">
              <a:solidFill>
                <a:srgbClr val="4F4F4F"/>
              </a:solidFill>
            </a:endParaRPr>
          </a:p>
          <a:p>
            <a:pPr algn="ctr"/>
            <a:endParaRPr lang="en-US" sz="700" b="1" kern="1200">
              <a:solidFill>
                <a:srgbClr val="4F4F4F"/>
              </a:solidFill>
            </a:endParaRPr>
          </a:p>
          <a:p>
            <a:pPr algn="ctr"/>
            <a:endParaRPr lang="en-US" sz="700" b="1" kern="1200">
              <a:solidFill>
                <a:srgbClr val="4F4F4F"/>
              </a:solidFill>
            </a:endParaRPr>
          </a:p>
          <a:p>
            <a:pPr algn="ctr"/>
            <a:endParaRPr lang="en-US" sz="600" b="1" kern="1200">
              <a:solidFill>
                <a:srgbClr val="4F4F4F"/>
              </a:solidFill>
            </a:endParaRPr>
          </a:p>
          <a:p>
            <a:pPr algn="ctr"/>
            <a:r>
              <a:rPr lang="id-ID" sz="900" b="1" kern="1200">
                <a:solidFill>
                  <a:srgbClr val="4F4F4F"/>
                </a:solidFill>
              </a:rPr>
              <a:t>Nutrition &amp; Food Supplements </a:t>
            </a:r>
          </a:p>
        </xdr:txBody>
      </xdr:sp>
    </xdr:grpSp>
    <xdr:clientData/>
  </xdr:twoCellAnchor>
  <xdr:twoCellAnchor>
    <xdr:from>
      <xdr:col>13</xdr:col>
      <xdr:colOff>479122</xdr:colOff>
      <xdr:row>29</xdr:row>
      <xdr:rowOff>160286</xdr:rowOff>
    </xdr:from>
    <xdr:to>
      <xdr:col>21</xdr:col>
      <xdr:colOff>30</xdr:colOff>
      <xdr:row>37</xdr:row>
      <xdr:rowOff>79375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12901D5-0DDE-C421-04AC-900AD87A4E81}"/>
            </a:ext>
          </a:extLst>
        </xdr:cNvPr>
        <xdr:cNvGrpSpPr/>
      </xdr:nvGrpSpPr>
      <xdr:grpSpPr>
        <a:xfrm>
          <a:off x="7891105" y="5557786"/>
          <a:ext cx="4195822" cy="1408055"/>
          <a:chOff x="7815320" y="5479143"/>
          <a:chExt cx="4683955" cy="1442171"/>
        </a:xfrm>
      </xdr:grpSpPr>
      <xdr:sp macro="" textlink="">
        <xdr:nvSpPr>
          <xdr:cNvPr id="1200" name="TextBox 1199">
            <a:extLst>
              <a:ext uri="{FF2B5EF4-FFF2-40B4-BE49-F238E27FC236}">
                <a16:creationId xmlns:a16="http://schemas.microsoft.com/office/drawing/2014/main" id="{6A9E839C-0002-1822-D349-6EEBB651B452}"/>
              </a:ext>
            </a:extLst>
          </xdr:cNvPr>
          <xdr:cNvSpPr txBox="1"/>
        </xdr:nvSpPr>
        <xdr:spPr>
          <a:xfrm>
            <a:off x="7815320" y="5479143"/>
            <a:ext cx="4683955" cy="5653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How does each business line contribute to </a:t>
            </a:r>
            <a:r>
              <a:rPr lang="en-US" sz="1400" b="1" kern="1200">
                <a:solidFill>
                  <a:srgbClr val="412FC7"/>
                </a:solidFill>
              </a:rPr>
              <a:t>Revenue</a:t>
            </a:r>
            <a:r>
              <a:rPr lang="en-US" sz="1400" b="1" kern="120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and</a:t>
            </a:r>
            <a:r>
              <a:rPr lang="en-US" sz="1400" b="1" kern="120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400" b="1" kern="1200">
                <a:solidFill>
                  <a:srgbClr val="BD44BE"/>
                </a:solidFill>
              </a:rPr>
              <a:t>Expense</a:t>
            </a:r>
            <a:r>
              <a:rPr lang="en-US" sz="1400" b="1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?</a:t>
            </a:r>
          </a:p>
        </xdr:txBody>
      </xdr:sp>
      <xdr:sp macro="" textlink="">
        <xdr:nvSpPr>
          <xdr:cNvPr id="1201" name="TextBox 1200">
            <a:extLst>
              <a:ext uri="{FF2B5EF4-FFF2-40B4-BE49-F238E27FC236}">
                <a16:creationId xmlns:a16="http://schemas.microsoft.com/office/drawing/2014/main" id="{F2AC606C-11F8-0C3B-381E-0BD93820242C}"/>
              </a:ext>
            </a:extLst>
          </xdr:cNvPr>
          <xdr:cNvSpPr txBox="1"/>
        </xdr:nvSpPr>
        <xdr:spPr>
          <a:xfrm>
            <a:off x="7815324" y="5980792"/>
            <a:ext cx="4654215" cy="9405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The revenue generated by each business line varies significantly. The business line </a:t>
            </a:r>
            <a:r>
              <a:rPr lang="en-US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Sports Equipment</a:t>
            </a:r>
            <a:r>
              <a:rPr lang="en-US" sz="1050" b="1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contributes the most to the company's overall </a:t>
            </a:r>
            <a:r>
              <a:rPr lang="en-US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revenue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, while </a:t>
            </a:r>
            <a:r>
              <a:rPr lang="en-US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Nutrition &amp; Food Supplements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contributes the least. This suggests that the company's revenue is heavily reliant on the performance of the </a:t>
            </a:r>
            <a:r>
              <a:rPr lang="en-US" sz="1050" b="1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Sports Equipment</a:t>
            </a: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.</a:t>
            </a:r>
            <a:endParaRPr lang="id-ID" sz="105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1</xdr:col>
      <xdr:colOff>11400</xdr:colOff>
      <xdr:row>46</xdr:row>
      <xdr:rowOff>134309</xdr:rowOff>
    </xdr:from>
    <xdr:to>
      <xdr:col>20</xdr:col>
      <xdr:colOff>432955</xdr:colOff>
      <xdr:row>53</xdr:row>
      <xdr:rowOff>74542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7675E9F-E8BB-404D-85A5-D12E679D9457}"/>
            </a:ext>
          </a:extLst>
        </xdr:cNvPr>
        <xdr:cNvSpPr/>
      </xdr:nvSpPr>
      <xdr:spPr>
        <a:xfrm>
          <a:off x="193617" y="8897309"/>
          <a:ext cx="11752164" cy="1273733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 kern="1200"/>
        </a:p>
      </xdr:txBody>
    </xdr:sp>
    <xdr:clientData/>
  </xdr:twoCellAnchor>
  <xdr:twoCellAnchor>
    <xdr:from>
      <xdr:col>1</xdr:col>
      <xdr:colOff>93042</xdr:colOff>
      <xdr:row>46</xdr:row>
      <xdr:rowOff>169098</xdr:rowOff>
    </xdr:from>
    <xdr:to>
      <xdr:col>7</xdr:col>
      <xdr:colOff>217469</xdr:colOff>
      <xdr:row>48</xdr:row>
      <xdr:rowOff>147475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95253E8-AB79-0729-8DB9-120771F56059}"/>
            </a:ext>
          </a:extLst>
        </xdr:cNvPr>
        <xdr:cNvSpPr txBox="1"/>
      </xdr:nvSpPr>
      <xdr:spPr>
        <a:xfrm>
          <a:off x="274883" y="8932098"/>
          <a:ext cx="3709291" cy="359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tx1">
                  <a:lumMod val="85000"/>
                  <a:lumOff val="15000"/>
                </a:schemeClr>
              </a:solidFill>
            </a:rPr>
            <a:t>Which business line is the most profitable?</a:t>
          </a:r>
        </a:p>
      </xdr:txBody>
    </xdr:sp>
    <xdr:clientData/>
  </xdr:twoCellAnchor>
  <xdr:twoCellAnchor>
    <xdr:from>
      <xdr:col>13</xdr:col>
      <xdr:colOff>140808</xdr:colOff>
      <xdr:row>47</xdr:row>
      <xdr:rowOff>18357</xdr:rowOff>
    </xdr:from>
    <xdr:to>
      <xdr:col>20</xdr:col>
      <xdr:colOff>416393</xdr:colOff>
      <xdr:row>53</xdr:row>
      <xdr:rowOff>99394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BDD7B6A-996F-453A-AE0B-AA5829E5B2F3}"/>
            </a:ext>
          </a:extLst>
        </xdr:cNvPr>
        <xdr:cNvSpPr txBox="1"/>
      </xdr:nvSpPr>
      <xdr:spPr>
        <a:xfrm>
          <a:off x="7479199" y="8971857"/>
          <a:ext cx="4450020" cy="1224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The business line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Sportswear</a:t>
          </a:r>
          <a:r>
            <a:rPr lang="en-US" sz="1050" baseline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appears to be the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most profitable</a:t>
          </a:r>
          <a:r>
            <a:rPr lang="en-US" sz="1050" b="1" baseline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business line</a:t>
          </a:r>
          <a:r>
            <a:rPr lang="en-US" sz="1050" baseline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with 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the highest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Gross Profit margin 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of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70.3%, EBIT margin 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of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45.7%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Net Profit margin 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of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40.2%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</a:br>
          <a:r>
            <a:rPr lang="en-US" sz="200" b="0" baseline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</a:b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In contrast,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Nutrition and Food Supplements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is the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least profitable 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line, with negative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EBIT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Net Profit margins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-30.9% </a:t>
          </a:r>
          <a:r>
            <a:rPr lang="en-US" sz="1050" b="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sz="1050" b="1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-38.7%</a:t>
          </a:r>
          <a:r>
            <a:rPr lang="en-US" sz="1050">
              <a:solidFill>
                <a:srgbClr val="4F4F4F"/>
              </a:solidFill>
              <a:effectLst/>
              <a:latin typeface="+mn-lt"/>
              <a:ea typeface="+mn-ea"/>
              <a:cs typeface="+mn-cs"/>
            </a:rPr>
            <a:t>,which may require further evaluation to improve profitability.</a:t>
          </a:r>
          <a:endParaRPr lang="id-ID" sz="1050">
            <a:solidFill>
              <a:srgbClr val="4F4F4F"/>
            </a:solidFill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591427</xdr:colOff>
          <xdr:row>54</xdr:row>
          <xdr:rowOff>120247</xdr:rowOff>
        </xdr:from>
        <xdr:to>
          <xdr:col>20</xdr:col>
          <xdr:colOff>269027</xdr:colOff>
          <xdr:row>78</xdr:row>
          <xdr:rowOff>122339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4943A388-2403-10D5-7FA0-1332A2A90AF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$N$8:$U$42" spid="_x0000_s1905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6808125" y="10328720"/>
              <a:ext cx="5109032" cy="4539192"/>
            </a:xfrm>
            <a:prstGeom prst="rect">
              <a:avLst/>
            </a:prstGeom>
            <a:noFill/>
            <a:ln w="6350">
              <a:solidFill>
                <a:schemeClr val="bg1">
                  <a:lumMod val="85000"/>
                </a:schemeClr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9</xdr:col>
      <xdr:colOff>595666</xdr:colOff>
      <xdr:row>55</xdr:row>
      <xdr:rowOff>60605</xdr:rowOff>
    </xdr:from>
    <xdr:to>
      <xdr:col>11</xdr:col>
      <xdr:colOff>440620</xdr:colOff>
      <xdr:row>56</xdr:row>
      <xdr:rowOff>69351</xdr:rowOff>
    </xdr:to>
    <xdr:sp macro="" textlink="">
      <xdr:nvSpPr>
        <xdr:cNvPr id="1105" name="Drop Down 81" hidden="1">
          <a:extLst>
            <a:ext uri="{63B3BB69-23CF-44E3-9099-C40C66FF867C}">
              <a14:compatExt xmlns:a14="http://schemas.microsoft.com/office/drawing/2010/main" spid="_x0000_s1105"/>
            </a:ex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/>
      </xdr:nvSpPr>
      <xdr:spPr bwMode="auto">
        <a:xfrm>
          <a:off x="5605816" y="10538105"/>
          <a:ext cx="1051454" cy="19924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503326</xdr:colOff>
      <xdr:row>54</xdr:row>
      <xdr:rowOff>58846</xdr:rowOff>
    </xdr:from>
    <xdr:to>
      <xdr:col>11</xdr:col>
      <xdr:colOff>300410</xdr:colOff>
      <xdr:row>55</xdr:row>
      <xdr:rowOff>58804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C276E08-3817-426A-B4C6-0CB691BEAEA6}"/>
            </a:ext>
          </a:extLst>
        </xdr:cNvPr>
        <xdr:cNvSpPr txBox="1"/>
      </xdr:nvSpPr>
      <xdr:spPr>
        <a:xfrm>
          <a:off x="5513476" y="10345846"/>
          <a:ext cx="1003584" cy="1904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0">
              <a:solidFill>
                <a:srgbClr val="4D4D4D"/>
              </a:solidFill>
              <a:effectLst/>
              <a:latin typeface="+mn-lt"/>
              <a:ea typeface="+mn-ea"/>
              <a:cs typeface="+mn-cs"/>
            </a:rPr>
            <a:t>Current Month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116972</xdr:colOff>
          <xdr:row>48</xdr:row>
          <xdr:rowOff>50132</xdr:rowOff>
        </xdr:from>
        <xdr:to>
          <xdr:col>13</xdr:col>
          <xdr:colOff>200525</xdr:colOff>
          <xdr:row>52</xdr:row>
          <xdr:rowOff>142865</xdr:rowOff>
        </xdr:to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7C3D64E2-8E11-7E33-560D-319CD455AF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trix!$A$2:$N$7" spid="_x0000_s1906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300788" y="9274343"/>
              <a:ext cx="7302500" cy="86141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600075</xdr:colOff>
          <xdr:row>55</xdr:row>
          <xdr:rowOff>57150</xdr:rowOff>
        </xdr:from>
        <xdr:to>
          <xdr:col>11</xdr:col>
          <xdr:colOff>438150</xdr:colOff>
          <xdr:row>56</xdr:row>
          <xdr:rowOff>66675</xdr:rowOff>
        </xdr:to>
        <xdr:sp macro="" textlink="">
          <xdr:nvSpPr>
            <xdr:cNvPr id="2" name="Drop Dow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566826</xdr:colOff>
      <xdr:row>54</xdr:row>
      <xdr:rowOff>65196</xdr:rowOff>
    </xdr:from>
    <xdr:to>
      <xdr:col>9</xdr:col>
      <xdr:colOff>363910</xdr:colOff>
      <xdr:row>55</xdr:row>
      <xdr:rowOff>65154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46DCA59-CAA5-4F87-AC0B-760F9346DF5F}"/>
            </a:ext>
          </a:extLst>
        </xdr:cNvPr>
        <xdr:cNvSpPr txBox="1"/>
      </xdr:nvSpPr>
      <xdr:spPr>
        <a:xfrm>
          <a:off x="4370476" y="10352196"/>
          <a:ext cx="1003584" cy="1904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0">
              <a:solidFill>
                <a:srgbClr val="4D4D4D"/>
              </a:solidFill>
              <a:effectLst/>
              <a:latin typeface="+mn-lt"/>
              <a:ea typeface="+mn-ea"/>
              <a:cs typeface="+mn-cs"/>
            </a:rPr>
            <a:t>Bussines Line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55</xdr:row>
          <xdr:rowOff>66675</xdr:rowOff>
        </xdr:from>
        <xdr:to>
          <xdr:col>9</xdr:col>
          <xdr:colOff>504825</xdr:colOff>
          <xdr:row>56</xdr:row>
          <xdr:rowOff>76200</xdr:rowOff>
        </xdr:to>
        <xdr:sp macro="" textlink="">
          <xdr:nvSpPr>
            <xdr:cNvPr id="1856" name="Drop Down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1338425924" backgroundQuery="1" createdVersion="8" refreshedVersion="8" minRefreshableVersion="3" recordCount="0" supportSubquery="1" supportAdvancedDrill="1" xr:uid="{AF489A1F-766C-43C7-AFAF-B86C64B23D1F}">
  <cacheSource type="external" connectionId="3"/>
  <cacheFields count="3"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GS ABS]" caption="COGS ABS" numFmtId="0" hierarchy="28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 oneField="1">
      <fieldsUsage count="1">
        <fieldUsage x="1"/>
      </fieldsUsage>
    </cacheHierarchy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Measu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679548611" backgroundQuery="1" createdVersion="8" refreshedVersion="8" minRefreshableVersion="3" recordCount="0" supportSubquery="1" supportAdvancedDrill="1" xr:uid="{18FEEFCA-05E3-49F5-872A-AD47395DBBE2}">
  <cacheSource type="external" connectionId="3"/>
  <cacheFields count="3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COGS]" caption="COGS" numFmtId="0" hierarchy="15" level="32767"/>
    <cacheField name="[revenue_expense].[Expense subgroup].[Expense subgroup]" caption="Expense subgroup" numFmtId="0" hierarchy="7" level="1">
      <sharedItems count="6">
        <s v="Labor"/>
        <s v="Materials"/>
        <s v="Other"/>
        <s v="Packaging"/>
        <s v="Sales"/>
        <s v="Shipping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 oneField="1">
      <fieldsUsage count="1">
        <fieldUsage x="1"/>
      </fieldsUsage>
    </cacheHierarchy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6898148148" backgroundQuery="1" createdVersion="8" refreshedVersion="8" minRefreshableVersion="3" recordCount="0" supportSubquery="1" supportAdvancedDrill="1" xr:uid="{CD3BADA7-09CD-41C7-9E21-48B53386FEDB}">
  <cacheSource type="external" connectionId="3"/>
  <cacheFields count="4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revenue_expense].[Expense subgroup].[Expense subgroup]" caption="Expense subgroup" numFmtId="0" hierarchy="7" level="1">
      <sharedItems count="6">
        <s v="Equipment"/>
        <s v="Marketing"/>
        <s v="Other"/>
        <s v="Payroll"/>
        <s v="R&amp;D"/>
        <s v="Rent"/>
      </sharedItems>
    </cacheField>
    <cacheField name="[Measures].[Opex]" caption="Opex" numFmtId="0" hierarchy="18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 oneField="1">
      <fieldsUsage count="1">
        <fieldUsage x="3"/>
      </fieldsUsage>
    </cacheHierarchy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7048379632" backgroundQuery="1" createdVersion="8" refreshedVersion="8" minRefreshableVersion="3" recordCount="0" supportSubquery="1" supportAdvancedDrill="1" xr:uid="{2D667D69-74C7-4965-BE2C-B109724D6DC8}">
  <cacheSource type="external" connectionId="3"/>
  <cacheFields count="3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Opex]" caption="Opex" numFmtId="0" hierarchy="18" level="32767"/>
    <cacheField name="[revenue_expense].[Expense subgroup].[Expense subgroup]" caption="Expense subgroup" numFmtId="0" hierarchy="7" level="1">
      <sharedItems count="6">
        <s v="Equipment"/>
        <s v="Marketing"/>
        <s v="Other"/>
        <s v="Payroll"/>
        <s v="R&amp;D"/>
        <s v="Rent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 oneField="1">
      <fieldsUsage count="1">
        <fieldUsage x="1"/>
      </fieldsUsage>
    </cacheHierarchy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7132986112" backgroundQuery="1" createdVersion="8" refreshedVersion="8" minRefreshableVersion="3" recordCount="0" supportSubquery="1" supportAdvancedDrill="1" xr:uid="{30459540-576C-427A-8945-6897DBEB9A66}">
  <cacheSource type="external" connectionId="3"/>
  <cacheFields count="3">
    <cacheField name="[Measures].[Interest and Tax]" caption="Interest and Tax" numFmtId="0" hierarchy="22" level="32767"/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 oneField="1">
      <fieldsUsage count="1">
        <fieldUsage x="0"/>
      </fieldsUsage>
    </cacheHierarchy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7218518515" backgroundQuery="1" createdVersion="8" refreshedVersion="8" minRefreshableVersion="3" recordCount="0" supportSubquery="1" supportAdvancedDrill="1" xr:uid="{72E98E0B-08FA-4EBB-B39B-243790495B36}">
  <cacheSource type="external" connectionId="3"/>
  <cacheFields count="7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Gross Profit]" caption="Gross Profit" numFmtId="0" hierarchy="16" level="32767"/>
    <cacheField name="[Measures].[EBIT]" caption="EBIT" numFmtId="0" hierarchy="20" level="32767"/>
    <cacheField name="[Measures].[Net Profit]" caption="Net Profit" numFmtId="0" hierarchy="23" level="32767"/>
    <cacheField name="[Measures].[Gross Margin]" caption="Gross Margin" numFmtId="0" hierarchy="17" level="32767"/>
    <cacheField name="[Measures].[EBIT Margin]" caption="EBIT Margin" numFmtId="0" hierarchy="21" level="32767"/>
    <cacheField name="[Measures].[Net Profit Margin]" caption="Net Profit Margin" numFmtId="0" hierarchy="24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 oneField="1">
      <fieldsUsage count="1">
        <fieldUsage x="1"/>
      </fieldsUsage>
    </cacheHierarchy>
    <cacheHierarchy uniqueName="[Measures].[Gross Margin]" caption="Gross Margin" measure="1" displayFolder="" measureGroup="Calculations" count="0" oneField="1">
      <fieldsUsage count="1">
        <fieldUsage x="4"/>
      </fieldsUsage>
    </cacheHierarchy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 oneField="1">
      <fieldsUsage count="1">
        <fieldUsage x="2"/>
      </fieldsUsage>
    </cacheHierarchy>
    <cacheHierarchy uniqueName="[Measures].[EBIT Margin]" caption="EBIT Margin" measure="1" displayFolder="" measureGroup="Calculations" count="0" oneField="1">
      <fieldsUsage count="1">
        <fieldUsage x="5"/>
      </fieldsUsage>
    </cacheHierarchy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 oneField="1">
      <fieldsUsage count="1">
        <fieldUsage x="3"/>
      </fieldsUsage>
    </cacheHierarchy>
    <cacheHierarchy uniqueName="[Measures].[Net Profit Margin]" caption="Net Profit Margin" measure="1" displayFolder="" measureGroup="Calculations" count="0" oneField="1">
      <fieldsUsage count="1">
        <fieldUsage x="6"/>
      </fieldsUsage>
    </cacheHierarchy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7336921294" backgroundQuery="1" createdVersion="8" refreshedVersion="8" minRefreshableVersion="3" recordCount="0" supportSubquery="1" supportAdvancedDrill="1" xr:uid="{F1D1D159-9059-4089-BF73-D3AE99A94E90}">
  <cacheSource type="external" connectionId="3"/>
  <cacheFields count="3">
    <cacheField name="[Measures].[COGS Ratio]" caption="COGS Ratio" numFmtId="0" hierarchy="27" level="32767"/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Opex Ratio]" caption="Opex Ratio" numFmtId="0" hierarchy="19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 oneField="1">
      <fieldsUsage count="1">
        <fieldUsage x="2"/>
      </fieldsUsage>
    </cacheHierarchy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 oneField="1">
      <fieldsUsage count="1">
        <fieldUsage x="0"/>
      </fieldsUsage>
    </cacheHierarchy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91533541667" backgroundQuery="1" createdVersion="8" refreshedVersion="8" minRefreshableVersion="3" recordCount="0" supportSubquery="1" supportAdvancedDrill="1" xr:uid="{96D7DB64-53B8-4424-85A8-02667A376D8F}">
  <cacheSource type="external" connectionId="3"/>
  <cacheFields count="4">
    <cacheField name="[Measures].[Revenue]" caption="Revenue" numFmtId="0" hierarchy="14" level="32767"/>
    <cacheField name="[Measures].[Expense]" caption="Expense" numFmtId="0" hierarchy="25" level="32767"/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Revenue / Expense Group].[Revenue / Expense Group]" caption="Revenue / Expense Group" numFmtId="0" hierarchy="8" level="1">
      <sharedItems count="6">
        <s v="Consulting and professional services"/>
        <s v="Other income"/>
        <s v="Sales"/>
        <s v="COGS"/>
        <s v="Interest and tax"/>
        <s v="Opex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2" memberValueDatatype="130" unbalanced="0">
      <fieldsUsage count="2">
        <fieldUsage x="-1"/>
        <fieldUsage x="3"/>
      </fieldsUsage>
    </cacheHierarchy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 oneField="1">
      <fieldsUsage count="1">
        <fieldUsage x="1"/>
      </fieldsUsage>
    </cacheHierarchy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588252430556" backgroundQuery="1" createdVersion="8" refreshedVersion="8" minRefreshableVersion="3" recordCount="0" supportSubquery="1" supportAdvancedDrill="1" xr:uid="{FD39DFAB-DF73-4AA4-8B5F-36FD620DA0E7}">
  <cacheSource type="external" connectionId="3"/>
  <cacheFields count="3">
    <cacheField name="[Measures].[Revenue]" caption="Revenue" numFmtId="0" hierarchy="14" level="32767"/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2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588390046294" backgroundQuery="1" createdVersion="8" refreshedVersion="8" minRefreshableVersion="3" recordCount="0" supportSubquery="1" supportAdvancedDrill="1" xr:uid="{BD8D4E72-330D-4FE1-B335-67A0AFD1F75D}">
  <cacheSource type="external" connectionId="3"/>
  <cacheFields count="3">
    <cacheField name="[Measures].[Expense]" caption="Expense" numFmtId="0" hierarchy="25" level="32767"/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2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 oneField="1">
      <fieldsUsage count="1">
        <fieldUsage x="0"/>
      </fieldsUsage>
    </cacheHierarchy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588504050924" backgroundQuery="1" createdVersion="8" refreshedVersion="8" minRefreshableVersion="3" recordCount="0" supportSubquery="1" supportAdvancedDrill="1" xr:uid="{83DC4CC8-5698-4377-B839-1B9CC0FFD0C7}">
  <cacheSource type="external" connectionId="3"/>
  <cacheFields count="3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Gross Profit]" caption="Gross Profit" numFmtId="0" hierarchy="16" level="32767"/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2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 oneField="1">
      <fieldsUsage count="1">
        <fieldUsage x="1"/>
      </fieldsUsage>
    </cacheHierarchy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52893517" backgroundQuery="1" createdVersion="8" refreshedVersion="8" minRefreshableVersion="3" recordCount="0" supportSubquery="1" supportAdvancedDrill="1" xr:uid="{165B43DB-8D8D-4416-9D21-172B241109A3}">
  <cacheSource type="external" connectionId="3"/>
  <cacheFields count="3"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EBIT]" caption="EBIT" numFmtId="0" hierarchy="20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 oneField="1">
      <fieldsUsage count="1">
        <fieldUsage x="1"/>
      </fieldsUsage>
    </cacheHierarchy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Measu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610406597225" backgroundQuery="1" createdVersion="8" refreshedVersion="8" minRefreshableVersion="3" recordCount="0" supportSubquery="1" supportAdvancedDrill="1" xr:uid="{D4AD391B-EC75-4076-8B9F-5006BD436025}">
  <cacheSource type="external" connectionId="3"/>
  <cacheFields count="3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Measures].[EBIT]" caption="EBIT" numFmtId="0" hierarchy="20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 oneField="1">
      <fieldsUsage count="1">
        <fieldUsage x="2"/>
      </fieldsUsage>
    </cacheHierarchy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625787731478" backgroundQuery="1" createdVersion="8" refreshedVersion="8" minRefreshableVersion="3" recordCount="0" supportSubquery="1" supportAdvancedDrill="1" xr:uid="{0E83C1EA-4A66-4903-BB8C-FC881E560D27}">
  <cacheSource type="external" connectionId="3"/>
  <cacheFields count="3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Measures].[Net Profit]" caption="Net Profit" numFmtId="0" hierarchy="23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 oneField="1">
      <fieldsUsage count="1">
        <fieldUsage x="2"/>
      </fieldsUsage>
    </cacheHierarchy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40972224" backgroundQuery="1" createdVersion="8" refreshedVersion="8" minRefreshableVersion="3" recordCount="0" supportSubquery="1" supportAdvancedDrill="1" xr:uid="{4C21C8B9-B91B-4AE2-9B35-CFEAFA46B30C}">
  <cacheSource type="external" connectionId="3"/>
  <cacheFields count="7">
    <cacheField name="[Measures].[COGS]" caption="COGS" numFmtId="0" hierarchy="15" level="32767"/>
    <cacheField name="[Measures].[Gross Profit]" caption="Gross Profit" numFmtId="0" hierarchy="16" level="32767"/>
    <cacheField name="[Measures].[Opex]" caption="Opex" numFmtId="0" hierarchy="18" level="32767"/>
    <cacheField name="[Measures].[EBIT]" caption="EBIT" numFmtId="0" hierarchy="20" level="32767"/>
    <cacheField name="[Measures].[Interest and Tax]" caption="Interest and Tax" numFmtId="0" hierarchy="22" level="32767"/>
    <cacheField name="[Measures].[Net Profit]" caption="Net Profit" numFmtId="0" hierarchy="23" level="32767"/>
    <cacheField name="[Measures].[Revenue]" caption="Revenue" numFmtId="0" hierarchy="14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6"/>
      </fieldsUsage>
    </cacheHierarchy>
    <cacheHierarchy uniqueName="[Measures].[COGS]" caption="COGS" measure="1" displayFolder="" measureGroup="Calculations" count="0" oneField="1">
      <fieldsUsage count="1">
        <fieldUsage x="0"/>
      </fieldsUsage>
    </cacheHierarchy>
    <cacheHierarchy uniqueName="[Measures].[Gross Profit]" caption="Gross Profit" measure="1" displayFolder="" measureGroup="Calculations" count="0" oneField="1">
      <fieldsUsage count="1">
        <fieldUsage x="1"/>
      </fieldsUsage>
    </cacheHierarchy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 oneField="1">
      <fieldsUsage count="1">
        <fieldUsage x="2"/>
      </fieldsUsage>
    </cacheHierarchy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 oneField="1">
      <fieldsUsage count="1">
        <fieldUsage x="3"/>
      </fieldsUsage>
    </cacheHierarchy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 oneField="1">
      <fieldsUsage count="1">
        <fieldUsage x="4"/>
      </fieldsUsage>
    </cacheHierarchy>
    <cacheHierarchy uniqueName="[Measures].[Net Profit]" caption="Net Profit" measure="1" displayFolder="" measureGroup="Calculations" count="0" oneField="1">
      <fieldsUsage count="1">
        <fieldUsage x="5"/>
      </fieldsUsage>
    </cacheHierarchy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474196064817" backgroundQuery="1" createdVersion="8" refreshedVersion="8" minRefreshableVersion="3" recordCount="0" supportSubquery="1" supportAdvancedDrill="1" xr:uid="{A53CFB4F-0FA1-49D0-8E84-A6075997EBDF}">
  <cacheSource type="external" connectionId="3"/>
  <cacheFields count="2"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Measures].[Net Profit]" caption="Net Profit" numFmtId="0" hierarchy="23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 oneField="1">
      <fieldsUsage count="1">
        <fieldUsage x="1"/>
      </fieldsUsage>
    </cacheHierarchy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1.858239120367" backgroundQuery="1" createdVersion="8" refreshedVersion="8" minRefreshableVersion="3" recordCount="0" supportSubquery="1" supportAdvancedDrill="1" xr:uid="{90518764-1147-4032-9AEF-849A551BA7F0}">
  <cacheSource type="external" connectionId="3"/>
  <cacheFields count="2">
    <cacheField name="[Measures].[Revenue]" caption="Revenue" numFmtId="0" hierarchy="14" level="32767"/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33449073" backgroundQuery="1" createdVersion="8" refreshedVersion="8" minRefreshableVersion="3" recordCount="0" supportSubquery="1" supportAdvancedDrill="1" xr:uid="{B44A724F-2551-42A5-B725-5F0454CE50B1}">
  <cacheSource type="external" connectionId="3"/>
  <cacheFields count="3">
    <cacheField name="[Measures].[Revenue]" caption="Revenue" numFmtId="0" hierarchy="14" level="32767"/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Measures].[Expense min]" caption="Expense min" numFmtId="0" hierarchy="26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 oneField="1">
      <fieldsUsage count="1">
        <fieldUsage x="2"/>
      </fieldsUsage>
    </cacheHierarchy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39120369" backgroundQuery="1" createdVersion="8" refreshedVersion="8" minRefreshableVersion="3" recordCount="0" supportSubquery="1" supportAdvancedDrill="1" xr:uid="{DFB5C082-EB2E-47CB-A0E8-C7F4992F3978}">
  <cacheSource type="external" connectionId="3"/>
  <cacheFields count="2">
    <cacheField name="[revenue_expense].[Expense subgroup].[Expense subgroup]" caption="Expense subgroup" numFmtId="0" hierarchy="7" level="1">
      <sharedItems count="12">
        <s v="Equipment"/>
        <s v="Interest and tax"/>
        <s v="Labor"/>
        <s v="Marketing"/>
        <s v="Materials"/>
        <s v="Other"/>
        <s v="Packaging"/>
        <s v="Payroll"/>
        <s v="R&amp;D"/>
        <s v="Rent"/>
        <s v="Sales"/>
        <s v="Shipping"/>
      </sharedItems>
    </cacheField>
    <cacheField name="[Measures].[Expense]" caption="Expense" numFmtId="0" hierarchy="25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 oneField="1">
      <fieldsUsage count="1">
        <fieldUsage x="1"/>
      </fieldsUsage>
    </cacheHierarchy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1.852201041664" backgroundQuery="1" createdVersion="8" refreshedVersion="8" minRefreshableVersion="3" recordCount="0" supportSubquery="1" supportAdvancedDrill="1" xr:uid="{18C42B42-2215-45AB-891F-1DB791E43753}">
  <cacheSource type="external" connectionId="3"/>
  <cacheFields count="4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Revenue]" caption="Revenue" numFmtId="0" hierarchy="14" level="32767"/>
    <cacheField name="[Measures].[Expense min]" caption="Expense min" numFmtId="0" hierarchy="26" level="32767"/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3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1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 oneField="1">
      <fieldsUsage count="1">
        <fieldUsage x="2"/>
      </fieldsUsage>
    </cacheHierarchy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35416667" backgroundQuery="1" createdVersion="8" refreshedVersion="8" minRefreshableVersion="3" recordCount="0" supportSubquery="1" supportAdvancedDrill="1" xr:uid="{1670FA47-AB45-47E3-A312-1B60D942D8AA}">
  <cacheSource type="external" connectionId="3"/>
  <cacheFields count="2">
    <cacheField name="[Measures].[Revenue]" caption="Revenue" numFmtId="0" hierarchy="14" level="32767"/>
    <cacheField name="[revenue_expense].[Revenue / Expense Group].[Revenue / Expense Group]" caption="Revenue / Expense Group" numFmtId="0" hierarchy="8" level="1">
      <sharedItems count="3">
        <s v="Consulting and professional services"/>
        <s v="Other income"/>
        <s v="Sales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3.663138425924" backgroundQuery="1" createdVersion="8" refreshedVersion="8" minRefreshableVersion="3" recordCount="0" supportSubquery="1" supportAdvancedDrill="1" xr:uid="{82873274-6392-4537-BCB6-61DC5E30B33A}">
  <cacheSource type="external" connectionId="3"/>
  <cacheFields count="7"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Measures].[EBIT]" caption="EBIT" numFmtId="0" hierarchy="20" level="32767"/>
    <cacheField name="[Measures].[Net Profit]" caption="Net Profit" numFmtId="0" hierarchy="23" level="32767"/>
    <cacheField name="[Measures].[Gross Profit]" caption="Gross Profit" numFmtId="0" hierarchy="16" level="32767"/>
    <cacheField name="[Measures].[Gross Margin]" caption="Gross Margin" numFmtId="0" hierarchy="17" level="32767"/>
    <cacheField name="[Measures].[EBIT Margin]" caption="EBIT Margin" numFmtId="0" hierarchy="21" level="32767"/>
    <cacheField name="[Measures].[Net Profit Margin]" caption="Net Profit Margin" numFmtId="0" hierarchy="24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 oneField="1">
      <fieldsUsage count="1">
        <fieldUsage x="3"/>
      </fieldsUsage>
    </cacheHierarchy>
    <cacheHierarchy uniqueName="[Measures].[Gross Margin]" caption="Gross Margin" measure="1" displayFolder="" measureGroup="Calculations" count="0" oneField="1">
      <fieldsUsage count="1">
        <fieldUsage x="4"/>
      </fieldsUsage>
    </cacheHierarchy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 oneField="1">
      <fieldsUsage count="1">
        <fieldUsage x="1"/>
      </fieldsUsage>
    </cacheHierarchy>
    <cacheHierarchy uniqueName="[Measures].[EBIT Margin]" caption="EBIT Margin" measure="1" displayFolder="" measureGroup="Calculations" count="0" oneField="1">
      <fieldsUsage count="1">
        <fieldUsage x="5"/>
      </fieldsUsage>
    </cacheHierarchy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 oneField="1">
      <fieldsUsage count="1">
        <fieldUsage x="2"/>
      </fieldsUsage>
    </cacheHierarchy>
    <cacheHierarchy uniqueName="[Measures].[Net Profit Margin]" caption="Net Profit Margin" measure="1" displayFolder="" measureGroup="Calculations" count="0" oneField="1">
      <fieldsUsage count="1">
        <fieldUsage x="6"/>
      </fieldsUsage>
    </cacheHierarchy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50925923" backgroundQuery="1" createdVersion="8" refreshedVersion="8" minRefreshableVersion="3" recordCount="0" supportSubquery="1" supportAdvancedDrill="1" xr:uid="{DD494C9E-71B0-4AC0-8F0E-F5663CE86224}">
  <cacheSource type="external" connectionId="3"/>
  <cacheFields count="3">
    <cacheField name="[Measures].[Revenue]" caption="Revenue" numFmtId="0" hierarchy="14" level="32767"/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Measu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49074076" backgroundQuery="1" createdVersion="8" refreshedVersion="8" minRefreshableVersion="3" recordCount="0" supportSubquery="1" supportAdvancedDrill="1" xr:uid="{2EF770DB-6947-4E3D-808F-12A01C7DF0EA}">
  <cacheSource type="external" connectionId="3"/>
  <cacheFields count="7">
    <cacheField name="[Measures].[Revenue]" caption="Revenue" numFmtId="0" hierarchy="14" level="32767"/>
    <cacheField name="[Measures].[COGS]" caption="COGS" numFmtId="0" hierarchy="15" level="32767"/>
    <cacheField name="[Measures].[Gross Profit]" caption="Gross Profit" numFmtId="0" hierarchy="16" level="32767"/>
    <cacheField name="[Measures].[Opex]" caption="Opex" numFmtId="0" hierarchy="18" level="32767"/>
    <cacheField name="[Measures].[EBIT]" caption="EBIT" numFmtId="0" hierarchy="20" level="32767"/>
    <cacheField name="[revenue_expense].[Date (Month)].[Date (Month)]" caption="Date (Month)" numFmtId="0" hierarchy="10" level="1">
      <sharedItems count="1">
        <s v="Dec"/>
      </sharedItems>
    </cacheField>
    <cacheField name="[Measures].[Net Profit]" caption="Net Profit" numFmtId="0" hierarchy="23" level="32767"/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5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 oneField="1">
      <fieldsUsage count="1">
        <fieldUsage x="1"/>
      </fieldsUsage>
    </cacheHierarchy>
    <cacheHierarchy uniqueName="[Measures].[Gross Profit]" caption="Gross Profit" measure="1" displayFolder="" measureGroup="Calculations" count="0" oneField="1">
      <fieldsUsage count="1">
        <fieldUsage x="2"/>
      </fieldsUsage>
    </cacheHierarchy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 oneField="1">
      <fieldsUsage count="1">
        <fieldUsage x="3"/>
      </fieldsUsage>
    </cacheHierarchy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 oneField="1">
      <fieldsUsage count="1">
        <fieldUsage x="4"/>
      </fieldsUsage>
    </cacheHierarchy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 oneField="1">
      <fieldsUsage count="1">
        <fieldUsage x="6"/>
      </fieldsUsage>
    </cacheHierarchy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44791665" backgroundQuery="1" createdVersion="8" refreshedVersion="8" minRefreshableVersion="3" recordCount="0" supportSubquery="1" supportAdvancedDrill="1" xr:uid="{8EE7C434-9247-4F27-9B8D-258DB6FEC731}">
  <cacheSource type="external" connectionId="3"/>
  <cacheFields count="3"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Gross Profit]" caption="Gross Profit" numFmtId="0" hierarchy="16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 oneField="1">
      <fieldsUsage count="1">
        <fieldUsage x="1"/>
      </fieldsUsage>
    </cacheHierarchy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Measu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0542708333" backgroundQuery="1" createdVersion="8" refreshedVersion="8" minRefreshableVersion="3" recordCount="0" supportSubquery="1" supportAdvancedDrill="1" xr:uid="{73217BDD-0A09-4E3C-A0A3-73F3EEBB901F}">
  <cacheSource type="external" connectionId="3"/>
  <cacheFields count="3"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Net Profit]" caption="Net Profit" numFmtId="0" hierarchy="23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 oneField="1">
      <fieldsUsage count="1">
        <fieldUsage x="1"/>
      </fieldsUsage>
    </cacheHierarchy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Measu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22082870374" backgroundQuery="1" createdVersion="8" refreshedVersion="8" minRefreshableVersion="3" recordCount="0" supportSubquery="1" supportAdvancedDrill="1" xr:uid="{C6E303CD-4391-4B53-B691-E824B574B01B}">
  <cacheSource type="external" connectionId="3"/>
  <cacheFields count="3">
    <cacheField name="[revenue_expense].[Date (Month)].[Date (Month)]" caption="Date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OPEX ABS]" caption="OPEX ABS" numFmtId="0" hierarchy="29" level="32767"/>
    <cacheField name="Dummy0" numFmtId="0" hierarchy="3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4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0" memberValueDatatype="130" unbalanced="0"/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0" memberValueDatatype="130" unbalanced="0"/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 oneField="1">
      <fieldsUsage count="1">
        <fieldUsage x="1"/>
      </fieldsUsage>
    </cacheHierarchy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Measu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0675578706" backgroundQuery="1" createdVersion="8" refreshedVersion="8" minRefreshableVersion="3" recordCount="0" supportSubquery="1" supportAdvancedDrill="1" xr:uid="{26C2E1FF-7862-4CD2-982C-B793241E2903}">
  <cacheSource type="external" connectionId="3"/>
  <cacheFields count="4">
    <cacheField name="[Measures].[Revenue]" caption="Revenue" numFmtId="0" hierarchy="14" level="32767"/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Revenue / Expense Group].[Revenue / Expense Group]" caption="Revenue / Expense Group" numFmtId="0" hierarchy="8" level="1">
      <sharedItems count="3">
        <s v="Consulting and professional services"/>
        <s v="Other income"/>
        <s v="Sales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3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0" memberValueDatatype="130" unbalanced="0"/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2" memberValueDatatype="130" unbalanced="0">
      <fieldsUsage count="2">
        <fieldUsage x="-1"/>
        <fieldUsage x="2"/>
      </fieldsUsage>
    </cacheHierarchy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 oneField="1">
      <fieldsUsage count="1">
        <fieldUsage x="0"/>
      </fieldsUsage>
    </cacheHierarchy>
    <cacheHierarchy uniqueName="[Measures].[COGS]" caption="COGS" measure="1" displayFolder="" measureGroup="Calculations" count="0"/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30.695623611115" backgroundQuery="1" createdVersion="8" refreshedVersion="8" minRefreshableVersion="3" recordCount="0" supportSubquery="1" supportAdvancedDrill="1" xr:uid="{638CF903-7B3E-40E4-99F1-4065794ED4C0}">
  <cacheSource type="external" connectionId="3"/>
  <cacheFields count="4">
    <cacheField name="[revenue_expense].[Month - name].[Month - name]" caption="Month - name" numFmtId="0" hierarchy="2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revenue_expense].[Business Line].[Business Line]" caption="Business Line" numFmtId="0" hierarchy="5" level="1">
      <sharedItems count="3">
        <s v="Nutrition and Food Supplements "/>
        <s v="Sports equipment"/>
        <s v="Sportswear"/>
      </sharedItems>
    </cacheField>
    <cacheField name="[Measures].[COGS]" caption="COGS" numFmtId="0" hierarchy="15" level="32767"/>
    <cacheField name="[revenue_expense].[Expense subgroup].[Expense subgroup]" caption="Expense subgroup" numFmtId="0" hierarchy="7" level="1">
      <sharedItems count="6">
        <s v="Labor"/>
        <s v="Materials"/>
        <s v="Other"/>
        <s v="Packaging"/>
        <s v="Sales"/>
        <s v="Shipping"/>
      </sharedItems>
    </cacheField>
  </cacheFields>
  <cacheHierarchies count="33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revenue_expense].[Year]" caption="Year" attribute="1" defaultMemberUniqueName="[revenue_expense].[Year].[All]" allUniqueName="[revenue_expense].[Year].[All]" dimensionUniqueName="[revenue_expense]" displayFolder="" count="0" memberValueDatatype="20" unbalanced="0"/>
    <cacheHierarchy uniqueName="[revenue_expense].[Month - name]" caption="Month - name" attribute="1" defaultMemberUniqueName="[revenue_expense].[Month - name].[All]" allUniqueName="[revenue_expense].[Month - name].[All]" dimensionUniqueName="[revenue_expense]" displayFolder="" count="2" memberValueDatatype="130" unbalanced="0">
      <fieldsUsage count="2">
        <fieldUsage x="-1"/>
        <fieldUsage x="0"/>
      </fieldsUsage>
    </cacheHierarchy>
    <cacheHierarchy uniqueName="[revenue_expense].[Month -sequence]" caption="Month -sequence" attribute="1" defaultMemberUniqueName="[revenue_expense].[Month -sequence].[All]" allUniqueName="[revenue_expense].[Month -sequence].[All]" dimensionUniqueName="[revenue_expense]" displayFolder="" count="0" memberValueDatatype="20" unbalanced="0"/>
    <cacheHierarchy uniqueName="[revenue_expense].[Date]" caption="Date" attribute="1" time="1" defaultMemberUniqueName="[revenue_expense].[Date].[All]" allUniqueName="[revenue_expense].[Date].[All]" dimensionUniqueName="[revenue_expense]" displayFolder="" count="0" memberValueDatatype="7" unbalanced="0"/>
    <cacheHierarchy uniqueName="[revenue_expense].[Business Line]" caption="Business Line" attribute="1" defaultMemberUniqueName="[revenue_expense].[Business Line].[All]" allUniqueName="[revenue_expense].[Business Line].[All]" dimensionUniqueName="[revenue_expense]" displayFolder="" count="2" memberValueDatatype="130" unbalanced="0">
      <fieldsUsage count="2">
        <fieldUsage x="-1"/>
        <fieldUsage x="1"/>
      </fieldsUsage>
    </cacheHierarchy>
    <cacheHierarchy uniqueName="[revenue_expense].[Amount, $]" caption="Amount, $" attribute="1" defaultMemberUniqueName="[revenue_expense].[Amount, $].[All]" allUniqueName="[revenue_expense].[Amount, $].[All]" dimensionUniqueName="[revenue_expense]" displayFolder="" count="0" memberValueDatatype="20" unbalanced="0"/>
    <cacheHierarchy uniqueName="[revenue_expense].[Expense subgroup]" caption="Expense subgroup" attribute="1" defaultMemberUniqueName="[revenue_expense].[Expense subgroup].[All]" allUniqueName="[revenue_expense].[Expense subgroup].[All]" dimensionUniqueName="[revenue_expense]" displayFolder="" count="2" memberValueDatatype="130" unbalanced="0">
      <fieldsUsage count="2">
        <fieldUsage x="-1"/>
        <fieldUsage x="3"/>
      </fieldsUsage>
    </cacheHierarchy>
    <cacheHierarchy uniqueName="[revenue_expense].[Revenue / Expense Group]" caption="Revenue / Expense Group" attribute="1" defaultMemberUniqueName="[revenue_expense].[Revenue / Expense Group].[All]" allUniqueName="[revenue_expense].[Revenue / Expense Group].[All]" dimensionUniqueName="[revenue_expense]" displayFolder="" count="0" memberValueDatatype="130" unbalanced="0"/>
    <cacheHierarchy uniqueName="[revenue_expense].[Revenue or expense]" caption="Revenue or expense" attribute="1" defaultMemberUniqueName="[revenue_expense].[Revenue or expense].[All]" allUniqueName="[revenue_expense].[Revenue or expense].[All]" dimensionUniqueName="[revenue_expense]" displayFolder="" count="0" memberValueDatatype="130" unbalanced="0"/>
    <cacheHierarchy uniqueName="[revenue_expense].[Date (Month)]" caption="Date (Month)" attribute="1" defaultMemberUniqueName="[revenue_expense].[Date (Month)].[All]" allUniqueName="[revenue_expense].[Date (Month)].[All]" dimensionUniqueName="[revenue_expense]" displayFolder="" count="0" memberValueDatatype="130" unbalanced="0"/>
    <cacheHierarchy uniqueName="[revenue_expense].[Date (Month Index)]" caption="Date (Month Index)" attribute="1" defaultMemberUniqueName="[revenue_expense].[Date (Month Index)].[All]" allUniqueName="[revenue_expense].[Date (Month Index)].[All]" dimensionUniqueName="[revenue_expense]" displayFolder="" count="0" memberValueDatatype="20" unbalanced="0" hidden="1"/>
    <cacheHierarchy uniqueName="[Measures].[Sum of Amount, $]" caption="Sum of Amount, $" measure="1" displayFolder="" measureGroup="revenue_expens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onth -sequence]" caption="Sum of Month -sequence" measure="1" displayFolder="" measureGroup="revenue_expens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Calculations" count="0"/>
    <cacheHierarchy uniqueName="[Measures].[COGS]" caption="COGS" measure="1" displayFolder="" measureGroup="Calculations" count="0" oneField="1">
      <fieldsUsage count="1">
        <fieldUsage x="2"/>
      </fieldsUsage>
    </cacheHierarchy>
    <cacheHierarchy uniqueName="[Measures].[Gross Profit]" caption="Gross Profit" measure="1" displayFolder="" measureGroup="Calculations" count="0"/>
    <cacheHierarchy uniqueName="[Measures].[Gross Margin]" caption="Gross Margin" measure="1" displayFolder="" measureGroup="Calculations" count="0"/>
    <cacheHierarchy uniqueName="[Measures].[Opex]" caption="Opex" measure="1" displayFolder="" measureGroup="Calculations" count="0"/>
    <cacheHierarchy uniqueName="[Measures].[Opex Ratio]" caption="Opex Ratio" measure="1" displayFolder="" measureGroup="Calculations" count="0"/>
    <cacheHierarchy uniqueName="[Measures].[EBIT]" caption="EBIT" measure="1" displayFolder="" measureGroup="Calculations" count="0"/>
    <cacheHierarchy uniqueName="[Measures].[EBIT Margin]" caption="EBIT Margin" measure="1" displayFolder="" measureGroup="Calculations" count="0"/>
    <cacheHierarchy uniqueName="[Measures].[Interest and Tax]" caption="Interest and Tax" measure="1" displayFolder="" measureGroup="Calculations" count="0"/>
    <cacheHierarchy uniqueName="[Measures].[Net Profit]" caption="Net Profit" measure="1" displayFolder="" measureGroup="Calculations" count="0"/>
    <cacheHierarchy uniqueName="[Measures].[Net Profit Margin]" caption="Net Profit Margin" measure="1" displayFolder="" measureGroup="Calculations" count="0"/>
    <cacheHierarchy uniqueName="[Measures].[Expense]" caption="Expense" measure="1" displayFolder="" measureGroup="Calculations" count="0"/>
    <cacheHierarchy uniqueName="[Measures].[Expense min]" caption="Expense min" measure="1" displayFolder="" measureGroup="Calculations" count="0"/>
    <cacheHierarchy uniqueName="[Measures].[COGS Ratio]" caption="COGS Ratio" measure="1" displayFolder="" measureGroup="Calculations" count="0"/>
    <cacheHierarchy uniqueName="[Measures].[COGS ABS]" caption="COGS ABS" measure="1" displayFolder="" measureGroup="Calculations" count="0"/>
    <cacheHierarchy uniqueName="[Measures].[OPEX ABS]" caption="OPEX ABS" measure="1" displayFolder="" measureGroup="Calculations" count="0"/>
    <cacheHierarchy uniqueName="[Measures].[__XL_Count revenue_expense]" caption="__XL_Count revenue_expense" measure="1" displayFolder="" measureGroup="revenue_expens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3">
    <dimension name="Calculations" uniqueName="[Calculations]" caption="Calculations"/>
    <dimension measure="1" name="Measures" uniqueName="[Measures]" caption="Measures"/>
    <dimension name="revenue_expense" uniqueName="[revenue_expense]" caption="revenue_expense"/>
  </dimensions>
  <measureGroups count="2">
    <measureGroup name="Calculations" caption="Calculations"/>
    <measureGroup name="revenue_expense" caption="revenue_expens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8F0BF-66EC-4BE1-81A5-B9B04619D803}" name="PivotTable3" cacheId="18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itemPrintTitles="1" createdVersion="8" indent="0" outline="1" outlineData="1" multipleFieldFilters="0">
  <location ref="DJ1:DN15" firstHeaderRow="1" firstDataRow="2" firstDataCol="1"/>
  <pivotFields count="3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showDataAs="percentDiff" baseField="0" baseItem="1048828" numFmtId="10"/>
  </dataFields>
  <formats count="2">
    <format dxfId="44">
      <pivotArea collapsedLevelsAreSubtotals="1" fieldPosition="0">
        <references count="1"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">
      <pivotArea collapsedLevelsAreSubtotals="1" fieldPosition="0">
        <references count="1">
          <reference field="0" count="1">
            <x v="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evenue_expense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FB65D-8588-40A5-A618-C881E0366177}" name="PivotTable4" cacheId="7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colGrandTotals="0" itemPrintTitles="1" createdVersion="8" indent="0" outline="1" outlineData="1" multipleFieldFilters="0">
  <location ref="H1:Q16" firstHeaderRow="1" firstDataRow="3" firstDataCol="1"/>
  <pivotFields count="4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3"/>
  </colFields>
  <col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8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B5AF-5783-46AC-8D00-5AEEC79CE874}" name="PivotTable12" cacheId="10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colGrandTotals="0" itemPrintTitles="1" createdVersion="8" indent="0" outline="1" outlineData="1" multipleFieldFilters="0">
  <location ref="BE1:BW16" firstHeaderRow="1" firstDataRow="3" firstDataCol="1"/>
  <pivotFields count="4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1"/>
  </colFields>
  <colItems count="1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</colItems>
  <dataFields count="1">
    <dataField fld="3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7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33ED-27CB-4462-9957-439ECD788C26}" name="PivotTable18" cacheId="15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itemPrintTitles="1" createdVersion="8" indent="0" outline="1" outlineData="1" multipleFieldFilters="0">
  <location ref="S1:AA16" firstHeaderRow="1" firstDataRow="3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 v="3"/>
    </i>
    <i r="1" i="1">
      <x v="4"/>
    </i>
    <i r="1" i="1">
      <x v="5"/>
    </i>
    <i t="grand">
      <x/>
    </i>
    <i t="grand" i="1">
      <x v="1"/>
    </i>
  </colItems>
  <dataFields count="2">
    <dataField fld="0" subtotal="count" showDataAs="percentDiff" baseField="2" baseItem="1048828" numFmtId="10"/>
    <dataField fld="1" subtotal="count" showDataAs="percentDiff" baseField="2" baseItem="1048828" numFmtId="10"/>
  </dataFields>
  <formats count="1">
    <format dxfId="62">
      <pivotArea collapsedLevelsAreSubtotals="1" fieldPosition="0">
        <references count="1">
          <reference field="2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-2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C3D15-0825-4E9C-A465-8C076E1F25D9}" name="PivotTable25" cacheId="14" applyNumberFormats="0" applyBorderFormats="0" applyFontFormats="0" applyPatternFormats="0" applyAlignmentFormats="0" applyWidthHeightFormats="1" dataCaption="Values" grandTotalCaption="All" updatedVersion="8" minRefreshableVersion="3" useAutoFormatting="1" colGrandTotals="0" itemPrintTitles="1" createdVersion="8" indent="0" outline="1" outlineData="1" multipleFieldFilters="0">
  <location ref="CT1:CV14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showDataAs="percentDiff" baseField="1" baseItem="1048828" numFmtId="10"/>
    <dataField fld="2" subtotal="count" showDataAs="percentDiff" baseField="1" baseItem="1048828" numFmtId="10"/>
  </dataFields>
  <formats count="1">
    <format dxfId="63">
      <pivotArea collapsedLevelsAreSubtotals="1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A6D89-0769-4CA0-874A-18B5BF4E0C61}" name="PivotTable8" cacheId="8" applyNumberFormats="0" applyBorderFormats="0" applyFontFormats="0" applyPatternFormats="0" applyAlignmentFormats="0" applyWidthHeightFormats="1" dataCaption="Values" grandTotalCaption="All" tag="c7d64a4f-95b3-49c2-ae98-62f196b41d4b" updatedVersion="8" minRefreshableVersion="3" useAutoFormatting="1" subtotalHiddenItems="1" colGrandTotals="0" itemPrintTitles="1" createdVersion="8" indent="0" outline="1" outlineData="1" multipleFieldFilters="0">
  <location ref="AC1:AU16" firstHeaderRow="1" firstDataRow="3" firstDataCol="1"/>
  <pivotFields count="4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1"/>
  </colFields>
  <colItems count="18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</colItems>
  <dataFields count="1">
    <dataField fld="2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7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F8BAC-D66A-4CB9-B727-21E5403FD738}" name="PivotTable12" cacheId="4" applyNumberFormats="0" applyBorderFormats="0" applyFontFormats="0" applyPatternFormats="0" applyAlignmentFormats="0" applyWidthHeightFormats="1" dataCaption="Values" tag="85fe33b0-4d47-4838-9a73-92b428ed2b9d" updatedVersion="8" minRefreshableVersion="3" useAutoFormatting="1" subtotalHiddenItems="1" rowGrandTotals="0" colGrandTotals="0" itemPrintTitles="1" createdVersion="8" indent="0" compact="0" outline="1" outlineData="1" compactData="0" multipleFieldFilters="0" chartFormat="56">
  <location ref="P1:R13" firstHeaderRow="0" firstDataRow="1" firstDataCol="1"/>
  <pivotFields count="3">
    <pivotField axis="axisRow" compact="0" allDrilled="1" showAll="0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Gross Profit2" fld="2" subtotal="count" baseField="0" baseItem="0">
      <extLst>
        <ext xmlns:x14="http://schemas.microsoft.com/office/spreadsheetml/2009/9/main" uri="{E15A36E0-9728-4e99-A89B-3F7291B0FE68}">
          <x14:dataField sourceField="1" uniqueName="[__Xl2].[Measures].[Gross Profit]"/>
        </ext>
      </extLst>
    </dataField>
  </dataFields>
  <chartFormats count="2">
    <chartFormat chart="11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6F70A-DBC7-4DC5-8742-0E4E04EB22DC}" name="PivotTable4" cacheId="26" applyNumberFormats="0" applyBorderFormats="0" applyFontFormats="0" applyPatternFormats="0" applyAlignmentFormats="0" applyWidthHeightFormats="1" dataCaption="Values" tag="61418e5d-29a7-44b9-831c-8be6c37c7603" updatedVersion="8" minRefreshableVersion="3" useAutoFormatting="1" subtotalHiddenItems="1" rowGrandTotals="0" colGrandTotals="0" itemPrintTitles="1" createdVersion="8" indent="0" compact="0" compactData="0" multipleFieldFilters="0" chartFormat="43">
  <location ref="AW1:AY13" firstHeaderRow="0" firstDataRow="1" firstDataCol="1"/>
  <pivotFields count="4">
    <pivotField compact="0" allDrilled="1" outline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compact="0" outline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71"/>
    <dataField fld="2" subtotal="count" baseField="0" baseItem="0" numFmtId="172"/>
  </dataFields>
  <formats count="6"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4294967294" count="1" selected="0">
            <x v="0"/>
          </reference>
        </references>
      </pivotArea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3" count="0"/>
        </references>
      </pivotArea>
    </format>
  </formats>
  <chartFormats count="15"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5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5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5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5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5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5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5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5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evenue_expense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98E08-B368-4323-9D6A-A25820D56EAA}" name="PivotTable20" cacheId="23" applyNumberFormats="0" applyBorderFormats="0" applyFontFormats="0" applyPatternFormats="0" applyAlignmentFormats="0" applyWidthHeightFormats="1" dataCaption="Values" tag="26d2c27c-4249-4c67-a4e3-783ef053f04d" updatedVersion="8" minRefreshableVersion="3" useAutoFormatting="1" subtotalHiddenItems="1" rowGrandTotals="0" colGrandTotals="0" itemPrintTitles="1" createdVersion="8" indent="0" outline="1" outlineData="1" multipleFieldFilters="0">
  <location ref="AW15:AX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0" subtotal="count" showDataAs="percentDiff" baseField="1" baseItem="1048828" numFmtId="232"/>
  </dataFields>
  <formats count="1">
    <format dxfId="17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942DC-64FA-48C4-8DD4-98704F896644}" name="PivotTable13" cacheId="6" applyNumberFormats="0" applyBorderFormats="0" applyFontFormats="0" applyPatternFormats="0" applyAlignmentFormats="0" applyWidthHeightFormats="1" dataCaption="Values" tag="98c2eaf3-97cc-4203-8504-82dcfc12e45f" updatedVersion="8" minRefreshableVersion="3" useAutoFormatting="1" subtotalHiddenItems="1" rowGrandTotals="0" colGrandTotals="0" itemPrintTitles="1" createdVersion="8" indent="0" compact="0" outline="1" outlineData="1" compactData="0" multipleFieldFilters="0" chartFormat="38">
  <location ref="H15:J27" firstHeaderRow="0" firstDataRow="1" firstDataCol="1"/>
  <pivotFields count="3">
    <pivotField axis="axisRow" compact="0" allDrilled="1" showAll="0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OPEX ABS2" fld="2" subtotal="count" baseField="0" baseItem="0">
      <extLst>
        <ext xmlns:x14="http://schemas.microsoft.com/office/spreadsheetml/2009/9/main" uri="{E15A36E0-9728-4e99-A89B-3F7291B0FE68}">
          <x14:dataField sourceField="1" uniqueName="[__Xl2].[Measures].[OPEX ABS]"/>
        </ext>
      </extLst>
    </dataField>
  </dataFields>
  <chartFormats count="2">
    <chartFormat chart="3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685D2-2C3B-4882-9C2A-92F7CB1CA084}" name="PivotTable5" cacheId="27" applyNumberFormats="0" applyBorderFormats="0" applyFontFormats="0" applyPatternFormats="0" applyAlignmentFormats="0" applyWidthHeightFormats="1" dataCaption="Values" tag="65b16d25-37de-41c1-8bba-ec69a96db8d0" updatedVersion="8" minRefreshableVersion="3" useAutoFormatting="1" subtotalHiddenItems="1" rowGrandTotals="0" colGrandTotals="0" itemPrintTitles="1" createdVersion="8" indent="0" compact="0" compactData="0" multipleFieldFilters="0" chartFormat="21">
  <location ref="AR1:AS4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 v="1"/>
    </i>
    <i>
      <x/>
    </i>
    <i>
      <x v="2"/>
    </i>
  </rowItems>
  <colItems count="1">
    <i/>
  </colItems>
  <dataFields count="1">
    <dataField fld="0" subtotal="count" baseField="0" baseItem="0"/>
  </dataFields>
  <formats count="2">
    <format dxfId="19">
      <pivotArea outline="0" collapsedLevelsAreSubtotals="1" fieldPosition="0"/>
    </format>
    <format dxfId="18">
      <pivotArea dataOnly="0" labelOnly="1" outline="0" fieldPosition="0">
        <references count="1">
          <reference field="1" count="0"/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252A9-06EC-4CA8-8EF1-5E1D747D835D}" name="PivotTable1" cacheId="16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itemPrintTitles="1" createdVersion="8" indent="0" outline="1" outlineData="1" multipleFieldFilters="0">
  <location ref="CX1:DB15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subtotal="count" showDataAs="percentDiff" baseField="1" baseItem="1048828" numFmtId="10"/>
  </dataFields>
  <formats count="1">
    <format dxfId="45">
      <pivotArea collapsedLevelsAreSubtotals="1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1236F-0000-4CBA-A192-674CB9D3DA46}" name="PivotTable8" cacheId="25" applyNumberFormats="0" applyBorderFormats="0" applyFontFormats="0" applyPatternFormats="0" applyAlignmentFormats="0" applyWidthHeightFormats="1" dataCaption="Values" tag="7321adbd-e7ad-47e9-98b3-722d883ec481" updatedVersion="8" minRefreshableVersion="3" useAutoFormatting="1" subtotalHiddenItems="1" itemPrintTitles="1" createdVersion="8" indent="0" compact="0" compactData="0" multipleFieldFilters="0" chartFormat="23">
  <location ref="AL1:AM14" firstHeaderRow="1" firstDataRow="1" firstDataCol="1"/>
  <pivotFields count="2">
    <pivotField axis="axisRow" compact="0" allDrilled="1" outline="0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3">
    <i>
      <x v="6"/>
    </i>
    <i>
      <x v="11"/>
    </i>
    <i>
      <x v="5"/>
    </i>
    <i>
      <x v="10"/>
    </i>
    <i>
      <x v="8"/>
    </i>
    <i>
      <x v="9"/>
    </i>
    <i>
      <x v="1"/>
    </i>
    <i>
      <x v="3"/>
    </i>
    <i>
      <x v="4"/>
    </i>
    <i>
      <x/>
    </i>
    <i>
      <x v="7"/>
    </i>
    <i>
      <x v="2"/>
    </i>
    <i t="grand">
      <x/>
    </i>
  </rowItems>
  <colItems count="1">
    <i/>
  </colItems>
  <dataFields count="1">
    <dataField fld="1" subtotal="count" baseField="0" baseItem="0"/>
  </dataFields>
  <formats count="2">
    <format dxfId="21">
      <pivotArea outline="0" fieldPosition="0">
        <references count="1">
          <reference field="0" count="0" selected="0"/>
        </references>
      </pivotArea>
    </format>
    <format dxfId="20">
      <pivotArea dataOnly="0" labelOnly="1" outline="0" fieldPosition="0">
        <references count="1">
          <reference field="0" count="0"/>
        </references>
      </pivotArea>
    </format>
  </formats>
  <chartFormats count="13">
    <chartFormat chart="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4C9E0-03AE-4B49-876A-1159D586E229}" name="PivotTable17" cacheId="5" applyNumberFormats="0" applyBorderFormats="0" applyFontFormats="0" applyPatternFormats="0" applyAlignmentFormats="0" applyWidthHeightFormats="1" dataCaption="Values" tag="5c190617-9579-42ff-a0db-270ac30b4f91" updatedVersion="8" minRefreshableVersion="3" useAutoFormatting="1" subtotalHiddenItems="1" rowGrandTotals="0" colGrandTotals="0" itemPrintTitles="1" createdVersion="8" indent="0" compact="0" outline="1" outlineData="1" compactData="0" multipleFieldFilters="0" chartFormat="36">
  <location ref="P15:R27" firstHeaderRow="0" firstDataRow="1" firstDataCol="1"/>
  <pivotFields count="3">
    <pivotField axis="axisRow" compact="0" allDrilled="1" showAll="0" defaultSubtotal="0">
      <items count="12">
        <item x="0" e="0"/>
        <item x="1" e="0"/>
        <item x="2" e="0"/>
        <item x="3" e="0"/>
        <item x="4" e="0"/>
        <item x="7" e="0"/>
        <item x="8" e="0"/>
        <item x="5" e="0"/>
        <item x="6" e="0"/>
        <item x="9" e="0"/>
        <item x="10" e="0"/>
        <item x="11" e="0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Net Profit2" fld="2" subtotal="count" baseField="0" baseItem="0">
      <extLst>
        <ext xmlns:x14="http://schemas.microsoft.com/office/spreadsheetml/2009/9/main" uri="{E15A36E0-9728-4e99-A89B-3F7291B0FE68}">
          <x14:dataField sourceField="1" uniqueName="[__Xl2].[Measures].[Net Profit]"/>
        </ext>
      </extLst>
    </dataField>
  </dataFields>
  <chartFormats count="2">
    <chartFormat chart="2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534BF-DF50-47C3-BE8B-18EABC53E955}" name="PivotTable16" cacheId="1" applyNumberFormats="0" applyBorderFormats="0" applyFontFormats="0" applyPatternFormats="0" applyAlignmentFormats="0" applyWidthHeightFormats="1" dataCaption="Values" tag="0e700d3f-6aa0-4c39-b372-28a4e8b20b33" updatedVersion="8" minRefreshableVersion="3" useAutoFormatting="1" subtotalHiddenItems="1" rowGrandTotals="0" colGrandTotals="0" itemPrintTitles="1" createdVersion="8" indent="0" compact="0" outline="1" outlineData="1" compactData="0" multipleFieldFilters="0" chartFormat="35">
  <location ref="L15:N27" firstHeaderRow="0" firstDataRow="1" firstDataCol="1"/>
  <pivotFields count="3">
    <pivotField axis="axisRow" compact="0" allDrilled="1" showAll="0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EBIT2" fld="2" subtotal="count" baseField="0" baseItem="0">
      <extLst>
        <ext xmlns:x14="http://schemas.microsoft.com/office/spreadsheetml/2009/9/main" uri="{E15A36E0-9728-4e99-A89B-3F7291B0FE68}">
          <x14:dataField sourceField="1" uniqueName="[__Xl2].[Measures].[EBIT]"/>
        </ext>
      </extLst>
    </dataField>
  </dataFields>
  <chartFormats count="2"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5028A-F1EF-4222-A870-CD0324CA7D2B}" name="PivotTable9" cacheId="3" applyNumberFormats="0" applyBorderFormats="0" applyFontFormats="0" applyPatternFormats="0" applyAlignmentFormats="0" applyWidthHeightFormats="1" dataCaption="Values" tag="2d5bdbb0-cede-45e1-be38-a39248bd53d8" updatedVersion="8" minRefreshableVersion="3" useAutoFormatting="1" subtotalHiddenItems="1" rowGrandTotals="0" colGrandTotals="0" itemPrintTitles="1" createdVersion="8" indent="0" compact="0" compactData="0" multipleFieldFilters="0" chartFormat="4">
  <location ref="A1:F2" firstHeaderRow="0" firstDataRow="1" firstDataCol="0"/>
  <pivotFields count="7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 numFmtId="165"/>
    <dataField fld="1" subtotal="count" baseField="0" baseItem="0" numFmtId="165"/>
    <dataField fld="2" subtotal="count" baseField="0" baseItem="0" numFmtId="166"/>
    <dataField fld="3" subtotal="count" baseField="0" baseItem="0" numFmtId="165"/>
    <dataField fld="4" subtotal="count" baseField="0" baseItem="0" numFmtId="165"/>
    <dataField fld="6" subtotal="count" baseField="0" baseItem="0"/>
  </dataFields>
  <formats count="10">
    <format dxfId="31">
      <pivotArea outline="0" fieldPosition="0">
        <references count="1">
          <reference field="4294967294" count="1" selected="0">
            <x v="0"/>
          </reference>
        </references>
      </pivotArea>
    </format>
    <format dxfId="30">
      <pivotArea outline="0" fieldPosition="0">
        <references count="1">
          <reference field="4294967294" count="1" selected="0">
            <x v="2"/>
          </reference>
        </references>
      </pivotArea>
    </format>
    <format dxfId="29">
      <pivotArea outline="0" fieldPosition="0">
        <references count="1">
          <reference field="4294967294" count="1" selected="0">
            <x v="2"/>
          </reference>
        </references>
      </pivotArea>
    </format>
    <format dxfId="28">
      <pivotArea outline="0" fieldPosition="0">
        <references count="1">
          <reference field="4294967294" count="1" selected="0">
            <x v="1"/>
          </reference>
        </references>
      </pivotArea>
    </format>
    <format dxfId="27">
      <pivotArea outline="0" fieldPosition="0">
        <references count="1">
          <reference field="4294967294" count="1" selected="0">
            <x v="3"/>
          </reference>
        </references>
      </pivotArea>
    </format>
    <format dxfId="26">
      <pivotArea outline="0" fieldPosition="0">
        <references count="1">
          <reference field="4294967294" count="1" selected="0">
            <x v="4"/>
          </reference>
        </references>
      </pivotArea>
    </format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Hierarchies count="33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8FB98-C2BF-44EF-8019-5B8A76F27C9C}" name="PivotTable14" cacheId="21" applyNumberFormats="0" applyBorderFormats="0" applyFontFormats="0" applyPatternFormats="0" applyAlignmentFormats="0" applyWidthHeightFormats="1" dataCaption="Values" tag="815cd3e7-8d34-49f5-9e67-c693e363b30e" updatedVersion="8" minRefreshableVersion="3" useAutoFormatting="1" subtotalHiddenItems="1" itemPrintTitles="1" createdVersion="8" indent="0" outline="1" outlineData="1" multipleFieldFilters="0">
  <location ref="V1:AB2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6" subtotal="count" baseField="0" baseItem="0"/>
    <dataField fld="0" subtotal="count" baseField="0" baseItem="0"/>
    <dataField fld="2" subtotal="count" baseField="0" baseItem="0"/>
    <dataField fld="1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9FDF7-A91A-4339-8E2A-DE8B343BB2A1}" name="PivotTable11" cacheId="0" applyNumberFormats="0" applyBorderFormats="0" applyFontFormats="0" applyPatternFormats="0" applyAlignmentFormats="0" applyWidthHeightFormats="1" dataCaption="Values" tag="1183f831-f698-4251-8ddc-8ca1ab695827" updatedVersion="8" minRefreshableVersion="3" useAutoFormatting="1" subtotalHiddenItems="1" rowGrandTotals="0" colGrandTotals="0" itemPrintTitles="1" createdVersion="8" indent="0" compact="0" outline="1" outlineData="1" compactData="0" multipleFieldFilters="0" chartFormat="65">
  <location ref="L1:N13" firstHeaderRow="0" firstDataRow="1" firstDataCol="1"/>
  <pivotFields count="3">
    <pivotField axis="axisRow" compact="0" allDrilled="1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COGS ABS2" fld="2" subtotal="count" baseField="0" baseItem="0">
      <extLst>
        <ext xmlns:x14="http://schemas.microsoft.com/office/spreadsheetml/2009/9/main" uri="{E15A36E0-9728-4e99-A89B-3F7291B0FE68}">
          <x14:dataField sourceField="1" uniqueName="[__Xl2].[Measures].[COGS ABS]"/>
        </ext>
      </extLst>
    </dataField>
  </dataFields>
  <formats count="1">
    <format dxfId="32">
      <pivotArea outline="0" collapsedLevelsAreSubtotals="1" fieldPosition="0"/>
    </format>
  </formats>
  <chartFormats count="2">
    <chartFormat chart="2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74868-2367-4D49-9838-C0C2F34598F2}" name="PivotTable2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2">
  <location ref="AF1:AH4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">
    <i>
      <x/>
    </i>
    <i>
      <x v="2"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5"/>
    <dataField fld="2" subtotal="count" baseField="0" baseItem="0" numFmtId="168"/>
  </dataFields>
  <formats count="2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1"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7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156C9-6E1D-4A5D-93C0-701C69F9F2DB}" name="PivotTable1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5">
  <location ref="AF6:AG9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B2461-4DDB-4367-9C2E-7C6041E2F39C}" name="PivotTable23" cacheId="28" applyNumberFormats="0" applyBorderFormats="0" applyFontFormats="0" applyPatternFormats="0" applyAlignmentFormats="0" applyWidthHeightFormats="1" dataCaption="Values" tag="3262f2de-3848-4485-b28c-64f60617f8f0" updatedVersion="8" minRefreshableVersion="3" useAutoFormatting="1" subtotalHiddenItems="1" rowGrandTotals="0" colGrandTotals="0" itemPrintTitles="1" createdVersion="8" indent="0" outline="1" outlineData="1" multipleFieldFilters="0">
  <location ref="BC1:BI4" firstHeaderRow="0" firstDataRow="1" firstDataCol="1"/>
  <pivotFields count="7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3" subtotal="count" baseField="0" baseItem="0"/>
    <dataField fld="4" subtotal="count" baseField="0" baseItem="0"/>
    <dataField fld="1" subtotal="count" baseField="0" baseItem="0"/>
    <dataField fld="5" subtotal="count" baseField="0" baseItem="0"/>
    <dataField fld="2" subtotal="count" baseField="0" baseItem="0"/>
    <dataField fld="6" subtotal="count" baseField="0" baseItem="0"/>
  </dataFields>
  <formats count="8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evenue_expense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99317-327D-48D2-B677-A8816DC00450}" name="PivotTable10" cacheId="2" applyNumberFormats="0" applyBorderFormats="0" applyFontFormats="0" applyPatternFormats="0" applyAlignmentFormats="0" applyWidthHeightFormats="1" dataCaption="Values" tag="6a0cd189-41a7-4569-9587-82973baca77e" updatedVersion="8" minRefreshableVersion="3" useAutoFormatting="1" subtotalHiddenItems="1" rowGrandTotals="0" colGrandTotals="0" itemPrintTitles="1" createdVersion="8" indent="0" compact="0" outline="1" outlineData="1" compactData="0" multipleFieldFilters="0" chartFormat="91">
  <location ref="H1:J13" firstHeaderRow="0" firstDataRow="1" firstDataCol="1"/>
  <pivotFields count="3">
    <pivotField dataField="1" compact="0" showAll="0" defaultSubtotal="0"/>
    <pivotField axis="axisRow" compact="0" allDrilled="1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Revenue2" fld="2" subtotal="count" baseField="0" baseItem="0">
      <extLst>
        <ext xmlns:x14="http://schemas.microsoft.com/office/spreadsheetml/2009/9/main" uri="{E15A36E0-9728-4e99-A89B-3F7291B0FE68}">
          <x14:dataField sourceField="0" uniqueName="[__Xl2].[Measures].[Revenue]"/>
        </ext>
      </extLst>
    </dataField>
  </dataFields>
  <chartFormats count="3"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8CAF-26E6-4092-9128-6A324584740F}" name="PivotTable2" cacheId="17" applyNumberFormats="0" applyBorderFormats="0" applyFontFormats="0" applyPatternFormats="0" applyAlignmentFormats="0" applyWidthHeightFormats="1" dataCaption="Values" grandTotalCaption="All" tag="e18c4cdf-08d4-4201-8d52-250cad0dfb23" updatedVersion="8" minRefreshableVersion="3" useAutoFormatting="1" subtotalHiddenItems="1" itemPrintTitles="1" createdVersion="8" indent="0" outline="1" outlineData="1" multipleFieldFilters="0">
  <location ref="DD1:DH15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subtotal="count" showDataAs="percentDiff" baseField="1" baseItem="1048828" numFmtId="10"/>
  </dataFields>
  <formats count="1">
    <format dxfId="46">
      <pivotArea collapsedLevelsAreSubtotals="1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B0684-F768-4515-A2E0-5063844EB852}" name="PivotTable13" cacheId="11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colGrandTotals="0" itemPrintTitles="1" createdVersion="8" indent="0" outline="1" outlineData="1" multipleFieldFilters="0">
  <location ref="BY1:CE15" firstHeaderRow="1" firstDataRow="2" firstDataCol="1"/>
  <pivotFields count="3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Opex PM" fld="1" subtotal="count" showDataAs="percentDiff" baseField="0" baseItem="1048828" numFmtId="10"/>
  </dataFields>
  <formats count="2">
    <format dxfId="48">
      <pivotArea collapsedLevelsAreSubtotals="1" fieldPosition="0">
        <references count="3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" count="0" selected="0"/>
        </references>
      </pivotArea>
    </format>
    <format dxfId="47">
      <pivotArea field="0" grandCol="1" collapsedLevelsAreSubtotals="1" axis="axisRow" fieldPosition="0">
        <references count="2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36894-D400-4205-96B0-8037DE94BBE3}" name="PivotTable7" cacheId="19" applyNumberFormats="0" applyBorderFormats="0" applyFontFormats="0" applyPatternFormats="0" applyAlignmentFormats="0" applyWidthHeightFormats="1" dataCaption="Values" tag="82377770-819e-429b-aa22-3e0cd15659bc" updatedVersion="8" minRefreshableVersion="3" useAutoFormatting="1" subtotalHiddenItems="1" itemPrintTitles="1" createdVersion="8" indent="0" outline="1" outlineData="1" multipleFieldFilters="0">
  <location ref="DP1:DT15" firstHeaderRow="1" firstDataRow="2" firstDataCol="1"/>
  <pivotFields count="3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1048828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F4D0C-5C0B-4A70-B5DE-EAAC0232017E}" name="PivotTable26" cacheId="12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colGrandTotals="0" itemPrintTitles="1" createdVersion="8" indent="0" outline="1" outlineData="1" multipleFieldFilters="0">
  <location ref="CG1:CJ15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8A97D-E7E5-4106-BB4B-80F24B7E618E}" name="PivotTable17" cacheId="13" applyNumberFormats="0" applyBorderFormats="0" applyFontFormats="0" applyPatternFormats="0" applyAlignmentFormats="0" applyWidthHeightFormats="1" dataCaption="Values" grandTotalCaption="All" updatedVersion="8" minRefreshableVersion="3" useAutoFormatting="1" subtotalHiddenItems="1" colGrandTotals="0" itemPrintTitles="1" createdVersion="8" indent="0" outline="1" outlineData="1" multipleFieldFilters="0">
  <location ref="CL1:CR14" firstHeaderRow="0" firstDataRow="1" firstDataCol="1"/>
  <pivotFields count="7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showDataAs="percentDiff" baseField="0" baseItem="1048828" numFmtId="10"/>
    <dataField fld="4" subtotal="count" showDataAs="percentDiff" baseField="0" baseItem="1048828" numFmtId="10"/>
    <dataField fld="2" subtotal="count" showDataAs="percentDiff" baseField="0" baseItem="1048828" numFmtId="10"/>
    <dataField fld="5" subtotal="count" showDataAs="percentDiff" baseField="0" baseItem="1048828" numFmtId="10"/>
    <dataField fld="3" subtotal="count" showDataAs="percentDiff" baseField="0" baseItem="1048828" numFmtId="10"/>
    <dataField fld="6" subtotal="count" showDataAs="percentDiff" baseField="0" baseItem="1048828" numFmtId="10"/>
  </dataFields>
  <formats count="8">
    <format dxfId="56">
      <pivotArea collapsedLevelsAreSubtotals="1" fieldPosition="0">
        <references count="1"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3"/>
          </reference>
        </references>
      </pivotArea>
    </format>
    <format dxfId="53">
      <pivotArea outline="0" fieldPosition="0">
        <references count="1">
          <reference field="4294967294" count="1">
            <x v="5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3"/>
          </reference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5"/>
          </reference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9">
      <pivotArea collapsedLevelsAreSubtotals="1" fieldPosition="0">
        <references count="1">
          <reference field="0" count="1">
            <x v="1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evenue_expense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7F512-001A-4EBD-A3EC-6F40DA7F14E6}" name="PivotTable14" cacheId="20" applyNumberFormats="0" applyBorderFormats="0" applyFontFormats="0" applyPatternFormats="0" applyAlignmentFormats="0" applyWidthHeightFormats="1" dataCaption="Values" tag="695dff13-04d0-404e-8e00-d59ff296f7c4" updatedVersion="8" minRefreshableVersion="3" useAutoFormatting="1" subtotalHiddenItems="1" itemPrintTitles="1" createdVersion="8" indent="0" outline="1" outlineData="1" multipleFieldFilters="0">
  <location ref="DV1:DZ15" firstHeaderRow="1" firstDataRow="2" firstDataCol="1"/>
  <pivotFields count="3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675FC-E5AA-4DE6-B380-BFCE247F0437}" name="PivotTable10" cacheId="9" applyNumberFormats="0" applyBorderFormats="0" applyFontFormats="0" applyPatternFormats="0" applyAlignmentFormats="0" applyWidthHeightFormats="1" dataCaption="Values" grandTotalCaption="All" tag="e73b0947-b64e-4a74-a279-5455eb0212df" updatedVersion="8" minRefreshableVersion="3" useAutoFormatting="1" subtotalHiddenItems="1" colGrandTotals="0" itemPrintTitles="1" createdVersion="8" indent="0" outline="1" outlineData="1" multipleFieldFilters="0">
  <location ref="AW1:BC15" firstHeaderRow="1" firstDataRow="2" firstDataCol="1"/>
  <pivotFields count="3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GS PM" fld="1" subtotal="count" showDataAs="percentDiff" baseField="0" baseItem="1048828" numFmtId="10"/>
  </dataFields>
  <formats count="5">
    <format dxfId="61">
      <pivotArea collapsedLevelsAreSubtotals="1" fieldPosition="0">
        <references count="2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0">
      <pivotArea outline="0" collapsedLevelsAreSubtotals="1" fieldPosition="0">
        <references count="2">
          <reference field="4294967294" count="1" selected="0">
            <x v="0"/>
          </reference>
          <reference field="2" count="0" selected="0"/>
        </references>
      </pivotArea>
    </format>
    <format dxfId="59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58">
      <pivotArea field="0" grandCol="1" collapsedLevelsAreSubtotals="1" axis="axisRow" fieldPosition="0">
        <references count="2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" count="0" selected="0"/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ions]"/>
        <x15:activeTabTopLevelEntity name="[revenue_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pivotTable" Target="../pivotTables/pivotTable27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6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5" Type="http://schemas.openxmlformats.org/officeDocument/2006/relationships/pivotTable" Target="../pivotTables/pivotTable2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Relationship Id="rId14" Type="http://schemas.openxmlformats.org/officeDocument/2006/relationships/pivotTable" Target="../pivotTables/pivot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C69C-3303-44F6-B838-AE4ED054B0A2}">
  <sheetPr codeName="Sheet1">
    <tabColor rgb="FF412FC7"/>
    <pageSetUpPr fitToPage="1"/>
  </sheetPr>
  <dimension ref="A1:AA81"/>
  <sheetViews>
    <sheetView tabSelected="1" zoomScale="87" zoomScaleNormal="190" zoomScaleSheetLayoutView="100" workbookViewId="0">
      <selection activeCell="J4" sqref="J4"/>
    </sheetView>
  </sheetViews>
  <sheetFormatPr defaultColWidth="9" defaultRowHeight="15" x14ac:dyDescent="0.25"/>
  <cols>
    <col min="1" max="1" width="2.7109375" style="112" customWidth="1"/>
    <col min="3" max="3" width="9" customWidth="1"/>
    <col min="21" max="21" width="6.85546875" customWidth="1"/>
    <col min="22" max="22" width="2.7109375" customWidth="1"/>
  </cols>
  <sheetData>
    <row r="1" spans="1:22" x14ac:dyDescent="0.25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</row>
    <row r="3" spans="1:22" x14ac:dyDescent="0.2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</row>
    <row r="4" spans="1:22" x14ac:dyDescent="0.25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</row>
    <row r="5" spans="1:22" x14ac:dyDescent="0.25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</row>
    <row r="6" spans="1:22" x14ac:dyDescent="0.25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</row>
    <row r="7" spans="1:22" x14ac:dyDescent="0.25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</row>
    <row r="8" spans="1:22" x14ac:dyDescent="0.25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</row>
    <row r="9" spans="1:22" x14ac:dyDescent="0.25">
      <c r="A9" s="110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</row>
    <row r="10" spans="1:22" x14ac:dyDescent="0.25">
      <c r="A10" s="110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</row>
    <row r="11" spans="1:22" x14ac:dyDescent="0.25">
      <c r="A11" s="109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 spans="1:22" x14ac:dyDescent="0.25">
      <c r="A12" s="109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109"/>
    </row>
    <row r="13" spans="1:22" x14ac:dyDescent="0.25">
      <c r="A13" s="109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109"/>
    </row>
    <row r="14" spans="1:22" x14ac:dyDescent="0.25">
      <c r="A14" s="109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109"/>
    </row>
    <row r="15" spans="1:22" x14ac:dyDescent="0.25">
      <c r="A15" s="109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109"/>
    </row>
    <row r="16" spans="1:22" x14ac:dyDescent="0.25">
      <c r="A16" s="109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109"/>
    </row>
    <row r="17" spans="1:22" x14ac:dyDescent="0.25">
      <c r="A17" s="109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109"/>
    </row>
    <row r="18" spans="1:22" x14ac:dyDescent="0.25">
      <c r="A18" s="109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109"/>
    </row>
    <row r="19" spans="1:22" x14ac:dyDescent="0.25">
      <c r="A19" s="109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 x14ac:dyDescent="0.25">
      <c r="A20" s="109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 x14ac:dyDescent="0.25">
      <c r="A21" s="109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 x14ac:dyDescent="0.25">
      <c r="A22" s="109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 x14ac:dyDescent="0.25">
      <c r="A23" s="109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 x14ac:dyDescent="0.25">
      <c r="A24" s="109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 x14ac:dyDescent="0.25">
      <c r="A25" s="109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 x14ac:dyDescent="0.25">
      <c r="A26" s="109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 x14ac:dyDescent="0.25">
      <c r="A27" s="109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 x14ac:dyDescent="0.25">
      <c r="A28" s="109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 x14ac:dyDescent="0.25">
      <c r="A29" s="109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 x14ac:dyDescent="0.25">
      <c r="A30" s="109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spans="1:22" x14ac:dyDescent="0.25">
      <c r="A31" s="109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 x14ac:dyDescent="0.25">
      <c r="A32" s="109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7" x14ac:dyDescent="0.25">
      <c r="A33" s="109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spans="1:27" x14ac:dyDescent="0.25">
      <c r="A34" s="109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spans="1:27" x14ac:dyDescent="0.25">
      <c r="A35" s="109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  <row r="36" spans="1:27" x14ac:dyDescent="0.25">
      <c r="A36" s="109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7" x14ac:dyDescent="0.25">
      <c r="A37" s="109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</row>
    <row r="38" spans="1:27" x14ac:dyDescent="0.25">
      <c r="A38" s="10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</row>
    <row r="39" spans="1:27" x14ac:dyDescent="0.25">
      <c r="A39" s="109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59"/>
      <c r="X39" s="29"/>
      <c r="Y39" s="20"/>
      <c r="Z39" s="39"/>
      <c r="AA39" s="49"/>
    </row>
    <row r="40" spans="1:27" x14ac:dyDescent="0.25">
      <c r="A40" s="109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0"/>
      <c r="X40" s="12"/>
      <c r="Y40" s="21"/>
      <c r="Z40" s="40"/>
      <c r="AA40" s="50"/>
    </row>
    <row r="41" spans="1:27" x14ac:dyDescent="0.25">
      <c r="A41" s="109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37"/>
      <c r="X41" s="12"/>
      <c r="Y41" s="22"/>
      <c r="Z41" s="41"/>
      <c r="AA41" s="51"/>
    </row>
    <row r="42" spans="1:27" x14ac:dyDescent="0.25">
      <c r="A42" s="109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36"/>
      <c r="X42" s="13"/>
      <c r="Y42" s="23"/>
      <c r="Z42" s="42"/>
      <c r="AA42" s="52"/>
    </row>
    <row r="43" spans="1:27" x14ac:dyDescent="0.25">
      <c r="A43" s="109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35"/>
      <c r="X43" s="14"/>
      <c r="Y43" s="24"/>
      <c r="Z43" s="43"/>
      <c r="AA43" s="53"/>
    </row>
    <row r="44" spans="1:27" x14ac:dyDescent="0.25">
      <c r="A44" s="109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35"/>
      <c r="X44" s="14"/>
      <c r="Y44" s="24"/>
      <c r="Z44" s="43"/>
      <c r="AA44" s="53"/>
    </row>
    <row r="45" spans="1:27" x14ac:dyDescent="0.25">
      <c r="A45" s="109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35"/>
      <c r="X45" s="14"/>
      <c r="Y45" s="24"/>
      <c r="Z45" s="43"/>
      <c r="AA45" s="53"/>
    </row>
    <row r="46" spans="1:27" x14ac:dyDescent="0.25">
      <c r="A46" s="109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35"/>
      <c r="X46" s="14"/>
      <c r="Y46" s="24"/>
      <c r="Z46" s="43"/>
      <c r="AA46" s="53"/>
    </row>
    <row r="47" spans="1:27" x14ac:dyDescent="0.25">
      <c r="A47" s="109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34"/>
      <c r="X47" s="15"/>
      <c r="Y47" s="25"/>
      <c r="Z47" s="44"/>
      <c r="AA47" s="54"/>
    </row>
    <row r="48" spans="1:27" x14ac:dyDescent="0.25">
      <c r="A48" s="109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34"/>
      <c r="X48" s="15"/>
      <c r="Y48" s="25"/>
      <c r="Z48" s="44"/>
      <c r="AA48" s="54"/>
    </row>
    <row r="49" spans="1:27" x14ac:dyDescent="0.25">
      <c r="A49" s="109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34"/>
      <c r="X49" s="15"/>
      <c r="Y49" s="25"/>
      <c r="Z49" s="44"/>
      <c r="AA49" s="54"/>
    </row>
    <row r="50" spans="1:27" x14ac:dyDescent="0.25">
      <c r="A50" s="109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34"/>
      <c r="X50" s="15"/>
      <c r="Y50" s="25"/>
      <c r="Z50" s="44"/>
      <c r="AA50" s="54"/>
    </row>
    <row r="51" spans="1:27" x14ac:dyDescent="0.25">
      <c r="A51" s="109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34"/>
      <c r="X51" s="15"/>
      <c r="Y51" s="25"/>
      <c r="Z51" s="44"/>
      <c r="AA51" s="54"/>
    </row>
    <row r="52" spans="1:27" x14ac:dyDescent="0.25">
      <c r="A52" s="109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34"/>
      <c r="X52" s="15"/>
      <c r="Y52" s="25"/>
      <c r="Z52" s="44"/>
      <c r="AA52" s="54"/>
    </row>
    <row r="53" spans="1:27" x14ac:dyDescent="0.25">
      <c r="A53" s="109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34"/>
      <c r="X53" s="15"/>
      <c r="Y53" s="25"/>
      <c r="Z53" s="44"/>
      <c r="AA53" s="54"/>
    </row>
    <row r="54" spans="1:27" x14ac:dyDescent="0.25">
      <c r="A54" s="109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33"/>
      <c r="X54" s="16"/>
      <c r="Y54" s="26"/>
      <c r="Z54" s="45"/>
      <c r="AA54" s="55"/>
    </row>
    <row r="55" spans="1:27" x14ac:dyDescent="0.25">
      <c r="A55" s="10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63"/>
      <c r="W55" s="32"/>
      <c r="X55" s="17"/>
      <c r="Y55" s="27"/>
      <c r="Z55" s="46"/>
      <c r="AA55" s="56"/>
    </row>
    <row r="56" spans="1:27" x14ac:dyDescent="0.25">
      <c r="A56" s="10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63"/>
      <c r="W56" s="31"/>
      <c r="X56" s="18"/>
      <c r="Y56" s="28"/>
      <c r="Z56" s="47"/>
      <c r="AA56" s="57"/>
    </row>
    <row r="57" spans="1:27" x14ac:dyDescent="0.25">
      <c r="A57" s="10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63"/>
      <c r="W57" s="30"/>
      <c r="X57" s="19"/>
      <c r="Y57" s="38"/>
      <c r="Z57" s="48"/>
      <c r="AA57" s="58"/>
    </row>
    <row r="58" spans="1:27" x14ac:dyDescent="0.25">
      <c r="A58" s="10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63"/>
    </row>
    <row r="59" spans="1:27" x14ac:dyDescent="0.25">
      <c r="A59" s="10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63"/>
    </row>
    <row r="60" spans="1:27" x14ac:dyDescent="0.25">
      <c r="A60" s="10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63"/>
    </row>
    <row r="61" spans="1:27" x14ac:dyDescent="0.25">
      <c r="A61" s="10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63"/>
    </row>
    <row r="62" spans="1:27" x14ac:dyDescent="0.25">
      <c r="A62" s="10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63"/>
    </row>
    <row r="63" spans="1:27" x14ac:dyDescent="0.25">
      <c r="A63" s="10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63"/>
    </row>
    <row r="64" spans="1:27" x14ac:dyDescent="0.25">
      <c r="A64" s="10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63"/>
    </row>
    <row r="65" spans="1:22" x14ac:dyDescent="0.25">
      <c r="A65" s="10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63"/>
    </row>
    <row r="66" spans="1:22" x14ac:dyDescent="0.25">
      <c r="A66" s="10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63"/>
    </row>
    <row r="67" spans="1:22" x14ac:dyDescent="0.25">
      <c r="A67" s="10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63"/>
    </row>
    <row r="68" spans="1:22" x14ac:dyDescent="0.25">
      <c r="A68" s="10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63"/>
    </row>
    <row r="69" spans="1:22" x14ac:dyDescent="0.25">
      <c r="A69" s="10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63"/>
    </row>
    <row r="70" spans="1:22" x14ac:dyDescent="0.25">
      <c r="A70" s="10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63"/>
    </row>
    <row r="71" spans="1:22" x14ac:dyDescent="0.25">
      <c r="A71" s="10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63"/>
    </row>
    <row r="72" spans="1:22" x14ac:dyDescent="0.25">
      <c r="A72" s="10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63"/>
    </row>
    <row r="73" spans="1:22" x14ac:dyDescent="0.25">
      <c r="A73" s="10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63"/>
    </row>
    <row r="74" spans="1:22" x14ac:dyDescent="0.25">
      <c r="A74" s="10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63"/>
    </row>
    <row r="75" spans="1:22" x14ac:dyDescent="0.25">
      <c r="A75" s="10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63"/>
    </row>
    <row r="76" spans="1:22" x14ac:dyDescent="0.25">
      <c r="A76" s="10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63"/>
    </row>
    <row r="77" spans="1:22" x14ac:dyDescent="0.25">
      <c r="A77" s="10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63"/>
    </row>
    <row r="78" spans="1:22" x14ac:dyDescent="0.25">
      <c r="A78" s="10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63"/>
    </row>
    <row r="79" spans="1:22" x14ac:dyDescent="0.25">
      <c r="A79" s="10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63"/>
    </row>
    <row r="80" spans="1:22" ht="6.75" customHeight="1" x14ac:dyDescent="0.25">
      <c r="A80" s="10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63"/>
    </row>
    <row r="81" spans="1:22" x14ac:dyDescent="0.25">
      <c r="A81" s="109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</row>
  </sheetData>
  <pageMargins left="0.7" right="0.7" top="0.75" bottom="0.75" header="0.3" footer="0.3"/>
  <pageSetup scale="4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Drop Down 81">
              <controlPr defaultSize="0" autoLine="0" autoPict="0">
                <anchor moveWithCells="1" sizeWithCells="1">
                  <from>
                    <xdr:col>9</xdr:col>
                    <xdr:colOff>600075</xdr:colOff>
                    <xdr:row>55</xdr:row>
                    <xdr:rowOff>57150</xdr:rowOff>
                  </from>
                  <to>
                    <xdr:col>11</xdr:col>
                    <xdr:colOff>438150</xdr:colOff>
                    <xdr:row>56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" name="Drop Down 832">
              <controlPr defaultSize="0" autoLine="0" autoPict="0">
                <anchor moveWithCells="1" sizeWithCells="1">
                  <from>
                    <xdr:col>8</xdr:col>
                    <xdr:colOff>57150</xdr:colOff>
                    <xdr:row>55</xdr:row>
                    <xdr:rowOff>66675</xdr:rowOff>
                  </from>
                  <to>
                    <xdr:col>9</xdr:col>
                    <xdr:colOff>504825</xdr:colOff>
                    <xdr:row>56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DE90-DD75-4057-80DE-F08C95665B73}">
  <sheetPr codeName="Sheet2">
    <tabColor rgb="FFDB99DD"/>
  </sheetPr>
  <dimension ref="A1:DZ61"/>
  <sheetViews>
    <sheetView topLeftCell="B1" zoomScale="99" zoomScaleNormal="130" zoomScaleSheetLayoutView="93" workbookViewId="0">
      <selection activeCell="F19" sqref="F19"/>
    </sheetView>
  </sheetViews>
  <sheetFormatPr defaultRowHeight="15" x14ac:dyDescent="0.25"/>
  <cols>
    <col min="1" max="1" width="8" customWidth="1"/>
    <col min="2" max="2" width="6.7109375" customWidth="1"/>
    <col min="3" max="3" width="13" customWidth="1"/>
    <col min="4" max="4" width="9.140625" customWidth="1"/>
    <col min="5" max="5" width="7.5703125" customWidth="1"/>
    <col min="6" max="6" width="29.28515625" customWidth="1"/>
    <col min="7" max="7" width="13.28515625" bestFit="1" customWidth="1"/>
    <col min="8" max="8" width="13.140625" bestFit="1" customWidth="1"/>
    <col min="9" max="9" width="14.28515625" customWidth="1"/>
    <col min="10" max="10" width="17" bestFit="1" customWidth="1"/>
    <col min="11" max="11" width="11" bestFit="1" customWidth="1"/>
    <col min="12" max="12" width="14.85546875" customWidth="1"/>
    <col min="13" max="13" width="17" bestFit="1" customWidth="1"/>
    <col min="14" max="14" width="11" bestFit="1" customWidth="1"/>
    <col min="15" max="15" width="14" customWidth="1"/>
    <col min="16" max="16" width="17" bestFit="1" customWidth="1"/>
    <col min="17" max="17" width="11" bestFit="1" customWidth="1"/>
    <col min="18" max="18" width="11.28515625" bestFit="1" customWidth="1"/>
    <col min="19" max="19" width="13.140625" bestFit="1" customWidth="1"/>
    <col min="20" max="20" width="9.28515625" customWidth="1"/>
    <col min="21" max="21" width="13.28515625" bestFit="1" customWidth="1"/>
    <col min="22" max="23" width="9.28515625" bestFit="1" customWidth="1"/>
    <col min="24" max="24" width="15" bestFit="1" customWidth="1"/>
    <col min="25" max="25" width="9.28515625" bestFit="1" customWidth="1"/>
    <col min="26" max="26" width="13.85546875" bestFit="1" customWidth="1"/>
    <col min="27" max="27" width="13.42578125" bestFit="1" customWidth="1"/>
    <col min="29" max="29" width="13.140625" bestFit="1" customWidth="1"/>
    <col min="30" max="30" width="12.7109375" customWidth="1"/>
    <col min="31" max="31" width="17" bestFit="1" customWidth="1"/>
    <col min="32" max="32" width="11.5703125" bestFit="1" customWidth="1"/>
    <col min="33" max="33" width="12.42578125" customWidth="1"/>
    <col min="34" max="34" width="17" bestFit="1" customWidth="1"/>
    <col min="35" max="35" width="11" bestFit="1" customWidth="1"/>
    <col min="36" max="36" width="13.5703125" customWidth="1"/>
    <col min="37" max="37" width="17" bestFit="1" customWidth="1"/>
    <col min="38" max="38" width="11" bestFit="1" customWidth="1"/>
    <col min="39" max="39" width="14.140625" customWidth="1"/>
    <col min="40" max="40" width="17" bestFit="1" customWidth="1"/>
    <col min="41" max="41" width="11" bestFit="1" customWidth="1"/>
    <col min="42" max="42" width="11.28515625" customWidth="1"/>
    <col min="43" max="43" width="17" bestFit="1" customWidth="1"/>
    <col min="44" max="44" width="11" bestFit="1" customWidth="1"/>
    <col min="45" max="45" width="17.5703125" customWidth="1"/>
    <col min="46" max="46" width="17" bestFit="1" customWidth="1"/>
    <col min="47" max="47" width="11" bestFit="1" customWidth="1"/>
    <col min="49" max="49" width="13.140625" bestFit="1" customWidth="1"/>
    <col min="50" max="50" width="16.28515625" bestFit="1" customWidth="1"/>
    <col min="51" max="51" width="9.42578125" bestFit="1" customWidth="1"/>
    <col min="52" max="52" width="8.28515625" bestFit="1" customWidth="1"/>
    <col min="53" max="53" width="9.7109375" bestFit="1" customWidth="1"/>
    <col min="54" max="54" width="10.28515625" bestFit="1" customWidth="1"/>
    <col min="55" max="55" width="9.28515625" bestFit="1" customWidth="1"/>
    <col min="56" max="56" width="11.28515625" bestFit="1" customWidth="1"/>
    <col min="57" max="57" width="13.140625" bestFit="1" customWidth="1"/>
    <col min="58" max="58" width="13.7109375" customWidth="1"/>
    <col min="59" max="59" width="17" bestFit="1" customWidth="1"/>
    <col min="60" max="60" width="11" bestFit="1" customWidth="1"/>
    <col min="61" max="61" width="14" customWidth="1"/>
    <col min="62" max="62" width="17" bestFit="1" customWidth="1"/>
    <col min="63" max="63" width="11" bestFit="1" customWidth="1"/>
    <col min="64" max="64" width="11.42578125" customWidth="1"/>
    <col min="65" max="65" width="17" bestFit="1" customWidth="1"/>
    <col min="66" max="66" width="11" bestFit="1" customWidth="1"/>
    <col min="67" max="67" width="14.7109375" customWidth="1"/>
    <col min="68" max="68" width="17" bestFit="1" customWidth="1"/>
    <col min="69" max="69" width="11" bestFit="1" customWidth="1"/>
    <col min="70" max="70" width="11.140625" customWidth="1"/>
    <col min="71" max="71" width="17" bestFit="1" customWidth="1"/>
    <col min="72" max="72" width="11" bestFit="1" customWidth="1"/>
    <col min="73" max="73" width="13.42578125" customWidth="1"/>
    <col min="74" max="74" width="17" bestFit="1" customWidth="1"/>
    <col min="75" max="75" width="11" bestFit="1" customWidth="1"/>
    <col min="76" max="76" width="17" bestFit="1" customWidth="1"/>
    <col min="77" max="77" width="13.140625" bestFit="1" customWidth="1"/>
    <col min="78" max="78" width="16.28515625" bestFit="1" customWidth="1"/>
    <col min="79" max="79" width="10.140625" bestFit="1" customWidth="1"/>
    <col min="80" max="80" width="10.28515625" bestFit="1" customWidth="1"/>
    <col min="81" max="81" width="8.28515625" bestFit="1" customWidth="1"/>
    <col min="82" max="82" width="7.28515625" bestFit="1" customWidth="1"/>
    <col min="83" max="83" width="9.28515625" bestFit="1" customWidth="1"/>
    <col min="84" max="84" width="11" customWidth="1"/>
    <col min="85" max="85" width="15.28515625" bestFit="1" customWidth="1"/>
    <col min="86" max="86" width="31" bestFit="1" customWidth="1"/>
    <col min="87" max="87" width="17" bestFit="1" customWidth="1"/>
    <col min="88" max="88" width="11" bestFit="1" customWidth="1"/>
    <col min="89" max="89" width="15" customWidth="1"/>
    <col min="90" max="90" width="13.140625" bestFit="1" customWidth="1"/>
    <col min="91" max="91" width="11.42578125" bestFit="1" customWidth="1"/>
    <col min="92" max="92" width="12.7109375" bestFit="1" customWidth="1"/>
    <col min="93" max="93" width="10.28515625" bestFit="1" customWidth="1"/>
    <col min="94" max="94" width="11.42578125" bestFit="1" customWidth="1"/>
    <col min="95" max="95" width="10.28515625" bestFit="1" customWidth="1"/>
    <col min="96" max="96" width="16.5703125" bestFit="1" customWidth="1"/>
    <col min="97" max="97" width="11.42578125" bestFit="1" customWidth="1"/>
    <col min="98" max="98" width="13.140625" bestFit="1" customWidth="1"/>
    <col min="99" max="99" width="11" bestFit="1" customWidth="1"/>
    <col min="100" max="101" width="10.7109375" bestFit="1" customWidth="1"/>
    <col min="102" max="102" width="13.140625" bestFit="1" customWidth="1"/>
    <col min="103" max="103" width="10.85546875" customWidth="1"/>
    <col min="104" max="104" width="17" bestFit="1" customWidth="1"/>
    <col min="105" max="105" width="11.140625" bestFit="1" customWidth="1"/>
    <col min="106" max="106" width="9.5703125" bestFit="1" customWidth="1"/>
    <col min="107" max="107" width="10.7109375" customWidth="1"/>
    <col min="108" max="108" width="13.140625" bestFit="1" customWidth="1"/>
    <col min="109" max="109" width="10.5703125" customWidth="1"/>
    <col min="110" max="110" width="17" bestFit="1" customWidth="1"/>
    <col min="111" max="111" width="11.140625" bestFit="1" customWidth="1"/>
    <col min="112" max="112" width="9.5703125" bestFit="1" customWidth="1"/>
    <col min="114" max="114" width="13.140625" bestFit="1" customWidth="1"/>
    <col min="115" max="115" width="10.85546875" customWidth="1"/>
    <col min="116" max="116" width="17" bestFit="1" customWidth="1"/>
    <col min="117" max="117" width="11.140625" bestFit="1" customWidth="1"/>
    <col min="118" max="118" width="9.5703125" bestFit="1" customWidth="1"/>
    <col min="120" max="120" width="14.42578125" bestFit="1" customWidth="1"/>
    <col min="121" max="121" width="16" customWidth="1"/>
    <col min="122" max="122" width="17.7109375" bestFit="1" customWidth="1"/>
    <col min="123" max="124" width="11.85546875" bestFit="1" customWidth="1"/>
    <col min="125" max="125" width="11.42578125" bestFit="1" customWidth="1"/>
    <col min="126" max="126" width="14" bestFit="1" customWidth="1"/>
    <col min="127" max="127" width="20.140625" customWidth="1"/>
    <col min="128" max="128" width="17.7109375" bestFit="1" customWidth="1"/>
    <col min="129" max="131" width="11.5703125" bestFit="1" customWidth="1"/>
    <col min="132" max="133" width="11.42578125" bestFit="1" customWidth="1"/>
    <col min="134" max="134" width="15.42578125" bestFit="1" customWidth="1"/>
  </cols>
  <sheetData>
    <row r="1" spans="1:130" x14ac:dyDescent="0.25">
      <c r="A1" s="73" t="s">
        <v>84</v>
      </c>
      <c r="H1" s="2" t="s">
        <v>0</v>
      </c>
      <c r="I1" s="2" t="s">
        <v>44</v>
      </c>
      <c r="T1" s="2" t="s">
        <v>44</v>
      </c>
      <c r="AC1" s="2" t="s">
        <v>2</v>
      </c>
      <c r="AD1" s="2" t="s">
        <v>44</v>
      </c>
      <c r="AW1" s="2" t="s">
        <v>71</v>
      </c>
      <c r="AX1" s="2" t="s">
        <v>44</v>
      </c>
      <c r="BE1" s="2" t="s">
        <v>4</v>
      </c>
      <c r="BF1" s="2" t="s">
        <v>44</v>
      </c>
      <c r="BY1" s="2" t="s">
        <v>72</v>
      </c>
      <c r="BZ1" s="2" t="s">
        <v>44</v>
      </c>
      <c r="CG1" s="2" t="s">
        <v>6</v>
      </c>
      <c r="CH1" s="2" t="s">
        <v>44</v>
      </c>
      <c r="CL1" s="2" t="s">
        <v>22</v>
      </c>
      <c r="CM1" t="s">
        <v>3</v>
      </c>
      <c r="CN1" t="s">
        <v>47</v>
      </c>
      <c r="CO1" t="s">
        <v>5</v>
      </c>
      <c r="CP1" t="s">
        <v>48</v>
      </c>
      <c r="CQ1" t="s">
        <v>7</v>
      </c>
      <c r="CR1" t="s">
        <v>50</v>
      </c>
      <c r="CT1" s="2" t="s">
        <v>22</v>
      </c>
      <c r="CU1" t="s">
        <v>49</v>
      </c>
      <c r="CV1" t="s">
        <v>76</v>
      </c>
      <c r="CX1" s="2" t="s">
        <v>0</v>
      </c>
      <c r="CY1" s="2" t="s">
        <v>44</v>
      </c>
      <c r="DD1" s="2" t="s">
        <v>1</v>
      </c>
      <c r="DE1" s="2" t="s">
        <v>44</v>
      </c>
      <c r="DJ1" s="2" t="s">
        <v>3</v>
      </c>
      <c r="DK1" s="2" t="s">
        <v>44</v>
      </c>
      <c r="DP1" s="2" t="s">
        <v>5</v>
      </c>
      <c r="DQ1" s="2" t="s">
        <v>44</v>
      </c>
      <c r="DV1" s="2" t="s">
        <v>7</v>
      </c>
      <c r="DW1" s="2" t="s">
        <v>44</v>
      </c>
    </row>
    <row r="2" spans="1:130" x14ac:dyDescent="0.25">
      <c r="B2" s="67" t="s">
        <v>69</v>
      </c>
      <c r="C2" s="67" t="s">
        <v>68</v>
      </c>
      <c r="E2" s="67" t="s">
        <v>69</v>
      </c>
      <c r="F2" s="67" t="s">
        <v>83</v>
      </c>
      <c r="I2" t="s">
        <v>39</v>
      </c>
      <c r="L2" t="s">
        <v>40</v>
      </c>
      <c r="O2" t="s">
        <v>33</v>
      </c>
      <c r="T2" t="s">
        <v>0</v>
      </c>
      <c r="W2" t="s">
        <v>1</v>
      </c>
      <c r="Z2" t="s">
        <v>66</v>
      </c>
      <c r="AA2" t="s">
        <v>73</v>
      </c>
      <c r="AD2" t="s">
        <v>25</v>
      </c>
      <c r="AG2" t="s">
        <v>27</v>
      </c>
      <c r="AJ2" t="s">
        <v>28</v>
      </c>
      <c r="AM2" t="s">
        <v>29</v>
      </c>
      <c r="AP2" t="s">
        <v>33</v>
      </c>
      <c r="AS2" t="s">
        <v>34</v>
      </c>
      <c r="AW2" s="2" t="s">
        <v>22</v>
      </c>
      <c r="AX2" t="s">
        <v>25</v>
      </c>
      <c r="AY2" t="s">
        <v>27</v>
      </c>
      <c r="AZ2" t="s">
        <v>28</v>
      </c>
      <c r="BA2" t="s">
        <v>29</v>
      </c>
      <c r="BB2" t="s">
        <v>33</v>
      </c>
      <c r="BC2" t="s">
        <v>34</v>
      </c>
      <c r="BF2" t="s">
        <v>24</v>
      </c>
      <c r="BI2" t="s">
        <v>26</v>
      </c>
      <c r="BL2" t="s">
        <v>28</v>
      </c>
      <c r="BO2" t="s">
        <v>30</v>
      </c>
      <c r="BR2" t="s">
        <v>31</v>
      </c>
      <c r="BU2" t="s">
        <v>32</v>
      </c>
      <c r="BY2" s="2" t="s">
        <v>22</v>
      </c>
      <c r="BZ2" t="s">
        <v>24</v>
      </c>
      <c r="CA2" t="s">
        <v>26</v>
      </c>
      <c r="CB2" t="s">
        <v>28</v>
      </c>
      <c r="CC2" t="s">
        <v>30</v>
      </c>
      <c r="CD2" t="s">
        <v>31</v>
      </c>
      <c r="CE2" t="s">
        <v>32</v>
      </c>
      <c r="CG2" s="2" t="s">
        <v>22</v>
      </c>
      <c r="CH2" t="s">
        <v>35</v>
      </c>
      <c r="CI2" t="s">
        <v>36</v>
      </c>
      <c r="CJ2" t="s">
        <v>37</v>
      </c>
      <c r="CL2" s="5" t="s">
        <v>55</v>
      </c>
      <c r="CM2" s="62"/>
      <c r="CN2" s="62"/>
      <c r="CO2" s="62"/>
      <c r="CP2" s="62"/>
      <c r="CQ2" s="62"/>
      <c r="CR2" s="62"/>
      <c r="CT2" s="5" t="s">
        <v>55</v>
      </c>
      <c r="CU2" s="9"/>
      <c r="CV2" s="9"/>
      <c r="CX2" s="2" t="s">
        <v>22</v>
      </c>
      <c r="CY2" t="s">
        <v>35</v>
      </c>
      <c r="CZ2" t="s">
        <v>36</v>
      </c>
      <c r="DA2" t="s">
        <v>37</v>
      </c>
      <c r="DB2" t="s">
        <v>74</v>
      </c>
      <c r="DD2" s="2" t="s">
        <v>22</v>
      </c>
      <c r="DE2" t="s">
        <v>35</v>
      </c>
      <c r="DF2" t="s">
        <v>36</v>
      </c>
      <c r="DG2" t="s">
        <v>37</v>
      </c>
      <c r="DH2" t="s">
        <v>74</v>
      </c>
      <c r="DJ2" s="2" t="s">
        <v>22</v>
      </c>
      <c r="DK2" t="s">
        <v>35</v>
      </c>
      <c r="DL2" t="s">
        <v>36</v>
      </c>
      <c r="DM2" t="s">
        <v>37</v>
      </c>
      <c r="DN2" t="s">
        <v>74</v>
      </c>
      <c r="DP2" s="2" t="s">
        <v>22</v>
      </c>
      <c r="DQ2" t="s">
        <v>35</v>
      </c>
      <c r="DR2" t="s">
        <v>36</v>
      </c>
      <c r="DS2" t="s">
        <v>37</v>
      </c>
      <c r="DT2" t="s">
        <v>41</v>
      </c>
      <c r="DV2" s="2" t="s">
        <v>22</v>
      </c>
      <c r="DW2" t="s">
        <v>35</v>
      </c>
      <c r="DX2" t="s">
        <v>36</v>
      </c>
      <c r="DY2" t="s">
        <v>37</v>
      </c>
      <c r="DZ2" t="s">
        <v>41</v>
      </c>
    </row>
    <row r="3" spans="1:130" x14ac:dyDescent="0.25">
      <c r="B3" s="67">
        <v>7</v>
      </c>
      <c r="C3" s="72" t="str">
        <f>IFERROR(VLOOKUP(B3,B5:C17,2,0),0)</f>
        <v>June</v>
      </c>
      <c r="E3" s="67">
        <v>4</v>
      </c>
      <c r="F3" s="72" t="str">
        <f>IFERROR(VLOOKUP(E3,E5:F8,2,0),0)</f>
        <v>Sportswear</v>
      </c>
      <c r="H3" s="2" t="s">
        <v>22</v>
      </c>
      <c r="I3" t="s">
        <v>35</v>
      </c>
      <c r="J3" t="s">
        <v>36</v>
      </c>
      <c r="K3" t="s">
        <v>37</v>
      </c>
      <c r="L3" t="s">
        <v>35</v>
      </c>
      <c r="M3" t="s">
        <v>36</v>
      </c>
      <c r="N3" t="s">
        <v>37</v>
      </c>
      <c r="O3" t="s">
        <v>35</v>
      </c>
      <c r="P3" t="s">
        <v>36</v>
      </c>
      <c r="Q3" t="s">
        <v>37</v>
      </c>
      <c r="S3" s="2" t="s">
        <v>22</v>
      </c>
      <c r="T3" t="s">
        <v>39</v>
      </c>
      <c r="U3" t="s">
        <v>40</v>
      </c>
      <c r="V3" t="s">
        <v>33</v>
      </c>
      <c r="W3" t="s">
        <v>2</v>
      </c>
      <c r="X3" t="s">
        <v>23</v>
      </c>
      <c r="Y3" t="s">
        <v>4</v>
      </c>
      <c r="AC3" s="2" t="s">
        <v>22</v>
      </c>
      <c r="AD3" t="s">
        <v>35</v>
      </c>
      <c r="AE3" t="s">
        <v>36</v>
      </c>
      <c r="AF3" t="s">
        <v>37</v>
      </c>
      <c r="AG3" t="s">
        <v>35</v>
      </c>
      <c r="AH3" t="s">
        <v>36</v>
      </c>
      <c r="AI3" t="s">
        <v>37</v>
      </c>
      <c r="AJ3" t="s">
        <v>35</v>
      </c>
      <c r="AK3" t="s">
        <v>36</v>
      </c>
      <c r="AL3" t="s">
        <v>37</v>
      </c>
      <c r="AM3" t="s">
        <v>35</v>
      </c>
      <c r="AN3" t="s">
        <v>36</v>
      </c>
      <c r="AO3" t="s">
        <v>37</v>
      </c>
      <c r="AP3" t="s">
        <v>35</v>
      </c>
      <c r="AQ3" t="s">
        <v>36</v>
      </c>
      <c r="AR3" t="s">
        <v>37</v>
      </c>
      <c r="AS3" t="s">
        <v>35</v>
      </c>
      <c r="AT3" t="s">
        <v>36</v>
      </c>
      <c r="AU3" t="s">
        <v>37</v>
      </c>
      <c r="AW3" s="5" t="s">
        <v>55</v>
      </c>
      <c r="AX3" s="61"/>
      <c r="AY3" s="61"/>
      <c r="AZ3" s="61"/>
      <c r="BA3" s="61"/>
      <c r="BB3" s="61"/>
      <c r="BC3" s="61"/>
      <c r="BE3" s="2" t="s">
        <v>22</v>
      </c>
      <c r="BF3" t="s">
        <v>35</v>
      </c>
      <c r="BG3" t="s">
        <v>36</v>
      </c>
      <c r="BH3" t="s">
        <v>37</v>
      </c>
      <c r="BI3" t="s">
        <v>35</v>
      </c>
      <c r="BJ3" t="s">
        <v>36</v>
      </c>
      <c r="BK3" t="s">
        <v>37</v>
      </c>
      <c r="BL3" t="s">
        <v>35</v>
      </c>
      <c r="BM3" t="s">
        <v>36</v>
      </c>
      <c r="BN3" t="s">
        <v>37</v>
      </c>
      <c r="BO3" t="s">
        <v>35</v>
      </c>
      <c r="BP3" t="s">
        <v>36</v>
      </c>
      <c r="BQ3" t="s">
        <v>37</v>
      </c>
      <c r="BR3" t="s">
        <v>35</v>
      </c>
      <c r="BS3" t="s">
        <v>36</v>
      </c>
      <c r="BT3" t="s">
        <v>37</v>
      </c>
      <c r="BU3" t="s">
        <v>35</v>
      </c>
      <c r="BV3" t="s">
        <v>36</v>
      </c>
      <c r="BW3" t="s">
        <v>37</v>
      </c>
      <c r="BY3" s="5" t="s">
        <v>55</v>
      </c>
      <c r="BZ3" s="9"/>
      <c r="CA3" s="9"/>
      <c r="CB3" s="9"/>
      <c r="CC3" s="9"/>
      <c r="CD3" s="9"/>
      <c r="CE3" s="9"/>
      <c r="CF3" s="9"/>
      <c r="CG3" s="5" t="s">
        <v>55</v>
      </c>
      <c r="CH3" s="1">
        <v>-12000</v>
      </c>
      <c r="CI3" s="1">
        <v>-49000</v>
      </c>
      <c r="CJ3" s="1">
        <v>-52000</v>
      </c>
      <c r="CL3" s="5" t="s">
        <v>56</v>
      </c>
      <c r="CM3" s="62">
        <v>-0.17545087064676618</v>
      </c>
      <c r="CN3" s="62">
        <v>2.5098075594471244E-2</v>
      </c>
      <c r="CO3" s="62">
        <v>-0.28396284829721363</v>
      </c>
      <c r="CP3" s="62">
        <v>-0.10980646254466375</v>
      </c>
      <c r="CQ3" s="62">
        <v>-0.31072714182865369</v>
      </c>
      <c r="CR3" s="62">
        <v>-0.1430804359405792</v>
      </c>
      <c r="CT3" s="5" t="s">
        <v>56</v>
      </c>
      <c r="CU3" s="62">
        <v>-4.8726478184014363E-2</v>
      </c>
      <c r="CV3" s="62">
        <v>0.25256814146908313</v>
      </c>
      <c r="CX3" s="5" t="s">
        <v>55</v>
      </c>
      <c r="CY3" s="9"/>
      <c r="CZ3" s="9"/>
      <c r="DA3" s="9"/>
      <c r="DB3" s="9"/>
      <c r="DD3" s="5" t="s">
        <v>55</v>
      </c>
      <c r="DE3" s="9"/>
      <c r="DF3" s="9"/>
      <c r="DG3" s="9"/>
      <c r="DH3" s="9"/>
      <c r="DJ3" s="5" t="s">
        <v>55</v>
      </c>
      <c r="DK3" s="62"/>
      <c r="DL3" s="62"/>
      <c r="DM3" s="62"/>
      <c r="DN3" s="62"/>
      <c r="DP3" s="5" t="s">
        <v>55</v>
      </c>
      <c r="DQ3" s="1">
        <v>-33500</v>
      </c>
      <c r="DR3" s="1">
        <v>418000</v>
      </c>
      <c r="DS3" s="1">
        <v>423000</v>
      </c>
      <c r="DT3" s="1">
        <v>807500</v>
      </c>
      <c r="DV3" s="5" t="s">
        <v>55</v>
      </c>
      <c r="DW3" s="1">
        <v>-45500</v>
      </c>
      <c r="DX3" s="1">
        <v>369000</v>
      </c>
      <c r="DY3" s="1">
        <v>371000</v>
      </c>
      <c r="DZ3" s="1">
        <v>694500</v>
      </c>
    </row>
    <row r="4" spans="1:130" x14ac:dyDescent="0.25">
      <c r="E4" s="66"/>
      <c r="H4" s="5" t="s">
        <v>55</v>
      </c>
      <c r="I4" s="1">
        <v>27000</v>
      </c>
      <c r="J4" s="1">
        <v>288000</v>
      </c>
      <c r="K4" s="1">
        <v>180000</v>
      </c>
      <c r="L4" s="1">
        <v>6000</v>
      </c>
      <c r="M4" s="1">
        <v>45000</v>
      </c>
      <c r="N4" s="1">
        <v>40000</v>
      </c>
      <c r="O4" s="1">
        <v>153000</v>
      </c>
      <c r="P4" s="1">
        <v>700000</v>
      </c>
      <c r="Q4" s="1">
        <v>510000</v>
      </c>
      <c r="S4" s="5" t="s">
        <v>55</v>
      </c>
      <c r="T4" s="9"/>
      <c r="U4" s="9"/>
      <c r="V4" s="9"/>
      <c r="W4" s="9"/>
      <c r="X4" s="9"/>
      <c r="Y4" s="9"/>
      <c r="Z4" s="9"/>
      <c r="AA4" s="9"/>
      <c r="AC4" s="5" t="s">
        <v>55</v>
      </c>
      <c r="AD4" s="1">
        <v>-65000</v>
      </c>
      <c r="AE4" s="1">
        <v>-180000</v>
      </c>
      <c r="AF4" s="1">
        <v>-100000</v>
      </c>
      <c r="AG4" s="1">
        <v>-20000</v>
      </c>
      <c r="AH4" s="1">
        <v>-50000</v>
      </c>
      <c r="AI4" s="1">
        <v>-30000</v>
      </c>
      <c r="AJ4" s="1">
        <v>-2100</v>
      </c>
      <c r="AK4" s="1">
        <v>-12600</v>
      </c>
      <c r="AL4" s="1">
        <v>-7000</v>
      </c>
      <c r="AM4" s="1">
        <v>-1200</v>
      </c>
      <c r="AN4" s="1">
        <v>-6000</v>
      </c>
      <c r="AO4" s="1">
        <v>-4000</v>
      </c>
      <c r="AP4" s="1">
        <v>-3000</v>
      </c>
      <c r="AQ4" s="1">
        <v>-30000</v>
      </c>
      <c r="AR4" s="1">
        <v>-10000</v>
      </c>
      <c r="AS4" s="1">
        <v>-2700</v>
      </c>
      <c r="AT4" s="1">
        <v>-130000</v>
      </c>
      <c r="AU4" s="1">
        <v>-9000</v>
      </c>
      <c r="AW4" s="5" t="s">
        <v>56</v>
      </c>
      <c r="AX4" s="62">
        <v>0</v>
      </c>
      <c r="AY4" s="62">
        <v>-0.3</v>
      </c>
      <c r="AZ4" s="62">
        <v>-1.3824884792626729E-2</v>
      </c>
      <c r="BA4" s="62">
        <v>-8.9285714285714288E-2</v>
      </c>
      <c r="BB4" s="62">
        <v>-0.11627906976744186</v>
      </c>
      <c r="BC4" s="62">
        <v>-0.84191954834156668</v>
      </c>
      <c r="BE4" s="5" t="s">
        <v>55</v>
      </c>
      <c r="BF4" s="1">
        <v>-9000</v>
      </c>
      <c r="BG4" s="1">
        <v>-54000</v>
      </c>
      <c r="BH4" s="1">
        <v>-30000</v>
      </c>
      <c r="BI4" s="1">
        <v>-30000</v>
      </c>
      <c r="BJ4" s="1">
        <v>-50000</v>
      </c>
      <c r="BK4" s="1">
        <v>-40000</v>
      </c>
      <c r="BL4" s="1">
        <v>-1500</v>
      </c>
      <c r="BM4" s="1">
        <v>-14400</v>
      </c>
      <c r="BN4" s="1">
        <v>-5000</v>
      </c>
      <c r="BO4" s="1">
        <v>-40000</v>
      </c>
      <c r="BP4" s="1">
        <v>-60000</v>
      </c>
      <c r="BQ4" s="1">
        <v>-52000</v>
      </c>
      <c r="BR4" s="1">
        <v>-30000</v>
      </c>
      <c r="BS4" s="1">
        <v>-10000</v>
      </c>
      <c r="BT4" s="1">
        <v>-5000</v>
      </c>
      <c r="BU4" s="1">
        <v>-15000</v>
      </c>
      <c r="BV4" s="1">
        <v>-18000</v>
      </c>
      <c r="BW4" s="1">
        <v>-15000</v>
      </c>
      <c r="BY4" s="5" t="s">
        <v>56</v>
      </c>
      <c r="BZ4" s="62">
        <v>0</v>
      </c>
      <c r="CA4" s="62">
        <v>0</v>
      </c>
      <c r="CB4" s="62">
        <v>-0.25837320574162681</v>
      </c>
      <c r="CC4" s="62">
        <v>0</v>
      </c>
      <c r="CD4" s="62">
        <v>0</v>
      </c>
      <c r="CE4" s="62">
        <v>0.1875</v>
      </c>
      <c r="CF4" s="62"/>
      <c r="CG4" s="5" t="s">
        <v>56</v>
      </c>
      <c r="CH4" s="1">
        <v>-12000</v>
      </c>
      <c r="CI4" s="1">
        <v>-48500</v>
      </c>
      <c r="CJ4" s="1">
        <v>-39000</v>
      </c>
      <c r="CL4" s="5" t="s">
        <v>57</v>
      </c>
      <c r="CM4" s="62">
        <v>-0.24592250400678797</v>
      </c>
      <c r="CN4" s="62">
        <v>-9.9884044261957239E-2</v>
      </c>
      <c r="CO4" s="62">
        <v>-0.3452957454168108</v>
      </c>
      <c r="CP4" s="62">
        <v>-0.2185024099363721</v>
      </c>
      <c r="CQ4" s="62">
        <v>-0.36797576770419888</v>
      </c>
      <c r="CR4" s="62">
        <v>-0.24557475998772041</v>
      </c>
      <c r="CT4" s="5" t="s">
        <v>57</v>
      </c>
      <c r="CU4" s="62">
        <v>0.2089684531531715</v>
      </c>
      <c r="CV4" s="62">
        <v>4.2261321609435021E-2</v>
      </c>
      <c r="CX4" s="5" t="s">
        <v>56</v>
      </c>
      <c r="CY4" s="62">
        <v>-0.12258064516129032</v>
      </c>
      <c r="CZ4" s="62">
        <v>-0.24927395934172314</v>
      </c>
      <c r="DA4" s="62">
        <v>-0.13835616438356163</v>
      </c>
      <c r="DB4" s="62">
        <v>-0.195638789122627</v>
      </c>
      <c r="DD4" s="5" t="s">
        <v>56</v>
      </c>
      <c r="DE4" s="62">
        <v>-2.5917926565874731E-3</v>
      </c>
      <c r="DF4" s="62">
        <v>-0.22725903614457832</v>
      </c>
      <c r="DG4" s="62">
        <v>-3.8997214484679667E-2</v>
      </c>
      <c r="DH4" s="62">
        <v>-0.13192506974890394</v>
      </c>
      <c r="DJ4" s="5" t="s">
        <v>56</v>
      </c>
      <c r="DK4" s="62">
        <v>-0.24130434782608695</v>
      </c>
      <c r="DL4" s="62">
        <v>-0.16575912876361307</v>
      </c>
      <c r="DM4" s="62">
        <v>-0.17543859649122806</v>
      </c>
      <c r="DN4" s="62">
        <v>-0.17545087064676618</v>
      </c>
      <c r="DP4" s="5" t="s">
        <v>56</v>
      </c>
      <c r="DQ4" s="1">
        <v>-55700</v>
      </c>
      <c r="DR4" s="1">
        <v>310900</v>
      </c>
      <c r="DS4" s="1">
        <v>323000</v>
      </c>
      <c r="DT4" s="1">
        <v>578200</v>
      </c>
      <c r="DV4" s="5" t="s">
        <v>56</v>
      </c>
      <c r="DW4" s="1">
        <v>-67700</v>
      </c>
      <c r="DX4" s="1">
        <v>262400</v>
      </c>
      <c r="DY4" s="1">
        <v>284000</v>
      </c>
      <c r="DZ4" s="1">
        <v>478700</v>
      </c>
    </row>
    <row r="5" spans="1:130" x14ac:dyDescent="0.25">
      <c r="B5" s="67">
        <v>1</v>
      </c>
      <c r="C5" s="7" t="s">
        <v>74</v>
      </c>
      <c r="E5" s="65">
        <v>1</v>
      </c>
      <c r="F5" s="7" t="s">
        <v>74</v>
      </c>
      <c r="H5" s="5" t="s">
        <v>56</v>
      </c>
      <c r="I5" s="1">
        <v>22500</v>
      </c>
      <c r="J5" s="1">
        <v>120000</v>
      </c>
      <c r="K5" s="1">
        <v>150000</v>
      </c>
      <c r="L5" s="1">
        <v>3000</v>
      </c>
      <c r="M5" s="1">
        <v>55500</v>
      </c>
      <c r="N5" s="1">
        <v>20000</v>
      </c>
      <c r="O5" s="1">
        <v>137700</v>
      </c>
      <c r="P5" s="1">
        <v>600000</v>
      </c>
      <c r="Q5" s="1">
        <v>459000</v>
      </c>
      <c r="S5" s="5" t="s">
        <v>56</v>
      </c>
      <c r="T5" s="62">
        <v>-0.40909090909090912</v>
      </c>
      <c r="U5" s="62">
        <v>-0.13736263736263737</v>
      </c>
      <c r="V5" s="62">
        <v>-0.12201027146001467</v>
      </c>
      <c r="W5" s="62">
        <v>-0.23483247811651073</v>
      </c>
      <c r="X5" s="62">
        <v>-0.11946902654867257</v>
      </c>
      <c r="Y5" s="62">
        <v>7.5172269784923784E-3</v>
      </c>
      <c r="Z5" s="62">
        <v>-0.195638789122627</v>
      </c>
      <c r="AA5" s="62">
        <v>-0.13192506974890394</v>
      </c>
      <c r="AC5" s="5" t="s">
        <v>56</v>
      </c>
      <c r="AD5" s="1">
        <v>-65000</v>
      </c>
      <c r="AE5" s="1">
        <v>-180000</v>
      </c>
      <c r="AF5" s="1">
        <v>-100000</v>
      </c>
      <c r="AG5" s="1">
        <v>-20000</v>
      </c>
      <c r="AH5" s="1">
        <v>-20000</v>
      </c>
      <c r="AI5" s="1">
        <v>-30000</v>
      </c>
      <c r="AJ5" s="1">
        <v>-1800</v>
      </c>
      <c r="AK5" s="1">
        <v>-12600</v>
      </c>
      <c r="AL5" s="1">
        <v>-7000</v>
      </c>
      <c r="AM5" s="1">
        <v>-1200</v>
      </c>
      <c r="AN5" s="1">
        <v>-5000</v>
      </c>
      <c r="AO5" s="1">
        <v>-4000</v>
      </c>
      <c r="AP5" s="1">
        <v>-3000</v>
      </c>
      <c r="AQ5" s="1">
        <v>-25000</v>
      </c>
      <c r="AR5" s="1">
        <v>-10000</v>
      </c>
      <c r="AS5" s="1">
        <v>-2400</v>
      </c>
      <c r="AT5" s="1">
        <v>-12000</v>
      </c>
      <c r="AU5" s="1">
        <v>-8000</v>
      </c>
      <c r="AW5" s="5" t="s">
        <v>57</v>
      </c>
      <c r="AX5" s="62">
        <v>0</v>
      </c>
      <c r="AY5" s="62">
        <v>0.48571428571428571</v>
      </c>
      <c r="AZ5" s="62">
        <v>-1.4018691588785047E-2</v>
      </c>
      <c r="BA5" s="62">
        <v>-0.39215686274509803</v>
      </c>
      <c r="BB5" s="62">
        <v>-0.42894736842105263</v>
      </c>
      <c r="BC5" s="62">
        <v>-0.3080357142857143</v>
      </c>
      <c r="BE5" s="5" t="s">
        <v>56</v>
      </c>
      <c r="BF5" s="1">
        <v>-9000</v>
      </c>
      <c r="BG5" s="1">
        <v>-54000</v>
      </c>
      <c r="BH5" s="1">
        <v>-30000</v>
      </c>
      <c r="BI5" s="1">
        <v>-30000</v>
      </c>
      <c r="BJ5" s="1">
        <v>-50000</v>
      </c>
      <c r="BK5" s="1">
        <v>-40000</v>
      </c>
      <c r="BL5" s="1">
        <v>-1500</v>
      </c>
      <c r="BM5" s="1">
        <v>-9000</v>
      </c>
      <c r="BN5" s="1">
        <v>-5000</v>
      </c>
      <c r="BO5" s="1">
        <v>-40000</v>
      </c>
      <c r="BP5" s="1">
        <v>-60000</v>
      </c>
      <c r="BQ5" s="1">
        <v>-52000</v>
      </c>
      <c r="BR5" s="1">
        <v>-30000</v>
      </c>
      <c r="BS5" s="1">
        <v>-10000</v>
      </c>
      <c r="BT5" s="1">
        <v>-5000</v>
      </c>
      <c r="BU5" s="1">
        <v>-15000</v>
      </c>
      <c r="BV5" s="1">
        <v>-27000</v>
      </c>
      <c r="BW5" s="1">
        <v>-15000</v>
      </c>
      <c r="BY5" s="5" t="s">
        <v>57</v>
      </c>
      <c r="BZ5" s="62">
        <v>0</v>
      </c>
      <c r="CA5" s="62">
        <v>-0.45833333333333331</v>
      </c>
      <c r="CB5" s="62">
        <v>-0.4</v>
      </c>
      <c r="CC5" s="62">
        <v>0</v>
      </c>
      <c r="CD5" s="62">
        <v>0</v>
      </c>
      <c r="CE5" s="62">
        <v>0</v>
      </c>
      <c r="CF5" s="62"/>
      <c r="CG5" s="5" t="s">
        <v>57</v>
      </c>
      <c r="CH5" s="1">
        <v>-12000</v>
      </c>
      <c r="CI5" s="1">
        <v>-37000</v>
      </c>
      <c r="CJ5" s="1">
        <v>-27000</v>
      </c>
      <c r="CL5" s="5" t="s">
        <v>58</v>
      </c>
      <c r="CM5" s="62">
        <v>-0.15834218916046758</v>
      </c>
      <c r="CN5" s="62">
        <v>-4.3861875386125758E-2</v>
      </c>
      <c r="CO5" s="62">
        <v>-0.33456610751551974</v>
      </c>
      <c r="CP5" s="62">
        <v>-0.24405535620232494</v>
      </c>
      <c r="CQ5" s="62">
        <v>-0.3630804825648653</v>
      </c>
      <c r="CR5" s="62">
        <v>-0.27644818940971011</v>
      </c>
      <c r="CT5" s="5" t="s">
        <v>58</v>
      </c>
      <c r="CU5" s="62">
        <v>6.8321170452955854E-2</v>
      </c>
      <c r="CV5" s="62">
        <v>0.13601764553239332</v>
      </c>
      <c r="CX5" s="5" t="s">
        <v>57</v>
      </c>
      <c r="CY5" s="62">
        <v>-0.21966911764705882</v>
      </c>
      <c r="CZ5" s="62">
        <v>-7.2211476466795613E-2</v>
      </c>
      <c r="DA5" s="62">
        <v>-0.25834658187599363</v>
      </c>
      <c r="DB5" s="62">
        <v>-0.16224405179562415</v>
      </c>
      <c r="DD5" s="5" t="s">
        <v>57</v>
      </c>
      <c r="DE5" s="62">
        <v>-7.9255088783022953E-2</v>
      </c>
      <c r="DF5" s="62">
        <v>-3.4885987137010327E-2</v>
      </c>
      <c r="DG5" s="62">
        <v>-0.12173913043478261</v>
      </c>
      <c r="DH5" s="62">
        <v>-7.180899908172636E-2</v>
      </c>
      <c r="DJ5" s="5" t="s">
        <v>57</v>
      </c>
      <c r="DK5" s="62">
        <v>-0.47492836676217765</v>
      </c>
      <c r="DL5" s="62">
        <v>-0.1405260126703782</v>
      </c>
      <c r="DM5" s="62">
        <v>-0.32872340425531915</v>
      </c>
      <c r="DN5" s="62">
        <v>-0.24592250400678797</v>
      </c>
      <c r="DP5" s="5" t="s">
        <v>57</v>
      </c>
      <c r="DQ5" s="1">
        <v>-73250</v>
      </c>
      <c r="DR5" s="1">
        <v>261300</v>
      </c>
      <c r="DS5" s="1">
        <v>190500</v>
      </c>
      <c r="DT5" s="1">
        <v>378550</v>
      </c>
      <c r="DV5" s="5" t="s">
        <v>57</v>
      </c>
      <c r="DW5" s="1">
        <v>-85250</v>
      </c>
      <c r="DX5" s="1">
        <v>224300</v>
      </c>
      <c r="DY5" s="1">
        <v>163500</v>
      </c>
      <c r="DZ5" s="1">
        <v>302550</v>
      </c>
    </row>
    <row r="6" spans="1:130" x14ac:dyDescent="0.25">
      <c r="B6" s="67">
        <v>2</v>
      </c>
      <c r="C6" s="71" t="s">
        <v>55</v>
      </c>
      <c r="E6" s="65">
        <v>2</v>
      </c>
      <c r="F6" s="7" t="s">
        <v>45</v>
      </c>
      <c r="H6" s="5" t="s">
        <v>57</v>
      </c>
      <c r="I6" s="1">
        <v>9000</v>
      </c>
      <c r="J6" s="1">
        <v>126000</v>
      </c>
      <c r="K6" s="1">
        <v>60000</v>
      </c>
      <c r="L6" s="1">
        <v>3600</v>
      </c>
      <c r="M6" s="1">
        <v>43500</v>
      </c>
      <c r="N6" s="1">
        <v>24000</v>
      </c>
      <c r="O6" s="1">
        <v>114750</v>
      </c>
      <c r="P6" s="1">
        <v>550000</v>
      </c>
      <c r="Q6" s="1">
        <v>382500</v>
      </c>
      <c r="S6" s="5" t="s">
        <v>57</v>
      </c>
      <c r="T6" s="62">
        <v>-0.33333333333333331</v>
      </c>
      <c r="U6" s="62">
        <v>-9.4267515923566886E-2</v>
      </c>
      <c r="V6" s="62">
        <v>-0.12488510069357399</v>
      </c>
      <c r="W6" s="62">
        <v>1.282051282051282E-2</v>
      </c>
      <c r="X6" s="62">
        <v>-0.23618090452261306</v>
      </c>
      <c r="Y6" s="62">
        <v>-0.12683937823834196</v>
      </c>
      <c r="Z6" s="62">
        <v>-0.16224405179562415</v>
      </c>
      <c r="AA6" s="62">
        <v>-7.180899908172636E-2</v>
      </c>
      <c r="AC6" s="5" t="s">
        <v>57</v>
      </c>
      <c r="AD6" s="1">
        <v>-65000</v>
      </c>
      <c r="AE6" s="1">
        <v>-180000</v>
      </c>
      <c r="AF6" s="1">
        <v>-100000</v>
      </c>
      <c r="AG6" s="1">
        <v>-20000</v>
      </c>
      <c r="AH6" s="1">
        <v>-54000</v>
      </c>
      <c r="AI6" s="1">
        <v>-30000</v>
      </c>
      <c r="AJ6" s="1">
        <v>-1500</v>
      </c>
      <c r="AK6" s="1">
        <v>-12600</v>
      </c>
      <c r="AL6" s="1">
        <v>-7000</v>
      </c>
      <c r="AM6" s="1">
        <v>-600</v>
      </c>
      <c r="AN6" s="1">
        <v>-3600</v>
      </c>
      <c r="AO6" s="1">
        <v>-2000</v>
      </c>
      <c r="AP6" s="1">
        <v>-2100</v>
      </c>
      <c r="AQ6" s="1">
        <v>-12600</v>
      </c>
      <c r="AR6" s="1">
        <v>-7000</v>
      </c>
      <c r="AS6" s="1">
        <v>-1500</v>
      </c>
      <c r="AT6" s="1">
        <v>-9000</v>
      </c>
      <c r="AU6" s="1">
        <v>-5000</v>
      </c>
      <c r="AW6" s="5" t="s">
        <v>58</v>
      </c>
      <c r="AX6" s="62">
        <v>0</v>
      </c>
      <c r="AY6" s="62">
        <v>-0.27884615384615385</v>
      </c>
      <c r="AZ6" s="62">
        <v>7.1090047393364927E-2</v>
      </c>
      <c r="BA6" s="62">
        <v>0</v>
      </c>
      <c r="BB6" s="62">
        <v>-0.14285714285714285</v>
      </c>
      <c r="BC6" s="62">
        <v>0</v>
      </c>
      <c r="BE6" s="5" t="s">
        <v>57</v>
      </c>
      <c r="BF6" s="1">
        <v>-9000</v>
      </c>
      <c r="BG6" s="1">
        <v>-54000</v>
      </c>
      <c r="BH6" s="1">
        <v>-30000</v>
      </c>
      <c r="BI6" s="1">
        <v>-15000</v>
      </c>
      <c r="BJ6" s="1">
        <v>-30000</v>
      </c>
      <c r="BK6" s="1">
        <v>-20000</v>
      </c>
      <c r="BL6" s="1">
        <v>-900</v>
      </c>
      <c r="BM6" s="1">
        <v>-5400</v>
      </c>
      <c r="BN6" s="1">
        <v>-3000</v>
      </c>
      <c r="BO6" s="1">
        <v>-40000</v>
      </c>
      <c r="BP6" s="1">
        <v>-60000</v>
      </c>
      <c r="BQ6" s="1">
        <v>-52000</v>
      </c>
      <c r="BR6" s="1">
        <v>-30000</v>
      </c>
      <c r="BS6" s="1">
        <v>-10000</v>
      </c>
      <c r="BT6" s="1">
        <v>-5000</v>
      </c>
      <c r="BU6" s="1">
        <v>-15000</v>
      </c>
      <c r="BV6" s="1">
        <v>-27000</v>
      </c>
      <c r="BW6" s="1">
        <v>-15000</v>
      </c>
      <c r="BY6" s="5" t="s">
        <v>58</v>
      </c>
      <c r="BZ6" s="62">
        <v>0</v>
      </c>
      <c r="CA6" s="62">
        <v>0</v>
      </c>
      <c r="CB6" s="62">
        <v>0</v>
      </c>
      <c r="CC6" s="62">
        <v>0</v>
      </c>
      <c r="CD6" s="62">
        <v>0</v>
      </c>
      <c r="CE6" s="62">
        <v>0</v>
      </c>
      <c r="CF6" s="62"/>
      <c r="CG6" s="5" t="s">
        <v>58</v>
      </c>
      <c r="CH6" s="1">
        <v>-12000</v>
      </c>
      <c r="CI6" s="1">
        <v>-27200</v>
      </c>
      <c r="CJ6" s="1">
        <v>-20000</v>
      </c>
      <c r="CL6" s="5" t="s">
        <v>8</v>
      </c>
      <c r="CM6" s="62">
        <v>0.56951871657754005</v>
      </c>
      <c r="CN6" s="62">
        <v>6.8307676323399485E-2</v>
      </c>
      <c r="CO6" s="62">
        <v>1.1929337038507344</v>
      </c>
      <c r="CP6" s="62">
        <v>0.49264095085183035</v>
      </c>
      <c r="CQ6" s="62">
        <v>1.4265697976128697</v>
      </c>
      <c r="CR6" s="62">
        <v>0.65166755550205413</v>
      </c>
      <c r="CT6" s="5" t="s">
        <v>8</v>
      </c>
      <c r="CU6" s="62">
        <v>-9.5226191138771163E-2</v>
      </c>
      <c r="CV6" s="62">
        <v>-0.18540595257218964</v>
      </c>
      <c r="CX6" s="5" t="s">
        <v>58</v>
      </c>
      <c r="CY6" s="62">
        <v>-0.14723203769140164</v>
      </c>
      <c r="CZ6" s="62">
        <v>-0.12508686587908269</v>
      </c>
      <c r="DA6" s="62">
        <v>-0.10396570203644159</v>
      </c>
      <c r="DB6" s="62">
        <v>-0.11973198309666121</v>
      </c>
      <c r="DD6" s="5" t="s">
        <v>58</v>
      </c>
      <c r="DE6" s="62">
        <v>5.6444026340545629E-3</v>
      </c>
      <c r="DF6" s="62">
        <v>-8.1987075928917616E-2</v>
      </c>
      <c r="DG6" s="62">
        <v>-2.6402640264026403E-2</v>
      </c>
      <c r="DH6" s="62">
        <v>-4.6893549663632766E-2</v>
      </c>
      <c r="DJ6" s="5" t="s">
        <v>58</v>
      </c>
      <c r="DK6" s="62">
        <v>-0.5443383356070941</v>
      </c>
      <c r="DL6" s="62">
        <v>-0.13223140495867769</v>
      </c>
      <c r="DM6" s="62">
        <v>-0.15055467511885895</v>
      </c>
      <c r="DN6" s="62">
        <v>-0.15834218916046758</v>
      </c>
      <c r="DP6" s="5" t="s">
        <v>58</v>
      </c>
      <c r="DQ6" s="1">
        <v>-93200</v>
      </c>
      <c r="DR6" s="1">
        <v>202100</v>
      </c>
      <c r="DS6" s="1">
        <v>143000</v>
      </c>
      <c r="DT6" s="1">
        <v>251900</v>
      </c>
      <c r="DV6" s="5" t="s">
        <v>58</v>
      </c>
      <c r="DW6" s="1">
        <v>-105200</v>
      </c>
      <c r="DX6" s="1">
        <v>174900</v>
      </c>
      <c r="DY6" s="1">
        <v>123000</v>
      </c>
      <c r="DZ6" s="1">
        <v>192700</v>
      </c>
    </row>
    <row r="7" spans="1:130" x14ac:dyDescent="0.25">
      <c r="B7" s="67">
        <v>3</v>
      </c>
      <c r="C7" s="71" t="s">
        <v>56</v>
      </c>
      <c r="E7" s="65">
        <v>3</v>
      </c>
      <c r="F7" s="7" t="s">
        <v>36</v>
      </c>
      <c r="H7" s="5" t="s">
        <v>58</v>
      </c>
      <c r="I7" s="1">
        <v>13500</v>
      </c>
      <c r="J7" s="1">
        <v>90000</v>
      </c>
      <c r="K7" s="1">
        <v>90000</v>
      </c>
      <c r="L7" s="1">
        <v>3300</v>
      </c>
      <c r="M7" s="1">
        <v>49500</v>
      </c>
      <c r="N7" s="1">
        <v>22000</v>
      </c>
      <c r="O7" s="1">
        <v>91800</v>
      </c>
      <c r="P7" s="1">
        <v>490000</v>
      </c>
      <c r="Q7" s="1">
        <v>306000</v>
      </c>
      <c r="S7" s="5" t="s">
        <v>58</v>
      </c>
      <c r="T7" s="62">
        <v>-7.6923076923076927E-3</v>
      </c>
      <c r="U7" s="62">
        <v>5.2039381153305204E-2</v>
      </c>
      <c r="V7" s="62">
        <v>-0.152255908331344</v>
      </c>
      <c r="W7" s="62">
        <v>-5.9591041869522882E-2</v>
      </c>
      <c r="X7" s="62">
        <v>-0.22105263157894736</v>
      </c>
      <c r="Y7" s="62">
        <v>0</v>
      </c>
      <c r="Z7" s="62">
        <v>-0.11973198309666121</v>
      </c>
      <c r="AA7" s="62">
        <v>-4.6893549663632766E-2</v>
      </c>
      <c r="AC7" s="5" t="s">
        <v>58</v>
      </c>
      <c r="AD7" s="1">
        <v>-65000</v>
      </c>
      <c r="AE7" s="1">
        <v>-180000</v>
      </c>
      <c r="AF7" s="1">
        <v>-100000</v>
      </c>
      <c r="AG7" s="1">
        <v>-20000</v>
      </c>
      <c r="AH7" s="1">
        <v>-25000</v>
      </c>
      <c r="AI7" s="1">
        <v>-30000</v>
      </c>
      <c r="AJ7" s="1">
        <v>-3000</v>
      </c>
      <c r="AK7" s="1">
        <v>-12600</v>
      </c>
      <c r="AL7" s="1">
        <v>-7000</v>
      </c>
      <c r="AM7" s="1">
        <v>-600</v>
      </c>
      <c r="AN7" s="1">
        <v>-3600</v>
      </c>
      <c r="AO7" s="1">
        <v>-2000</v>
      </c>
      <c r="AP7" s="1">
        <v>-1800</v>
      </c>
      <c r="AQ7" s="1">
        <v>-10800</v>
      </c>
      <c r="AR7" s="1">
        <v>-6000</v>
      </c>
      <c r="AS7" s="1">
        <v>-1500</v>
      </c>
      <c r="AT7" s="1">
        <v>-9000</v>
      </c>
      <c r="AU7" s="1">
        <v>-5000</v>
      </c>
      <c r="AW7" s="5" t="s">
        <v>8</v>
      </c>
      <c r="AX7" s="62">
        <v>0.24347826086956523</v>
      </c>
      <c r="AY7" s="62">
        <v>0.38666666666666666</v>
      </c>
      <c r="AZ7" s="62">
        <v>0</v>
      </c>
      <c r="BA7" s="62">
        <v>0.64516129032258063</v>
      </c>
      <c r="BB7" s="62">
        <v>1.7795698924731183</v>
      </c>
      <c r="BC7" s="62">
        <v>0.5741935483870968</v>
      </c>
      <c r="BE7" s="5" t="s">
        <v>58</v>
      </c>
      <c r="BF7" s="1">
        <v>-9000</v>
      </c>
      <c r="BG7" s="1">
        <v>-54000</v>
      </c>
      <c r="BH7" s="1">
        <v>-30000</v>
      </c>
      <c r="BI7" s="1">
        <v>-15000</v>
      </c>
      <c r="BJ7" s="1">
        <v>-30000</v>
      </c>
      <c r="BK7" s="1">
        <v>-20000</v>
      </c>
      <c r="BL7" s="1">
        <v>-900</v>
      </c>
      <c r="BM7" s="1">
        <v>-5400</v>
      </c>
      <c r="BN7" s="1">
        <v>-3000</v>
      </c>
      <c r="BO7" s="1">
        <v>-40000</v>
      </c>
      <c r="BP7" s="1">
        <v>-60000</v>
      </c>
      <c r="BQ7" s="1">
        <v>-52000</v>
      </c>
      <c r="BR7" s="1">
        <v>-30000</v>
      </c>
      <c r="BS7" s="1">
        <v>-10000</v>
      </c>
      <c r="BT7" s="1">
        <v>-5000</v>
      </c>
      <c r="BU7" s="1">
        <v>-15000</v>
      </c>
      <c r="BV7" s="1">
        <v>-27000</v>
      </c>
      <c r="BW7" s="1">
        <v>-15000</v>
      </c>
      <c r="BY7" s="5" t="s">
        <v>8</v>
      </c>
      <c r="BZ7" s="62">
        <v>0.26666666666666666</v>
      </c>
      <c r="CA7" s="62">
        <v>0.84615384615384615</v>
      </c>
      <c r="CB7" s="62">
        <v>0.33333333333333331</v>
      </c>
      <c r="CC7" s="62">
        <v>0</v>
      </c>
      <c r="CD7" s="62">
        <v>0</v>
      </c>
      <c r="CE7" s="62">
        <v>0</v>
      </c>
      <c r="CF7" s="62"/>
      <c r="CG7" s="5" t="s">
        <v>8</v>
      </c>
      <c r="CH7" s="1">
        <v>-12000</v>
      </c>
      <c r="CI7" s="1">
        <v>-41800</v>
      </c>
      <c r="CJ7" s="1">
        <v>-31000</v>
      </c>
      <c r="CL7" s="5" t="s">
        <v>59</v>
      </c>
      <c r="CM7" s="62">
        <v>2.6500094643195155E-2</v>
      </c>
      <c r="CN7" s="62">
        <v>1.4140536733054305E-2</v>
      </c>
      <c r="CO7" s="62">
        <v>5.6299782766111514E-2</v>
      </c>
      <c r="CP7" s="62">
        <v>4.3581422189530317E-2</v>
      </c>
      <c r="CQ7" s="62">
        <v>5.453378956372968E-2</v>
      </c>
      <c r="CR7" s="62">
        <v>4.1836692399950415E-2</v>
      </c>
      <c r="CT7" s="5" t="s">
        <v>59</v>
      </c>
      <c r="CU7" s="62">
        <v>-2.3276041614184732E-2</v>
      </c>
      <c r="CV7" s="62">
        <v>-1.8114808618308931E-2</v>
      </c>
      <c r="CX7" s="5" t="s">
        <v>8</v>
      </c>
      <c r="CY7" s="62">
        <v>0.46408839779005523</v>
      </c>
      <c r="CZ7" s="62">
        <v>0.34789515488482925</v>
      </c>
      <c r="DA7" s="62">
        <v>0.65311004784688997</v>
      </c>
      <c r="DB7" s="62">
        <v>0.46916356716547014</v>
      </c>
      <c r="DD7" s="5" t="s">
        <v>8</v>
      </c>
      <c r="DE7" s="62">
        <v>9.4013096351730593E-2</v>
      </c>
      <c r="DF7" s="62">
        <v>0.37263528376594807</v>
      </c>
      <c r="DG7" s="62">
        <v>0.26440677966101694</v>
      </c>
      <c r="DH7" s="62">
        <v>0.27766244550550134</v>
      </c>
      <c r="DJ7" s="5" t="s">
        <v>8</v>
      </c>
      <c r="DK7" s="62">
        <v>2.874251497005988</v>
      </c>
      <c r="DL7" s="62">
        <v>0.25842985842985844</v>
      </c>
      <c r="DM7" s="62">
        <v>0.87686567164179108</v>
      </c>
      <c r="DN7" s="62">
        <v>0.56951871657754005</v>
      </c>
      <c r="DP7" s="5" t="s">
        <v>8</v>
      </c>
      <c r="DQ7" s="1">
        <v>-62900</v>
      </c>
      <c r="DR7" s="1">
        <v>266300</v>
      </c>
      <c r="DS7" s="1">
        <v>349000</v>
      </c>
      <c r="DT7" s="1">
        <v>552400</v>
      </c>
      <c r="DV7" s="5" t="s">
        <v>8</v>
      </c>
      <c r="DW7" s="1">
        <v>-74900</v>
      </c>
      <c r="DX7" s="1">
        <v>224500</v>
      </c>
      <c r="DY7" s="1">
        <v>318000</v>
      </c>
      <c r="DZ7" s="1">
        <v>467600</v>
      </c>
    </row>
    <row r="8" spans="1:130" x14ac:dyDescent="0.25">
      <c r="B8" s="67">
        <v>4</v>
      </c>
      <c r="C8" s="71" t="s">
        <v>57</v>
      </c>
      <c r="E8" s="65">
        <v>4</v>
      </c>
      <c r="F8" s="7" t="s">
        <v>37</v>
      </c>
      <c r="H8" s="5" t="s">
        <v>8</v>
      </c>
      <c r="I8" s="1">
        <v>19800</v>
      </c>
      <c r="J8" s="1">
        <v>129000</v>
      </c>
      <c r="K8" s="1">
        <v>132000</v>
      </c>
      <c r="L8" s="1">
        <v>1500</v>
      </c>
      <c r="M8" s="1">
        <v>19500</v>
      </c>
      <c r="N8" s="1">
        <v>100000</v>
      </c>
      <c r="O8" s="1">
        <v>137700</v>
      </c>
      <c r="P8" s="1">
        <v>700000</v>
      </c>
      <c r="Q8" s="1">
        <v>459000</v>
      </c>
      <c r="S8" s="5" t="s">
        <v>8</v>
      </c>
      <c r="T8" s="62">
        <v>0.4511627906976744</v>
      </c>
      <c r="U8" s="62">
        <v>0.61764705882352944</v>
      </c>
      <c r="V8" s="62">
        <v>0.46057670646542015</v>
      </c>
      <c r="W8" s="62">
        <v>0.32926071650445227</v>
      </c>
      <c r="X8" s="62">
        <v>0.43243243243243246</v>
      </c>
      <c r="Y8" s="62">
        <v>0.1967718965107999</v>
      </c>
      <c r="Z8" s="62">
        <v>0.46916356716547014</v>
      </c>
      <c r="AA8" s="62">
        <v>0.27766244550550134</v>
      </c>
      <c r="AC8" s="5" t="s">
        <v>8</v>
      </c>
      <c r="AD8" s="1">
        <v>-65000</v>
      </c>
      <c r="AE8" s="1">
        <v>-234000</v>
      </c>
      <c r="AF8" s="1">
        <v>-130000</v>
      </c>
      <c r="AG8" s="1">
        <v>-20000</v>
      </c>
      <c r="AH8" s="1">
        <v>-54000</v>
      </c>
      <c r="AI8" s="1">
        <v>-30000</v>
      </c>
      <c r="AJ8" s="1">
        <v>-3000</v>
      </c>
      <c r="AK8" s="1">
        <v>-12600</v>
      </c>
      <c r="AL8" s="1">
        <v>-7000</v>
      </c>
      <c r="AM8" s="1">
        <v>-1200</v>
      </c>
      <c r="AN8" s="1">
        <v>-5000</v>
      </c>
      <c r="AO8" s="1">
        <v>-4000</v>
      </c>
      <c r="AP8" s="1">
        <v>-2700</v>
      </c>
      <c r="AQ8" s="1">
        <v>-40000</v>
      </c>
      <c r="AR8" s="1">
        <v>-9000</v>
      </c>
      <c r="AS8" s="1">
        <v>-2400</v>
      </c>
      <c r="AT8" s="1">
        <v>-14000</v>
      </c>
      <c r="AU8" s="1">
        <v>-8000</v>
      </c>
      <c r="AW8" s="5" t="s">
        <v>59</v>
      </c>
      <c r="AX8" s="62">
        <v>0</v>
      </c>
      <c r="AY8" s="62">
        <v>0</v>
      </c>
      <c r="AZ8" s="62">
        <v>0</v>
      </c>
      <c r="BA8" s="62">
        <v>-0.12745098039215685</v>
      </c>
      <c r="BB8" s="62">
        <v>-0.1218568665377176</v>
      </c>
      <c r="BC8" s="62">
        <v>1.2295081967213115E-2</v>
      </c>
      <c r="BE8" s="5" t="s">
        <v>8</v>
      </c>
      <c r="BF8" s="1">
        <v>-11400</v>
      </c>
      <c r="BG8" s="1">
        <v>-68400</v>
      </c>
      <c r="BH8" s="1">
        <v>-38000</v>
      </c>
      <c r="BI8" s="1">
        <v>-30000</v>
      </c>
      <c r="BJ8" s="1">
        <v>-50000</v>
      </c>
      <c r="BK8" s="1">
        <v>-40000</v>
      </c>
      <c r="BL8" s="1">
        <v>-1200</v>
      </c>
      <c r="BM8" s="1">
        <v>-7200</v>
      </c>
      <c r="BN8" s="1">
        <v>-4000</v>
      </c>
      <c r="BO8" s="1">
        <v>-40000</v>
      </c>
      <c r="BP8" s="1">
        <v>-60000</v>
      </c>
      <c r="BQ8" s="1">
        <v>-52000</v>
      </c>
      <c r="BR8" s="1">
        <v>-30000</v>
      </c>
      <c r="BS8" s="1">
        <v>-10000</v>
      </c>
      <c r="BT8" s="1">
        <v>-5000</v>
      </c>
      <c r="BU8" s="1">
        <v>-15000</v>
      </c>
      <c r="BV8" s="1">
        <v>-27000</v>
      </c>
      <c r="BW8" s="1">
        <v>-15000</v>
      </c>
      <c r="BY8" s="5" t="s">
        <v>59</v>
      </c>
      <c r="BZ8" s="62">
        <v>0</v>
      </c>
      <c r="CA8" s="62">
        <v>0</v>
      </c>
      <c r="CB8" s="62">
        <v>-0.25</v>
      </c>
      <c r="CC8" s="62">
        <v>0</v>
      </c>
      <c r="CD8" s="62">
        <v>0</v>
      </c>
      <c r="CE8" s="62">
        <v>0</v>
      </c>
      <c r="CF8" s="62"/>
      <c r="CG8" s="5" t="s">
        <v>59</v>
      </c>
      <c r="CH8" s="1">
        <v>-12000</v>
      </c>
      <c r="CI8" s="1">
        <v>-21700</v>
      </c>
      <c r="CJ8" s="1">
        <v>-56700</v>
      </c>
      <c r="CL8" s="5" t="s">
        <v>60</v>
      </c>
      <c r="CM8" s="62">
        <v>-0.24474460630647243</v>
      </c>
      <c r="CN8" s="62">
        <v>-7.2579498705108672E-2</v>
      </c>
      <c r="CO8" s="62">
        <v>-0.38620394173093403</v>
      </c>
      <c r="CP8" s="62">
        <v>-0.24628535882562891</v>
      </c>
      <c r="CQ8" s="62">
        <v>-0.41421618332995336</v>
      </c>
      <c r="CR8" s="62">
        <v>-0.28068316301621787</v>
      </c>
      <c r="CT8" s="5" t="s">
        <v>60</v>
      </c>
      <c r="CU8" s="62">
        <v>0.12404620910110443</v>
      </c>
      <c r="CV8" s="62">
        <v>0.12969024661583237</v>
      </c>
      <c r="CX8" s="5" t="s">
        <v>59</v>
      </c>
      <c r="CY8" s="62">
        <v>0.16792452830188678</v>
      </c>
      <c r="CZ8" s="62">
        <v>-7.5427224513847965E-2</v>
      </c>
      <c r="DA8" s="62">
        <v>8.3936324167872653E-2</v>
      </c>
      <c r="DB8" s="62">
        <v>1.2187224021195172E-2</v>
      </c>
      <c r="DD8" s="5" t="s">
        <v>59</v>
      </c>
      <c r="DE8" s="62">
        <v>-2.5651988029072254E-3</v>
      </c>
      <c r="DF8" s="62">
        <v>-4.4711538461538462E-2</v>
      </c>
      <c r="DG8" s="62">
        <v>6.3538873994638076E-2</v>
      </c>
      <c r="DH8" s="62">
        <v>-3.8995856690226664E-3</v>
      </c>
      <c r="DJ8" s="5" t="s">
        <v>59</v>
      </c>
      <c r="DK8" s="62">
        <v>0.41731066460587324</v>
      </c>
      <c r="DL8" s="62">
        <v>-0.11863366741664962</v>
      </c>
      <c r="DM8" s="62">
        <v>0.1172962226640159</v>
      </c>
      <c r="DN8" s="62">
        <v>2.6500094643195155E-2</v>
      </c>
      <c r="DP8" s="5" t="s">
        <v>59</v>
      </c>
      <c r="DQ8" s="1">
        <v>-35600</v>
      </c>
      <c r="DR8" s="1">
        <v>210100</v>
      </c>
      <c r="DS8" s="1">
        <v>409000</v>
      </c>
      <c r="DT8" s="1">
        <v>583500</v>
      </c>
      <c r="DV8" s="5" t="s">
        <v>59</v>
      </c>
      <c r="DW8" s="1">
        <v>-47600</v>
      </c>
      <c r="DX8" s="1">
        <v>188400</v>
      </c>
      <c r="DY8" s="1">
        <v>352300</v>
      </c>
      <c r="DZ8" s="1">
        <v>493100</v>
      </c>
    </row>
    <row r="9" spans="1:130" x14ac:dyDescent="0.25">
      <c r="B9" s="67">
        <v>5</v>
      </c>
      <c r="C9" s="71" t="s">
        <v>58</v>
      </c>
      <c r="H9" s="5" t="s">
        <v>59</v>
      </c>
      <c r="I9" s="1">
        <v>16200</v>
      </c>
      <c r="J9" s="1">
        <v>165000</v>
      </c>
      <c r="K9" s="1">
        <v>108000</v>
      </c>
      <c r="L9" s="1">
        <v>1200</v>
      </c>
      <c r="M9" s="1">
        <v>19500</v>
      </c>
      <c r="N9" s="1">
        <v>80000</v>
      </c>
      <c r="O9" s="1">
        <v>168300</v>
      </c>
      <c r="P9" s="1">
        <v>600000</v>
      </c>
      <c r="Q9" s="1">
        <v>561000</v>
      </c>
      <c r="S9" s="5" t="s">
        <v>59</v>
      </c>
      <c r="T9" s="62">
        <v>2.9914529914529916E-2</v>
      </c>
      <c r="U9" s="62">
        <v>-0.16776859504132233</v>
      </c>
      <c r="V9" s="62">
        <v>2.5140741883242074E-2</v>
      </c>
      <c r="W9" s="62">
        <v>-1.1372487926468297E-2</v>
      </c>
      <c r="X9" s="62">
        <v>6.6037735849056603E-2</v>
      </c>
      <c r="Y9" s="62">
        <v>-6.1483538278460925E-3</v>
      </c>
      <c r="Z9" s="62">
        <v>1.2187224021195172E-2</v>
      </c>
      <c r="AA9" s="62">
        <v>-3.8995856690226664E-3</v>
      </c>
      <c r="AC9" s="5" t="s">
        <v>59</v>
      </c>
      <c r="AD9" s="1">
        <v>-65000</v>
      </c>
      <c r="AE9" s="1">
        <v>-234000</v>
      </c>
      <c r="AF9" s="1">
        <v>-130000</v>
      </c>
      <c r="AG9" s="1">
        <v>-20000</v>
      </c>
      <c r="AH9" s="1">
        <v>-54000</v>
      </c>
      <c r="AI9" s="1">
        <v>-30000</v>
      </c>
      <c r="AJ9" s="1">
        <v>-3000</v>
      </c>
      <c r="AK9" s="1">
        <v>-12600</v>
      </c>
      <c r="AL9" s="1">
        <v>-7000</v>
      </c>
      <c r="AM9" s="1">
        <v>-900</v>
      </c>
      <c r="AN9" s="1">
        <v>-5000</v>
      </c>
      <c r="AO9" s="1">
        <v>-3000</v>
      </c>
      <c r="AP9" s="1">
        <v>-2400</v>
      </c>
      <c r="AQ9" s="1">
        <v>-35000</v>
      </c>
      <c r="AR9" s="1">
        <v>-8000</v>
      </c>
      <c r="AS9" s="1">
        <v>-2700</v>
      </c>
      <c r="AT9" s="1">
        <v>-13000</v>
      </c>
      <c r="AU9" s="1">
        <v>-9000</v>
      </c>
      <c r="AW9" s="5" t="s">
        <v>60</v>
      </c>
      <c r="AX9" s="62">
        <v>-3.4965034965034968E-2</v>
      </c>
      <c r="AY9" s="62">
        <v>0</v>
      </c>
      <c r="AZ9" s="62">
        <v>0</v>
      </c>
      <c r="BA9" s="62">
        <v>-0.30337078651685395</v>
      </c>
      <c r="BB9" s="62">
        <v>-0.5903083700440529</v>
      </c>
      <c r="BC9" s="62">
        <v>-0.37246963562753038</v>
      </c>
      <c r="BE9" s="5" t="s">
        <v>59</v>
      </c>
      <c r="BF9" s="1">
        <v>-11400</v>
      </c>
      <c r="BG9" s="1">
        <v>-68400</v>
      </c>
      <c r="BH9" s="1">
        <v>-38000</v>
      </c>
      <c r="BI9" s="1">
        <v>-30000</v>
      </c>
      <c r="BJ9" s="1">
        <v>-50000</v>
      </c>
      <c r="BK9" s="1">
        <v>-40000</v>
      </c>
      <c r="BL9" s="1">
        <v>-900</v>
      </c>
      <c r="BM9" s="1">
        <v>-5400</v>
      </c>
      <c r="BN9" s="1">
        <v>-3000</v>
      </c>
      <c r="BO9" s="1">
        <v>-40000</v>
      </c>
      <c r="BP9" s="1">
        <v>-60000</v>
      </c>
      <c r="BQ9" s="1">
        <v>-52000</v>
      </c>
      <c r="BR9" s="1">
        <v>-30000</v>
      </c>
      <c r="BS9" s="1">
        <v>-10000</v>
      </c>
      <c r="BT9" s="1">
        <v>-5000</v>
      </c>
      <c r="BU9" s="1">
        <v>-15000</v>
      </c>
      <c r="BV9" s="1">
        <v>-27000</v>
      </c>
      <c r="BW9" s="1">
        <v>-15000</v>
      </c>
      <c r="BY9" s="5" t="s">
        <v>60</v>
      </c>
      <c r="BZ9" s="62">
        <v>0</v>
      </c>
      <c r="CA9" s="62">
        <v>-0.25</v>
      </c>
      <c r="CB9" s="62">
        <v>-0.33333333333333331</v>
      </c>
      <c r="CC9" s="62">
        <v>-4.6052631578947366E-2</v>
      </c>
      <c r="CD9" s="62">
        <v>0</v>
      </c>
      <c r="CE9" s="62">
        <v>0</v>
      </c>
      <c r="CF9" s="62"/>
      <c r="CG9" s="5" t="s">
        <v>60</v>
      </c>
      <c r="CH9" s="1">
        <v>-12000</v>
      </c>
      <c r="CI9" s="1">
        <v>-27000</v>
      </c>
      <c r="CJ9" s="1">
        <v>-30300</v>
      </c>
      <c r="CL9" s="5" t="s">
        <v>61</v>
      </c>
      <c r="CM9" s="62">
        <v>-7.4711591283647683E-2</v>
      </c>
      <c r="CN9" s="62">
        <v>-7.2038651007172117E-3</v>
      </c>
      <c r="CO9" s="62">
        <v>-9.828284238447578E-2</v>
      </c>
      <c r="CP9" s="62">
        <v>-3.24948411544509E-2</v>
      </c>
      <c r="CQ9" s="62">
        <v>-7.0278691362298765E-2</v>
      </c>
      <c r="CR9" s="62">
        <v>-2.447547106400186E-3</v>
      </c>
      <c r="CT9" s="5" t="s">
        <v>61</v>
      </c>
      <c r="CU9" s="62">
        <v>1.0158454290329803E-2</v>
      </c>
      <c r="CV9" s="62">
        <v>1.2444644820420842E-2</v>
      </c>
      <c r="CX9" s="5" t="s">
        <v>60</v>
      </c>
      <c r="CY9" s="62">
        <v>-0.21890145395799676</v>
      </c>
      <c r="CZ9" s="62">
        <v>-8.0305927342256209E-2</v>
      </c>
      <c r="DA9" s="62">
        <v>-0.28771695594125501</v>
      </c>
      <c r="DB9" s="62">
        <v>-0.18563866914844113</v>
      </c>
      <c r="DD9" s="5" t="s">
        <v>60</v>
      </c>
      <c r="DE9" s="62">
        <v>-0.11744534933561937</v>
      </c>
      <c r="DF9" s="62">
        <v>-6.0560308673041435E-2</v>
      </c>
      <c r="DG9" s="62">
        <v>-0.12956894378623646</v>
      </c>
      <c r="DH9" s="62">
        <v>-9.3711769023733793E-2</v>
      </c>
      <c r="DJ9" s="5" t="s">
        <v>60</v>
      </c>
      <c r="DK9" s="62">
        <v>-0.2568157033805889</v>
      </c>
      <c r="DL9" s="62">
        <v>-7.7512183801346016E-2</v>
      </c>
      <c r="DM9" s="62">
        <v>-0.37099644128113879</v>
      </c>
      <c r="DN9" s="62">
        <v>-0.24474460630647243</v>
      </c>
      <c r="DP9" s="5" t="s">
        <v>60</v>
      </c>
      <c r="DQ9" s="1">
        <v>-48850</v>
      </c>
      <c r="DR9" s="1">
        <v>188500</v>
      </c>
      <c r="DS9" s="1">
        <v>218500</v>
      </c>
      <c r="DT9" s="1">
        <v>358150</v>
      </c>
      <c r="DV9" s="5" t="s">
        <v>60</v>
      </c>
      <c r="DW9" s="1">
        <v>-60850</v>
      </c>
      <c r="DX9" s="1">
        <v>161500</v>
      </c>
      <c r="DY9" s="1">
        <v>188200</v>
      </c>
      <c r="DZ9" s="1">
        <v>288850</v>
      </c>
    </row>
    <row r="10" spans="1:130" x14ac:dyDescent="0.25">
      <c r="B10" s="67">
        <v>6</v>
      </c>
      <c r="C10" s="71" t="s">
        <v>8</v>
      </c>
      <c r="H10" s="5" t="s">
        <v>60</v>
      </c>
      <c r="I10" s="1">
        <v>9000</v>
      </c>
      <c r="J10" s="1">
        <v>100500</v>
      </c>
      <c r="K10" s="1">
        <v>60000</v>
      </c>
      <c r="L10" s="1">
        <v>6000</v>
      </c>
      <c r="M10" s="1">
        <v>21000</v>
      </c>
      <c r="N10" s="1">
        <v>40000</v>
      </c>
      <c r="O10" s="1">
        <v>130050</v>
      </c>
      <c r="P10" s="1">
        <v>600000</v>
      </c>
      <c r="Q10" s="1">
        <v>433500</v>
      </c>
      <c r="S10" s="5" t="s">
        <v>60</v>
      </c>
      <c r="T10" s="62">
        <v>-0.41390041493775931</v>
      </c>
      <c r="U10" s="62">
        <v>-0.33465739821251239</v>
      </c>
      <c r="V10" s="62">
        <v>-0.12468968630106071</v>
      </c>
      <c r="W10" s="62">
        <v>-8.4620233217774982E-2</v>
      </c>
      <c r="X10" s="62">
        <v>-0.2334070796460177</v>
      </c>
      <c r="Y10" s="62">
        <v>-8.0023947315905009E-2</v>
      </c>
      <c r="Z10" s="62">
        <v>-0.18563866914844113</v>
      </c>
      <c r="AA10" s="62">
        <v>-9.3711769023733793E-2</v>
      </c>
      <c r="AC10" s="5" t="s">
        <v>60</v>
      </c>
      <c r="AD10" s="1">
        <v>-50000</v>
      </c>
      <c r="AE10" s="1">
        <v>-234000</v>
      </c>
      <c r="AF10" s="1">
        <v>-130000</v>
      </c>
      <c r="AG10" s="1">
        <v>-20000</v>
      </c>
      <c r="AH10" s="1">
        <v>-54000</v>
      </c>
      <c r="AI10" s="1">
        <v>-30000</v>
      </c>
      <c r="AJ10" s="1">
        <v>-3000</v>
      </c>
      <c r="AK10" s="1">
        <v>-12600</v>
      </c>
      <c r="AL10" s="1">
        <v>-7000</v>
      </c>
      <c r="AM10" s="1">
        <v>-600</v>
      </c>
      <c r="AN10" s="1">
        <v>-3600</v>
      </c>
      <c r="AO10" s="1">
        <v>-2000</v>
      </c>
      <c r="AP10" s="1">
        <v>-1800</v>
      </c>
      <c r="AQ10" s="1">
        <v>-10800</v>
      </c>
      <c r="AR10" s="1">
        <v>-6000</v>
      </c>
      <c r="AS10" s="1">
        <v>-1500</v>
      </c>
      <c r="AT10" s="1">
        <v>-9000</v>
      </c>
      <c r="AU10" s="1">
        <v>-5000</v>
      </c>
      <c r="AW10" s="5" t="s">
        <v>61</v>
      </c>
      <c r="AX10" s="62">
        <v>-8.2125603864734303E-2</v>
      </c>
      <c r="AY10" s="62">
        <v>0</v>
      </c>
      <c r="AZ10" s="62">
        <v>0</v>
      </c>
      <c r="BA10" s="62">
        <v>0</v>
      </c>
      <c r="BB10" s="62">
        <v>0</v>
      </c>
      <c r="BC10" s="62">
        <v>0</v>
      </c>
      <c r="BE10" s="5" t="s">
        <v>60</v>
      </c>
      <c r="BF10" s="1">
        <v>-11400</v>
      </c>
      <c r="BG10" s="1">
        <v>-68400</v>
      </c>
      <c r="BH10" s="1">
        <v>-38000</v>
      </c>
      <c r="BI10" s="1">
        <v>-20000</v>
      </c>
      <c r="BJ10" s="1">
        <v>-40000</v>
      </c>
      <c r="BK10" s="1">
        <v>-30000</v>
      </c>
      <c r="BL10" s="1">
        <v>-600</v>
      </c>
      <c r="BM10" s="1">
        <v>-3600</v>
      </c>
      <c r="BN10" s="1">
        <v>-2000</v>
      </c>
      <c r="BO10" s="1">
        <v>-40000</v>
      </c>
      <c r="BP10" s="1">
        <v>-60000</v>
      </c>
      <c r="BQ10" s="1">
        <v>-45000</v>
      </c>
      <c r="BR10" s="1">
        <v>-30000</v>
      </c>
      <c r="BS10" s="1">
        <v>-10000</v>
      </c>
      <c r="BT10" s="1">
        <v>-5000</v>
      </c>
      <c r="BU10" s="1">
        <v>-15000</v>
      </c>
      <c r="BV10" s="1">
        <v>-27000</v>
      </c>
      <c r="BW10" s="1">
        <v>-15000</v>
      </c>
      <c r="BY10" s="5" t="s">
        <v>61</v>
      </c>
      <c r="BZ10" s="62">
        <v>0</v>
      </c>
      <c r="CA10" s="62">
        <v>-0.3888888888888889</v>
      </c>
      <c r="CB10" s="62">
        <v>0</v>
      </c>
      <c r="CC10" s="62">
        <v>-3.4482758620689655E-2</v>
      </c>
      <c r="CD10" s="62">
        <v>0</v>
      </c>
      <c r="CE10" s="62">
        <v>0.24561403508771928</v>
      </c>
      <c r="CF10" s="62"/>
      <c r="CG10" s="5" t="s">
        <v>61</v>
      </c>
      <c r="CH10" s="1">
        <v>-12000</v>
      </c>
      <c r="CI10" s="1">
        <v>-23800</v>
      </c>
      <c r="CJ10" s="1">
        <v>-18600</v>
      </c>
      <c r="CL10" s="5" t="s">
        <v>62</v>
      </c>
      <c r="CM10" s="62">
        <v>-0.22819447193086614</v>
      </c>
      <c r="CN10" s="62">
        <v>-0.10152607008626241</v>
      </c>
      <c r="CO10" s="62">
        <v>-0.55135469886979405</v>
      </c>
      <c r="CP10" s="62">
        <v>-0.47772321888878549</v>
      </c>
      <c r="CQ10" s="62">
        <v>-0.65894619251536024</v>
      </c>
      <c r="CR10" s="62">
        <v>-0.60297258366447015</v>
      </c>
      <c r="CT10" s="5" t="s">
        <v>62</v>
      </c>
      <c r="CU10" s="62">
        <v>0.14070522000709929</v>
      </c>
      <c r="CV10" s="62">
        <v>0.17776788211092109</v>
      </c>
      <c r="CX10" s="5" t="s">
        <v>61</v>
      </c>
      <c r="CY10" s="62">
        <v>0.43226473629782836</v>
      </c>
      <c r="CZ10" s="62">
        <v>-0.12044352044352044</v>
      </c>
      <c r="DA10" s="62">
        <v>-0.13308341143392691</v>
      </c>
      <c r="DB10" s="62">
        <v>-6.7997571515303029E-2</v>
      </c>
      <c r="DD10" s="5" t="s">
        <v>61</v>
      </c>
      <c r="DE10" s="62">
        <v>-2.4283632831471589E-2</v>
      </c>
      <c r="DF10" s="62">
        <v>-9.5000000000000001E-2</v>
      </c>
      <c r="DG10" s="62">
        <v>-4.8363741673906745E-2</v>
      </c>
      <c r="DH10" s="62">
        <v>-6.7404607631389488E-2</v>
      </c>
      <c r="DJ10" s="5" t="s">
        <v>61</v>
      </c>
      <c r="DK10" s="62">
        <v>0.92002934702861339</v>
      </c>
      <c r="DL10" s="62">
        <v>-0.1330817610062893</v>
      </c>
      <c r="DM10" s="62">
        <v>-0.20084865629420084</v>
      </c>
      <c r="DN10" s="62">
        <v>-7.4711591283647683E-2</v>
      </c>
      <c r="DP10" s="5" t="s">
        <v>61</v>
      </c>
      <c r="DQ10" s="1">
        <v>18850</v>
      </c>
      <c r="DR10" s="1">
        <v>151600</v>
      </c>
      <c r="DS10" s="1">
        <v>152500</v>
      </c>
      <c r="DT10" s="1">
        <v>322950</v>
      </c>
      <c r="DV10" s="5" t="s">
        <v>61</v>
      </c>
      <c r="DW10" s="1">
        <v>6850</v>
      </c>
      <c r="DX10" s="1">
        <v>127800</v>
      </c>
      <c r="DY10" s="1">
        <v>133900</v>
      </c>
      <c r="DZ10" s="1">
        <v>268550</v>
      </c>
    </row>
    <row r="11" spans="1:130" x14ac:dyDescent="0.25">
      <c r="B11" s="67">
        <v>7</v>
      </c>
      <c r="C11" s="71" t="s">
        <v>59</v>
      </c>
      <c r="H11" s="5" t="s">
        <v>61</v>
      </c>
      <c r="I11" s="1">
        <v>90000</v>
      </c>
      <c r="J11" s="1">
        <v>60000</v>
      </c>
      <c r="K11" s="1">
        <v>60000</v>
      </c>
      <c r="L11" s="1">
        <v>3000</v>
      </c>
      <c r="M11" s="1">
        <v>24600</v>
      </c>
      <c r="N11" s="1">
        <v>20000</v>
      </c>
      <c r="O11" s="1">
        <v>114750</v>
      </c>
      <c r="P11" s="1">
        <v>550000</v>
      </c>
      <c r="Q11" s="1">
        <v>382500</v>
      </c>
      <c r="S11" s="5" t="s">
        <v>61</v>
      </c>
      <c r="T11" s="62">
        <v>0.23893805309734514</v>
      </c>
      <c r="U11" s="62">
        <v>-0.28955223880597014</v>
      </c>
      <c r="V11" s="62">
        <v>-9.9952730866744013E-2</v>
      </c>
      <c r="W11" s="62">
        <v>-5.8529867447064898E-2</v>
      </c>
      <c r="X11" s="62">
        <v>-0.21500721500721501</v>
      </c>
      <c r="Y11" s="62">
        <v>-5.6399132321041212E-2</v>
      </c>
      <c r="Z11" s="62">
        <v>-6.7997571515303029E-2</v>
      </c>
      <c r="AA11" s="62">
        <v>-6.7404607631389488E-2</v>
      </c>
      <c r="AC11" s="5" t="s">
        <v>61</v>
      </c>
      <c r="AD11" s="1">
        <v>-50000</v>
      </c>
      <c r="AE11" s="1">
        <v>-200000</v>
      </c>
      <c r="AF11" s="1">
        <v>-130000</v>
      </c>
      <c r="AG11" s="1">
        <v>-20000</v>
      </c>
      <c r="AH11" s="1">
        <v>-54000</v>
      </c>
      <c r="AI11" s="1">
        <v>-30000</v>
      </c>
      <c r="AJ11" s="1">
        <v>-3000</v>
      </c>
      <c r="AK11" s="1">
        <v>-12600</v>
      </c>
      <c r="AL11" s="1">
        <v>-7000</v>
      </c>
      <c r="AM11" s="1">
        <v>-600</v>
      </c>
      <c r="AN11" s="1">
        <v>-3600</v>
      </c>
      <c r="AO11" s="1">
        <v>-2000</v>
      </c>
      <c r="AP11" s="1">
        <v>-1800</v>
      </c>
      <c r="AQ11" s="1">
        <v>-10800</v>
      </c>
      <c r="AR11" s="1">
        <v>-6000</v>
      </c>
      <c r="AS11" s="1">
        <v>-1500</v>
      </c>
      <c r="AT11" s="1">
        <v>-9000</v>
      </c>
      <c r="AU11" s="1">
        <v>-5000</v>
      </c>
      <c r="AW11" s="5" t="s">
        <v>62</v>
      </c>
      <c r="AX11" s="62">
        <v>0</v>
      </c>
      <c r="AY11" s="62">
        <v>-0.27884615384615385</v>
      </c>
      <c r="AZ11" s="62">
        <v>-3.9823008849557522E-2</v>
      </c>
      <c r="BA11" s="62">
        <v>0</v>
      </c>
      <c r="BB11" s="62">
        <v>1.032258064516129</v>
      </c>
      <c r="BC11" s="62">
        <v>-1.935483870967742E-2</v>
      </c>
      <c r="BE11" s="5" t="s">
        <v>61</v>
      </c>
      <c r="BF11" s="1">
        <v>-11400</v>
      </c>
      <c r="BG11" s="1">
        <v>-68400</v>
      </c>
      <c r="BH11" s="1">
        <v>-38000</v>
      </c>
      <c r="BI11" s="1">
        <v>-15000</v>
      </c>
      <c r="BJ11" s="1">
        <v>-20000</v>
      </c>
      <c r="BK11" s="1">
        <v>-20000</v>
      </c>
      <c r="BL11" s="1">
        <v>-600</v>
      </c>
      <c r="BM11" s="1">
        <v>-3600</v>
      </c>
      <c r="BN11" s="1">
        <v>-2000</v>
      </c>
      <c r="BO11" s="1">
        <v>-40000</v>
      </c>
      <c r="BP11" s="1">
        <v>-55000</v>
      </c>
      <c r="BQ11" s="1">
        <v>-45000</v>
      </c>
      <c r="BR11" s="1">
        <v>-30000</v>
      </c>
      <c r="BS11" s="1">
        <v>-10000</v>
      </c>
      <c r="BT11" s="1">
        <v>-5000</v>
      </c>
      <c r="BU11" s="1">
        <v>-15000</v>
      </c>
      <c r="BV11" s="1">
        <v>-36000</v>
      </c>
      <c r="BW11" s="1">
        <v>-20000</v>
      </c>
      <c r="BY11" s="5" t="s">
        <v>62</v>
      </c>
      <c r="BZ11" s="62">
        <v>0</v>
      </c>
      <c r="CA11" s="62">
        <v>-9.0909090909090912E-2</v>
      </c>
      <c r="CB11" s="62">
        <v>0.5</v>
      </c>
      <c r="CC11" s="62">
        <v>0.05</v>
      </c>
      <c r="CD11" s="62">
        <v>0</v>
      </c>
      <c r="CE11" s="62">
        <v>0</v>
      </c>
      <c r="CF11" s="62"/>
      <c r="CG11" s="5" t="s">
        <v>62</v>
      </c>
      <c r="CH11" s="1">
        <v>-12000</v>
      </c>
      <c r="CI11" s="1">
        <v>-15000</v>
      </c>
      <c r="CJ11" s="1">
        <v>-26300</v>
      </c>
      <c r="CL11" s="5" t="s">
        <v>63</v>
      </c>
      <c r="CM11" s="62">
        <v>0.37878425272226873</v>
      </c>
      <c r="CN11" s="62">
        <v>0.16861602754975621</v>
      </c>
      <c r="CO11" s="62">
        <v>1.5079370556974256</v>
      </c>
      <c r="CP11" s="62">
        <v>1.1256519528616324</v>
      </c>
      <c r="CQ11" s="62">
        <v>2.221694508134076</v>
      </c>
      <c r="CR11" s="62">
        <v>1.7306112835572729</v>
      </c>
      <c r="CT11" s="5" t="s">
        <v>63</v>
      </c>
      <c r="CU11" s="62">
        <v>-0.18406174651302834</v>
      </c>
      <c r="CV11" s="62">
        <v>-0.14645994431672357</v>
      </c>
      <c r="CX11" s="5" t="s">
        <v>62</v>
      </c>
      <c r="CY11" s="62">
        <v>-0.3483032490974729</v>
      </c>
      <c r="CZ11" s="62">
        <v>-0.22644185313583359</v>
      </c>
      <c r="DA11" s="62">
        <v>6.9405405405405407E-2</v>
      </c>
      <c r="DB11" s="62">
        <v>-0.14098172203701576</v>
      </c>
      <c r="DD11" s="5" t="s">
        <v>62</v>
      </c>
      <c r="DE11" s="62">
        <v>-4.4300647088103537E-2</v>
      </c>
      <c r="DF11" s="62">
        <v>-1.5785319652722968E-3</v>
      </c>
      <c r="DG11" s="62">
        <v>8.2166768107121112E-3</v>
      </c>
      <c r="DH11" s="62">
        <v>-6.754800733378365E-3</v>
      </c>
      <c r="DJ11" s="5" t="s">
        <v>62</v>
      </c>
      <c r="DK11" s="62">
        <v>-0.54382881161635466</v>
      </c>
      <c r="DL11" s="62">
        <v>-0.3914683691236216</v>
      </c>
      <c r="DM11" s="62">
        <v>0.11716814159292036</v>
      </c>
      <c r="DN11" s="62">
        <v>-0.22819447193086614</v>
      </c>
      <c r="DP11" s="5" t="s">
        <v>62</v>
      </c>
      <c r="DQ11" s="1">
        <v>-44610</v>
      </c>
      <c r="DR11" s="1">
        <v>-100</v>
      </c>
      <c r="DS11" s="1">
        <v>189600</v>
      </c>
      <c r="DT11" s="1">
        <v>144890</v>
      </c>
      <c r="DU11" s="1"/>
      <c r="DV11" s="5" t="s">
        <v>62</v>
      </c>
      <c r="DW11" s="1">
        <v>-56610</v>
      </c>
      <c r="DX11" s="1">
        <v>-15100</v>
      </c>
      <c r="DY11" s="1">
        <v>163300</v>
      </c>
      <c r="DZ11" s="1">
        <v>91590</v>
      </c>
    </row>
    <row r="12" spans="1:130" x14ac:dyDescent="0.25">
      <c r="B12" s="67">
        <v>8</v>
      </c>
      <c r="C12" s="71" t="s">
        <v>60</v>
      </c>
      <c r="H12" s="5" t="s">
        <v>62</v>
      </c>
      <c r="I12" s="1">
        <v>9000</v>
      </c>
      <c r="J12" s="1">
        <v>69000</v>
      </c>
      <c r="K12" s="1">
        <v>60000</v>
      </c>
      <c r="L12" s="1">
        <v>3990</v>
      </c>
      <c r="M12" s="1">
        <v>21900</v>
      </c>
      <c r="N12" s="1">
        <v>26600</v>
      </c>
      <c r="O12" s="1">
        <v>122400</v>
      </c>
      <c r="P12" s="1">
        <v>400000</v>
      </c>
      <c r="Q12" s="1">
        <v>408000</v>
      </c>
      <c r="S12" s="5" t="s">
        <v>62</v>
      </c>
      <c r="T12" s="62">
        <v>-0.34285714285714286</v>
      </c>
      <c r="U12" s="62">
        <v>0.10273109243697479</v>
      </c>
      <c r="V12" s="62">
        <v>-0.11157794222964908</v>
      </c>
      <c r="W12" s="62">
        <v>-2.0113366246114463E-2</v>
      </c>
      <c r="X12" s="62">
        <v>-2.0220588235294119E-2</v>
      </c>
      <c r="Y12" s="62">
        <v>1.1724137931034483E-2</v>
      </c>
      <c r="Z12" s="62">
        <v>-0.14098172203701576</v>
      </c>
      <c r="AA12" s="62">
        <v>-6.754800733378365E-3</v>
      </c>
      <c r="AC12" s="5" t="s">
        <v>62</v>
      </c>
      <c r="AD12" s="1">
        <v>-50000</v>
      </c>
      <c r="AE12" s="1">
        <v>-200000</v>
      </c>
      <c r="AF12" s="1">
        <v>-130000</v>
      </c>
      <c r="AG12" s="1">
        <v>-20000</v>
      </c>
      <c r="AH12" s="1">
        <v>-25000</v>
      </c>
      <c r="AI12" s="1">
        <v>-30000</v>
      </c>
      <c r="AJ12" s="1">
        <v>-2100</v>
      </c>
      <c r="AK12" s="1">
        <v>-12600</v>
      </c>
      <c r="AL12" s="1">
        <v>-7000</v>
      </c>
      <c r="AM12" s="1">
        <v>-600</v>
      </c>
      <c r="AN12" s="1">
        <v>-3600</v>
      </c>
      <c r="AO12" s="1">
        <v>-2000</v>
      </c>
      <c r="AP12" s="1">
        <v>-1800</v>
      </c>
      <c r="AQ12" s="1">
        <v>-30000</v>
      </c>
      <c r="AR12" s="1">
        <v>-6000</v>
      </c>
      <c r="AS12" s="1">
        <v>-1200</v>
      </c>
      <c r="AT12" s="1">
        <v>-10000</v>
      </c>
      <c r="AU12" s="1">
        <v>-4000</v>
      </c>
      <c r="AW12" s="5" t="s">
        <v>63</v>
      </c>
      <c r="AX12" s="62">
        <v>-5.2631578947368418E-2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E12" s="5" t="s">
        <v>62</v>
      </c>
      <c r="BF12" s="1">
        <v>-11400</v>
      </c>
      <c r="BG12" s="1">
        <v>-68400</v>
      </c>
      <c r="BH12" s="1">
        <v>-38000</v>
      </c>
      <c r="BI12" s="1">
        <v>-15000</v>
      </c>
      <c r="BJ12" s="1">
        <v>-20000</v>
      </c>
      <c r="BK12" s="1">
        <v>-15000</v>
      </c>
      <c r="BL12" s="1">
        <v>-900</v>
      </c>
      <c r="BM12" s="1">
        <v>-5400</v>
      </c>
      <c r="BN12" s="1">
        <v>-3000</v>
      </c>
      <c r="BO12" s="1">
        <v>-32000</v>
      </c>
      <c r="BP12" s="1">
        <v>-70000</v>
      </c>
      <c r="BQ12" s="1">
        <v>-45000</v>
      </c>
      <c r="BR12" s="1">
        <v>-30000</v>
      </c>
      <c r="BS12" s="1">
        <v>-10000</v>
      </c>
      <c r="BT12" s="1">
        <v>-5000</v>
      </c>
      <c r="BU12" s="1">
        <v>-15000</v>
      </c>
      <c r="BV12" s="1">
        <v>-36000</v>
      </c>
      <c r="BW12" s="1">
        <v>-20000</v>
      </c>
      <c r="BY12" s="5" t="s">
        <v>63</v>
      </c>
      <c r="BZ12" s="62">
        <v>5.2631578947368418E-2</v>
      </c>
      <c r="CA12" s="62">
        <v>0</v>
      </c>
      <c r="CB12" s="62">
        <v>-0.33333333333333331</v>
      </c>
      <c r="CC12" s="62">
        <v>0</v>
      </c>
      <c r="CD12" s="62">
        <v>0</v>
      </c>
      <c r="CE12" s="62">
        <v>0</v>
      </c>
      <c r="CF12" s="62"/>
      <c r="CG12" s="5" t="s">
        <v>63</v>
      </c>
      <c r="CH12" s="1">
        <v>-12000</v>
      </c>
      <c r="CI12" s="1">
        <v>-34300</v>
      </c>
      <c r="CJ12" s="1">
        <v>-22000</v>
      </c>
      <c r="CL12" s="5" t="s">
        <v>64</v>
      </c>
      <c r="CM12" s="62">
        <v>-8.027151845767598E-2</v>
      </c>
      <c r="CN12" s="62">
        <v>-4.791439447395774E-2</v>
      </c>
      <c r="CO12" s="62">
        <v>-0.27779841761265911</v>
      </c>
      <c r="CP12" s="62">
        <v>-0.25239052103066184</v>
      </c>
      <c r="CQ12" s="62">
        <v>-0.28855375751927476</v>
      </c>
      <c r="CR12" s="62">
        <v>-0.26352424637801292</v>
      </c>
      <c r="CT12" s="5" t="s">
        <v>64</v>
      </c>
      <c r="CU12" s="62">
        <v>7.4910937629060509E-2</v>
      </c>
      <c r="CV12" s="62">
        <v>0.11973342251056955</v>
      </c>
      <c r="CX12" s="5" t="s">
        <v>63</v>
      </c>
      <c r="CY12" s="62">
        <v>-3.4456015953910922E-2</v>
      </c>
      <c r="CZ12" s="62">
        <v>0.40558158484416379</v>
      </c>
      <c r="DA12" s="62">
        <v>1.4456126162555601E-2</v>
      </c>
      <c r="DB12" s="62">
        <v>0.17984369563471883</v>
      </c>
      <c r="DD12" s="5" t="s">
        <v>63</v>
      </c>
      <c r="DE12" s="62">
        <v>1.5625000000000001E-3</v>
      </c>
      <c r="DF12" s="62">
        <v>4.1699604743083006E-2</v>
      </c>
      <c r="DG12" s="62">
        <v>-7.0329006942348324E-2</v>
      </c>
      <c r="DH12" s="62">
        <v>-1.8459146993102108E-3</v>
      </c>
      <c r="DJ12" s="5" t="s">
        <v>63</v>
      </c>
      <c r="DK12" s="62">
        <v>-7.8153794605461555E-2</v>
      </c>
      <c r="DL12" s="62">
        <v>0.94945159752026709</v>
      </c>
      <c r="DM12" s="62">
        <v>8.6026615969581749E-2</v>
      </c>
      <c r="DN12" s="62">
        <v>0.37878425272226873</v>
      </c>
      <c r="DP12" s="5" t="s">
        <v>63</v>
      </c>
      <c r="DQ12" s="1">
        <v>-49575</v>
      </c>
      <c r="DR12" s="1">
        <v>197200</v>
      </c>
      <c r="DS12" s="1">
        <v>215750</v>
      </c>
      <c r="DT12" s="1">
        <v>363375</v>
      </c>
      <c r="DV12" s="5" t="s">
        <v>63</v>
      </c>
      <c r="DW12" s="1">
        <v>-61575</v>
      </c>
      <c r="DX12" s="1">
        <v>162900</v>
      </c>
      <c r="DY12" s="1">
        <v>193750</v>
      </c>
      <c r="DZ12" s="1">
        <v>295075</v>
      </c>
    </row>
    <row r="13" spans="1:130" x14ac:dyDescent="0.25">
      <c r="B13" s="67">
        <v>9</v>
      </c>
      <c r="C13" s="71" t="s">
        <v>61</v>
      </c>
      <c r="H13" s="5" t="s">
        <v>63</v>
      </c>
      <c r="I13" s="1">
        <v>10800</v>
      </c>
      <c r="J13" s="1">
        <v>60000</v>
      </c>
      <c r="K13" s="1">
        <v>72000</v>
      </c>
      <c r="L13" s="1">
        <v>9000</v>
      </c>
      <c r="M13" s="1">
        <v>30000</v>
      </c>
      <c r="N13" s="1">
        <v>60000</v>
      </c>
      <c r="O13" s="1">
        <v>110925</v>
      </c>
      <c r="P13" s="1">
        <v>600000</v>
      </c>
      <c r="Q13" s="1">
        <v>369750</v>
      </c>
      <c r="S13" s="5" t="s">
        <v>63</v>
      </c>
      <c r="T13" s="62">
        <v>3.4782608695652174E-2</v>
      </c>
      <c r="U13" s="62">
        <v>0.88607353781672704</v>
      </c>
      <c r="V13" s="62">
        <v>0.16151655202063628</v>
      </c>
      <c r="W13" s="62">
        <v>-3.7320395596193316E-2</v>
      </c>
      <c r="X13" s="62">
        <v>0.28142589118198874</v>
      </c>
      <c r="Y13" s="62">
        <v>7.0438536696205405E-3</v>
      </c>
      <c r="Z13" s="62">
        <v>0.17984369563471883</v>
      </c>
      <c r="AA13" s="62">
        <v>-1.8459146993102108E-3</v>
      </c>
      <c r="AC13" s="5" t="s">
        <v>63</v>
      </c>
      <c r="AD13" s="1">
        <v>-50000</v>
      </c>
      <c r="AE13" s="1">
        <v>-200000</v>
      </c>
      <c r="AF13" s="1">
        <v>-110000</v>
      </c>
      <c r="AG13" s="1">
        <v>-20000</v>
      </c>
      <c r="AH13" s="1">
        <v>-25000</v>
      </c>
      <c r="AI13" s="1">
        <v>-30000</v>
      </c>
      <c r="AJ13" s="1">
        <v>-2100</v>
      </c>
      <c r="AK13" s="1">
        <v>-12600</v>
      </c>
      <c r="AL13" s="1">
        <v>-7000</v>
      </c>
      <c r="AM13" s="1">
        <v>-600</v>
      </c>
      <c r="AN13" s="1">
        <v>-3600</v>
      </c>
      <c r="AO13" s="1">
        <v>-2000</v>
      </c>
      <c r="AP13" s="1">
        <v>-1800</v>
      </c>
      <c r="AQ13" s="1">
        <v>-30000</v>
      </c>
      <c r="AR13" s="1">
        <v>-6000</v>
      </c>
      <c r="AS13" s="1">
        <v>-1200</v>
      </c>
      <c r="AT13" s="1">
        <v>-10000</v>
      </c>
      <c r="AU13" s="1">
        <v>-4000</v>
      </c>
      <c r="AW13" s="5" t="s">
        <v>64</v>
      </c>
      <c r="AX13" s="62">
        <v>0</v>
      </c>
      <c r="AY13" s="62">
        <v>0</v>
      </c>
      <c r="AZ13" s="62">
        <v>-1.3824884792626729E-2</v>
      </c>
      <c r="BA13" s="62">
        <v>0.5</v>
      </c>
      <c r="BB13" s="62">
        <v>0.43121693121693122</v>
      </c>
      <c r="BC13" s="62">
        <v>4.6052631578947366E-2</v>
      </c>
      <c r="BE13" s="5" t="s">
        <v>63</v>
      </c>
      <c r="BF13" s="1">
        <v>-12000</v>
      </c>
      <c r="BG13" s="1">
        <v>-72000</v>
      </c>
      <c r="BH13" s="1">
        <v>-40000</v>
      </c>
      <c r="BI13" s="1">
        <v>-15000</v>
      </c>
      <c r="BJ13" s="1">
        <v>-20000</v>
      </c>
      <c r="BK13" s="1">
        <v>-15000</v>
      </c>
      <c r="BL13" s="1">
        <v>-600</v>
      </c>
      <c r="BM13" s="1">
        <v>-3600</v>
      </c>
      <c r="BN13" s="1">
        <v>-2000</v>
      </c>
      <c r="BO13" s="1">
        <v>-32000</v>
      </c>
      <c r="BP13" s="1">
        <v>-70000</v>
      </c>
      <c r="BQ13" s="1">
        <v>-45000</v>
      </c>
      <c r="BR13" s="1">
        <v>-30000</v>
      </c>
      <c r="BS13" s="1">
        <v>-10000</v>
      </c>
      <c r="BT13" s="1">
        <v>-5000</v>
      </c>
      <c r="BU13" s="1">
        <v>-15000</v>
      </c>
      <c r="BV13" s="1">
        <v>-36000</v>
      </c>
      <c r="BW13" s="1">
        <v>-20000</v>
      </c>
      <c r="BY13" s="5" t="s">
        <v>64</v>
      </c>
      <c r="BZ13" s="62">
        <v>0</v>
      </c>
      <c r="CA13" s="62">
        <v>0.6</v>
      </c>
      <c r="CB13" s="62">
        <v>1</v>
      </c>
      <c r="CC13" s="62">
        <v>0</v>
      </c>
      <c r="CD13" s="62">
        <v>0</v>
      </c>
      <c r="CE13" s="62">
        <v>0</v>
      </c>
      <c r="CF13" s="62"/>
      <c r="CG13" s="5" t="s">
        <v>64</v>
      </c>
      <c r="CH13" s="1">
        <v>-12000</v>
      </c>
      <c r="CI13" s="1">
        <v>-25200</v>
      </c>
      <c r="CJ13" s="1">
        <v>-15300</v>
      </c>
      <c r="CL13" s="5" t="s">
        <v>65</v>
      </c>
      <c r="CM13" s="62">
        <v>0.58590917056468461</v>
      </c>
      <c r="CN13" s="62">
        <v>0.17100671473781662</v>
      </c>
      <c r="CO13" s="62">
        <v>1.4375071447624128</v>
      </c>
      <c r="CP13" s="62">
        <v>0.79981129229605397</v>
      </c>
      <c r="CQ13" s="62">
        <v>1.5292954794455296</v>
      </c>
      <c r="CR13" s="62">
        <v>0.8675861423590373</v>
      </c>
      <c r="CT13" s="5" t="s">
        <v>65</v>
      </c>
      <c r="CU13" s="62">
        <v>-0.23680774910202418</v>
      </c>
      <c r="CV13" s="62">
        <v>-0.17320935803775364</v>
      </c>
      <c r="CX13" s="5" t="s">
        <v>64</v>
      </c>
      <c r="CY13" s="62">
        <v>-4.0504876649454964E-2</v>
      </c>
      <c r="CZ13" s="62">
        <v>-1.7391304347826087E-2</v>
      </c>
      <c r="DA13" s="62">
        <v>-5.5107125062282013E-2</v>
      </c>
      <c r="DB13" s="62">
        <v>-3.3985519575039223E-2</v>
      </c>
      <c r="DD13" s="5" t="s">
        <v>64</v>
      </c>
      <c r="DE13" s="62">
        <v>2.9121164846593862E-2</v>
      </c>
      <c r="DF13" s="62">
        <v>4.4204135837601972E-2</v>
      </c>
      <c r="DG13" s="62">
        <v>3.6688311688311687E-2</v>
      </c>
      <c r="DH13" s="62">
        <v>3.9127895658944908E-2</v>
      </c>
      <c r="DJ13" s="5" t="s">
        <v>64</v>
      </c>
      <c r="DK13" s="62">
        <v>-9.6228986824170831E-2</v>
      </c>
      <c r="DL13" s="62">
        <v>-7.5342465753424653E-2</v>
      </c>
      <c r="DM13" s="62">
        <v>-8.3588621444201316E-2</v>
      </c>
      <c r="DN13" s="62">
        <v>-8.027151845767598E-2</v>
      </c>
      <c r="DP13" s="5" t="s">
        <v>64</v>
      </c>
      <c r="DQ13" s="1">
        <v>-60470</v>
      </c>
      <c r="DR13" s="1">
        <v>152800</v>
      </c>
      <c r="DS13" s="1">
        <v>170100</v>
      </c>
      <c r="DT13" s="1">
        <v>262430</v>
      </c>
      <c r="DV13" s="5" t="s">
        <v>64</v>
      </c>
      <c r="DW13" s="1">
        <v>-72470</v>
      </c>
      <c r="DX13" s="1">
        <v>127600</v>
      </c>
      <c r="DY13" s="1">
        <v>154800</v>
      </c>
      <c r="DZ13" s="1">
        <v>209930</v>
      </c>
    </row>
    <row r="14" spans="1:130" x14ac:dyDescent="0.25">
      <c r="B14" s="67">
        <v>10</v>
      </c>
      <c r="C14" s="71" t="s">
        <v>62</v>
      </c>
      <c r="H14" s="5" t="s">
        <v>64</v>
      </c>
      <c r="I14" s="1">
        <v>10800</v>
      </c>
      <c r="J14" s="1">
        <v>57000</v>
      </c>
      <c r="K14" s="1">
        <v>72000</v>
      </c>
      <c r="L14" s="1">
        <v>6000</v>
      </c>
      <c r="M14" s="1">
        <v>21000</v>
      </c>
      <c r="N14" s="1">
        <v>40000</v>
      </c>
      <c r="O14" s="1">
        <v>108630</v>
      </c>
      <c r="P14" s="1">
        <v>600000</v>
      </c>
      <c r="Q14" s="1">
        <v>362100</v>
      </c>
      <c r="S14" s="5" t="s">
        <v>64</v>
      </c>
      <c r="T14" s="62">
        <v>-2.100840336134454E-2</v>
      </c>
      <c r="U14" s="62">
        <v>-0.32323232323232326</v>
      </c>
      <c r="V14" s="62">
        <v>-9.2025817197584851E-3</v>
      </c>
      <c r="W14" s="62">
        <v>3.8379530916844352E-2</v>
      </c>
      <c r="X14" s="62">
        <v>-0.23133235724743778</v>
      </c>
      <c r="Y14" s="62">
        <v>8.1678700361010825E-2</v>
      </c>
      <c r="Z14" s="62">
        <v>-3.3985519575039223E-2</v>
      </c>
      <c r="AA14" s="62">
        <v>3.9127895658944908E-2</v>
      </c>
      <c r="AC14" s="5" t="s">
        <v>64</v>
      </c>
      <c r="AD14" s="1">
        <v>-50000</v>
      </c>
      <c r="AE14" s="1">
        <v>-200000</v>
      </c>
      <c r="AF14" s="1">
        <v>-110000</v>
      </c>
      <c r="AG14" s="1">
        <v>-20000</v>
      </c>
      <c r="AH14" s="1">
        <v>-25000</v>
      </c>
      <c r="AI14" s="1">
        <v>-30000</v>
      </c>
      <c r="AJ14" s="1">
        <v>-1800</v>
      </c>
      <c r="AK14" s="1">
        <v>-12600</v>
      </c>
      <c r="AL14" s="1">
        <v>-7000</v>
      </c>
      <c r="AM14" s="1">
        <v>-900</v>
      </c>
      <c r="AN14" s="1">
        <v>-5400</v>
      </c>
      <c r="AO14" s="1">
        <v>-3000</v>
      </c>
      <c r="AP14" s="1">
        <v>-2100</v>
      </c>
      <c r="AQ14" s="1">
        <v>-45000</v>
      </c>
      <c r="AR14" s="1">
        <v>-7000</v>
      </c>
      <c r="AS14" s="1">
        <v>-900</v>
      </c>
      <c r="AT14" s="1">
        <v>-12000</v>
      </c>
      <c r="AU14" s="1">
        <v>-3000</v>
      </c>
      <c r="AW14" s="5" t="s">
        <v>65</v>
      </c>
      <c r="AX14" s="62">
        <v>0</v>
      </c>
      <c r="AY14" s="62">
        <v>0</v>
      </c>
      <c r="AZ14" s="62">
        <v>1.4018691588785047E-2</v>
      </c>
      <c r="BA14" s="62">
        <v>0.20430107526881722</v>
      </c>
      <c r="BB14" s="62">
        <v>0.14048059149722736</v>
      </c>
      <c r="BC14" s="62">
        <v>0.51572327044025157</v>
      </c>
      <c r="BE14" s="5" t="s">
        <v>64</v>
      </c>
      <c r="BF14" s="1">
        <v>-12000</v>
      </c>
      <c r="BG14" s="1">
        <v>-72000</v>
      </c>
      <c r="BH14" s="1">
        <v>-40000</v>
      </c>
      <c r="BI14" s="1">
        <v>-20000</v>
      </c>
      <c r="BJ14" s="1">
        <v>-30000</v>
      </c>
      <c r="BK14" s="1">
        <v>-30000</v>
      </c>
      <c r="BL14" s="1">
        <v>-1200</v>
      </c>
      <c r="BM14" s="1">
        <v>-7200</v>
      </c>
      <c r="BN14" s="1">
        <v>-4000</v>
      </c>
      <c r="BO14" s="1">
        <v>-32000</v>
      </c>
      <c r="BP14" s="1">
        <v>-70000</v>
      </c>
      <c r="BQ14" s="1">
        <v>-45000</v>
      </c>
      <c r="BR14" s="1">
        <v>-30000</v>
      </c>
      <c r="BS14" s="1">
        <v>-10000</v>
      </c>
      <c r="BT14" s="1">
        <v>-5000</v>
      </c>
      <c r="BU14" s="1">
        <v>-15000</v>
      </c>
      <c r="BV14" s="1">
        <v>-36000</v>
      </c>
      <c r="BW14" s="1">
        <v>-20000</v>
      </c>
      <c r="BY14" s="5" t="s">
        <v>65</v>
      </c>
      <c r="BZ14" s="62">
        <v>0</v>
      </c>
      <c r="CA14" s="62">
        <v>0.5</v>
      </c>
      <c r="CB14" s="62">
        <v>1</v>
      </c>
      <c r="CC14" s="62">
        <v>3.4013605442176874E-2</v>
      </c>
      <c r="CD14" s="62">
        <v>0</v>
      </c>
      <c r="CE14" s="62">
        <v>0</v>
      </c>
      <c r="CF14" s="62"/>
      <c r="CG14" s="5" t="s">
        <v>65</v>
      </c>
      <c r="CH14" s="1">
        <v>-12000</v>
      </c>
      <c r="CI14" s="1">
        <v>-60000</v>
      </c>
      <c r="CJ14" s="1">
        <v>-36700</v>
      </c>
      <c r="CL14" s="5" t="s">
        <v>74</v>
      </c>
      <c r="CM14" s="9"/>
      <c r="CN14" s="9"/>
      <c r="CO14" s="9"/>
      <c r="CP14" s="9"/>
      <c r="CQ14" s="9"/>
      <c r="CR14" s="9"/>
      <c r="CT14" s="5" t="s">
        <v>74</v>
      </c>
      <c r="CU14" s="9"/>
      <c r="CV14" s="9"/>
      <c r="CX14" s="5" t="s">
        <v>65</v>
      </c>
      <c r="CY14" s="62">
        <v>0.3507534082755322</v>
      </c>
      <c r="CZ14" s="62">
        <v>0.33185840707964603</v>
      </c>
      <c r="DA14" s="62">
        <v>0.38736553469732127</v>
      </c>
      <c r="DB14" s="62">
        <v>0.35431261888174836</v>
      </c>
      <c r="DD14" s="5" t="s">
        <v>65</v>
      </c>
      <c r="DE14" s="62">
        <v>6.8721576553815056E-2</v>
      </c>
      <c r="DF14" s="62">
        <v>0.12827034883720931</v>
      </c>
      <c r="DG14" s="62">
        <v>0.14844973379267146</v>
      </c>
      <c r="DH14" s="62">
        <v>0.12326714125140502</v>
      </c>
      <c r="DJ14" s="5" t="s">
        <v>65</v>
      </c>
      <c r="DK14" s="62">
        <v>0.83641664990951137</v>
      </c>
      <c r="DL14" s="62">
        <v>0.57248677248677249</v>
      </c>
      <c r="DM14" s="62">
        <v>0.56240050939191344</v>
      </c>
      <c r="DN14" s="62">
        <v>0.58590917056468461</v>
      </c>
      <c r="DP14" s="5" t="s">
        <v>65</v>
      </c>
      <c r="DQ14" s="1">
        <v>-30075</v>
      </c>
      <c r="DR14" s="1">
        <v>342000</v>
      </c>
      <c r="DS14" s="1">
        <v>327750</v>
      </c>
      <c r="DT14" s="1">
        <v>639675</v>
      </c>
      <c r="DV14" s="5" t="s">
        <v>65</v>
      </c>
      <c r="DW14" s="1">
        <v>-42075</v>
      </c>
      <c r="DX14" s="1">
        <v>282000</v>
      </c>
      <c r="DY14" s="1">
        <v>291050</v>
      </c>
      <c r="DZ14" s="1">
        <v>530975</v>
      </c>
    </row>
    <row r="15" spans="1:130" x14ac:dyDescent="0.25">
      <c r="B15" s="67">
        <v>11</v>
      </c>
      <c r="C15" s="71" t="s">
        <v>63</v>
      </c>
      <c r="H15" s="5" t="s">
        <v>65</v>
      </c>
      <c r="I15" s="1">
        <v>18900</v>
      </c>
      <c r="J15" s="1">
        <v>126000</v>
      </c>
      <c r="K15" s="1">
        <v>126000</v>
      </c>
      <c r="L15" s="1">
        <v>9000</v>
      </c>
      <c r="M15" s="1">
        <v>27000</v>
      </c>
      <c r="N15" s="1">
        <v>60000</v>
      </c>
      <c r="O15" s="1">
        <v>141525</v>
      </c>
      <c r="P15" s="1">
        <v>750000</v>
      </c>
      <c r="Q15" s="1">
        <v>471750</v>
      </c>
      <c r="S15" s="5" t="s">
        <v>65</v>
      </c>
      <c r="T15" s="62">
        <v>0.9377682403433476</v>
      </c>
      <c r="U15" s="62">
        <v>0.43283582089552236</v>
      </c>
      <c r="V15" s="62">
        <v>0.27322013953097418</v>
      </c>
      <c r="W15" s="62">
        <v>3.3600896023893968E-2</v>
      </c>
      <c r="X15" s="62">
        <v>1.0704761904761906</v>
      </c>
      <c r="Y15" s="62">
        <v>0.11973299958281185</v>
      </c>
      <c r="Z15" s="62">
        <v>0.35431261888174836</v>
      </c>
      <c r="AA15" s="62">
        <v>0.12326714125140502</v>
      </c>
      <c r="AC15" s="5" t="s">
        <v>65</v>
      </c>
      <c r="AD15" s="1">
        <v>-50000</v>
      </c>
      <c r="AE15" s="1">
        <v>-200000</v>
      </c>
      <c r="AF15" s="1">
        <v>-110000</v>
      </c>
      <c r="AG15" s="1">
        <v>-20000</v>
      </c>
      <c r="AH15" s="1">
        <v>-25000</v>
      </c>
      <c r="AI15" s="1">
        <v>-30000</v>
      </c>
      <c r="AJ15" s="1">
        <v>-2100</v>
      </c>
      <c r="AK15" s="1">
        <v>-12600</v>
      </c>
      <c r="AL15" s="1">
        <v>-7000</v>
      </c>
      <c r="AM15" s="1">
        <v>-1200</v>
      </c>
      <c r="AN15" s="1">
        <v>-6000</v>
      </c>
      <c r="AO15" s="1">
        <v>-4000</v>
      </c>
      <c r="AP15" s="1">
        <v>-2700</v>
      </c>
      <c r="AQ15" s="1">
        <v>-50000</v>
      </c>
      <c r="AR15" s="1">
        <v>-9000</v>
      </c>
      <c r="AS15" s="1">
        <v>-2100</v>
      </c>
      <c r="AT15" s="1">
        <v>-15000</v>
      </c>
      <c r="AU15" s="1">
        <v>-7000</v>
      </c>
      <c r="AW15" s="5" t="s">
        <v>74</v>
      </c>
      <c r="AX15" s="61"/>
      <c r="AY15" s="61"/>
      <c r="AZ15" s="61"/>
      <c r="BA15" s="61"/>
      <c r="BB15" s="61"/>
      <c r="BC15" s="61"/>
      <c r="BE15" s="5" t="s">
        <v>65</v>
      </c>
      <c r="BF15" s="1">
        <v>-12000</v>
      </c>
      <c r="BG15" s="1">
        <v>-72000</v>
      </c>
      <c r="BH15" s="1">
        <v>-40000</v>
      </c>
      <c r="BI15" s="1">
        <v>-30000</v>
      </c>
      <c r="BJ15" s="1">
        <v>-50000</v>
      </c>
      <c r="BK15" s="1">
        <v>-40000</v>
      </c>
      <c r="BL15" s="1">
        <v>-2400</v>
      </c>
      <c r="BM15" s="1">
        <v>-14400</v>
      </c>
      <c r="BN15" s="1">
        <v>-8000</v>
      </c>
      <c r="BO15" s="1">
        <v>-32000</v>
      </c>
      <c r="BP15" s="1">
        <v>-70000</v>
      </c>
      <c r="BQ15" s="1">
        <v>-50000</v>
      </c>
      <c r="BR15" s="1">
        <v>-30000</v>
      </c>
      <c r="BS15" s="1">
        <v>-10000</v>
      </c>
      <c r="BT15" s="1">
        <v>-5000</v>
      </c>
      <c r="BU15" s="1">
        <v>-15000</v>
      </c>
      <c r="BV15" s="1">
        <v>-36000</v>
      </c>
      <c r="BW15" s="1">
        <v>-20000</v>
      </c>
      <c r="BY15" s="5" t="s">
        <v>74</v>
      </c>
      <c r="BZ15" s="9"/>
      <c r="CA15" s="9"/>
      <c r="CB15" s="9"/>
      <c r="CC15" s="9"/>
      <c r="CD15" s="9"/>
      <c r="CE15" s="9"/>
      <c r="CG15" s="5" t="s">
        <v>74</v>
      </c>
      <c r="CH15" s="1">
        <v>-144000</v>
      </c>
      <c r="CI15" s="1">
        <v>-410500</v>
      </c>
      <c r="CJ15" s="1">
        <v>-374900</v>
      </c>
      <c r="CX15" s="5" t="s">
        <v>74</v>
      </c>
      <c r="CY15" s="9"/>
      <c r="CZ15" s="9"/>
      <c r="DA15" s="9"/>
      <c r="DB15" s="9"/>
      <c r="DD15" s="5" t="s">
        <v>74</v>
      </c>
      <c r="DE15" s="9"/>
      <c r="DF15" s="9"/>
      <c r="DG15" s="9"/>
      <c r="DH15" s="9"/>
      <c r="DJ15" s="5" t="s">
        <v>74</v>
      </c>
      <c r="DK15" s="9"/>
      <c r="DL15" s="9"/>
      <c r="DM15" s="9"/>
      <c r="DN15" s="9"/>
      <c r="DP15" s="5" t="s">
        <v>41</v>
      </c>
      <c r="DQ15" s="1">
        <v>-568880</v>
      </c>
      <c r="DR15" s="1">
        <v>2700700</v>
      </c>
      <c r="DS15" s="1">
        <v>3111700</v>
      </c>
      <c r="DT15" s="1">
        <v>5243520</v>
      </c>
      <c r="DV15" s="5" t="s">
        <v>41</v>
      </c>
      <c r="DW15" s="1">
        <v>-712880</v>
      </c>
      <c r="DX15" s="1">
        <v>2290200</v>
      </c>
      <c r="DY15" s="1">
        <v>2736800</v>
      </c>
      <c r="DZ15" s="1">
        <v>4314120</v>
      </c>
    </row>
    <row r="16" spans="1:130" x14ac:dyDescent="0.25">
      <c r="B16" s="67">
        <v>12</v>
      </c>
      <c r="C16" s="71" t="s">
        <v>64</v>
      </c>
      <c r="H16" s="5" t="s">
        <v>81</v>
      </c>
      <c r="I16" s="1">
        <v>256500</v>
      </c>
      <c r="J16" s="1">
        <v>1390500</v>
      </c>
      <c r="K16" s="1">
        <v>1170000</v>
      </c>
      <c r="L16" s="1">
        <v>55590</v>
      </c>
      <c r="M16" s="1">
        <v>378000</v>
      </c>
      <c r="N16" s="1">
        <v>532600</v>
      </c>
      <c r="O16" s="1">
        <v>1531530</v>
      </c>
      <c r="P16" s="1">
        <v>7140000</v>
      </c>
      <c r="Q16" s="1">
        <v>5105100</v>
      </c>
      <c r="S16" s="5" t="s">
        <v>74</v>
      </c>
      <c r="T16" s="9"/>
      <c r="U16" s="9"/>
      <c r="V16" s="9"/>
      <c r="W16" s="9"/>
      <c r="X16" s="9"/>
      <c r="Y16" s="9"/>
      <c r="Z16" s="9"/>
      <c r="AA16" s="9"/>
      <c r="AC16" s="5" t="s">
        <v>74</v>
      </c>
      <c r="AD16" s="1">
        <v>-690000</v>
      </c>
      <c r="AE16" s="1">
        <v>-2422000</v>
      </c>
      <c r="AF16" s="1">
        <v>-1380000</v>
      </c>
      <c r="AG16" s="1">
        <v>-240000</v>
      </c>
      <c r="AH16" s="1">
        <v>-465000</v>
      </c>
      <c r="AI16" s="1">
        <v>-360000</v>
      </c>
      <c r="AJ16" s="1">
        <v>-28500</v>
      </c>
      <c r="AK16" s="1">
        <v>-151200</v>
      </c>
      <c r="AL16" s="1">
        <v>-84000</v>
      </c>
      <c r="AM16" s="1">
        <v>-10200</v>
      </c>
      <c r="AN16" s="1">
        <v>-54000</v>
      </c>
      <c r="AO16" s="1">
        <v>-34000</v>
      </c>
      <c r="AP16" s="1">
        <v>-27000</v>
      </c>
      <c r="AQ16" s="1">
        <v>-330000</v>
      </c>
      <c r="AR16" s="1">
        <v>-90000</v>
      </c>
      <c r="AS16" s="1">
        <v>-21600</v>
      </c>
      <c r="AT16" s="1">
        <v>-252000</v>
      </c>
      <c r="AU16" s="1">
        <v>-72000</v>
      </c>
      <c r="BE16" s="5" t="s">
        <v>74</v>
      </c>
      <c r="BF16" s="1">
        <v>-129000</v>
      </c>
      <c r="BG16" s="1">
        <v>-774000</v>
      </c>
      <c r="BH16" s="1">
        <v>-430000</v>
      </c>
      <c r="BI16" s="1">
        <v>-265000</v>
      </c>
      <c r="BJ16" s="1">
        <v>-440000</v>
      </c>
      <c r="BK16" s="1">
        <v>-350000</v>
      </c>
      <c r="BL16" s="1">
        <v>-13200</v>
      </c>
      <c r="BM16" s="1">
        <v>-84600</v>
      </c>
      <c r="BN16" s="1">
        <v>-44000</v>
      </c>
      <c r="BO16" s="1">
        <v>-448000</v>
      </c>
      <c r="BP16" s="1">
        <v>-755000</v>
      </c>
      <c r="BQ16" s="1">
        <v>-587000</v>
      </c>
      <c r="BR16" s="1">
        <v>-360000</v>
      </c>
      <c r="BS16" s="1">
        <v>-120000</v>
      </c>
      <c r="BT16" s="1">
        <v>-60000</v>
      </c>
      <c r="BU16" s="1">
        <v>-180000</v>
      </c>
      <c r="BV16" s="1">
        <v>-360000</v>
      </c>
      <c r="BW16" s="1">
        <v>-205000</v>
      </c>
    </row>
    <row r="17" spans="2:130" ht="16.5" customHeight="1" x14ac:dyDescent="0.25">
      <c r="B17" s="67">
        <v>13</v>
      </c>
      <c r="C17" s="71" t="s">
        <v>65</v>
      </c>
      <c r="F17" s="64" t="s">
        <v>45</v>
      </c>
      <c r="H17" s="5"/>
      <c r="I17" s="1"/>
      <c r="J17" s="1"/>
      <c r="K17" s="1"/>
      <c r="L17" s="1"/>
      <c r="M17" s="1"/>
      <c r="N17" s="1"/>
      <c r="O17" s="1"/>
      <c r="P17" s="1"/>
      <c r="Q17" s="1"/>
      <c r="S17" s="5"/>
      <c r="T17" s="9"/>
      <c r="U17" s="9"/>
      <c r="V17" s="9"/>
      <c r="W17" s="9"/>
      <c r="X17" s="9"/>
      <c r="Y17" s="9"/>
      <c r="AC17" s="5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BE17" s="5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DQ17" t="s">
        <v>35</v>
      </c>
      <c r="DR17" t="s">
        <v>36</v>
      </c>
      <c r="DS17" t="s">
        <v>37</v>
      </c>
      <c r="DT17" t="s">
        <v>41</v>
      </c>
      <c r="DW17" t="s">
        <v>35</v>
      </c>
      <c r="DX17" t="s">
        <v>36</v>
      </c>
      <c r="DY17" t="s">
        <v>37</v>
      </c>
      <c r="DZ17" t="s">
        <v>41</v>
      </c>
    </row>
    <row r="18" spans="2:130" x14ac:dyDescent="0.25">
      <c r="DP18" t="s">
        <v>55</v>
      </c>
      <c r="DQ18" s="62">
        <v>0</v>
      </c>
      <c r="DR18" s="62">
        <v>0</v>
      </c>
      <c r="DS18" s="62">
        <v>0</v>
      </c>
      <c r="DT18" s="62">
        <v>0</v>
      </c>
      <c r="DV18" t="s">
        <v>55</v>
      </c>
      <c r="DW18" s="62">
        <v>0</v>
      </c>
      <c r="DX18" s="62">
        <v>0</v>
      </c>
      <c r="DY18" s="62">
        <v>0</v>
      </c>
      <c r="DZ18" s="62">
        <v>0</v>
      </c>
    </row>
    <row r="19" spans="2:130" x14ac:dyDescent="0.25">
      <c r="DP19" t="s">
        <v>56</v>
      </c>
      <c r="DQ19" s="62">
        <f t="shared" ref="DQ19:DT29" si="0">(DQ4-DQ3)/ABS(DQ3)</f>
        <v>-0.66268656716417906</v>
      </c>
      <c r="DR19" s="62">
        <f t="shared" si="0"/>
        <v>-0.2562200956937799</v>
      </c>
      <c r="DS19" s="62">
        <f t="shared" si="0"/>
        <v>-0.2364066193853428</v>
      </c>
      <c r="DT19" s="62">
        <f t="shared" si="0"/>
        <v>-0.28396284829721363</v>
      </c>
      <c r="DV19" t="s">
        <v>56</v>
      </c>
      <c r="DW19" s="62">
        <f t="shared" ref="DW19:DZ29" si="1">(DW4-DW3)/ABS(DW3)</f>
        <v>-0.4879120879120879</v>
      </c>
      <c r="DX19" s="62">
        <f t="shared" si="1"/>
        <v>-0.28888888888888886</v>
      </c>
      <c r="DY19" s="62">
        <f t="shared" si="1"/>
        <v>-0.23450134770889489</v>
      </c>
      <c r="DZ19" s="62">
        <f t="shared" si="1"/>
        <v>-0.31072714182865369</v>
      </c>
    </row>
    <row r="20" spans="2:130" x14ac:dyDescent="0.25">
      <c r="DP20" t="s">
        <v>57</v>
      </c>
      <c r="DQ20" s="62">
        <f t="shared" si="0"/>
        <v>-0.31508078994614003</v>
      </c>
      <c r="DR20" s="62">
        <f t="shared" si="0"/>
        <v>-0.15953682856223866</v>
      </c>
      <c r="DS20" s="62">
        <f t="shared" si="0"/>
        <v>-0.41021671826625389</v>
      </c>
      <c r="DT20" s="62">
        <f t="shared" si="0"/>
        <v>-0.3452957454168108</v>
      </c>
      <c r="DV20" t="s">
        <v>57</v>
      </c>
      <c r="DW20" s="62">
        <f t="shared" si="1"/>
        <v>-0.25923190546528802</v>
      </c>
      <c r="DX20" s="62">
        <f t="shared" si="1"/>
        <v>-0.14519817073170732</v>
      </c>
      <c r="DY20" s="62">
        <f t="shared" si="1"/>
        <v>-0.42429577464788731</v>
      </c>
      <c r="DZ20" s="62">
        <f t="shared" si="1"/>
        <v>-0.36797576770419888</v>
      </c>
    </row>
    <row r="21" spans="2:130" x14ac:dyDescent="0.25">
      <c r="DP21" t="s">
        <v>58</v>
      </c>
      <c r="DQ21" s="62">
        <f t="shared" si="0"/>
        <v>-0.27235494880546074</v>
      </c>
      <c r="DR21" s="62">
        <f t="shared" si="0"/>
        <v>-0.2265595101415997</v>
      </c>
      <c r="DS21" s="62">
        <f t="shared" si="0"/>
        <v>-0.24934383202099739</v>
      </c>
      <c r="DT21" s="62">
        <f t="shared" si="0"/>
        <v>-0.33456610751551974</v>
      </c>
      <c r="DV21" t="s">
        <v>58</v>
      </c>
      <c r="DW21" s="62">
        <f t="shared" si="1"/>
        <v>-0.23401759530791788</v>
      </c>
      <c r="DX21" s="62">
        <f t="shared" si="1"/>
        <v>-0.22024074899687918</v>
      </c>
      <c r="DY21" s="62">
        <f t="shared" si="1"/>
        <v>-0.24770642201834864</v>
      </c>
      <c r="DZ21" s="62">
        <f t="shared" si="1"/>
        <v>-0.3630804825648653</v>
      </c>
    </row>
    <row r="22" spans="2:130" x14ac:dyDescent="0.25">
      <c r="DP22" t="s">
        <v>8</v>
      </c>
      <c r="DQ22" s="62">
        <f t="shared" si="0"/>
        <v>0.32510729613733907</v>
      </c>
      <c r="DR22" s="62">
        <f t="shared" si="0"/>
        <v>0.31766452251360711</v>
      </c>
      <c r="DS22" s="62">
        <f t="shared" si="0"/>
        <v>1.4405594405594406</v>
      </c>
      <c r="DT22" s="62">
        <f t="shared" si="0"/>
        <v>1.1929337038507344</v>
      </c>
      <c r="DV22" t="s">
        <v>8</v>
      </c>
      <c r="DW22" s="62">
        <f t="shared" si="1"/>
        <v>0.28802281368821292</v>
      </c>
      <c r="DX22" s="62">
        <f t="shared" si="1"/>
        <v>0.28359062321326473</v>
      </c>
      <c r="DY22" s="62">
        <f t="shared" si="1"/>
        <v>1.5853658536585367</v>
      </c>
      <c r="DZ22" s="62">
        <f t="shared" si="1"/>
        <v>1.4265697976128697</v>
      </c>
    </row>
    <row r="23" spans="2:130" x14ac:dyDescent="0.25">
      <c r="DP23" t="s">
        <v>59</v>
      </c>
      <c r="DQ23" s="62">
        <f t="shared" si="0"/>
        <v>0.43402225755166934</v>
      </c>
      <c r="DR23" s="62">
        <f t="shared" si="0"/>
        <v>-0.21104018024784077</v>
      </c>
      <c r="DS23" s="62">
        <f t="shared" si="0"/>
        <v>0.17191977077363896</v>
      </c>
      <c r="DT23" s="62">
        <f t="shared" si="0"/>
        <v>5.6299782766111514E-2</v>
      </c>
      <c r="DV23" t="s">
        <v>59</v>
      </c>
      <c r="DW23" s="62">
        <f t="shared" si="1"/>
        <v>0.3644859813084112</v>
      </c>
      <c r="DX23" s="62">
        <f t="shared" si="1"/>
        <v>-0.16080178173719376</v>
      </c>
      <c r="DY23" s="62">
        <f t="shared" si="1"/>
        <v>0.10786163522012579</v>
      </c>
      <c r="DZ23" s="62">
        <f t="shared" si="1"/>
        <v>5.453378956372968E-2</v>
      </c>
    </row>
    <row r="24" spans="2:130" x14ac:dyDescent="0.25">
      <c r="DP24" t="s">
        <v>60</v>
      </c>
      <c r="DQ24" s="62">
        <f t="shared" si="0"/>
        <v>-0.37219101123595505</v>
      </c>
      <c r="DR24" s="62">
        <f t="shared" si="0"/>
        <v>-0.10280818657782008</v>
      </c>
      <c r="DS24" s="62">
        <f t="shared" si="0"/>
        <v>-0.46577017114914426</v>
      </c>
      <c r="DT24" s="62">
        <f t="shared" si="0"/>
        <v>-0.38620394173093403</v>
      </c>
      <c r="DV24" t="s">
        <v>60</v>
      </c>
      <c r="DW24" s="62">
        <f t="shared" si="1"/>
        <v>-0.27836134453781514</v>
      </c>
      <c r="DX24" s="62">
        <f t="shared" si="1"/>
        <v>-0.14278131634819533</v>
      </c>
      <c r="DY24" s="62">
        <f t="shared" si="1"/>
        <v>-0.46579619642350267</v>
      </c>
      <c r="DZ24" s="62">
        <f t="shared" si="1"/>
        <v>-0.41421618332995336</v>
      </c>
    </row>
    <row r="25" spans="2:130" x14ac:dyDescent="0.25">
      <c r="DP25" t="s">
        <v>61</v>
      </c>
      <c r="DQ25" s="62">
        <f t="shared" si="0"/>
        <v>1.3858751279426818</v>
      </c>
      <c r="DR25" s="62">
        <f t="shared" si="0"/>
        <v>-0.19575596816976126</v>
      </c>
      <c r="DS25" s="62">
        <f t="shared" si="0"/>
        <v>-0.30205949656750575</v>
      </c>
      <c r="DT25" s="62">
        <f t="shared" si="0"/>
        <v>-9.828284238447578E-2</v>
      </c>
      <c r="DV25" t="s">
        <v>61</v>
      </c>
      <c r="DW25" s="62">
        <f t="shared" si="1"/>
        <v>1.1125718981101069</v>
      </c>
      <c r="DX25" s="62">
        <f t="shared" si="1"/>
        <v>-0.20866873065015479</v>
      </c>
      <c r="DY25" s="62">
        <f t="shared" si="1"/>
        <v>-0.28852284803400635</v>
      </c>
      <c r="DZ25" s="62">
        <f t="shared" si="1"/>
        <v>-7.0278691362298765E-2</v>
      </c>
    </row>
    <row r="26" spans="2:130" x14ac:dyDescent="0.25">
      <c r="W26" s="10"/>
      <c r="DP26" t="s">
        <v>62</v>
      </c>
      <c r="DQ26" s="62">
        <f t="shared" si="0"/>
        <v>-3.3665782493368699</v>
      </c>
      <c r="DR26" s="62">
        <f t="shared" si="0"/>
        <v>-1.0006596306068603</v>
      </c>
      <c r="DS26" s="62">
        <f t="shared" si="0"/>
        <v>0.24327868852459017</v>
      </c>
      <c r="DT26" s="62">
        <f t="shared" si="0"/>
        <v>-0.55135469886979405</v>
      </c>
      <c r="DV26" t="s">
        <v>62</v>
      </c>
      <c r="DW26" s="62">
        <f t="shared" si="1"/>
        <v>-9.2642335766423365</v>
      </c>
      <c r="DX26" s="62">
        <f t="shared" si="1"/>
        <v>-1.1181533646322379</v>
      </c>
      <c r="DY26" s="62">
        <f t="shared" si="1"/>
        <v>0.21956684092606424</v>
      </c>
      <c r="DZ26" s="62">
        <f t="shared" si="1"/>
        <v>-0.65894619251536024</v>
      </c>
    </row>
    <row r="27" spans="2:130" x14ac:dyDescent="0.25">
      <c r="W27" s="10"/>
      <c r="DP27" t="s">
        <v>63</v>
      </c>
      <c r="DQ27" s="62">
        <f t="shared" si="0"/>
        <v>-0.11129791526563551</v>
      </c>
      <c r="DR27" s="62">
        <f t="shared" si="0"/>
        <v>1973</v>
      </c>
      <c r="DS27" s="62">
        <f t="shared" si="0"/>
        <v>0.13792194092827004</v>
      </c>
      <c r="DT27" s="62">
        <f t="shared" si="0"/>
        <v>1.5079370556974256</v>
      </c>
      <c r="DV27" t="s">
        <v>63</v>
      </c>
      <c r="DW27" s="62">
        <f t="shared" si="1"/>
        <v>-8.7705352411234769E-2</v>
      </c>
      <c r="DX27" s="62">
        <f t="shared" si="1"/>
        <v>11.788079470198676</v>
      </c>
      <c r="DY27" s="62">
        <f t="shared" si="1"/>
        <v>0.18646662584200857</v>
      </c>
      <c r="DZ27" s="62">
        <f t="shared" si="1"/>
        <v>2.221694508134076</v>
      </c>
    </row>
    <row r="28" spans="2:130" x14ac:dyDescent="0.25">
      <c r="W28" s="10"/>
      <c r="DP28" t="s">
        <v>64</v>
      </c>
      <c r="DQ28" s="62">
        <f t="shared" si="0"/>
        <v>-0.21976802824004035</v>
      </c>
      <c r="DR28" s="62">
        <f t="shared" si="0"/>
        <v>-0.22515212981744423</v>
      </c>
      <c r="DS28" s="62">
        <f t="shared" si="0"/>
        <v>-0.2115874855156431</v>
      </c>
      <c r="DT28" s="62">
        <f t="shared" si="0"/>
        <v>-0.27779841761265911</v>
      </c>
      <c r="DV28" t="s">
        <v>64</v>
      </c>
      <c r="DW28" s="62">
        <f t="shared" si="1"/>
        <v>-0.17693869265123832</v>
      </c>
      <c r="DX28" s="62">
        <f t="shared" si="1"/>
        <v>-0.21669736034376919</v>
      </c>
      <c r="DY28" s="62">
        <f t="shared" si="1"/>
        <v>-0.20103225806451613</v>
      </c>
      <c r="DZ28" s="62">
        <f t="shared" si="1"/>
        <v>-0.28855375751927476</v>
      </c>
    </row>
    <row r="29" spans="2:130" x14ac:dyDescent="0.25">
      <c r="W29" s="10"/>
      <c r="DP29" t="s">
        <v>65</v>
      </c>
      <c r="DQ29" s="62">
        <f t="shared" si="0"/>
        <v>0.50264594013560449</v>
      </c>
      <c r="DR29" s="62">
        <f t="shared" si="0"/>
        <v>1.2382198952879582</v>
      </c>
      <c r="DS29" s="62">
        <f t="shared" si="0"/>
        <v>0.92680776014109345</v>
      </c>
      <c r="DT29" s="62">
        <f t="shared" si="0"/>
        <v>1.4375071447624128</v>
      </c>
      <c r="DV29" t="s">
        <v>65</v>
      </c>
      <c r="DW29" s="62">
        <f t="shared" si="1"/>
        <v>0.41941493031599281</v>
      </c>
      <c r="DX29" s="62">
        <f t="shared" si="1"/>
        <v>1.2100313479623825</v>
      </c>
      <c r="DY29" s="62">
        <f t="shared" si="1"/>
        <v>0.8801679586563308</v>
      </c>
      <c r="DZ29" s="62">
        <f t="shared" si="1"/>
        <v>1.5292954794455296</v>
      </c>
    </row>
    <row r="30" spans="2:130" x14ac:dyDescent="0.25">
      <c r="W30" s="10"/>
      <c r="DP30" t="s">
        <v>74</v>
      </c>
      <c r="DQ30" s="62">
        <v>0</v>
      </c>
      <c r="DR30" s="62">
        <v>0</v>
      </c>
      <c r="DS30" s="62">
        <v>0</v>
      </c>
      <c r="DT30" s="62">
        <v>0</v>
      </c>
      <c r="DV30" t="s">
        <v>74</v>
      </c>
      <c r="DW30" s="62">
        <v>0</v>
      </c>
      <c r="DX30" s="62">
        <v>0</v>
      </c>
      <c r="DY30" s="62">
        <v>0</v>
      </c>
      <c r="DZ30" s="62">
        <v>0</v>
      </c>
    </row>
    <row r="31" spans="2:130" x14ac:dyDescent="0.25">
      <c r="W31" s="10"/>
    </row>
    <row r="32" spans="2:130" x14ac:dyDescent="0.25">
      <c r="W32" s="10"/>
    </row>
    <row r="33" spans="23:23" x14ac:dyDescent="0.25">
      <c r="W33" s="10"/>
    </row>
    <row r="34" spans="23:23" ht="3" customHeight="1" x14ac:dyDescent="0.25">
      <c r="W34" s="10"/>
    </row>
    <row r="35" spans="23:23" x14ac:dyDescent="0.25">
      <c r="W35" s="10"/>
    </row>
    <row r="36" spans="23:23" x14ac:dyDescent="0.25">
      <c r="W36" s="10"/>
    </row>
    <row r="37" spans="23:23" x14ac:dyDescent="0.25">
      <c r="W37" s="10"/>
    </row>
    <row r="43" spans="23:23" ht="3" customHeight="1" x14ac:dyDescent="0.25"/>
    <row r="45" spans="23:23" ht="9.75" customHeight="1" x14ac:dyDescent="0.25"/>
    <row r="51" spans="5:7" ht="17.25" customHeight="1" x14ac:dyDescent="0.25"/>
    <row r="57" spans="5:7" x14ac:dyDescent="0.25">
      <c r="E57" s="7"/>
      <c r="F57" s="7" t="s">
        <v>82</v>
      </c>
      <c r="G57" s="7" t="s">
        <v>50</v>
      </c>
    </row>
    <row r="58" spans="5:7" x14ac:dyDescent="0.25">
      <c r="E58" s="4">
        <f>HLOOKUP(F3,Matrix!O8:T41,16,0)</f>
        <v>0.24966622162883845</v>
      </c>
      <c r="F58" s="4">
        <f>HLOOKUP(F3,Matrix!O8:T41,25,0)</f>
        <v>0.20427236315086783</v>
      </c>
      <c r="G58" s="4">
        <f>HLOOKUP(F3,Matrix!O8:T41,34,0)</f>
        <v>0.47036048064085445</v>
      </c>
    </row>
    <row r="59" spans="5:7" x14ac:dyDescent="0.25">
      <c r="E59" s="4">
        <f>1-E58</f>
        <v>0.75033377837116155</v>
      </c>
      <c r="F59" s="4">
        <f>1-F58</f>
        <v>0.79572763684913217</v>
      </c>
      <c r="G59" s="4">
        <f>1-G58</f>
        <v>0.52963951935914555</v>
      </c>
    </row>
    <row r="61" spans="5:7" ht="23.25" customHeight="1" x14ac:dyDescent="0.25"/>
  </sheetData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F401-E396-45A3-96A8-D7ABA43C653A}">
  <sheetPr codeName="Sheet3">
    <tabColor rgb="FFDB99DD"/>
  </sheetPr>
  <dimension ref="A1:BI84"/>
  <sheetViews>
    <sheetView topLeftCell="AS1" zoomScale="107" zoomScaleNormal="98" zoomScaleSheetLayoutView="100" workbookViewId="0">
      <selection activeCell="U12" sqref="U12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11.42578125" bestFit="1" customWidth="1"/>
    <col min="4" max="4" width="7.42578125" bestFit="1" customWidth="1"/>
    <col min="5" max="5" width="6.85546875" bestFit="1" customWidth="1"/>
    <col min="6" max="6" width="10.7109375" bestFit="1" customWidth="1"/>
    <col min="7" max="7" width="9.7109375" bestFit="1" customWidth="1"/>
    <col min="8" max="8" width="12.85546875" customWidth="1"/>
    <col min="9" max="10" width="10.85546875" bestFit="1" customWidth="1"/>
    <col min="11" max="11" width="10.28515625" customWidth="1"/>
    <col min="12" max="12" width="12.85546875" customWidth="1"/>
    <col min="13" max="14" width="10.28515625" customWidth="1"/>
    <col min="15" max="15" width="12" customWidth="1"/>
    <col min="16" max="16" width="10.28515625" customWidth="1"/>
    <col min="17" max="17" width="11.42578125" bestFit="1" customWidth="1"/>
    <col min="18" max="18" width="12.42578125" bestFit="1" customWidth="1"/>
    <col min="19" max="19" width="12.42578125" customWidth="1"/>
    <col min="20" max="20" width="5" customWidth="1"/>
    <col min="21" max="21" width="12" customWidth="1"/>
    <col min="22" max="22" width="13.42578125" bestFit="1" customWidth="1"/>
    <col min="23" max="23" width="12.28515625" bestFit="1" customWidth="1"/>
    <col min="24" max="25" width="13.42578125" bestFit="1" customWidth="1"/>
    <col min="26" max="26" width="12.28515625" bestFit="1" customWidth="1"/>
    <col min="27" max="27" width="15.28515625" bestFit="1" customWidth="1"/>
    <col min="28" max="28" width="12.28515625" bestFit="1" customWidth="1"/>
    <col min="30" max="30" width="5" customWidth="1"/>
    <col min="32" max="32" width="31" bestFit="1" customWidth="1"/>
    <col min="33" max="33" width="11" bestFit="1" customWidth="1"/>
    <col min="34" max="34" width="12.28515625" bestFit="1" customWidth="1"/>
    <col min="36" max="36" width="5" customWidth="1"/>
    <col min="38" max="38" width="19.7109375" bestFit="1" customWidth="1"/>
    <col min="39" max="39" width="12.140625" bestFit="1" customWidth="1"/>
    <col min="42" max="42" width="5" customWidth="1"/>
    <col min="44" max="44" width="34" bestFit="1" customWidth="1"/>
    <col min="45" max="45" width="12.140625" bestFit="1" customWidth="1"/>
    <col min="47" max="47" width="5" customWidth="1"/>
    <col min="49" max="49" width="15.42578125" bestFit="1" customWidth="1"/>
    <col min="50" max="50" width="8.85546875" bestFit="1" customWidth="1"/>
    <col min="51" max="51" width="12.28515625" bestFit="1" customWidth="1"/>
    <col min="52" max="52" width="9.85546875" bestFit="1" customWidth="1"/>
    <col min="53" max="53" width="5" customWidth="1"/>
    <col min="54" max="54" width="13.140625" customWidth="1"/>
    <col min="55" max="55" width="15.42578125" bestFit="1" customWidth="1"/>
    <col min="56" max="56" width="11.5703125" bestFit="1" customWidth="1"/>
    <col min="58" max="58" width="10.5703125" bestFit="1" customWidth="1"/>
    <col min="60" max="60" width="10.5703125" bestFit="1" customWidth="1"/>
    <col min="61" max="61" width="9.140625" customWidth="1"/>
  </cols>
  <sheetData>
    <row r="1" spans="1:6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H1" s="2" t="s">
        <v>20</v>
      </c>
      <c r="I1" t="s">
        <v>0</v>
      </c>
      <c r="J1" t="s">
        <v>67</v>
      </c>
      <c r="L1" s="2" t="s">
        <v>20</v>
      </c>
      <c r="M1" t="s">
        <v>77</v>
      </c>
      <c r="N1" t="s">
        <v>78</v>
      </c>
      <c r="P1" s="2" t="s">
        <v>20</v>
      </c>
      <c r="Q1" t="s">
        <v>3</v>
      </c>
      <c r="R1" t="s">
        <v>52</v>
      </c>
      <c r="T1" s="153"/>
      <c r="V1" t="s">
        <v>0</v>
      </c>
      <c r="W1" t="s">
        <v>2</v>
      </c>
      <c r="X1" t="s">
        <v>4</v>
      </c>
      <c r="Y1" t="s">
        <v>3</v>
      </c>
      <c r="Z1" t="s">
        <v>5</v>
      </c>
      <c r="AA1" t="s">
        <v>6</v>
      </c>
      <c r="AB1" t="s">
        <v>7</v>
      </c>
      <c r="AD1" s="153"/>
      <c r="AF1" s="2" t="s">
        <v>22</v>
      </c>
      <c r="AG1" t="s">
        <v>0</v>
      </c>
      <c r="AH1" t="s">
        <v>21</v>
      </c>
      <c r="AJ1" s="153"/>
      <c r="AL1" s="2" t="s">
        <v>42</v>
      </c>
      <c r="AM1" t="s">
        <v>1</v>
      </c>
      <c r="AN1" t="s">
        <v>85</v>
      </c>
      <c r="AP1" s="153"/>
      <c r="AR1" s="2" t="s">
        <v>43</v>
      </c>
      <c r="AS1" t="s">
        <v>0</v>
      </c>
      <c r="AU1" s="153"/>
      <c r="AW1" s="2" t="s">
        <v>20</v>
      </c>
      <c r="AX1" t="s">
        <v>0</v>
      </c>
      <c r="AY1" t="s">
        <v>21</v>
      </c>
      <c r="BA1" s="153"/>
      <c r="BC1" s="2" t="s">
        <v>22</v>
      </c>
      <c r="BD1" s="69" t="s">
        <v>3</v>
      </c>
      <c r="BE1" t="s">
        <v>47</v>
      </c>
      <c r="BF1" t="s">
        <v>5</v>
      </c>
      <c r="BG1" s="69" t="s">
        <v>48</v>
      </c>
      <c r="BH1" t="s">
        <v>7</v>
      </c>
      <c r="BI1" t="s">
        <v>50</v>
      </c>
    </row>
    <row r="2" spans="1:61" x14ac:dyDescent="0.25">
      <c r="A2" s="144">
        <v>17559820</v>
      </c>
      <c r="B2" s="144">
        <v>-6711500</v>
      </c>
      <c r="C2" s="145">
        <v>10848320</v>
      </c>
      <c r="D2" s="144">
        <v>-5604800</v>
      </c>
      <c r="E2" s="144">
        <v>5243520</v>
      </c>
      <c r="F2" s="146">
        <v>4314120</v>
      </c>
      <c r="H2" t="s">
        <v>13</v>
      </c>
      <c r="I2" s="1">
        <v>1949000</v>
      </c>
      <c r="J2" s="1">
        <v>1949000</v>
      </c>
      <c r="K2" s="1"/>
      <c r="L2" t="s">
        <v>13</v>
      </c>
      <c r="M2" s="8">
        <v>662600</v>
      </c>
      <c r="N2" s="8">
        <v>662600</v>
      </c>
      <c r="O2" s="8"/>
      <c r="P2" t="s">
        <v>13</v>
      </c>
      <c r="Q2" s="1">
        <v>1286400</v>
      </c>
      <c r="R2" s="1">
        <v>1286400</v>
      </c>
      <c r="T2" s="153"/>
      <c r="V2" s="1">
        <v>17559820</v>
      </c>
      <c r="W2" s="1">
        <v>-6711500</v>
      </c>
      <c r="X2" s="1">
        <v>-5604800</v>
      </c>
      <c r="Y2" s="1">
        <v>10848320</v>
      </c>
      <c r="Z2" s="1">
        <v>5243520</v>
      </c>
      <c r="AA2" s="1">
        <v>-929400</v>
      </c>
      <c r="AB2" s="1">
        <v>4314120</v>
      </c>
      <c r="AD2" s="153"/>
      <c r="AF2" s="5" t="s">
        <v>35</v>
      </c>
      <c r="AG2" s="3">
        <v>1843620</v>
      </c>
      <c r="AH2" s="6">
        <v>-2556500</v>
      </c>
      <c r="AJ2" s="153"/>
      <c r="AL2" s="141" t="s">
        <v>29</v>
      </c>
      <c r="AM2" s="149">
        <v>98200</v>
      </c>
      <c r="AN2" s="150">
        <f t="shared" ref="AN2:AN13" si="0">AM2/AM$14</f>
        <v>7.4137267188597051E-3</v>
      </c>
      <c r="AP2" s="153"/>
      <c r="AR2" s="141" t="s">
        <v>40</v>
      </c>
      <c r="AS2" s="149">
        <v>966190</v>
      </c>
      <c r="AU2" s="153"/>
      <c r="AW2" s="141" t="s">
        <v>13</v>
      </c>
      <c r="AX2" s="151">
        <v>1949000</v>
      </c>
      <c r="AY2" s="152">
        <v>-1254500</v>
      </c>
      <c r="BA2" s="153"/>
      <c r="BC2" s="5" t="s">
        <v>35</v>
      </c>
      <c r="BD2" s="120">
        <v>826320</v>
      </c>
      <c r="BE2" s="119">
        <v>0.44820516158427443</v>
      </c>
      <c r="BF2" s="1">
        <v>-568880</v>
      </c>
      <c r="BG2" s="121">
        <v>-0.30856684132304923</v>
      </c>
      <c r="BH2" s="1">
        <v>-712880</v>
      </c>
      <c r="BI2" s="119">
        <v>-0.3866740434579794</v>
      </c>
    </row>
    <row r="3" spans="1:61" x14ac:dyDescent="0.25">
      <c r="A3" s="142">
        <f>GETPIVOTDATA("[Measures].[Revenue]",$A$1)</f>
        <v>17559820</v>
      </c>
      <c r="B3" s="143">
        <f>GETPIVOTDATA("[Measures].[COGS]",$A$1)</f>
        <v>-6711500</v>
      </c>
      <c r="C3" s="142">
        <f>GETPIVOTDATA("[Measures].[Gross Profit]",$A$1)</f>
        <v>10848320</v>
      </c>
      <c r="D3" s="143">
        <f>GETPIVOTDATA("[Measures].[Opex]",$A$1)</f>
        <v>-5604800</v>
      </c>
      <c r="E3" s="142">
        <f>GETPIVOTDATA("[Measures].[EBIT]",$A$1)</f>
        <v>5243520</v>
      </c>
      <c r="F3" s="142">
        <f>GETPIVOTDATA("[Measures].[Net Profit]",$A$1)</f>
        <v>4314120</v>
      </c>
      <c r="H3" t="s">
        <v>12</v>
      </c>
      <c r="I3" s="1">
        <v>1567700</v>
      </c>
      <c r="J3" s="1">
        <v>1567700</v>
      </c>
      <c r="K3" s="1"/>
      <c r="L3" t="s">
        <v>12</v>
      </c>
      <c r="M3" s="8">
        <v>507000</v>
      </c>
      <c r="N3" s="8">
        <v>507000</v>
      </c>
      <c r="O3" s="8"/>
      <c r="P3" t="s">
        <v>12</v>
      </c>
      <c r="Q3" s="1">
        <v>1060700</v>
      </c>
      <c r="R3" s="1">
        <v>1060700</v>
      </c>
      <c r="S3" s="1"/>
      <c r="T3" s="154"/>
      <c r="AD3" s="153"/>
      <c r="AF3" s="5" t="s">
        <v>37</v>
      </c>
      <c r="AG3" s="3">
        <v>6807700</v>
      </c>
      <c r="AH3" s="6">
        <v>-4070900</v>
      </c>
      <c r="AJ3" s="153"/>
      <c r="AL3" s="141" t="s">
        <v>34</v>
      </c>
      <c r="AM3" s="149">
        <v>345600</v>
      </c>
      <c r="AN3" s="150">
        <f t="shared" si="0"/>
        <v>2.6091486293665114E-2</v>
      </c>
      <c r="AP3" s="153"/>
      <c r="AR3" s="141" t="s">
        <v>39</v>
      </c>
      <c r="AS3" s="149">
        <v>2817000</v>
      </c>
      <c r="AU3" s="153"/>
      <c r="AW3" s="141" t="s">
        <v>12</v>
      </c>
      <c r="AX3" s="151">
        <v>1567700</v>
      </c>
      <c r="AY3" s="152">
        <v>-1089000</v>
      </c>
      <c r="BA3" s="153"/>
      <c r="BC3" s="5" t="s">
        <v>36</v>
      </c>
      <c r="BD3" s="120">
        <v>5234300</v>
      </c>
      <c r="BE3" s="119">
        <v>0.58756244036594263</v>
      </c>
      <c r="BF3" s="1">
        <v>2700700</v>
      </c>
      <c r="BG3" s="121">
        <v>0.30315990346298477</v>
      </c>
      <c r="BH3" s="1">
        <v>2290200</v>
      </c>
      <c r="BI3" s="119">
        <v>0.25708031655160801</v>
      </c>
    </row>
    <row r="4" spans="1:61" x14ac:dyDescent="0.25">
      <c r="H4" t="s">
        <v>16</v>
      </c>
      <c r="I4" s="1">
        <v>1313350</v>
      </c>
      <c r="J4" s="1">
        <v>1313350</v>
      </c>
      <c r="K4" s="1"/>
      <c r="L4" t="s">
        <v>16</v>
      </c>
      <c r="M4" s="8">
        <v>513500</v>
      </c>
      <c r="N4" s="8">
        <v>513500</v>
      </c>
      <c r="O4" s="8"/>
      <c r="P4" t="s">
        <v>16</v>
      </c>
      <c r="Q4" s="1">
        <v>799850</v>
      </c>
      <c r="R4" s="1">
        <v>799850</v>
      </c>
      <c r="S4" s="1"/>
      <c r="T4" s="154"/>
      <c r="V4" s="148" t="s">
        <v>0</v>
      </c>
      <c r="W4" s="148" t="s">
        <v>2</v>
      </c>
      <c r="X4" s="148" t="s">
        <v>3</v>
      </c>
      <c r="Y4" s="148" t="s">
        <v>38</v>
      </c>
      <c r="Z4" s="148" t="s">
        <v>5</v>
      </c>
      <c r="AA4" s="148" t="s">
        <v>6</v>
      </c>
      <c r="AB4" s="148" t="s">
        <v>7</v>
      </c>
      <c r="AD4" s="153"/>
      <c r="AF4" s="5" t="s">
        <v>36</v>
      </c>
      <c r="AG4" s="3">
        <v>8908500</v>
      </c>
      <c r="AH4" s="6">
        <v>-6618300</v>
      </c>
      <c r="AJ4" s="153"/>
      <c r="AL4" s="141" t="s">
        <v>28</v>
      </c>
      <c r="AM4" s="149">
        <v>405500</v>
      </c>
      <c r="AN4" s="150">
        <f t="shared" si="0"/>
        <v>3.0613708599772003E-2</v>
      </c>
      <c r="AP4" s="153"/>
      <c r="AR4" s="141" t="s">
        <v>33</v>
      </c>
      <c r="AS4" s="149">
        <v>13776630</v>
      </c>
      <c r="AU4" s="153"/>
      <c r="AW4" s="141" t="s">
        <v>16</v>
      </c>
      <c r="AX4" s="151">
        <v>1313350</v>
      </c>
      <c r="AY4" s="152">
        <v>-1010800</v>
      </c>
      <c r="BA4" s="153"/>
      <c r="BC4" s="5" t="s">
        <v>37</v>
      </c>
      <c r="BD4" s="120">
        <v>4787700</v>
      </c>
      <c r="BE4" s="119">
        <v>0.70327717143822432</v>
      </c>
      <c r="BF4" s="1">
        <v>3111700</v>
      </c>
      <c r="BG4" s="121">
        <v>0.4570853592255828</v>
      </c>
      <c r="BH4" s="1">
        <v>2736800</v>
      </c>
      <c r="BI4" s="119">
        <v>0.40201536495438989</v>
      </c>
    </row>
    <row r="5" spans="1:61" x14ac:dyDescent="0.25">
      <c r="H5" t="s">
        <v>9</v>
      </c>
      <c r="I5" s="1">
        <v>1156100</v>
      </c>
      <c r="J5" s="1">
        <v>1156100</v>
      </c>
      <c r="K5" s="1"/>
      <c r="L5" t="s">
        <v>9</v>
      </c>
      <c r="M5" s="8">
        <v>482900</v>
      </c>
      <c r="N5" s="8">
        <v>482900</v>
      </c>
      <c r="O5" s="8"/>
      <c r="P5" t="s">
        <v>9</v>
      </c>
      <c r="Q5" s="1">
        <v>673200</v>
      </c>
      <c r="R5" s="1">
        <v>673200</v>
      </c>
      <c r="S5" s="1"/>
      <c r="T5" s="154"/>
      <c r="V5" s="147">
        <f t="shared" ref="V5:AB5" si="1">V2</f>
        <v>17559820</v>
      </c>
      <c r="W5" s="147">
        <f t="shared" si="1"/>
        <v>-6711500</v>
      </c>
      <c r="X5" s="147">
        <f t="shared" si="1"/>
        <v>-5604800</v>
      </c>
      <c r="Y5" s="147">
        <f t="shared" si="1"/>
        <v>10848320</v>
      </c>
      <c r="Z5" s="147">
        <f t="shared" si="1"/>
        <v>5243520</v>
      </c>
      <c r="AA5" s="147">
        <f t="shared" si="1"/>
        <v>-929400</v>
      </c>
      <c r="AB5" s="147">
        <f t="shared" si="1"/>
        <v>4314120</v>
      </c>
      <c r="AD5" s="153"/>
      <c r="AJ5" s="153"/>
      <c r="AL5" s="141" t="s">
        <v>33</v>
      </c>
      <c r="AM5" s="149">
        <v>447000</v>
      </c>
      <c r="AN5" s="150">
        <f t="shared" si="0"/>
        <v>3.3746800848577271E-2</v>
      </c>
      <c r="AP5" s="153"/>
      <c r="AU5" s="153"/>
      <c r="AW5" s="141" t="s">
        <v>9</v>
      </c>
      <c r="AX5" s="151">
        <v>1156100</v>
      </c>
      <c r="AY5" s="152">
        <v>-963400</v>
      </c>
      <c r="BA5" s="153"/>
    </row>
    <row r="6" spans="1:61" x14ac:dyDescent="0.25">
      <c r="H6" t="s">
        <v>8</v>
      </c>
      <c r="I6" s="1">
        <v>1698500</v>
      </c>
      <c r="J6" s="1">
        <v>1698500</v>
      </c>
      <c r="K6" s="1"/>
      <c r="L6" t="s">
        <v>8</v>
      </c>
      <c r="M6" s="8">
        <v>641900</v>
      </c>
      <c r="N6" s="8">
        <v>641900</v>
      </c>
      <c r="O6" s="8"/>
      <c r="P6" t="s">
        <v>8</v>
      </c>
      <c r="Q6" s="1">
        <v>1056600</v>
      </c>
      <c r="R6" s="1">
        <v>1056600</v>
      </c>
      <c r="S6" s="1"/>
      <c r="T6" s="154"/>
      <c r="AD6" s="153"/>
      <c r="AF6" s="2" t="s">
        <v>22</v>
      </c>
      <c r="AG6" t="s">
        <v>7</v>
      </c>
      <c r="AJ6" s="153"/>
      <c r="AL6" s="141" t="s">
        <v>31</v>
      </c>
      <c r="AM6" s="149">
        <v>540000</v>
      </c>
      <c r="AN6" s="150">
        <f t="shared" si="0"/>
        <v>4.0767947333851744E-2</v>
      </c>
      <c r="AP6" s="153"/>
      <c r="AU6" s="153"/>
      <c r="AW6" s="141" t="s">
        <v>8</v>
      </c>
      <c r="AX6" s="151">
        <v>1698500</v>
      </c>
      <c r="AY6" s="152">
        <v>-1230900</v>
      </c>
      <c r="BA6" s="153"/>
    </row>
    <row r="7" spans="1:61" x14ac:dyDescent="0.25">
      <c r="H7" t="s">
        <v>15</v>
      </c>
      <c r="I7" s="1">
        <v>1719200</v>
      </c>
      <c r="J7" s="1">
        <v>1719200</v>
      </c>
      <c r="K7" s="1"/>
      <c r="L7" t="s">
        <v>15</v>
      </c>
      <c r="M7" s="8">
        <v>634600</v>
      </c>
      <c r="N7" s="8">
        <v>634600</v>
      </c>
      <c r="O7" s="8"/>
      <c r="P7" t="s">
        <v>15</v>
      </c>
      <c r="Q7" s="1">
        <v>1084600</v>
      </c>
      <c r="R7" s="1">
        <v>1084600</v>
      </c>
      <c r="S7" s="1"/>
      <c r="T7" s="154"/>
      <c r="AD7" s="153"/>
      <c r="AF7" s="5" t="s">
        <v>35</v>
      </c>
      <c r="AG7" s="1">
        <v>-712880</v>
      </c>
      <c r="AJ7" s="153"/>
      <c r="AL7" s="141" t="s">
        <v>32</v>
      </c>
      <c r="AM7" s="149">
        <v>745000</v>
      </c>
      <c r="AN7" s="150">
        <f t="shared" si="0"/>
        <v>5.6244668080962124E-2</v>
      </c>
      <c r="AP7" s="153"/>
      <c r="AU7" s="153"/>
      <c r="AW7" s="141" t="s">
        <v>15</v>
      </c>
      <c r="AX7" s="151">
        <v>1719200</v>
      </c>
      <c r="AY7" s="152">
        <v>-1226100</v>
      </c>
      <c r="BA7" s="153"/>
    </row>
    <row r="8" spans="1:61" x14ac:dyDescent="0.25">
      <c r="H8" t="s">
        <v>14</v>
      </c>
      <c r="I8" s="1">
        <v>1400050</v>
      </c>
      <c r="J8" s="1">
        <v>1400050</v>
      </c>
      <c r="K8" s="1"/>
      <c r="L8" t="s">
        <v>14</v>
      </c>
      <c r="M8" s="8">
        <v>580900</v>
      </c>
      <c r="N8" s="8">
        <v>580900</v>
      </c>
      <c r="O8" s="8"/>
      <c r="P8" t="s">
        <v>14</v>
      </c>
      <c r="Q8" s="1">
        <v>819150</v>
      </c>
      <c r="R8" s="1">
        <v>819150</v>
      </c>
      <c r="S8" s="1"/>
      <c r="T8" s="154"/>
      <c r="AD8" s="153"/>
      <c r="AF8" s="5" t="s">
        <v>36</v>
      </c>
      <c r="AG8" s="1">
        <v>2290200</v>
      </c>
      <c r="AJ8" s="153"/>
      <c r="AL8" s="141" t="s">
        <v>23</v>
      </c>
      <c r="AM8" s="149">
        <v>929400</v>
      </c>
      <c r="AN8" s="150">
        <f t="shared" si="0"/>
        <v>7.0166167133484836E-2</v>
      </c>
      <c r="AP8" s="153"/>
      <c r="AU8" s="153"/>
      <c r="AW8" s="141" t="s">
        <v>14</v>
      </c>
      <c r="AX8" s="151">
        <v>1400050</v>
      </c>
      <c r="AY8" s="152">
        <v>-1111200</v>
      </c>
      <c r="BA8" s="153"/>
    </row>
    <row r="9" spans="1:61" x14ac:dyDescent="0.25">
      <c r="H9" t="s">
        <v>10</v>
      </c>
      <c r="I9" s="1">
        <v>1304850</v>
      </c>
      <c r="J9" s="1">
        <v>1304850</v>
      </c>
      <c r="K9" s="1"/>
      <c r="L9" t="s">
        <v>10</v>
      </c>
      <c r="M9" s="8">
        <v>546900</v>
      </c>
      <c r="N9" s="8">
        <v>546900</v>
      </c>
      <c r="O9" s="8"/>
      <c r="P9" t="s">
        <v>10</v>
      </c>
      <c r="Q9" s="1">
        <v>757950</v>
      </c>
      <c r="R9" s="1">
        <v>757950</v>
      </c>
      <c r="S9" s="1"/>
      <c r="T9" s="154"/>
      <c r="AD9" s="153"/>
      <c r="AF9" s="5" t="s">
        <v>37</v>
      </c>
      <c r="AG9" s="1">
        <v>2736800</v>
      </c>
      <c r="AJ9" s="153"/>
      <c r="AL9" s="141" t="s">
        <v>26</v>
      </c>
      <c r="AM9" s="149">
        <v>1055000</v>
      </c>
      <c r="AN9" s="150">
        <f t="shared" si="0"/>
        <v>7.9648489698543684E-2</v>
      </c>
      <c r="AP9" s="153"/>
      <c r="AU9" s="153"/>
      <c r="AW9" s="141" t="s">
        <v>10</v>
      </c>
      <c r="AX9" s="151">
        <v>1304850</v>
      </c>
      <c r="AY9" s="152">
        <v>-1036300</v>
      </c>
      <c r="BA9" s="153"/>
    </row>
    <row r="10" spans="1:61" x14ac:dyDescent="0.25">
      <c r="H10" t="s">
        <v>19</v>
      </c>
      <c r="I10" s="1">
        <v>1120890</v>
      </c>
      <c r="J10" s="1">
        <v>1120890</v>
      </c>
      <c r="K10" s="1"/>
      <c r="L10" t="s">
        <v>19</v>
      </c>
      <c r="M10" s="8">
        <v>535900</v>
      </c>
      <c r="N10" s="8">
        <v>535900</v>
      </c>
      <c r="O10" s="8"/>
      <c r="P10" t="s">
        <v>19</v>
      </c>
      <c r="Q10" s="1">
        <v>584990</v>
      </c>
      <c r="R10" s="1">
        <v>584990</v>
      </c>
      <c r="S10" s="1"/>
      <c r="T10" s="154"/>
      <c r="AD10" s="153"/>
      <c r="AJ10" s="153"/>
      <c r="AL10" s="141" t="s">
        <v>27</v>
      </c>
      <c r="AM10" s="149">
        <v>1065000</v>
      </c>
      <c r="AN10" s="150">
        <f t="shared" si="0"/>
        <v>8.0403451686207605E-2</v>
      </c>
      <c r="AP10" s="153"/>
      <c r="AU10" s="153"/>
      <c r="AW10" s="141" t="s">
        <v>19</v>
      </c>
      <c r="AX10" s="151">
        <v>1120890</v>
      </c>
      <c r="AY10" s="152">
        <v>-1029300</v>
      </c>
      <c r="BA10" s="153"/>
    </row>
    <row r="11" spans="1:61" x14ac:dyDescent="0.25">
      <c r="H11" t="s">
        <v>18</v>
      </c>
      <c r="I11" s="1">
        <v>1322475</v>
      </c>
      <c r="J11" s="1">
        <v>1322475</v>
      </c>
      <c r="K11" s="1"/>
      <c r="L11" t="s">
        <v>18</v>
      </c>
      <c r="M11" s="8">
        <v>515900</v>
      </c>
      <c r="N11" s="8">
        <v>515900</v>
      </c>
      <c r="O11" s="8"/>
      <c r="P11" t="s">
        <v>18</v>
      </c>
      <c r="Q11" s="1">
        <v>806575</v>
      </c>
      <c r="R11" s="1">
        <v>806575</v>
      </c>
      <c r="S11" s="1"/>
      <c r="T11" s="154"/>
      <c r="AD11" s="153"/>
      <c r="AJ11" s="153"/>
      <c r="AL11" s="141" t="s">
        <v>24</v>
      </c>
      <c r="AM11" s="149">
        <v>1333000</v>
      </c>
      <c r="AN11" s="150">
        <f t="shared" si="0"/>
        <v>0.10063643295560068</v>
      </c>
      <c r="AP11" s="153"/>
      <c r="AU11" s="153"/>
      <c r="AW11" s="141" t="s">
        <v>18</v>
      </c>
      <c r="AX11" s="151">
        <v>1322475</v>
      </c>
      <c r="AY11" s="152">
        <v>-1027400</v>
      </c>
      <c r="BA11" s="153"/>
    </row>
    <row r="12" spans="1:61" x14ac:dyDescent="0.25">
      <c r="H12" t="s">
        <v>17</v>
      </c>
      <c r="I12" s="1">
        <v>1277530</v>
      </c>
      <c r="J12" s="1">
        <v>1277530</v>
      </c>
      <c r="K12" s="1"/>
      <c r="L12" t="s">
        <v>17</v>
      </c>
      <c r="M12" s="8">
        <v>535700</v>
      </c>
      <c r="N12" s="8">
        <v>535700</v>
      </c>
      <c r="O12" s="8"/>
      <c r="P12" t="s">
        <v>17</v>
      </c>
      <c r="Q12" s="1">
        <v>741830</v>
      </c>
      <c r="R12" s="1">
        <v>741830</v>
      </c>
      <c r="S12" s="1"/>
      <c r="T12" s="154"/>
      <c r="AD12" s="153"/>
      <c r="AJ12" s="153"/>
      <c r="AL12" s="141" t="s">
        <v>30</v>
      </c>
      <c r="AM12" s="149">
        <v>1790000</v>
      </c>
      <c r="AN12" s="150">
        <f t="shared" si="0"/>
        <v>0.13513819579184189</v>
      </c>
      <c r="AP12" s="153"/>
      <c r="AU12" s="153"/>
      <c r="AW12" s="141" t="s">
        <v>17</v>
      </c>
      <c r="AX12" s="151">
        <v>1277530</v>
      </c>
      <c r="AY12" s="152">
        <v>-1067600</v>
      </c>
      <c r="BA12" s="153"/>
    </row>
    <row r="13" spans="1:61" x14ac:dyDescent="0.25">
      <c r="H13" t="s">
        <v>11</v>
      </c>
      <c r="I13" s="1">
        <v>1730175</v>
      </c>
      <c r="J13" s="1">
        <v>1730175</v>
      </c>
      <c r="K13" s="1"/>
      <c r="L13" t="s">
        <v>11</v>
      </c>
      <c r="M13" s="8">
        <v>553700</v>
      </c>
      <c r="N13" s="8">
        <v>553700</v>
      </c>
      <c r="O13" s="8"/>
      <c r="P13" t="s">
        <v>11</v>
      </c>
      <c r="Q13" s="1">
        <v>1176475</v>
      </c>
      <c r="R13" s="1">
        <v>1176475</v>
      </c>
      <c r="S13" s="1"/>
      <c r="T13" s="154"/>
      <c r="AD13" s="153"/>
      <c r="AJ13" s="153"/>
      <c r="AL13" s="141" t="s">
        <v>25</v>
      </c>
      <c r="AM13" s="149">
        <v>4492000</v>
      </c>
      <c r="AN13" s="150">
        <f t="shared" si="0"/>
        <v>0.33912892485863338</v>
      </c>
      <c r="AP13" s="153"/>
      <c r="AU13" s="153"/>
      <c r="AW13" s="141" t="s">
        <v>11</v>
      </c>
      <c r="AX13" s="151">
        <v>1730175</v>
      </c>
      <c r="AY13" s="152">
        <v>-1199200</v>
      </c>
      <c r="BA13" s="153"/>
    </row>
    <row r="14" spans="1:61" x14ac:dyDescent="0.25">
      <c r="S14" s="1"/>
      <c r="T14" s="154"/>
      <c r="AD14" s="153"/>
      <c r="AJ14" s="153"/>
      <c r="AL14" t="s">
        <v>41</v>
      </c>
      <c r="AM14" s="1">
        <v>13245700</v>
      </c>
      <c r="AP14" s="153"/>
      <c r="AU14" s="153"/>
      <c r="BA14" s="153"/>
    </row>
    <row r="15" spans="1:61" x14ac:dyDescent="0.25">
      <c r="H15" s="2" t="s">
        <v>20</v>
      </c>
      <c r="I15" t="s">
        <v>79</v>
      </c>
      <c r="J15" t="s">
        <v>80</v>
      </c>
      <c r="L15" s="2" t="s">
        <v>20</v>
      </c>
      <c r="M15" t="s">
        <v>5</v>
      </c>
      <c r="N15" t="s">
        <v>53</v>
      </c>
      <c r="P15" s="2" t="s">
        <v>20</v>
      </c>
      <c r="Q15" t="s">
        <v>7</v>
      </c>
      <c r="R15" t="s">
        <v>54</v>
      </c>
      <c r="T15" s="153"/>
      <c r="AD15" s="153"/>
      <c r="AJ15" s="153"/>
      <c r="AP15" s="153"/>
      <c r="AU15" s="153"/>
      <c r="AW15" s="2" t="s">
        <v>22</v>
      </c>
      <c r="AX15" t="s">
        <v>0</v>
      </c>
      <c r="BA15" s="153"/>
    </row>
    <row r="16" spans="1:61" x14ac:dyDescent="0.25">
      <c r="H16" t="s">
        <v>13</v>
      </c>
      <c r="I16">
        <v>478900</v>
      </c>
      <c r="J16">
        <v>478900</v>
      </c>
      <c r="L16" t="s">
        <v>13</v>
      </c>
      <c r="M16" s="1">
        <v>807500</v>
      </c>
      <c r="N16" s="1">
        <v>807500</v>
      </c>
      <c r="O16" s="1"/>
      <c r="P16" t="s">
        <v>13</v>
      </c>
      <c r="Q16" s="1">
        <v>694500</v>
      </c>
      <c r="R16" s="1">
        <v>694500</v>
      </c>
      <c r="T16" s="153"/>
      <c r="AD16" s="153"/>
      <c r="AJ16" s="153"/>
      <c r="AP16" s="153"/>
      <c r="AU16" s="153"/>
      <c r="AW16" s="5" t="s">
        <v>13</v>
      </c>
      <c r="AX16" s="122"/>
      <c r="BA16" s="153"/>
    </row>
    <row r="17" spans="8:53" x14ac:dyDescent="0.25">
      <c r="H17" t="s">
        <v>12</v>
      </c>
      <c r="I17">
        <v>482500</v>
      </c>
      <c r="J17">
        <v>482500</v>
      </c>
      <c r="L17" t="s">
        <v>12</v>
      </c>
      <c r="M17" s="1">
        <v>578200</v>
      </c>
      <c r="N17" s="1">
        <v>578200</v>
      </c>
      <c r="O17" s="1"/>
      <c r="P17" t="s">
        <v>12</v>
      </c>
      <c r="Q17" s="1">
        <v>478700</v>
      </c>
      <c r="R17" s="1">
        <v>478700</v>
      </c>
      <c r="S17" s="1"/>
      <c r="T17" s="154"/>
      <c r="AD17" s="153"/>
      <c r="AJ17" s="153"/>
      <c r="AP17" s="153"/>
      <c r="AU17" s="153"/>
      <c r="AW17" s="5" t="s">
        <v>12</v>
      </c>
      <c r="AX17" s="122">
        <v>-0.195638789122627</v>
      </c>
      <c r="BA17" s="153"/>
    </row>
    <row r="18" spans="8:53" x14ac:dyDescent="0.25">
      <c r="H18" t="s">
        <v>16</v>
      </c>
      <c r="I18">
        <v>421300</v>
      </c>
      <c r="J18">
        <v>421300</v>
      </c>
      <c r="L18" t="s">
        <v>16</v>
      </c>
      <c r="M18" s="1">
        <v>378550</v>
      </c>
      <c r="N18" s="1">
        <v>378550</v>
      </c>
      <c r="O18" s="1"/>
      <c r="P18" t="s">
        <v>16</v>
      </c>
      <c r="Q18" s="1">
        <v>302550</v>
      </c>
      <c r="R18" s="1">
        <v>302550</v>
      </c>
      <c r="S18" s="1"/>
      <c r="T18" s="154"/>
      <c r="AD18" s="153"/>
      <c r="AJ18" s="153"/>
      <c r="AP18" s="153"/>
      <c r="AU18" s="153"/>
      <c r="AW18" s="5" t="s">
        <v>16</v>
      </c>
      <c r="AX18" s="122">
        <v>-0.16224405179562415</v>
      </c>
      <c r="AY18" s="4"/>
      <c r="BA18" s="153"/>
    </row>
    <row r="19" spans="8:53" x14ac:dyDescent="0.25">
      <c r="H19" t="s">
        <v>9</v>
      </c>
      <c r="I19">
        <v>421300</v>
      </c>
      <c r="J19">
        <v>421300</v>
      </c>
      <c r="L19" t="s">
        <v>9</v>
      </c>
      <c r="M19" s="1">
        <v>251900</v>
      </c>
      <c r="N19" s="1">
        <v>251900</v>
      </c>
      <c r="O19" s="1"/>
      <c r="P19" t="s">
        <v>9</v>
      </c>
      <c r="Q19" s="1">
        <v>192700</v>
      </c>
      <c r="R19" s="1">
        <v>192700</v>
      </c>
      <c r="S19" s="1"/>
      <c r="T19" s="154"/>
      <c r="AD19" s="153"/>
      <c r="AJ19" s="153"/>
      <c r="AP19" s="153"/>
      <c r="AU19" s="153"/>
      <c r="AW19" s="5" t="s">
        <v>9</v>
      </c>
      <c r="AX19" s="122">
        <v>-0.11973198309666121</v>
      </c>
      <c r="AY19" s="4"/>
      <c r="BA19" s="153"/>
    </row>
    <row r="20" spans="8:53" x14ac:dyDescent="0.25">
      <c r="H20" t="s">
        <v>8</v>
      </c>
      <c r="I20">
        <v>504200</v>
      </c>
      <c r="J20">
        <v>504200</v>
      </c>
      <c r="L20" t="s">
        <v>8</v>
      </c>
      <c r="M20" s="1">
        <v>552400</v>
      </c>
      <c r="N20" s="1">
        <v>552400</v>
      </c>
      <c r="O20" s="1"/>
      <c r="P20" t="s">
        <v>8</v>
      </c>
      <c r="Q20" s="1">
        <v>467600</v>
      </c>
      <c r="R20" s="1">
        <v>467600</v>
      </c>
      <c r="S20" s="1"/>
      <c r="T20" s="154"/>
      <c r="AD20" s="153"/>
      <c r="AJ20" s="153"/>
      <c r="AP20" s="153"/>
      <c r="AU20" s="153"/>
      <c r="AW20" s="5" t="s">
        <v>8</v>
      </c>
      <c r="AX20" s="122">
        <v>0.46916356716547014</v>
      </c>
      <c r="AY20" s="4"/>
      <c r="BA20" s="153"/>
    </row>
    <row r="21" spans="8:53" x14ac:dyDescent="0.25">
      <c r="H21" t="s">
        <v>15</v>
      </c>
      <c r="I21">
        <v>501100</v>
      </c>
      <c r="J21">
        <v>501100</v>
      </c>
      <c r="L21" t="s">
        <v>15</v>
      </c>
      <c r="M21" s="1">
        <v>583500</v>
      </c>
      <c r="N21" s="1">
        <v>583500</v>
      </c>
      <c r="O21" s="1"/>
      <c r="P21" t="s">
        <v>10</v>
      </c>
      <c r="Q21" s="1">
        <v>268550</v>
      </c>
      <c r="R21" s="1">
        <v>268550</v>
      </c>
      <c r="S21" s="1"/>
      <c r="T21" s="154"/>
      <c r="AD21" s="153"/>
      <c r="AJ21" s="153"/>
      <c r="AP21" s="153"/>
      <c r="AU21" s="153"/>
      <c r="AW21" s="5" t="s">
        <v>15</v>
      </c>
      <c r="AX21" s="122">
        <v>1.2187224021195172E-2</v>
      </c>
      <c r="AY21" s="4"/>
      <c r="BA21" s="153"/>
    </row>
    <row r="22" spans="8:53" x14ac:dyDescent="0.25">
      <c r="H22" t="s">
        <v>14</v>
      </c>
      <c r="I22">
        <v>461000</v>
      </c>
      <c r="J22">
        <v>461000</v>
      </c>
      <c r="L22" t="s">
        <v>14</v>
      </c>
      <c r="M22" s="1">
        <v>358150</v>
      </c>
      <c r="N22" s="1">
        <v>358150</v>
      </c>
      <c r="O22" s="1"/>
      <c r="P22" t="s">
        <v>19</v>
      </c>
      <c r="Q22" s="1">
        <v>91590</v>
      </c>
      <c r="R22" s="1">
        <v>91590</v>
      </c>
      <c r="S22" s="1"/>
      <c r="T22" s="154"/>
      <c r="AD22" s="153"/>
      <c r="AJ22" s="153"/>
      <c r="AP22" s="153"/>
      <c r="AU22" s="153"/>
      <c r="AW22" s="5" t="s">
        <v>14</v>
      </c>
      <c r="AX22" s="122">
        <v>-0.18563866914844113</v>
      </c>
      <c r="AY22" s="4"/>
      <c r="BA22" s="153"/>
    </row>
    <row r="23" spans="8:53" x14ac:dyDescent="0.25">
      <c r="H23" t="s">
        <v>10</v>
      </c>
      <c r="I23">
        <v>435000</v>
      </c>
      <c r="J23">
        <v>435000</v>
      </c>
      <c r="L23" t="s">
        <v>10</v>
      </c>
      <c r="M23" s="1">
        <v>322950</v>
      </c>
      <c r="N23" s="1">
        <v>322950</v>
      </c>
      <c r="O23" s="1"/>
      <c r="P23" t="s">
        <v>15</v>
      </c>
      <c r="Q23" s="1">
        <v>493100</v>
      </c>
      <c r="R23" s="1">
        <v>493100</v>
      </c>
      <c r="S23" s="1"/>
      <c r="T23" s="154"/>
      <c r="AD23" s="153"/>
      <c r="AJ23" s="153"/>
      <c r="AP23" s="153"/>
      <c r="AU23" s="153"/>
      <c r="AW23" s="5" t="s">
        <v>10</v>
      </c>
      <c r="AX23" s="122">
        <v>-6.7997571515303029E-2</v>
      </c>
      <c r="AY23" s="4"/>
      <c r="BA23" s="153"/>
    </row>
    <row r="24" spans="8:53" x14ac:dyDescent="0.25">
      <c r="H24" t="s">
        <v>19</v>
      </c>
      <c r="I24">
        <v>440100</v>
      </c>
      <c r="J24">
        <v>440100</v>
      </c>
      <c r="L24" t="s">
        <v>19</v>
      </c>
      <c r="M24" s="1">
        <v>144890</v>
      </c>
      <c r="N24" s="1">
        <v>144890</v>
      </c>
      <c r="O24" s="1"/>
      <c r="P24" t="s">
        <v>14</v>
      </c>
      <c r="Q24" s="1">
        <v>288850</v>
      </c>
      <c r="R24" s="1">
        <v>288850</v>
      </c>
      <c r="S24" s="1"/>
      <c r="T24" s="154"/>
      <c r="AD24" s="153"/>
      <c r="AJ24" s="153"/>
      <c r="AP24" s="153"/>
      <c r="AU24" s="153"/>
      <c r="AW24" s="5" t="s">
        <v>19</v>
      </c>
      <c r="AX24" s="122">
        <v>-0.14098172203701576</v>
      </c>
      <c r="AY24" s="4"/>
      <c r="BA24" s="153"/>
    </row>
    <row r="25" spans="8:53" x14ac:dyDescent="0.25">
      <c r="H25" t="s">
        <v>18</v>
      </c>
      <c r="I25">
        <v>443200</v>
      </c>
      <c r="J25">
        <v>443200</v>
      </c>
      <c r="L25" t="s">
        <v>18</v>
      </c>
      <c r="M25" s="1">
        <v>363375</v>
      </c>
      <c r="N25" s="1">
        <v>363375</v>
      </c>
      <c r="O25" s="1"/>
      <c r="P25" t="s">
        <v>18</v>
      </c>
      <c r="Q25" s="1">
        <v>295075</v>
      </c>
      <c r="R25" s="1">
        <v>295075</v>
      </c>
      <c r="S25" s="1"/>
      <c r="T25" s="154"/>
      <c r="AD25" s="153"/>
      <c r="AJ25" s="153"/>
      <c r="AP25" s="153"/>
      <c r="AU25" s="153"/>
      <c r="AW25" s="5" t="s">
        <v>18</v>
      </c>
      <c r="AX25" s="122">
        <v>0.17984369563471883</v>
      </c>
      <c r="AY25" s="4"/>
      <c r="BA25" s="153"/>
    </row>
    <row r="26" spans="8:53" x14ac:dyDescent="0.25">
      <c r="H26" t="s">
        <v>17</v>
      </c>
      <c r="I26">
        <v>479400</v>
      </c>
      <c r="J26">
        <v>479400</v>
      </c>
      <c r="L26" t="s">
        <v>17</v>
      </c>
      <c r="M26" s="1">
        <v>262430</v>
      </c>
      <c r="N26" s="1">
        <v>262430</v>
      </c>
      <c r="O26" s="1"/>
      <c r="P26" t="s">
        <v>17</v>
      </c>
      <c r="Q26" s="1">
        <v>209930</v>
      </c>
      <c r="R26" s="1">
        <v>209930</v>
      </c>
      <c r="S26" s="1"/>
      <c r="T26" s="154"/>
      <c r="AD26" s="153"/>
      <c r="AJ26" s="153"/>
      <c r="AP26" s="153"/>
      <c r="AU26" s="153"/>
      <c r="AW26" s="5" t="s">
        <v>17</v>
      </c>
      <c r="AX26" s="122">
        <v>-3.3985519575039223E-2</v>
      </c>
      <c r="AY26" s="4"/>
      <c r="BA26" s="153"/>
    </row>
    <row r="27" spans="8:53" x14ac:dyDescent="0.25">
      <c r="H27" t="s">
        <v>11</v>
      </c>
      <c r="I27">
        <v>536800</v>
      </c>
      <c r="J27">
        <v>536800</v>
      </c>
      <c r="L27" t="s">
        <v>11</v>
      </c>
      <c r="M27" s="1">
        <v>639675</v>
      </c>
      <c r="N27" s="1">
        <v>639675</v>
      </c>
      <c r="O27" s="1"/>
      <c r="P27" t="s">
        <v>11</v>
      </c>
      <c r="Q27" s="1">
        <v>530975</v>
      </c>
      <c r="R27" s="1">
        <v>530975</v>
      </c>
      <c r="S27" s="1"/>
      <c r="T27" s="154"/>
      <c r="AD27" s="153"/>
      <c r="AJ27" s="153"/>
      <c r="AP27" s="153"/>
      <c r="AU27" s="153"/>
      <c r="AW27" s="5" t="s">
        <v>11</v>
      </c>
      <c r="AX27" s="122">
        <v>0.35431261888174836</v>
      </c>
      <c r="AY27" s="4"/>
      <c r="BA27" s="153"/>
    </row>
    <row r="28" spans="8:53" x14ac:dyDescent="0.25">
      <c r="S28" s="1"/>
      <c r="T28" s="154"/>
      <c r="AD28" s="153"/>
      <c r="AJ28" s="153"/>
      <c r="AP28" s="153"/>
      <c r="AU28" s="153"/>
      <c r="AY28" s="4"/>
      <c r="BA28" s="153"/>
    </row>
    <row r="31" spans="8:53" ht="18" customHeight="1" x14ac:dyDescent="0.25">
      <c r="O31" s="1"/>
      <c r="P31" s="1"/>
      <c r="Q31" s="1"/>
      <c r="R31" s="1"/>
      <c r="S31" s="1"/>
      <c r="T31" s="1"/>
    </row>
    <row r="32" spans="8:53" ht="18" customHeight="1" x14ac:dyDescent="0.25">
      <c r="O32" s="1"/>
      <c r="P32" s="1"/>
      <c r="Q32" s="1"/>
      <c r="R32" s="1"/>
      <c r="S32" s="1"/>
      <c r="T32" s="1"/>
    </row>
    <row r="33" spans="15:20" ht="18" customHeight="1" x14ac:dyDescent="0.25">
      <c r="O33" s="1"/>
      <c r="P33" s="1"/>
      <c r="Q33" s="1"/>
      <c r="R33" s="1"/>
      <c r="S33" s="1"/>
      <c r="T33" s="1"/>
    </row>
    <row r="34" spans="15:20" x14ac:dyDescent="0.25">
      <c r="O34" s="1"/>
      <c r="P34" s="1"/>
      <c r="Q34" s="1"/>
      <c r="R34" s="1"/>
      <c r="S34" s="1"/>
      <c r="T34" s="1"/>
    </row>
    <row r="35" spans="15:20" x14ac:dyDescent="0.25">
      <c r="O35" s="1"/>
      <c r="P35" s="1"/>
      <c r="Q35" s="1"/>
      <c r="R35" s="1"/>
      <c r="S35" s="1"/>
      <c r="T35" s="1"/>
    </row>
    <row r="36" spans="15:20" x14ac:dyDescent="0.25">
      <c r="O36" s="1"/>
      <c r="P36" s="1"/>
      <c r="Q36" s="1"/>
      <c r="R36" s="1"/>
      <c r="S36" s="1"/>
      <c r="T36" s="1"/>
    </row>
    <row r="37" spans="15:20" x14ac:dyDescent="0.25">
      <c r="O37" s="1"/>
      <c r="P37" s="1"/>
      <c r="Q37" s="1"/>
      <c r="R37" s="1"/>
      <c r="S37" s="1"/>
      <c r="T37" s="1"/>
    </row>
    <row r="38" spans="15:20" x14ac:dyDescent="0.25">
      <c r="O38" s="1"/>
      <c r="P38" s="1"/>
      <c r="Q38" s="1"/>
      <c r="R38" s="1"/>
      <c r="S38" s="1"/>
      <c r="T38" s="1"/>
    </row>
    <row r="39" spans="15:20" x14ac:dyDescent="0.25">
      <c r="O39" s="1"/>
      <c r="P39" s="1"/>
      <c r="Q39" s="1"/>
      <c r="R39" s="1"/>
      <c r="S39" s="1"/>
      <c r="T39" s="1"/>
    </row>
    <row r="40" spans="15:20" x14ac:dyDescent="0.25">
      <c r="O40" s="1"/>
      <c r="P40" s="1"/>
      <c r="Q40" s="1"/>
      <c r="R40" s="1"/>
      <c r="S40" s="1"/>
      <c r="T40" s="1"/>
    </row>
    <row r="41" spans="15:20" x14ac:dyDescent="0.25">
      <c r="O41" s="1"/>
      <c r="P41" s="1"/>
      <c r="Q41" s="1"/>
      <c r="R41" s="1"/>
      <c r="S41" s="1"/>
      <c r="T41" s="1"/>
    </row>
    <row r="42" spans="15:20" x14ac:dyDescent="0.25">
      <c r="O42" s="1"/>
      <c r="P42" s="1"/>
      <c r="Q42" s="1"/>
      <c r="R42" s="1"/>
      <c r="S42" s="1"/>
      <c r="T42" s="1"/>
    </row>
    <row r="73" spans="11:20" x14ac:dyDescent="0.25"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1:20" x14ac:dyDescent="0.25"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1:20" x14ac:dyDescent="0.25"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1:20" x14ac:dyDescent="0.25"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1:20" x14ac:dyDescent="0.25"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1:20" x14ac:dyDescent="0.25"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1:20" x14ac:dyDescent="0.25"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1:20" x14ac:dyDescent="0.25"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1:20" x14ac:dyDescent="0.25"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1:20" x14ac:dyDescent="0.25"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1:20" x14ac:dyDescent="0.25"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1:20" x14ac:dyDescent="0.25">
      <c r="K84" s="1"/>
      <c r="L84" s="1"/>
      <c r="M84" s="1"/>
      <c r="N84" s="1"/>
      <c r="O84" s="1"/>
      <c r="P84" s="1"/>
      <c r="Q84" s="1"/>
      <c r="R84" s="1"/>
      <c r="S84" s="1"/>
      <c r="T84" s="1"/>
    </row>
  </sheetData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6C16-0564-46BF-9167-EFE3F3B159C9}">
  <sheetPr>
    <tabColor rgb="FFBD44BE"/>
  </sheetPr>
  <dimension ref="A2:AP42"/>
  <sheetViews>
    <sheetView topLeftCell="B1" workbookViewId="0">
      <selection activeCell="P8" sqref="P8"/>
    </sheetView>
  </sheetViews>
  <sheetFormatPr defaultRowHeight="15.75" x14ac:dyDescent="0.25"/>
  <cols>
    <col min="1" max="1" width="1.7109375" customWidth="1"/>
    <col min="2" max="2" width="32.7109375" customWidth="1"/>
    <col min="3" max="3" width="11.7109375" customWidth="1"/>
    <col min="4" max="4" width="9.140625" customWidth="1"/>
    <col min="6" max="6" width="1.85546875" customWidth="1"/>
    <col min="7" max="7" width="11.7109375" customWidth="1"/>
    <col min="10" max="10" width="1.85546875" customWidth="1"/>
    <col min="11" max="11" width="11.7109375" customWidth="1"/>
    <col min="14" max="14" width="2" customWidth="1"/>
    <col min="15" max="15" width="23.85546875" style="75" customWidth="1"/>
    <col min="16" max="19" width="17.5703125" style="75" customWidth="1"/>
    <col min="20" max="20" width="13.5703125" style="75" customWidth="1"/>
    <col min="21" max="21" width="2" customWidth="1"/>
    <col min="22" max="22" width="12.7109375" customWidth="1"/>
    <col min="23" max="23" width="12.85546875" customWidth="1"/>
    <col min="24" max="24" width="11" bestFit="1" customWidth="1"/>
    <col min="25" max="25" width="12.85546875" customWidth="1"/>
    <col min="26" max="26" width="11" bestFit="1" customWidth="1"/>
    <col min="27" max="27" width="11" customWidth="1"/>
    <col min="28" max="28" width="13.140625" customWidth="1"/>
    <col min="29" max="31" width="10.7109375" customWidth="1"/>
    <col min="32" max="32" width="12.42578125" customWidth="1"/>
    <col min="33" max="34" width="10.7109375" customWidth="1"/>
    <col min="35" max="37" width="9" customWidth="1"/>
    <col min="38" max="38" width="11.28515625" customWidth="1"/>
    <col min="39" max="39" width="19.28515625" customWidth="1"/>
    <col min="40" max="42" width="8.7109375" customWidth="1"/>
    <col min="43" max="43" width="8.85546875" customWidth="1"/>
    <col min="44" max="44" width="15.28515625" bestFit="1" customWidth="1"/>
    <col min="45" max="45" width="9.7109375" customWidth="1"/>
    <col min="46" max="46" width="6.7109375" customWidth="1"/>
    <col min="47" max="47" width="10" customWidth="1"/>
    <col min="48" max="48" width="11" bestFit="1" customWidth="1"/>
    <col min="49" max="49" width="10.28515625" bestFit="1" customWidth="1"/>
    <col min="50" max="50" width="17" bestFit="1" customWidth="1"/>
    <col min="51" max="51" width="11" bestFit="1" customWidth="1"/>
    <col min="52" max="52" width="10.28515625" bestFit="1" customWidth="1"/>
    <col min="53" max="53" width="14.7109375" bestFit="1" customWidth="1"/>
    <col min="54" max="54" width="9.28515625" bestFit="1" customWidth="1"/>
    <col min="55" max="55" width="10.140625" customWidth="1"/>
    <col min="56" max="56" width="9.42578125" bestFit="1" customWidth="1"/>
    <col min="57" max="57" width="9.28515625" bestFit="1" customWidth="1"/>
    <col min="58" max="58" width="9.7109375" bestFit="1" customWidth="1"/>
    <col min="59" max="59" width="13.140625" bestFit="1" customWidth="1"/>
    <col min="60" max="60" width="13.7109375" customWidth="1"/>
    <col min="61" max="61" width="17" bestFit="1" customWidth="1"/>
    <col min="62" max="62" width="11" bestFit="1" customWidth="1"/>
    <col min="63" max="63" width="10.28515625" bestFit="1" customWidth="1"/>
    <col min="64" max="64" width="17" bestFit="1" customWidth="1"/>
    <col min="65" max="65" width="11" bestFit="1" customWidth="1"/>
    <col min="66" max="66" width="10.28515625" bestFit="1" customWidth="1"/>
    <col min="67" max="67" width="14.7109375" bestFit="1" customWidth="1"/>
  </cols>
  <sheetData>
    <row r="2" spans="1:42" ht="8.2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42" x14ac:dyDescent="0.25">
      <c r="A3" s="11"/>
      <c r="B3" s="129" t="s">
        <v>83</v>
      </c>
      <c r="C3" s="130" t="s">
        <v>3</v>
      </c>
      <c r="D3" s="171" t="s">
        <v>75</v>
      </c>
      <c r="E3" s="171"/>
      <c r="F3" s="137"/>
      <c r="G3" s="130" t="s">
        <v>5</v>
      </c>
      <c r="H3" s="171" t="s">
        <v>48</v>
      </c>
      <c r="I3" s="171"/>
      <c r="J3" s="137"/>
      <c r="K3" s="130" t="s">
        <v>7</v>
      </c>
      <c r="L3" s="171" t="s">
        <v>50</v>
      </c>
      <c r="M3" s="171"/>
      <c r="N3" s="11"/>
    </row>
    <row r="4" spans="1:42" x14ac:dyDescent="0.25">
      <c r="A4" s="11"/>
      <c r="B4" s="131" t="str">
        <f>'Yearly Pivot'!BC4</f>
        <v>Sportswear</v>
      </c>
      <c r="C4" s="132">
        <f>GETPIVOTDATA("[Measures].[Gross Profit]",'Yearly Pivot'!$BC$1,"[revenue_expense].[Business Line]","[revenue_expense].[Business Line].&amp;[Sportswear]")</f>
        <v>4787700</v>
      </c>
      <c r="D4" s="133">
        <f>GETPIVOTDATA("[Measures].[Gross Margin]",'Yearly Pivot'!$BC$1,"[revenue_expense].[Business Line]","[revenue_expense].[Business Line].&amp;[Sportswear]")</f>
        <v>0.70327717143822432</v>
      </c>
      <c r="E4" s="133">
        <f>GETPIVOTDATA("[Measures].[Gross Margin]",'Yearly Pivot'!$BC$1,"[revenue_expense].[Business Line]","[revenue_expense].[Business Line].&amp;[Sportswear]")</f>
        <v>0.70327717143822432</v>
      </c>
      <c r="F4" s="133"/>
      <c r="G4" s="132">
        <f>GETPIVOTDATA("[Measures].[EBIT]",'Yearly Pivot'!$BC$1,"[revenue_expense].[Business Line]","[revenue_expense].[Business Line].&amp;[Sportswear]")</f>
        <v>3111700</v>
      </c>
      <c r="H4" s="133">
        <f>GETPIVOTDATA("[Measures].[EBIT Margin]",'Yearly Pivot'!$BC$1,"[revenue_expense].[Business Line]","[revenue_expense].[Business Line].&amp;[Sportswear]")</f>
        <v>0.4570853592255828</v>
      </c>
      <c r="I4" s="133">
        <f>GETPIVOTDATA("[Measures].[EBIT Margin]",'Yearly Pivot'!$BC$1,"[revenue_expense].[Business Line]","[revenue_expense].[Business Line].&amp;[Sportswear]")</f>
        <v>0.4570853592255828</v>
      </c>
      <c r="J4" s="133"/>
      <c r="K4" s="132">
        <f>GETPIVOTDATA("[Measures].[Net Profit]",'Yearly Pivot'!$BC$1,"[revenue_expense].[Business Line]","[revenue_expense].[Business Line].&amp;[Sportswear]")</f>
        <v>2736800</v>
      </c>
      <c r="L4" s="133">
        <f>GETPIVOTDATA("[Measures].[Net Profit Margin]",'Yearly Pivot'!$BC$1,"[revenue_expense].[Business Line]","[revenue_expense].[Business Line].&amp;[Sportswear]")</f>
        <v>0.40201536495438989</v>
      </c>
      <c r="M4" s="133">
        <f>GETPIVOTDATA("[Measures].[Net Profit Margin]",'Yearly Pivot'!$BC$1,"[revenue_expense].[Business Line]","[revenue_expense].[Business Line].&amp;[Sportswear]")</f>
        <v>0.40201536495438989</v>
      </c>
      <c r="N4" s="11"/>
    </row>
    <row r="5" spans="1:42" x14ac:dyDescent="0.25">
      <c r="A5" s="11"/>
      <c r="B5" s="131" t="str">
        <f>'Yearly Pivot'!BC3</f>
        <v>Sports equipment</v>
      </c>
      <c r="C5" s="132">
        <f>GETPIVOTDATA("[Measures].[Gross Profit]",'Yearly Pivot'!$BC$1,"[revenue_expense].[Business Line]","[revenue_expense].[Business Line].&amp;[Sports equipment]")</f>
        <v>5234300</v>
      </c>
      <c r="D5" s="133">
        <f>GETPIVOTDATA("[Measures].[Gross Margin]",'Yearly Pivot'!$BC$1,"[revenue_expense].[Business Line]","[revenue_expense].[Business Line].&amp;[Sports equipment]")</f>
        <v>0.58756244036594263</v>
      </c>
      <c r="E5" s="133">
        <f>GETPIVOTDATA("[Measures].[Gross Margin]",'Yearly Pivot'!$BC$1,"[revenue_expense].[Business Line]","[revenue_expense].[Business Line].&amp;[Sports equipment]")</f>
        <v>0.58756244036594263</v>
      </c>
      <c r="F5" s="133"/>
      <c r="G5" s="132">
        <f>GETPIVOTDATA("[Measures].[EBIT]",'Yearly Pivot'!$BC$1,"[revenue_expense].[Business Line]","[revenue_expense].[Business Line].&amp;[Sports equipment]")</f>
        <v>2700700</v>
      </c>
      <c r="H5" s="133">
        <f>GETPIVOTDATA("[Measures].[EBIT Margin]",'Yearly Pivot'!$BC$1,"[revenue_expense].[Business Line]","[revenue_expense].[Business Line].&amp;[Sports equipment]")</f>
        <v>0.30315990346298477</v>
      </c>
      <c r="I5" s="133">
        <f>GETPIVOTDATA("[Measures].[EBIT Margin]",'Yearly Pivot'!$BC$1,"[revenue_expense].[Business Line]","[revenue_expense].[Business Line].&amp;[Sports equipment]")</f>
        <v>0.30315990346298477</v>
      </c>
      <c r="J5" s="133"/>
      <c r="K5" s="132">
        <f>GETPIVOTDATA("[Measures].[Net Profit]",'Yearly Pivot'!$BC$1,"[revenue_expense].[Business Line]","[revenue_expense].[Business Line].&amp;[Sports equipment]")</f>
        <v>2290200</v>
      </c>
      <c r="L5" s="133">
        <f>GETPIVOTDATA("[Measures].[Net Profit Margin]",'Yearly Pivot'!$BC$1,"[revenue_expense].[Business Line]","[revenue_expense].[Business Line].&amp;[Sports equipment]")</f>
        <v>0.25708031655160801</v>
      </c>
      <c r="M5" s="133">
        <f>GETPIVOTDATA("[Measures].[Net Profit Margin]",'Yearly Pivot'!$BC$1,"[revenue_expense].[Business Line]","[revenue_expense].[Business Line].&amp;[Sports equipment]")</f>
        <v>0.25708031655160801</v>
      </c>
      <c r="N5" s="11"/>
    </row>
    <row r="6" spans="1:42" x14ac:dyDescent="0.25">
      <c r="A6" s="11"/>
      <c r="B6" s="134" t="str">
        <f>'Yearly Pivot'!BC2</f>
        <v>Nutrition and Food Supplements </v>
      </c>
      <c r="C6" s="135">
        <f>GETPIVOTDATA("[Measures].[Gross Profit]",'Yearly Pivot'!$BC$1,"[revenue_expense].[Business Line]","[revenue_expense].[Business Line].&amp;[Nutrition and Food Supplements ]")</f>
        <v>826320</v>
      </c>
      <c r="D6" s="136">
        <f>GETPIVOTDATA("[Measures].[Gross Margin]",'Yearly Pivot'!$BC$1,"[revenue_expense].[Business Line]","[revenue_expense].[Business Line].&amp;[Nutrition and Food Supplements ]")</f>
        <v>0.44820516158427443</v>
      </c>
      <c r="E6" s="136">
        <f>GETPIVOTDATA("[Measures].[Gross Margin]",'Yearly Pivot'!$BC$1,"[revenue_expense].[Business Line]","[revenue_expense].[Business Line].&amp;[Nutrition and Food Supplements ]")</f>
        <v>0.44820516158427443</v>
      </c>
      <c r="F6" s="136"/>
      <c r="G6" s="135">
        <f>GETPIVOTDATA("[Measures].[EBIT]",'Yearly Pivot'!$BC$1,"[revenue_expense].[Business Line]","[revenue_expense].[Business Line].&amp;[Nutrition and Food Supplements ]")</f>
        <v>-568880</v>
      </c>
      <c r="H6" s="136">
        <f>GETPIVOTDATA("[Measures].[EBIT Margin]",'Yearly Pivot'!$BC$1,"[revenue_expense].[Business Line]","[revenue_expense].[Business Line].&amp;[Nutrition and Food Supplements ]")</f>
        <v>-0.30856684132304923</v>
      </c>
      <c r="I6" s="136">
        <f>GETPIVOTDATA("[Measures].[EBIT Margin]",'Yearly Pivot'!$BC$1,"[revenue_expense].[Business Line]","[revenue_expense].[Business Line].&amp;[Nutrition and Food Supplements ]")</f>
        <v>-0.30856684132304923</v>
      </c>
      <c r="J6" s="136"/>
      <c r="K6" s="135">
        <f>GETPIVOTDATA("[Measures].[Net Profit]",'Yearly Pivot'!$BC$1,"[revenue_expense].[Business Line]","[revenue_expense].[Business Line].&amp;[Nutrition and Food Supplements ]")</f>
        <v>-712880</v>
      </c>
      <c r="L6" s="136">
        <f>GETPIVOTDATA("[Measures].[Net Profit Margin]",'Yearly Pivot'!$BC$1,"[revenue_expense].[Business Line]","[revenue_expense].[Business Line].&amp;[Nutrition and Food Supplements ]")</f>
        <v>-0.3866740434579794</v>
      </c>
      <c r="M6" s="136">
        <f>GETPIVOTDATA("[Measures].[Net Profit Margin]",'Yearly Pivot'!$BC$1,"[revenue_expense].[Business Line]","[revenue_expense].[Business Line].&amp;[Nutrition and Food Supplements ]")</f>
        <v>-0.3866740434579794</v>
      </c>
      <c r="N6" s="11"/>
    </row>
    <row r="7" spans="1:42" ht="8.25" customHeight="1" x14ac:dyDescent="0.25">
      <c r="A7" s="11"/>
      <c r="B7" s="138"/>
      <c r="C7" s="139"/>
      <c r="D7" s="140"/>
      <c r="E7" s="140"/>
      <c r="F7" s="140"/>
      <c r="G7" s="139"/>
      <c r="H7" s="140"/>
      <c r="I7" s="140"/>
      <c r="J7" s="140"/>
      <c r="K7" s="139"/>
      <c r="L7" s="140"/>
      <c r="M7" s="140"/>
      <c r="N7" s="11"/>
      <c r="P7" s="76" t="s">
        <v>45</v>
      </c>
      <c r="Q7" s="76" t="s">
        <v>36</v>
      </c>
      <c r="R7" s="76" t="s">
        <v>37</v>
      </c>
      <c r="S7" s="76" t="s">
        <v>74</v>
      </c>
    </row>
    <row r="8" spans="1:42" ht="32.25" customHeight="1" x14ac:dyDescent="0.25">
      <c r="C8" s="69"/>
      <c r="G8" s="69"/>
      <c r="K8" s="69"/>
      <c r="N8" s="170"/>
      <c r="O8" s="77" t="s">
        <v>46</v>
      </c>
      <c r="P8" s="78" t="s">
        <v>45</v>
      </c>
      <c r="Q8" s="78" t="s">
        <v>36</v>
      </c>
      <c r="R8" s="79" t="s">
        <v>37</v>
      </c>
      <c r="S8" s="80" t="s">
        <v>51</v>
      </c>
      <c r="T8" s="80" t="s">
        <v>70</v>
      </c>
      <c r="U8" s="11"/>
    </row>
    <row r="9" spans="1:42" x14ac:dyDescent="0.25">
      <c r="N9" s="170"/>
      <c r="O9" s="114" t="s">
        <v>0</v>
      </c>
      <c r="P9" s="82">
        <f>SUM(P10:P12)</f>
        <v>185700</v>
      </c>
      <c r="Q9" s="82">
        <f>SUM(Q10:Q12)</f>
        <v>784500</v>
      </c>
      <c r="R9" s="82">
        <f>SUM(R10:R12)</f>
        <v>749000</v>
      </c>
      <c r="S9" s="83">
        <f>SUM(P9:R9)</f>
        <v>1719200</v>
      </c>
      <c r="T9" s="128">
        <f>VLOOKUP('Monthly Pivot'!C3,'Monthly Pivot'!S3:AA16,8,0)</f>
        <v>1.2187224021195172E-2</v>
      </c>
      <c r="U9" s="11"/>
      <c r="AB9" s="118"/>
    </row>
    <row r="10" spans="1:42" ht="31.5" x14ac:dyDescent="0.25">
      <c r="D10" s="69"/>
      <c r="H10" s="69"/>
      <c r="L10" s="69"/>
      <c r="N10" s="170"/>
      <c r="O10" s="115" t="s">
        <v>39</v>
      </c>
      <c r="P10" s="84">
        <f>VLOOKUP('Monthly Pivot'!C3,'Monthly Pivot'!H3:Q16,2,0)</f>
        <v>16200</v>
      </c>
      <c r="Q10" s="84">
        <f>VLOOKUP('Monthly Pivot'!C3,'Monthly Pivot'!H3:Q16,3,0)</f>
        <v>165000</v>
      </c>
      <c r="R10" s="85">
        <f>VLOOKUP('Monthly Pivot'!C3,'Monthly Pivot'!H3:Q16,4,0)</f>
        <v>108000</v>
      </c>
      <c r="S10" s="86">
        <f>SUM(P10:R10)</f>
        <v>289200</v>
      </c>
      <c r="T10" s="127">
        <f>VLOOKUP('Monthly Pivot'!C3,'Monthly Pivot'!S3:AA16,2,0)</f>
        <v>2.9914529914529916E-2</v>
      </c>
      <c r="U10" s="11"/>
    </row>
    <row r="11" spans="1:42" x14ac:dyDescent="0.25">
      <c r="N11" s="11"/>
      <c r="O11" s="116" t="s">
        <v>33</v>
      </c>
      <c r="P11" s="84">
        <f>VLOOKUP('Monthly Pivot'!C3,'Monthly Pivot'!H3:Q16,8,0)</f>
        <v>168300</v>
      </c>
      <c r="Q11" s="84">
        <f>VLOOKUP('Monthly Pivot'!C3,'Monthly Pivot'!H3:Q16,9,0)</f>
        <v>600000</v>
      </c>
      <c r="R11" s="85">
        <f>VLOOKUP('Monthly Pivot'!C3,'Monthly Pivot'!H3:Q16,10,0)</f>
        <v>561000</v>
      </c>
      <c r="S11" s="88">
        <f>SUM(P11:R11)</f>
        <v>1329300</v>
      </c>
      <c r="T11" s="127">
        <f>VLOOKUP('Monthly Pivot'!C3,'Monthly Pivot'!S3:AA16,4,0)</f>
        <v>2.5140741883242074E-2</v>
      </c>
      <c r="U11" s="11"/>
    </row>
    <row r="12" spans="1:42" x14ac:dyDescent="0.25">
      <c r="N12" s="11"/>
      <c r="O12" s="116" t="s">
        <v>40</v>
      </c>
      <c r="P12" s="84">
        <f>VLOOKUP('Monthly Pivot'!C3,'Monthly Pivot'!H3:Q16,5,0)</f>
        <v>1200</v>
      </c>
      <c r="Q12" s="84">
        <f>VLOOKUP('Monthly Pivot'!C3,'Monthly Pivot'!H3:Q16,6,0)</f>
        <v>19500</v>
      </c>
      <c r="R12" s="85">
        <f>VLOOKUP('Monthly Pivot'!C3,'Monthly Pivot'!H3:Q16,7,0)</f>
        <v>80000</v>
      </c>
      <c r="S12" s="88">
        <f>SUM(P12:R12)</f>
        <v>100700</v>
      </c>
      <c r="T12" s="127">
        <f>VLOOKUP('Monthly Pivot'!C3,'Monthly Pivot'!S3:AA16,3,0)</f>
        <v>-0.16776859504132233</v>
      </c>
      <c r="U12" s="11"/>
      <c r="AM12" s="68"/>
      <c r="AN12" s="68"/>
      <c r="AO12" s="69"/>
      <c r="AP12" s="69"/>
    </row>
    <row r="13" spans="1:42" ht="4.5" customHeight="1" x14ac:dyDescent="0.25">
      <c r="N13" s="11"/>
      <c r="O13" s="87"/>
      <c r="P13" s="84"/>
      <c r="Q13" s="84"/>
      <c r="R13" s="85"/>
      <c r="S13" s="88"/>
      <c r="T13" s="89"/>
      <c r="U13" s="11"/>
    </row>
    <row r="14" spans="1:42" x14ac:dyDescent="0.25">
      <c r="N14" s="11"/>
      <c r="O14" s="114" t="s">
        <v>1</v>
      </c>
      <c r="P14" s="90">
        <f>P16+P25+P34</f>
        <v>-233300</v>
      </c>
      <c r="Q14" s="90">
        <f>Q16+Q25+Q34</f>
        <v>-596100</v>
      </c>
      <c r="R14" s="90">
        <f>R16+R25+R34</f>
        <v>-396700</v>
      </c>
      <c r="S14" s="91">
        <f>SUM(P14:R14)</f>
        <v>-1226100</v>
      </c>
      <c r="T14" s="126">
        <f>VLOOKUP('Monthly Pivot'!C3,'Monthly Pivot'!S3:AA16,9,0)</f>
        <v>-3.8995856690226664E-3</v>
      </c>
      <c r="U14" s="11"/>
    </row>
    <row r="15" spans="1:42" ht="6" customHeight="1" x14ac:dyDescent="0.25">
      <c r="N15" s="11"/>
      <c r="O15" s="81"/>
      <c r="P15" s="92"/>
      <c r="Q15" s="92"/>
      <c r="R15" s="93"/>
      <c r="S15" s="94"/>
      <c r="T15" s="125"/>
      <c r="U15" s="11"/>
    </row>
    <row r="16" spans="1:42" x14ac:dyDescent="0.25">
      <c r="N16" s="11"/>
      <c r="O16" s="81" t="s">
        <v>2</v>
      </c>
      <c r="P16" s="90">
        <f>SUM(P17:P22)</f>
        <v>-94000</v>
      </c>
      <c r="Q16" s="90">
        <f>SUM(Q17:Q22)</f>
        <v>-353600</v>
      </c>
      <c r="R16" s="90">
        <f>SUM(R17:R22)</f>
        <v>-187000</v>
      </c>
      <c r="S16" s="91">
        <f t="shared" ref="S16:S22" si="0">SUM(P16:R16)</f>
        <v>-634600</v>
      </c>
      <c r="T16" s="126">
        <f>VLOOKUP('Monthly Pivot'!C3,'Monthly Pivot'!S3:AA16,5,0)</f>
        <v>-1.1372487926468297E-2</v>
      </c>
      <c r="U16" s="11"/>
      <c r="W16" t="s">
        <v>68</v>
      </c>
      <c r="X16" t="str">
        <f>'Monthly Pivot'!C3</f>
        <v>June</v>
      </c>
      <c r="AC16" t="s">
        <v>86</v>
      </c>
      <c r="AD16" t="str">
        <f>'Monthly Pivot'!F3</f>
        <v>Sportswear</v>
      </c>
      <c r="AM16" t="s">
        <v>0</v>
      </c>
    </row>
    <row r="17" spans="14:42" x14ac:dyDescent="0.25">
      <c r="N17" s="11"/>
      <c r="O17" s="87" t="s">
        <v>25</v>
      </c>
      <c r="P17" s="95">
        <f>VLOOKUP('Monthly Pivot'!C3,'Monthly Pivot'!AC3:AU16,2,0)</f>
        <v>-65000</v>
      </c>
      <c r="Q17" s="95">
        <f>VLOOKUP('Monthly Pivot'!C3,'Monthly Pivot'!AC3:AU16,3,0)</f>
        <v>-234000</v>
      </c>
      <c r="R17" s="96">
        <f>VLOOKUP('Monthly Pivot'!C3,'Monthly Pivot'!AC3:AU16,4,0)</f>
        <v>-130000</v>
      </c>
      <c r="S17" s="94">
        <f t="shared" si="0"/>
        <v>-429000</v>
      </c>
      <c r="T17" s="125">
        <f>VLOOKUP('Monthly Pivot'!C3,'Monthly Pivot'!AW2:BC15,2,0)</f>
        <v>0</v>
      </c>
      <c r="U17" s="11"/>
      <c r="W17" s="158"/>
      <c r="X17" s="159" t="s">
        <v>45</v>
      </c>
      <c r="Y17" s="159" t="s">
        <v>36</v>
      </c>
      <c r="Z17" s="159" t="s">
        <v>37</v>
      </c>
      <c r="AA17" s="159" t="s">
        <v>74</v>
      </c>
      <c r="AC17" s="162" t="s">
        <v>0</v>
      </c>
      <c r="AD17" s="162" t="s">
        <v>1</v>
      </c>
      <c r="AE17" s="162" t="s">
        <v>3</v>
      </c>
      <c r="AF17" s="162" t="s">
        <v>5</v>
      </c>
      <c r="AG17" s="162" t="s">
        <v>7</v>
      </c>
      <c r="AI17" s="163" t="s">
        <v>75</v>
      </c>
      <c r="AJ17" s="163" t="s">
        <v>48</v>
      </c>
      <c r="AK17" s="164" t="s">
        <v>50</v>
      </c>
      <c r="AM17" s="169" t="s">
        <v>33</v>
      </c>
      <c r="AN17" s="165">
        <f>HLOOKUP(AD16,O7:T41,5,0)</f>
        <v>561000</v>
      </c>
      <c r="AO17" s="166">
        <f>AN17/SUM($AN$17:$AN$19)</f>
        <v>0.74899866488651534</v>
      </c>
      <c r="AP17" s="155" t="str">
        <f>CONCATENATE("(",TEXT(AO17*100,"##"),"%",")")</f>
        <v>(75%)</v>
      </c>
    </row>
    <row r="18" spans="14:42" x14ac:dyDescent="0.25">
      <c r="N18" s="11"/>
      <c r="O18" s="87" t="s">
        <v>27</v>
      </c>
      <c r="P18" s="95">
        <f>VLOOKUP('Monthly Pivot'!C3,'Monthly Pivot'!AC3:AU16,5,0)</f>
        <v>-20000</v>
      </c>
      <c r="Q18" s="95">
        <f>VLOOKUP('Monthly Pivot'!C3,'Monthly Pivot'!AC3:AU16,6,0)</f>
        <v>-54000</v>
      </c>
      <c r="R18" s="96">
        <f>VLOOKUP('Monthly Pivot'!C3,'Monthly Pivot'!AC3:AU16,7,0)</f>
        <v>-30000</v>
      </c>
      <c r="S18" s="94">
        <f t="shared" si="0"/>
        <v>-104000</v>
      </c>
      <c r="T18" s="125">
        <f>VLOOKUP('Monthly Pivot'!C3,'Monthly Pivot'!AW2:BC15,3,0)</f>
        <v>0</v>
      </c>
      <c r="U18" s="11"/>
      <c r="W18" s="157" t="s">
        <v>0</v>
      </c>
      <c r="X18" s="157">
        <f>VLOOKUP(X16,'Monthly Pivot'!CX2:DB15,2,0)</f>
        <v>0.16792452830188678</v>
      </c>
      <c r="Y18" s="157">
        <f>VLOOKUP(X16,'Monthly Pivot'!CX2:DB15,3,0)</f>
        <v>-7.5427224513847965E-2</v>
      </c>
      <c r="Z18" s="157">
        <f>VLOOKUP(X16,'Monthly Pivot'!CX2:DB15,4,0)</f>
        <v>8.3936324167872653E-2</v>
      </c>
      <c r="AA18" s="157">
        <f>VLOOKUP(X16,'Monthly Pivot'!CX2:DB15,5,0)</f>
        <v>1.2187224021195172E-2</v>
      </c>
      <c r="AC18" s="160">
        <f>HLOOKUP(AD16,O7:T43,3,0)</f>
        <v>749000</v>
      </c>
      <c r="AD18" s="161">
        <f>HLOOKUP(AD16,O7:T41,8,0)</f>
        <v>-396700</v>
      </c>
      <c r="AE18" s="160">
        <f>HLOOKUP(AD16,O7:T41,30,0)</f>
        <v>562000</v>
      </c>
      <c r="AF18" s="160">
        <f>HLOOKUP(AD16,O7:T41,32,0)</f>
        <v>409000</v>
      </c>
      <c r="AG18" s="160">
        <f>HLOOKUP(AD16,O7:T41,34,0)</f>
        <v>352300</v>
      </c>
      <c r="AI18" s="74">
        <f>HLOOKUP(AD16,O7:T42,31,0)</f>
        <v>0.75033377837116155</v>
      </c>
      <c r="AJ18" s="74">
        <f>HLOOKUP(AD16,O7:T41,33,0)</f>
        <v>0.54606141522029372</v>
      </c>
      <c r="AK18" s="74">
        <f>HLOOKUP(AD16,O7:T41,35,0)</f>
        <v>0.47036048064085445</v>
      </c>
      <c r="AM18" s="169" t="s">
        <v>39</v>
      </c>
      <c r="AN18" s="165">
        <f>HLOOKUP(AD16,O7:T41,4,0)</f>
        <v>108000</v>
      </c>
      <c r="AO18" s="166">
        <f>AN18/SUM($AN$17:$AN$19)</f>
        <v>0.14419225634178906</v>
      </c>
      <c r="AP18" s="155" t="str">
        <f>CONCATENATE("(",TEXT(AO18*100,"##"),"%",")")</f>
        <v>(14%)</v>
      </c>
    </row>
    <row r="19" spans="14:42" x14ac:dyDescent="0.25">
      <c r="N19" s="11"/>
      <c r="O19" s="87" t="s">
        <v>29</v>
      </c>
      <c r="P19" s="95">
        <f>VLOOKUP('Monthly Pivot'!C3,'Monthly Pivot'!AC3:AU16,11,0)</f>
        <v>-900</v>
      </c>
      <c r="Q19" s="95">
        <f>VLOOKUP('Monthly Pivot'!C3,'Monthly Pivot'!AC3:AU16,12,0)</f>
        <v>-5000</v>
      </c>
      <c r="R19" s="96">
        <f>VLOOKUP('Monthly Pivot'!C3,'Monthly Pivot'!AC3:AU16,13,0)</f>
        <v>-3000</v>
      </c>
      <c r="S19" s="94">
        <f t="shared" si="0"/>
        <v>-8900</v>
      </c>
      <c r="T19" s="125">
        <f>VLOOKUP('Monthly Pivot'!C3,'Monthly Pivot'!AW2:BC15,5,0)</f>
        <v>-0.12745098039215685</v>
      </c>
      <c r="U19" s="11"/>
      <c r="W19" s="156" t="s">
        <v>1</v>
      </c>
      <c r="X19" s="156">
        <f>VLOOKUP(X16,'Monthly Pivot'!DD2:DH15,2,0)</f>
        <v>-2.5651988029072254E-3</v>
      </c>
      <c r="Y19" s="156">
        <f>VLOOKUP(X16,'Monthly Pivot'!DD2:DH15,3,0)</f>
        <v>-4.4711538461538462E-2</v>
      </c>
      <c r="Z19" s="156">
        <f>VLOOKUP(X16,'Monthly Pivot'!DD2:DH15,4,0)</f>
        <v>6.3538873994638076E-2</v>
      </c>
      <c r="AA19" s="156">
        <f>VLOOKUP(X16,'Monthly Pivot'!DD2:DH15,5,0)</f>
        <v>-3.8995856690226664E-3</v>
      </c>
      <c r="AC19" s="123">
        <f>HLOOKUP(AD16,W17:AA22,2,0)</f>
        <v>8.3936324167872653E-2</v>
      </c>
      <c r="AD19" s="123">
        <f>HLOOKUP(AD16,W17:AA22,3,0)</f>
        <v>6.3538873994638076E-2</v>
      </c>
      <c r="AE19" s="124">
        <f>HLOOKUP(AD16,W17:AA22,4,0)</f>
        <v>0.1172962226640159</v>
      </c>
      <c r="AF19" s="124">
        <f>HLOOKUP(AD16,W17:AA22,5,0)</f>
        <v>0.17191977077363896</v>
      </c>
      <c r="AG19" s="124">
        <f>HLOOKUP(AD16,W17:AA22,6,0)</f>
        <v>0.10786163522012579</v>
      </c>
      <c r="AM19" s="169" t="s">
        <v>40</v>
      </c>
      <c r="AN19" s="165">
        <f>HLOOKUP(AD16,O7:T41,6,0)</f>
        <v>80000</v>
      </c>
      <c r="AO19" s="166">
        <f>AN19/SUM($AN$17:$AN$19)</f>
        <v>0.1068090787716956</v>
      </c>
      <c r="AP19" s="155" t="str">
        <f>CONCATENATE("(",TEXT(AO19*100,"##"),"%",")")</f>
        <v>(11%)</v>
      </c>
    </row>
    <row r="20" spans="14:42" x14ac:dyDescent="0.25">
      <c r="N20" s="11"/>
      <c r="O20" s="87" t="s">
        <v>33</v>
      </c>
      <c r="P20" s="95">
        <f>VLOOKUP('Monthly Pivot'!C3,'Monthly Pivot'!AC3:AU16,14,0)</f>
        <v>-2400</v>
      </c>
      <c r="Q20" s="95">
        <f>VLOOKUP('Monthly Pivot'!C3,'Monthly Pivot'!AC3:AU16,15,0)</f>
        <v>-35000</v>
      </c>
      <c r="R20" s="96">
        <f>VLOOKUP('Monthly Pivot'!C3,'Monthly Pivot'!AC3:AU16,16,0)</f>
        <v>-8000</v>
      </c>
      <c r="S20" s="94">
        <f t="shared" si="0"/>
        <v>-45400</v>
      </c>
      <c r="T20" s="125">
        <f>VLOOKUP('Monthly Pivot'!C3,'Monthly Pivot'!AW2:BC15,6,0)</f>
        <v>-0.1218568665377176</v>
      </c>
      <c r="U20" s="11"/>
      <c r="W20" s="156" t="s">
        <v>3</v>
      </c>
      <c r="X20" s="156">
        <f>VLOOKUP(X16,'Monthly Pivot'!DJ2:DN15,2,0)</f>
        <v>0.41731066460587324</v>
      </c>
      <c r="Y20" s="156">
        <f>VLOOKUP(X16,'Monthly Pivot'!DJ2:DN15,3,0)</f>
        <v>-0.11863366741664962</v>
      </c>
      <c r="Z20" s="156">
        <f>VLOOKUP(X16,'Monthly Pivot'!DJ2:DN15,4,0)</f>
        <v>0.1172962226640159</v>
      </c>
      <c r="AA20" s="156">
        <f>VLOOKUP(X16,'Monthly Pivot'!DJ2:DN15,5,0)</f>
        <v>2.6500094643195155E-2</v>
      </c>
      <c r="AM20" s="70" t="s">
        <v>1</v>
      </c>
      <c r="AN20" s="70"/>
      <c r="AO20" s="69"/>
      <c r="AP20" s="69"/>
    </row>
    <row r="21" spans="14:42" x14ac:dyDescent="0.25">
      <c r="N21" s="11"/>
      <c r="O21" s="87" t="s">
        <v>34</v>
      </c>
      <c r="P21" s="95">
        <f>VLOOKUP('Monthly Pivot'!C3,'Monthly Pivot'!AC3:AU16,17,0)</f>
        <v>-2700</v>
      </c>
      <c r="Q21" s="95">
        <f>VLOOKUP('Monthly Pivot'!C3,'Monthly Pivot'!AC3:AU16,18,0)</f>
        <v>-13000</v>
      </c>
      <c r="R21" s="96">
        <f>VLOOKUP('Monthly Pivot'!C3,'Monthly Pivot'!AC3:AU16,19,0)</f>
        <v>-9000</v>
      </c>
      <c r="S21" s="94">
        <f t="shared" si="0"/>
        <v>-24700</v>
      </c>
      <c r="T21" s="125">
        <f>VLOOKUP('Monthly Pivot'!C3,'Monthly Pivot'!AW2:BC15,7,0)</f>
        <v>1.2295081967213115E-2</v>
      </c>
      <c r="U21" s="11"/>
      <c r="W21" s="156" t="s">
        <v>5</v>
      </c>
      <c r="X21" s="156">
        <f>VLOOKUP(X16,'Monthly Pivot'!DP17:DT30,2,0)</f>
        <v>0.43402225755166934</v>
      </c>
      <c r="Y21" s="156">
        <f>VLOOKUP(X16,'Monthly Pivot'!DP17:DT30,3,0)</f>
        <v>-0.21104018024784077</v>
      </c>
      <c r="Z21" s="156">
        <f>VLOOKUP(X16,'Monthly Pivot'!DP17:DT30,4,0)</f>
        <v>0.17191977077363896</v>
      </c>
      <c r="AA21" s="156">
        <f>VLOOKUP(X16,'Monthly Pivot'!DP17:DT30,5,0)</f>
        <v>5.6299782766111514E-2</v>
      </c>
      <c r="AI21">
        <f>ABS(AI18)</f>
        <v>0.75033377837116155</v>
      </c>
      <c r="AJ21">
        <f>ABS(AJ18)</f>
        <v>0.54606141522029372</v>
      </c>
      <c r="AK21">
        <f>ABS(AK18)</f>
        <v>0.47036048064085445</v>
      </c>
      <c r="AM21" s="168" t="s">
        <v>2</v>
      </c>
      <c r="AN21" s="167">
        <f>HLOOKUP(AD16,O7:T41,10,0)</f>
        <v>-187000</v>
      </c>
      <c r="AO21" s="166">
        <f>ABS(AN21/SUM($AN$21:$AN$23))</f>
        <v>0.4713889589110159</v>
      </c>
      <c r="AP21" s="155" t="str">
        <f>CONCATENATE("(",TEXT(AO21*100,"##"),"%",")")</f>
        <v>(47%)</v>
      </c>
    </row>
    <row r="22" spans="14:42" x14ac:dyDescent="0.25">
      <c r="N22" s="11"/>
      <c r="O22" s="87" t="s">
        <v>28</v>
      </c>
      <c r="P22" s="95">
        <f>VLOOKUP('Monthly Pivot'!C3,'Monthly Pivot'!AC3:AU16,8,0)</f>
        <v>-3000</v>
      </c>
      <c r="Q22" s="95">
        <f>VLOOKUP('Monthly Pivot'!C3,'Monthly Pivot'!AC3:AU16,9,0)</f>
        <v>-12600</v>
      </c>
      <c r="R22" s="96">
        <f>VLOOKUP('Monthly Pivot'!C3,'Monthly Pivot'!AC3:AU16,10,0)</f>
        <v>-7000</v>
      </c>
      <c r="S22" s="94">
        <f t="shared" si="0"/>
        <v>-22600</v>
      </c>
      <c r="T22" s="125">
        <f>VLOOKUP('Monthly Pivot'!C3,'Monthly Pivot'!AW2:BC15,4,0)</f>
        <v>0</v>
      </c>
      <c r="U22" s="11"/>
      <c r="W22" s="156" t="s">
        <v>7</v>
      </c>
      <c r="X22" s="156">
        <f>VLOOKUP(X16,'Monthly Pivot'!DV17:DZ30,2,0)</f>
        <v>0.3644859813084112</v>
      </c>
      <c r="Y22" s="156">
        <f>VLOOKUP(X16,'Monthly Pivot'!DV17:DZ30,3,0)</f>
        <v>-0.16080178173719376</v>
      </c>
      <c r="Z22" s="156">
        <f>VLOOKUP(X16,'Monthly Pivot'!DV17:DZ30,4,0)</f>
        <v>0.10786163522012579</v>
      </c>
      <c r="AA22" s="156">
        <f>VLOOKUP(X16,'Monthly Pivot'!DV17:DZ30,5,0)</f>
        <v>5.453378956372968E-2</v>
      </c>
      <c r="AI22">
        <f>1-AI21</f>
        <v>0.24966622162883845</v>
      </c>
      <c r="AJ22">
        <f t="shared" ref="AJ22" si="1">1-AJ21</f>
        <v>0.45393858477970628</v>
      </c>
      <c r="AK22">
        <f>1-AK21</f>
        <v>0.52963951935914555</v>
      </c>
      <c r="AM22" s="168" t="s">
        <v>38</v>
      </c>
      <c r="AN22" s="167">
        <f>HLOOKUP(AD16,O7:T41,19,0)</f>
        <v>-153000</v>
      </c>
      <c r="AO22" s="166">
        <f>ABS(AN22/SUM($AN$21:$AN$23))</f>
        <v>0.38568187547264937</v>
      </c>
      <c r="AP22" s="155" t="str">
        <f>CONCATENATE("(",TEXT(AO22*100,"##"),"%",")")</f>
        <v>(39%)</v>
      </c>
    </row>
    <row r="23" spans="14:42" x14ac:dyDescent="0.25">
      <c r="N23" s="11"/>
      <c r="O23" s="104" t="s">
        <v>49</v>
      </c>
      <c r="P23" s="97">
        <f>ABS(P16/P9)</f>
        <v>0.50619278406031232</v>
      </c>
      <c r="Q23" s="97">
        <f>ABS(Q16/Q9)</f>
        <v>0.4507329509241555</v>
      </c>
      <c r="R23" s="97">
        <f>ABS(R16/R9)</f>
        <v>0.24966622162883845</v>
      </c>
      <c r="S23" s="97">
        <f>ABS(S16/S9)</f>
        <v>0.36912517449976734</v>
      </c>
      <c r="T23" s="125">
        <f>VLOOKUP('Monthly Pivot'!C3,'Monthly Pivot'!CT1:CV14,2,0)</f>
        <v>-2.3276041614184732E-2</v>
      </c>
      <c r="U23" s="11"/>
      <c r="AM23" s="168" t="s">
        <v>6</v>
      </c>
      <c r="AN23" s="167">
        <f>HLOOKUP(AD16,O7:T41,28,0)</f>
        <v>-56700</v>
      </c>
      <c r="AO23" s="166">
        <f>ABS(AN23/SUM($AN$21:$AN$23))</f>
        <v>0.14292916561633476</v>
      </c>
      <c r="AP23" s="155" t="str">
        <f>CONCATENATE("(",TEXT(AO23*100,"##"),"%",")")</f>
        <v>(14%)</v>
      </c>
    </row>
    <row r="24" spans="14:42" ht="6" customHeight="1" x14ac:dyDescent="0.25">
      <c r="N24" s="11"/>
      <c r="O24" s="113"/>
      <c r="P24" s="98"/>
      <c r="Q24" s="98"/>
      <c r="R24" s="98"/>
      <c r="S24" s="98"/>
      <c r="T24" s="98"/>
      <c r="U24" s="11"/>
    </row>
    <row r="25" spans="14:42" x14ac:dyDescent="0.25">
      <c r="N25" s="11"/>
      <c r="O25" s="81" t="s">
        <v>4</v>
      </c>
      <c r="P25" s="90">
        <f>SUM(P26:P31)</f>
        <v>-127300</v>
      </c>
      <c r="Q25" s="90">
        <f>SUM(Q26:Q31)</f>
        <v>-220800</v>
      </c>
      <c r="R25" s="90">
        <f>SUM(R26:R31)</f>
        <v>-153000</v>
      </c>
      <c r="S25" s="91">
        <f t="shared" ref="S25:S31" si="2">SUM(P25:R25)</f>
        <v>-501100</v>
      </c>
      <c r="T25" s="126">
        <f>VLOOKUP('Monthly Pivot'!C3,'Monthly Pivot'!S3:AA16,7,0)</f>
        <v>-6.1483538278460925E-3</v>
      </c>
      <c r="U25" s="11"/>
    </row>
    <row r="26" spans="14:42" x14ac:dyDescent="0.25">
      <c r="N26" s="11"/>
      <c r="O26" s="87" t="s">
        <v>24</v>
      </c>
      <c r="P26" s="95">
        <f>VLOOKUP('Monthly Pivot'!C3,'Monthly Pivot'!BE3:BW16,2,0)</f>
        <v>-11400</v>
      </c>
      <c r="Q26" s="95">
        <f>VLOOKUP('Monthly Pivot'!C3,'Monthly Pivot'!BE3:BW16,3,0)</f>
        <v>-68400</v>
      </c>
      <c r="R26" s="96">
        <f>VLOOKUP('Monthly Pivot'!C3,'Monthly Pivot'!BE3:BW16,4,0)</f>
        <v>-38000</v>
      </c>
      <c r="S26" s="94">
        <f t="shared" si="2"/>
        <v>-117800</v>
      </c>
      <c r="T26" s="125">
        <f>VLOOKUP('Monthly Pivot'!C3,'Monthly Pivot'!BY2:CE15,2,0)</f>
        <v>0</v>
      </c>
      <c r="U26" s="11"/>
    </row>
    <row r="27" spans="14:42" x14ac:dyDescent="0.25">
      <c r="N27" s="11"/>
      <c r="O27" s="87" t="s">
        <v>26</v>
      </c>
      <c r="P27" s="95">
        <f>VLOOKUP('Monthly Pivot'!C3,'Monthly Pivot'!BE3:BW16,5,0)</f>
        <v>-30000</v>
      </c>
      <c r="Q27" s="95">
        <f>VLOOKUP('Monthly Pivot'!C3,'Monthly Pivot'!BE3:BW16,6,0)</f>
        <v>-50000</v>
      </c>
      <c r="R27" s="96">
        <f>VLOOKUP('Monthly Pivot'!C3,'Monthly Pivot'!BE3:BW16,7,0)</f>
        <v>-40000</v>
      </c>
      <c r="S27" s="94">
        <f t="shared" si="2"/>
        <v>-120000</v>
      </c>
      <c r="T27" s="125">
        <f>VLOOKUP('Monthly Pivot'!C3,'Monthly Pivot'!BY2:CE15,3,0)</f>
        <v>0</v>
      </c>
      <c r="U27" s="11"/>
    </row>
    <row r="28" spans="14:42" x14ac:dyDescent="0.25">
      <c r="N28" s="11"/>
      <c r="O28" s="87" t="s">
        <v>30</v>
      </c>
      <c r="P28" s="95">
        <f>VLOOKUP('Monthly Pivot'!C3,'Monthly Pivot'!BE3:BW16,11,0)</f>
        <v>-40000</v>
      </c>
      <c r="Q28" s="95">
        <f>VLOOKUP('Monthly Pivot'!C3,'Monthly Pivot'!BE3:BW16,12,0)</f>
        <v>-60000</v>
      </c>
      <c r="R28" s="96">
        <f>VLOOKUP('Monthly Pivot'!C3,'Monthly Pivot'!BE3:BW16,13,0)</f>
        <v>-52000</v>
      </c>
      <c r="S28" s="94">
        <f t="shared" si="2"/>
        <v>-152000</v>
      </c>
      <c r="T28" s="125">
        <f>VLOOKUP('Monthly Pivot'!C3,'Monthly Pivot'!BY2:CE15,5,0)</f>
        <v>0</v>
      </c>
      <c r="U28" s="11"/>
    </row>
    <row r="29" spans="14:42" x14ac:dyDescent="0.25">
      <c r="N29" s="11"/>
      <c r="O29" s="87" t="s">
        <v>31</v>
      </c>
      <c r="P29" s="95">
        <f>VLOOKUP('Monthly Pivot'!C3,'Monthly Pivot'!BE3:BW16,14,0)</f>
        <v>-30000</v>
      </c>
      <c r="Q29" s="95">
        <f>VLOOKUP('Monthly Pivot'!C3,'Monthly Pivot'!BE3:BW16,15,0)</f>
        <v>-10000</v>
      </c>
      <c r="R29" s="96">
        <f>VLOOKUP('Monthly Pivot'!C3,'Monthly Pivot'!BE3:BW16,16,0)</f>
        <v>-5000</v>
      </c>
      <c r="S29" s="94">
        <f t="shared" si="2"/>
        <v>-45000</v>
      </c>
      <c r="T29" s="125">
        <f>VLOOKUP('Monthly Pivot'!C3,'Monthly Pivot'!BY2:CE15,6,0)</f>
        <v>0</v>
      </c>
      <c r="U29" s="11"/>
    </row>
    <row r="30" spans="14:42" x14ac:dyDescent="0.25">
      <c r="N30" s="11"/>
      <c r="O30" s="87" t="s">
        <v>32</v>
      </c>
      <c r="P30" s="95">
        <f>VLOOKUP('Monthly Pivot'!C3,'Monthly Pivot'!BE3:BW16,17,0)</f>
        <v>-15000</v>
      </c>
      <c r="Q30" s="95">
        <f>VLOOKUP('Monthly Pivot'!C3,'Monthly Pivot'!BE3:BW16,18,0)</f>
        <v>-27000</v>
      </c>
      <c r="R30" s="96">
        <f>VLOOKUP('Monthly Pivot'!C3,'Monthly Pivot'!BE3:BW16,19,0)</f>
        <v>-15000</v>
      </c>
      <c r="S30" s="94">
        <f t="shared" si="2"/>
        <v>-57000</v>
      </c>
      <c r="T30" s="125">
        <f>VLOOKUP('Monthly Pivot'!C3,'Monthly Pivot'!BY2:CE15,7,0)</f>
        <v>0</v>
      </c>
      <c r="U30" s="11"/>
    </row>
    <row r="31" spans="14:42" x14ac:dyDescent="0.25">
      <c r="N31" s="11"/>
      <c r="O31" s="87" t="s">
        <v>28</v>
      </c>
      <c r="P31" s="95">
        <f>VLOOKUP('Monthly Pivot'!C3,'Monthly Pivot'!BE3:BW16,8,0)</f>
        <v>-900</v>
      </c>
      <c r="Q31" s="95">
        <f>VLOOKUP('Monthly Pivot'!C3,'Monthly Pivot'!BE3:BW16,9,0)</f>
        <v>-5400</v>
      </c>
      <c r="R31" s="96">
        <f>VLOOKUP('Monthly Pivot'!C3,'Monthly Pivot'!BE3:BW16,10,0)</f>
        <v>-3000</v>
      </c>
      <c r="S31" s="94">
        <f t="shared" si="2"/>
        <v>-9300</v>
      </c>
      <c r="T31" s="125">
        <f>VLOOKUP('Monthly Pivot'!C3,'Monthly Pivot'!BY2:CE15,4,0)</f>
        <v>-0.25</v>
      </c>
      <c r="U31" s="11"/>
    </row>
    <row r="32" spans="14:42" x14ac:dyDescent="0.25">
      <c r="N32" s="11"/>
      <c r="O32" s="116" t="s">
        <v>76</v>
      </c>
      <c r="P32" s="99">
        <f>ABS(P25/P9)</f>
        <v>0.68551427032848677</v>
      </c>
      <c r="Q32" s="99">
        <f>ABS(Q25/Q9)</f>
        <v>0.28145315487571704</v>
      </c>
      <c r="R32" s="99">
        <f>ABS(R25/R9)</f>
        <v>0.20427236315086783</v>
      </c>
      <c r="S32" s="99">
        <f>ABS(S25/S9)</f>
        <v>0.29147277803629595</v>
      </c>
      <c r="T32" s="125">
        <f>VLOOKUP('Monthly Pivot'!C3,'Monthly Pivot'!CT1:CV14,3,0)</f>
        <v>-1.8114808618308931E-2</v>
      </c>
      <c r="U32" s="11"/>
    </row>
    <row r="33" spans="14:21" ht="6" customHeight="1" x14ac:dyDescent="0.25">
      <c r="N33" s="11"/>
      <c r="O33" s="100"/>
      <c r="P33" s="98"/>
      <c r="Q33" s="98"/>
      <c r="R33" s="98"/>
      <c r="S33" s="98"/>
      <c r="T33" s="125"/>
      <c r="U33" s="11"/>
    </row>
    <row r="34" spans="14:21" x14ac:dyDescent="0.25">
      <c r="N34" s="11"/>
      <c r="O34" s="81" t="s">
        <v>23</v>
      </c>
      <c r="P34" s="90">
        <f>VLOOKUP('Monthly Pivot'!C3,'Monthly Pivot'!CG2:CJ15,2,0)</f>
        <v>-12000</v>
      </c>
      <c r="Q34" s="90">
        <f>VLOOKUP('Monthly Pivot'!C3,'Monthly Pivot'!CG2:CJ15,3,0)</f>
        <v>-21700</v>
      </c>
      <c r="R34" s="101">
        <f>VLOOKUP('Monthly Pivot'!C3,'Monthly Pivot'!CG2:CJ15,4,0)</f>
        <v>-56700</v>
      </c>
      <c r="S34" s="91">
        <f>SUM(P34:R34)</f>
        <v>-90400</v>
      </c>
      <c r="T34" s="126">
        <f>VLOOKUP('Monthly Pivot'!C3,'Monthly Pivot'!S3:AA16,6,0)</f>
        <v>6.6037735849056603E-2</v>
      </c>
      <c r="U34" s="11"/>
    </row>
    <row r="35" spans="14:21" ht="6" customHeight="1" x14ac:dyDescent="0.25">
      <c r="N35" s="11"/>
      <c r="O35" s="113"/>
      <c r="P35" s="98"/>
      <c r="Q35" s="98"/>
      <c r="R35" s="98"/>
      <c r="S35" s="98"/>
      <c r="T35" s="98"/>
      <c r="U35" s="11"/>
    </row>
    <row r="36" spans="14:21" x14ac:dyDescent="0.25">
      <c r="N36" s="11"/>
      <c r="O36" s="117" t="s">
        <v>3</v>
      </c>
      <c r="P36" s="102">
        <f>P9+P16</f>
        <v>91700</v>
      </c>
      <c r="Q36" s="102">
        <f>Q9+Q16</f>
        <v>430900</v>
      </c>
      <c r="R36" s="102">
        <f>R9+R16</f>
        <v>562000</v>
      </c>
      <c r="S36" s="103">
        <f>SUM(P36:R36)</f>
        <v>1084600</v>
      </c>
      <c r="T36" s="127">
        <f>VLOOKUP('Monthly Pivot'!C3,'Monthly Pivot'!CL1:CR14,2,0)</f>
        <v>2.6500094643195155E-2</v>
      </c>
      <c r="U36" s="11"/>
    </row>
    <row r="37" spans="14:21" x14ac:dyDescent="0.25">
      <c r="N37" s="11"/>
      <c r="O37" s="104" t="s">
        <v>75</v>
      </c>
      <c r="P37" s="97">
        <f>P36/P9</f>
        <v>0.49380721593968768</v>
      </c>
      <c r="Q37" s="97">
        <f>Q36/Q9</f>
        <v>0.54926704907584445</v>
      </c>
      <c r="R37" s="97">
        <f>R36/R9</f>
        <v>0.75033377837116155</v>
      </c>
      <c r="S37" s="97">
        <f>S36/S9</f>
        <v>0.63087482550023266</v>
      </c>
      <c r="T37" s="127">
        <f>VLOOKUP('Monthly Pivot'!C3,'Monthly Pivot'!CL1:CR14,3,0)</f>
        <v>1.4140536733054305E-2</v>
      </c>
      <c r="U37" s="11"/>
    </row>
    <row r="38" spans="14:21" x14ac:dyDescent="0.25">
      <c r="N38" s="11"/>
      <c r="O38" s="117" t="s">
        <v>5</v>
      </c>
      <c r="P38" s="102">
        <f>P36+P25</f>
        <v>-35600</v>
      </c>
      <c r="Q38" s="102">
        <f>Q36+Q25</f>
        <v>210100</v>
      </c>
      <c r="R38" s="102">
        <f>R36+R25</f>
        <v>409000</v>
      </c>
      <c r="S38" s="105">
        <f>SUM(P38:R38)</f>
        <v>583500</v>
      </c>
      <c r="T38" s="127">
        <f>VLOOKUP('Monthly Pivot'!C3,'Monthly Pivot'!CL1:CR14,4,0)</f>
        <v>5.6299782766111514E-2</v>
      </c>
      <c r="U38" s="11"/>
    </row>
    <row r="39" spans="14:21" x14ac:dyDescent="0.25">
      <c r="N39" s="11"/>
      <c r="O39" s="104" t="s">
        <v>48</v>
      </c>
      <c r="P39" s="97">
        <f>P38/P9</f>
        <v>-0.19170705438879915</v>
      </c>
      <c r="Q39" s="97">
        <f>Q38/Q9</f>
        <v>0.26781389420012747</v>
      </c>
      <c r="R39" s="97">
        <f>R38/R9</f>
        <v>0.54606141522029372</v>
      </c>
      <c r="S39" s="97">
        <f>S38/S9</f>
        <v>0.33940204746393671</v>
      </c>
      <c r="T39" s="127">
        <f>VLOOKUP('Monthly Pivot'!C3,'Monthly Pivot'!CL1:CR14,5,0)</f>
        <v>4.3581422189530317E-2</v>
      </c>
      <c r="U39" s="11"/>
    </row>
    <row r="40" spans="14:21" x14ac:dyDescent="0.25">
      <c r="N40" s="11"/>
      <c r="O40" s="117" t="s">
        <v>7</v>
      </c>
      <c r="P40" s="102">
        <f>P38+P34</f>
        <v>-47600</v>
      </c>
      <c r="Q40" s="102">
        <f>Q38+Q34</f>
        <v>188400</v>
      </c>
      <c r="R40" s="102">
        <f>R38+R34</f>
        <v>352300</v>
      </c>
      <c r="S40" s="106">
        <v>478700</v>
      </c>
      <c r="T40" s="127">
        <f>VLOOKUP('Monthly Pivot'!C3,'Monthly Pivot'!CL1:CR14,6,0)</f>
        <v>5.453378956372968E-2</v>
      </c>
      <c r="U40" s="11"/>
    </row>
    <row r="41" spans="14:21" x14ac:dyDescent="0.25">
      <c r="N41" s="11"/>
      <c r="O41" s="107" t="s">
        <v>50</v>
      </c>
      <c r="P41" s="108">
        <f>P40/P9</f>
        <v>-0.25632740980075391</v>
      </c>
      <c r="Q41" s="108">
        <f>Q40/Q9</f>
        <v>0.24015296367112809</v>
      </c>
      <c r="R41" s="108">
        <f>R40/R9</f>
        <v>0.47036048064085445</v>
      </c>
      <c r="S41" s="108">
        <f>S40/S9</f>
        <v>0.2784434620753839</v>
      </c>
      <c r="T41" s="127">
        <f>VLOOKUP('Monthly Pivot'!C3,'Monthly Pivot'!CL1:CR14,7,0)</f>
        <v>4.1836692399950415E-2</v>
      </c>
      <c r="U41" s="11"/>
    </row>
    <row r="42" spans="14:21" ht="6.75" customHeight="1" x14ac:dyDescent="0.25">
      <c r="N42" s="11"/>
      <c r="O42" s="98"/>
      <c r="P42" s="98"/>
      <c r="Q42" s="98"/>
      <c r="R42" s="98"/>
      <c r="S42" s="98"/>
      <c r="T42" s="98"/>
      <c r="U42" s="11"/>
    </row>
  </sheetData>
  <mergeCells count="3">
    <mergeCell ref="D3:E3"/>
    <mergeCell ref="H3:I3"/>
    <mergeCell ref="L3:M3"/>
  </mergeCells>
  <conditionalFormatting sqref="C4:C7 K8">
    <cfRule type="colorScale" priority="4">
      <colorScale>
        <cfvo type="min"/>
        <cfvo type="percentile" val="50"/>
        <cfvo type="max"/>
        <color rgb="FFF6F5FD"/>
        <color rgb="FFEBE9FB"/>
        <color rgb="FFDCD9F7"/>
      </colorScale>
    </cfRule>
  </conditionalFormatting>
  <conditionalFormatting sqref="E4:F7">
    <cfRule type="dataBar" priority="1">
      <dataBar showValue="0">
        <cfvo type="min"/>
        <cfvo type="max"/>
        <color rgb="FF462AD1"/>
      </dataBar>
      <extLst>
        <ext xmlns:x14="http://schemas.microsoft.com/office/spreadsheetml/2009/9/main" uri="{B025F937-C7B1-47D3-B67F-A62EFF666E3E}">
          <x14:id>{55828776-95E5-4B61-B362-000E4F4DE53E}</x14:id>
        </ext>
      </extLst>
    </cfRule>
  </conditionalFormatting>
  <conditionalFormatting sqref="G4:G7">
    <cfRule type="colorScale" priority="3">
      <colorScale>
        <cfvo type="min"/>
        <cfvo type="percentile" val="50"/>
        <cfvo type="max"/>
        <color rgb="FFF6F5FD"/>
        <color rgb="FFEBE9FB"/>
        <color rgb="FFDCD9F7"/>
      </colorScale>
    </cfRule>
  </conditionalFormatting>
  <conditionalFormatting sqref="I4:J7 M4:M7">
    <cfRule type="dataBar" priority="5">
      <dataBar showValue="0">
        <cfvo type="min"/>
        <cfvo type="max"/>
        <color rgb="FF462AD1"/>
      </dataBar>
      <extLst>
        <ext xmlns:x14="http://schemas.microsoft.com/office/spreadsheetml/2009/9/main" uri="{B025F937-C7B1-47D3-B67F-A62EFF666E3E}">
          <x14:id>{1FD88BDE-FD2D-4706-8129-175D33791C8A}</x14:id>
        </ext>
      </extLst>
    </cfRule>
  </conditionalFormatting>
  <conditionalFormatting sqref="K4:K7">
    <cfRule type="colorScale" priority="2">
      <colorScale>
        <cfvo type="min"/>
        <cfvo type="percentile" val="50"/>
        <cfvo type="max"/>
        <color rgb="FFF6F5FD"/>
        <color rgb="FFEBE9FB"/>
        <color rgb="FFDCD9F7"/>
      </colorScale>
    </cfRule>
  </conditionalFormatting>
  <conditionalFormatting sqref="AC19">
    <cfRule type="cellIs" dxfId="10" priority="21" operator="lessThan">
      <formula>0</formula>
    </cfRule>
    <cfRule type="cellIs" dxfId="9" priority="23" operator="greaterThan">
      <formula>0</formula>
    </cfRule>
  </conditionalFormatting>
  <conditionalFormatting sqref="AC19:AD19">
    <cfRule type="cellIs" dxfId="8" priority="22" operator="equal">
      <formula>0</formula>
    </cfRule>
  </conditionalFormatting>
  <conditionalFormatting sqref="AD19">
    <cfRule type="cellIs" dxfId="7" priority="19" operator="lessThan">
      <formula>0</formula>
    </cfRule>
    <cfRule type="cellIs" dxfId="6" priority="20" operator="greaterThan">
      <formula>0</formula>
    </cfRule>
  </conditionalFormatting>
  <conditionalFormatting sqref="AE19:AG19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AI18:AK18">
    <cfRule type="cellIs" dxfId="2" priority="6" operator="equal">
      <formula>0</formula>
    </cfRule>
    <cfRule type="cellIs" dxfId="1" priority="10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pageSetup orientation="portrait" r:id="rId1"/>
  <ignoredErrors>
    <ignoredError sqref="S3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828776-95E5-4B61-B362-000E4F4DE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E4:F7</xm:sqref>
        </x14:conditionalFormatting>
        <x14:conditionalFormatting xmlns:xm="http://schemas.microsoft.com/office/excel/2006/main">
          <x14:cfRule type="dataBar" id="{1FD88BDE-FD2D-4706-8129-175D33791C8A}">
            <x14:dataBar minLength="0" maxLength="100" gradient="0">
              <x14:cfvo type="autoMin"/>
              <x14:cfvo type="autoMax"/>
              <x14:negativeFillColor rgb="FFBD44BE"/>
              <x14:axisColor rgb="FF000000"/>
            </x14:dataBar>
          </x14:cfRule>
          <xm:sqref>I4:J7 M4:M7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4 3 7 e 9 3 4 2 - b f c 9 - 4 d 8 d - 8 e b 5 - 2 2 a d 3 d a d 4 0 8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2 3 7 7 7 7 0 - 8 1 9 e - 4 2 9 b - a a 2 2 - 3 e 0 c d 1 5 6 5 9 b c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8 a c 2 4 c b - 2 f 6 4 - 4 2 9 0 - b a 6 9 - f 0 4 6 2 3 4 b 0 a 3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v e n u e _ e x p e n s e _ f 6 1 9 b a 0 0 - 3 6 2 9 - 4 f d 1 - 8 7 9 b - 0 5 d a 2 9 0 c 6 2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 M o n t h   -   n a m e < / s t r i n g > < / k e y > < v a l u e > < i n t > 1 2 3 < / i n t > < / v a l u e > < / i t e m > < i t e m > < k e y > < s t r i n g > M o n t h   - s e q u e n c e < / s t r i n g > < / k e y > < v a l u e > < i n t > 1 4 5 < / i n t > < / v a l u e > < / i t e m > < i t e m > < k e y > < s t r i n g > D a t e < / s t r i n g > < / k e y > < v a l u e > < i n t > 6 5 < / i n t > < / v a l u e > < / i t e m > < i t e m > < k e y > < s t r i n g > B u s i n e s s   L i n e < / s t r i n g > < / k e y > < v a l u e > < i n t > 1 1 9 < / i n t > < / v a l u e > < / i t e m > < i t e m > < k e y > < s t r i n g > A m o u n t ,   $ < / s t r i n g > < / k e y > < v a l u e > < i n t > 1 0 0 < / i n t > < / v a l u e > < / i t e m > < i t e m > < k e y > < s t r i n g > E x p e n s e   s u b g r o u p < / s t r i n g > < / k e y > < v a l u e > < i n t > 1 4 9 < / i n t > < / v a l u e > < / i t e m > < i t e m > < k e y > < s t r i n g > R e v e n u e   /   E x p e n s e   G r o u p < / s t r i n g > < / k e y > < v a l u e > < i n t > 1 9 6 < / i n t > < / v a l u e > < / i t e m > < i t e m > < k e y > < s t r i n g > R e v e n u e   o r   e x p e n s e < / s t r i n g > < / k e y > < v a l u e > < i n t > 1 6 3 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 M o n t h   -   n a m e < / s t r i n g > < / k e y > < v a l u e > < i n t > 1 < / i n t > < / v a l u e > < / i t e m > < i t e m > < k e y > < s t r i n g > M o n t h   - s e q u e n c e 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 B u s i n e s s   L i n e < / s t r i n g > < / k e y > < v a l u e > < i n t > 4 < / i n t > < / v a l u e > < / i t e m > < i t e m > < k e y > < s t r i n g > A m o u n t ,   $ < / s t r i n g > < / k e y > < v a l u e > < i n t > 5 < / i n t > < / v a l u e > < / i t e m > < i t e m > < k e y > < s t r i n g > E x p e n s e   s u b g r o u p < / s t r i n g > < / k e y > < v a l u e > < i n t > 6 < / i n t > < / v a l u e > < / i t e m > < i t e m > < k e y > < s t r i n g > R e v e n u e   /   E x p e n s e   G r o u p < / s t r i n g > < / k e y > < v a l u e > < i n t > 7 < / i n t > < / v a l u e > < / i t e m > < i t e m > < k e y > < s t r i n g > R e v e n u e   o r   e x p e n s e < / s t r i n g > < / k e y > < v a l u e > < i n t > 8 < / i n t > < / v a l u e > < / i t e m > < i t e m > < k e y > < s t r i n g > D a t e   ( M o n t h   I n d e x ) < / s t r i n g > < / k e y > < v a l u e > < i n t > 9 < / i n t > < / v a l u e > < / i t e m > < i t e m > < k e y > < s t r i n g >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7 f 5 f a 0 1 - 9 6 6 1 - 4 b f f - 8 3 2 7 - 5 a a a 1 4 e 8 7 7 9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 T r u e < / V i s i b l e > < / i t e m > < i t e m > < M e a s u r e N a m e > G r o s s   P r o f i t < / M e a s u r e N a m e > < D i s p l a y N a m e > G r o s s   P r o f i t < / D i s p l a y N a m e > < V i s i b l e > T r u e 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 O p e x < / M e a s u r e N a m e > < D i s p l a y N a m e > O p e x < / D i s p l a y N a m e > < V i s i b l e > T r u e < / V i s i b l e > < / i t e m > < i t e m > < M e a s u r e N a m e > O p e x   M a r g i n < / M e a s u r e N a m e > < D i s p l a y N a m e > O p e x   M a r g i n < / D i s p l a y N a m e > < V i s i b l e > F a l s e < / V i s i b l e > < / i t e m > < i t e m > < M e a s u r e N a m e > E B I T < / M e a s u r e N a m e > < D i s p l a y N a m e > E B I T < / D i s p l a y N a m e > < V i s i b l e > T r u e < / V i s i b l e > < / i t e m > < i t e m > < M e a s u r e N a m e > E B I T   M a r g i n < / M e a s u r e N a m e > < D i s p l a y N a m e > E B I T   M a r g i n < / D i s p l a y N a m e > < V i s i b l e > T r u e < / V i s i b l e > < / i t e m > < i t e m > < M e a s u r e N a m e > I n t e r e s t   a n d   T a x < / M e a s u r e N a m e > < D i s p l a y N a m e > I n t e r e s t   a n d   T a x < / D i s p l a y N a m e > < V i s i b l e > T r u e < / V i s i b l e > < / i t e m > < i t e m > < M e a s u r e N a m e > N e t   P r o f i t < / M e a s u r e N a m e > < D i s p l a y N a m e > N e t   P r o f i t < / D i s p l a y N a m e > < V i s i b l e > T r u e < / V i s i b l e > < / i t e m > < i t e m > < M e a s u r e N a m e > N e t   P r o f i t   M a r g i n < / M e a s u r e N a m e > < D i s p l a y N a m e > N e t   P r o f i t   M a r g i n < / D i s p l a y N a m e > < V i s i b l e > T r u e < / V i s i b l e > < / i t e m > < i t e m > < M e a s u r e N a m e > R e v e n u e   P M < / M e a s u r e N a m e > < D i s p l a y N a m e > R e v e n u e   P M 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e 7 0 0 d 3 f - 6 a a 0 - 4 c 3 9 - b 3 7 2 - 2 8 a 4 e 8 b 2 0 b 3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8 c 2 e a f 3 - 9 7 c c - 4 2 0 3 - 8 5 0 4 - 8 2 d c f c 1 2 e 4 5 f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e v e n u e _ e x p e n s e _ f 6 1 9 b a 0 0 - 3 6 2 9 - 4 f d 1 - 8 7 9 b - 0 5 d a 2 9 0 c 6 2 a 1 , C a l c u l a t i o n s _ 9 0 7 e 7 c 6 e - f b c 6 - 4 c 2 4 - b e a 3 - 2 d 8 1 0 a 1 9 b 9 e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c d 7 e 0 4 3 - c 9 2 6 - 4 5 7 a - b 2 2 1 - 5 1 a 4 a a 3 3 1 d e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 r e v e n u e _ e x p e n s e 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 r e v e n u e _ e x p e n s e 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 - 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 - s e q u e n c e 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 C o l u m n s \ A m o u n t , 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  s u b g r o u p 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 /   E x p e n s e 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 o r  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i o n s _ 9 0 7 e 7 c 6 e - f b c 6 - 4 c 2 4 - b e a 3 - 2 d 8 1 0 a 1 9 b 9 e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 r e v e n u e _ e x p e n s e _ f 6 1 9 b a 0 0 - 3 6 2 9 - 4 f d 1 - 8 7 9 b - 0 5 d a 2 9 0 c 6 2 a 1 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 C a l c u l a t i o n s _ 9 0 7 e 7 c 6 e - f b c 6 - 4 c 2 4 - b e a 3 - 2 d 8 1 0 a 1 9 b 9 e 1 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1 8 c 4 c d f - 0 8 d 4 - 4 2 0 1 - 8 d 5 2 - 2 5 0 c a d 0 d f b 2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  s t a n d a l o n e = " n o " ? > < D a t a M a s h u p   x m l n s = " h t t p : / / s c h e m a s . m i c r o s o f t . c o m / D a t a M a s h u p " > A A A A A M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A 6 Q n r B 3 A E A A P o D A A A T A A A A R m 9 y b X V s Y X M v U 2 V j d G l v b j E u b Y x T T W v b Q B C 9 G / I f h k 0 P M q h u H U I P D T q 4 j t O G N m m J D a X Y J q y l q a 1 m N e v u R 1 A Q / u + d t V T Z 2 K Z 0 L 7 v M v H m z 7 8 2 u x d T l m m B c 7 / 2 r T s e u p M E M D D 4 j e X z E c o 1 k E R J Q 6 M 4 6 w G u s v U l D Z F S m q H r f t X l a a P 0 U 3 e Q K e 0 N N D s n Z S I z e z 6 6 l k / D N 6 F 9 M P / v g b U 5 o L d z k J C n N p Y K Q t + j g N Q z 8 0 l s H F 2 8 v L m d f 6 a X c p j g e t u v 7 Q Y s c r q R S S E v k 3 P 8 S 9 k p l S 9 G N g b x S M T j j s R v X U g 5 U P o 5 X y N V J I 7 G a 3 j o s E n G A E v H n n L J E b M F i v p m G r v O G 8 V y w 3 k I 7 t v A T y g y N F c w 3 k Q v 2 p s k 0 8 e h k 8 x i m D W y g 1 D i V S h q b h C v P u 2 0 H N o E d y G D y s s Y d + 8 R I s j + 1 K Y Z a + Y J C 0 k Y n r h N X l f i B 0 o g Y b s m 9 u + w F 5 C a G S t z x 7 F b s H c m C R Y L j O D g s 3 X 7 S 4 m + P l O J x N b v Q V m V 8 3 g b b G X 3 h 7 Y h z U G h P L P n V M d u o e X f W L 5 Z G + / V R 7 U P t H r y B v 9 C P / 8 R p A + 3 8 9 i C b 7 l k n p 5 P O 7 j 7 D U K r U K x m + i D 3 5 E / q 7 2 W h 6 R h P 8 d r o e T J j Q u Q u n q M 8 X q u o i b t z W P G B w n N t s B 7 f 3 Y O p E E 4 5 O k o d p 1 o A + 6 x J 3 K K 0 3 a M W B s M M W V 3 8 A A A D / / w M A U E s B A i 0 A F A A G A A g A A A A h A C r d q k D S A A A A N w E A A B M A A A A A A A A A A A A A A A A A A A A A A F t D b 2 5 0 Z W 5 0 X 1 R 5 c G V z X S 5 4 b W x Q S w E C L Q A U A A I A C A A A A C E A X j h M q a 0 A A A D 3 A A A A E g A A A A A A A A A A A A A A A A A L A w A A Q 2 9 u Z m l n L 1 B h Y 2 t h Z 2 U u e G 1 s U E s B A i 0 A F A A C A A g A A A A h A D p C e s H c A Q A A + g M A A B M A A A A A A A A A A A A A A A A A 6 A M A A E Z v c m 1 1 b G F z L 1 N l Y 3 R p b 2 4 x L m 1 Q S w U G A A A A A A M A A w D C A A A A 9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W A A A A A A A A Y R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X Z l b n V l X 2 V 4 c G V u c 2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g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N U M j M 6 N D U 6 M j I u M T c 0 M z M x O V o i L z 4 8 R W 5 0 c n k g V H l w Z T 0 i R m l s b E N v b H V t b l R 5 c G V z I i B W Y W x 1 Z T 0 i c 0 F 3 W U R D U V l E Q m d Z R y I v P j x F b n R y e S B U e X B l P S J G a W x s Q 2 9 s d W 1 u T m F t Z X M i I F Z h b H V l P S J z W y Z x d W 9 0 O 1 l l Y X I m c X V v d D s s J n F 1 b 3 Q 7 T W 9 u d G g g L S B u Y W 1 l J n F 1 b 3 Q 7 L C Z x d W 9 0 O 0 1 v b n R o I C 1 z Z X F 1 Z W 5 j Z S Z x d W 9 0 O y w m c X V v d D t E Y X R l J n F 1 b 3 Q 7 L C Z x d W 9 0 O 0 J 1 c 2 l u Z X N z I E x p b m U m c X V v d D s s J n F 1 b 3 Q 7 Q W 1 v d W 5 0 L C A k J n F 1 b 3 Q 7 L C Z x d W 9 0 O 0 V 4 c G V u c 2 U g c 3 V i Z 3 J v d X A m c X V v d D s s J n F 1 b 3 Q 7 U m V 2 Z W 5 1 Z S A v I E V 4 c G V u c 2 U g R 3 J v d X A m c X V v d D s s J n F 1 b 3 Q 7 U m V 2 Z W 5 1 Z S B v c i B l e H B l b n N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3 M T Y 1 Y j B h Y i 1 i M j k 5 L T Q x O D U t Y T c 3 Y y 0 w N G F k Y T Q 2 N G R l M z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2 Z W 5 1 Z V 9 l e H B l b n N l L 0 N o Y W 5 n Z W Q g V H l w Z S 5 7 W W V h c i w w f S Z x d W 9 0 O y w m c X V v d D t T Z W N 0 a W 9 u M S 9 y Z X Z l b n V l X 2 V 4 c G V u c 2 U v Q 2 h h b m d l Z C B U e X B l L n t N b 2 5 0 a C A t I G 5 h b W U s M X 0 m c X V v d D s s J n F 1 b 3 Q 7 U 2 V j d G l v b j E v c m V 2 Z W 5 1 Z V 9 l e H B l b n N l L 0 N o Y W 5 n Z W Q g V H l w Z S 5 7 T W 9 u d G g g L X N l c X V l b m N l L D J 9 J n F 1 b 3 Q 7 L C Z x d W 9 0 O 1 N l Y 3 R p b 2 4 x L 3 J l d m V u d W V f Z X h w Z W 5 z Z S 9 D a G F u Z 2 V k I F R 5 c G U u e 0 R h d G U s M 3 0 m c X V v d D s s J n F 1 b 3 Q 7 U 2 V j d G l v b j E v c m V 2 Z W 5 1 Z V 9 l e H B l b n N l L 0 N o Y W 5 n Z W Q g V H l w Z S 5 7 Q n V z a W 5 l c 3 M g T G l u Z S w 0 f S Z x d W 9 0 O y w m c X V v d D t T Z W N 0 a W 9 u M S 9 y Z X Z l b n V l X 2 V 4 c G V u c 2 U v Q 2 h h b m d l Z C B U e X B l L n t B b W 9 1 b n Q s I C Q s N X 0 m c X V v d D s s J n F 1 b 3 Q 7 U 2 V j d G l v b j E v c m V 2 Z W 5 1 Z V 9 l e H B l b n N l L 0 N o Y W 5 n Z W Q g V H l w Z S 5 7 R X h w Z W 5 z Z S B z d W J n c m 9 1 c C w 2 f S Z x d W 9 0 O y w m c X V v d D t T Z W N 0 a W 9 u M S 9 y Z X Z l b n V l X 2 V 4 c G V u c 2 U v Q 2 h h b m d l Z C B U e X B l L n t S Z X Z l b n V l I C 8 g R X h w Z W 5 z Z S B H c m 9 1 c C w 3 f S Z x d W 9 0 O y w m c X V v d D t T Z W N 0 a W 9 u M S 9 y Z X Z l b n V l X 2 V 4 c G V u c 2 U v Q 2 h h b m d l Z C B U e X B l L n t S Z X Z l b n V l I G 9 y I G V 4 c G V u c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2 Z W 5 1 Z V 9 l e H B l b n N l L 0 N o Y W 5 n Z W Q g V H l w Z S 5 7 W W V h c i w w f S Z x d W 9 0 O y w m c X V v d D t T Z W N 0 a W 9 u M S 9 y Z X Z l b n V l X 2 V 4 c G V u c 2 U v Q 2 h h b m d l Z C B U e X B l L n t N b 2 5 0 a C A t I G 5 h b W U s M X 0 m c X V v d D s s J n F 1 b 3 Q 7 U 2 V j d G l v b j E v c m V 2 Z W 5 1 Z V 9 l e H B l b n N l L 0 N o Y W 5 n Z W Q g V H l w Z S 5 7 T W 9 u d G g g L X N l c X V l b m N l L D J 9 J n F 1 b 3 Q 7 L C Z x d W 9 0 O 1 N l Y 3 R p b 2 4 x L 3 J l d m V u d W V f Z X h w Z W 5 z Z S 9 D a G F u Z 2 V k I F R 5 c G U u e 0 R h d G U s M 3 0 m c X V v d D s s J n F 1 b 3 Q 7 U 2 V j d G l v b j E v c m V 2 Z W 5 1 Z V 9 l e H B l b n N l L 0 N o Y W 5 n Z W Q g V H l w Z S 5 7 Q n V z a W 5 l c 3 M g T G l u Z S w 0 f S Z x d W 9 0 O y w m c X V v d D t T Z W N 0 a W 9 u M S 9 y Z X Z l b n V l X 2 V 4 c G V u c 2 U v Q 2 h h b m d l Z C B U e X B l L n t B b W 9 1 b n Q s I C Q s N X 0 m c X V v d D s s J n F 1 b 3 Q 7 U 2 V j d G l v b j E v c m V 2 Z W 5 1 Z V 9 l e H B l b n N l L 0 N o Y W 5 n Z W Q g V H l w Z S 5 7 R X h w Z W 5 z Z S B z d W J n c m 9 1 c C w 2 f S Z x d W 9 0 O y w m c X V v d D t T Z W N 0 a W 9 u M S 9 y Z X Z l b n V l X 2 V 4 c G V u c 2 U v Q 2 h h b m d l Z C B U e X B l L n t S Z X Z l b n V l I C 8 g R X h w Z W 5 z Z S B H c m 9 1 c C w 3 f S Z x d W 9 0 O y w m c X V v d D t T Z W N 0 a W 9 u M S 9 y Z X Z l b n V l X 2 V 4 c G V u c 2 U v Q 2 h h b m d l Z C B U e X B l L n t S Z X Z l b n V l I G 9 y I G V 4 c G V u c 2 U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Z Z W F y b H k g U G l 2 b 3 Q h U G l 2 b 3 R U Y W J s Z T E w I i 8 + P C 9 T d G F i b G V F b n R y a W V z P j w v S X R l b T 4 8 S X R l b T 4 8 S X R l b U x v Y 2 F 0 a W 9 u P j x J d G V t V H l w Z T 5 G b 3 J t d W x h P C 9 J d G V t V H l w Z T 4 8 S X R l b V B h d G g + U 2 V j d G l v b j E v Q 2 F s Y 3 V s Y X R p b 2 5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M l Q x M j o x M T o z N i 4 2 M T M 3 N D E 5 W i I v P j x F b n R y e S B U e X B l P S J G a W x s Q 2 9 s d W 1 u V H l w Z X M i I F Z h b H V l P S J z Q U E 9 P S I v P j x F b n R y e S B U e X B l P S J G a W x s Q 2 9 s d W 1 u T m F t Z X M i I F Z h b H V l P S J z W y Z x d W 9 0 O 0 1 l Y X N 1 c m V z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h M D d m N z N l M C 0 2 Z D F k L T R k O D I t Y W U w N y 1 j Y j l l Y j M 2 Z D I 4 N 2 Y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p b 2 5 z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j d W x h d G l v b n M v Q 2 9 u d m V y d G V k I H R v I F R h Y m x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W W V h c m x 5 I F B p d m 9 0 I V B p d m 9 0 V G F i b G U x M C I v P j w v U 3 R h Y m x l R W 5 0 c m l l c z 4 8 L 0 l 0 Z W 0 + P E l 0 Z W 0 + P E l 0 Z W 1 M b 2 N h d G l v b j 4 8 S X R l b V R 5 c G U + R m 9 y b X V s Y T w v S X R l b V R 5 c G U + P E l 0 Z W 1 Q Y X R o P l N l Y 3 R p b 2 4 x L 3 J l d m V u d W V f Z X h w Z W 5 z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m V u d W V f Z X h w Z W 5 z Z S 9 y Z X Z l b n V l X 2 V 4 c G V u c 2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m V u d W V f Z X h w Z W 5 z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m V u d W V f Z X h w Z W 5 z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Y 3 V s Y X R p b 2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Y 3 V s Y X R p b 2 5 z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N 1 b G F 0 a W 9 u c y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a w X s / c x c 0 2 5 b Q q i l K v N 7 w A A A A A C A A A A A A A Q Z g A A A A E A A C A A A A C B V i E C y L D 3 y k x U G 3 G g z n i 7 z B j 7 r r s a 9 D X N t U 0 I 9 9 C 2 3 g A A A A A O g A A A A A I A A C A A A A B 9 Y J X M i M c Z s h u w h W 6 o A / i n C p a H 7 N 2 t Y 0 p g c 3 J N 1 p j x m l A A A A D l 1 H 9 F e I V x K 1 d 4 W N U 8 z s m v 6 4 7 B m g x Y e 7 e F n 2 e k 0 H o D i 3 D k 2 / y L C h w 7 / v E r 8 H T W R 9 4 G c v W K g R R H q T 2 L 1 I 5 3 S E a p 1 R H c u X / J H d 9 Q 3 l t / h o 9 X 9 0 A A A A C a X t + 9 s N 1 9 3 Q C 6 J 6 + 8 C C Q H Y + 1 s p l o N O a h g T f 7 D V N h K 2 g k n E E I X R d / R C 3 O c Z p r k G a w Q L X Q 4 2 B P N q n Q w 3 G Q D 7 t g g < / D a t a M a s h u p > 
</file>

<file path=customXml/item27.xml>��< ? x m l   v e r s i o n = " 1 . 0 "   e n c o d i n g = " U T F - 1 6 " ? > < G e m i n i   x m l n s = " h t t p : / / g e m i n i / p i v o t c u s t o m i z a t i o n / 3 0 3 9 3 4 3 2 - 4 e 3 b - 4 6 2 8 - 8 f c f - c 4 c 0 4 2 a f 1 4 8 d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 T a g s \ T a b l e s \ & l t ; T a b l e s \ r e v e n u e _ e x p e n s e & g t ; 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 T a b l e s \ r e v e n u e _ e x p e n s e < / K e y > < / D i a g r a m O b j e c t K e y > < D i a g r a m O b j e c t K e y > < K e y > T a b l e s \ r e v e n u e _ e x p e n s e \ C o l u m n s \ Y e a r < / K e y > < / D i a g r a m O b j e c t K e y > < D i a g r a m O b j e c t K e y > < K e y > T a b l e s \ r e v e n u e _ e x p e n s e \ C o l u m n s \ M o n t h   -   n a m e < / K e y > < / D i a g r a m O b j e c t K e y > < D i a g r a m O b j e c t K e y > < K e y > T a b l e s \ r e v e n u e _ e x p e n s e \ C o l u m n s \ M o n t h   - s e q u e n c e < / K e y > < / D i a g r a m O b j e c t K e y > < D i a g r a m O b j e c t K e y > < K e y > T a b l e s \ r e v e n u e _ e x p e n s e \ C o l u m n s \ D a t e < / K e y > < / D i a g r a m O b j e c t K e y > < D i a g r a m O b j e c t K e y > < K e y > T a b l e s \ r e v e n u e _ e x p e n s e \ C o l u m n s \ B u s i n e s s   L i n e < / K e y > < / D i a g r a m O b j e c t K e y > < D i a g r a m O b j e c t K e y > < K e y > T a b l e s \ r e v e n u e _ e x p e n s e \ C o l u m n s \ A m o u n t ,   $ < / K e y > < / D i a g r a m O b j e c t K e y > < D i a g r a m O b j e c t K e y > < K e y > T a b l e s \ r e v e n u e _ e x p e n s e \ C o l u m n s \ E x p e n s e   s u b g r o u p < / K e y > < / D i a g r a m O b j e c t K e y > < D i a g r a m O b j e c t K e y > < K e y > T a b l e s \ r e v e n u e _ e x p e n s e \ C o l u m n s \ R e v e n u e   /   E x p e n s e   G r o u p < / K e y > < / D i a g r a m O b j e c t K e y > < D i a g r a m O b j e c t K e y > < K e y > T a b l e s \ r e v e n u e _ e x p e n s e \ C o l u m n s \ R e v e n u e   o r   e x p e n s e < / K e y > < / D i a g r a m O b j e c t K e y > < D i a g r a m O b j e c t K e y > < K e y > T a b l e s \ r e v e n u e _ e x p e n s e \ C o l u m n s \ D a t e   ( M o n t h   I n d e x ) < / K e y > < / D i a g r a m O b j e c t K e y > < D i a g r a m O b j e c t K e y > < K e y > T a b l e s \ r e v e n u e _ e x p e n s e \ C o l u m n s \ D a t e   ( M o n t h ) < / K e y > < / D i a g r a m O b j e c t K e y > < D i a g r a m O b j e c t K e y > < K e y > T a b l e s \ r e v e n u e _ e x p e n s e \ M e a s u r e s \ S u m   o f   A m o u n t ,   $ < / K e y > < / D i a g r a m O b j e c t K e y > < D i a g r a m O b j e c t K e y > < K e y > T a b l e s \ r e v e n u e _ e x p e n s e \ S u m   o f   A m o u n t ,   $ \ A d d i t i o n a l   I n f o \ I m p l i c i t   M e a s u r e < / K e y > < / D i a g r a m O b j e c t K e y > < D i a g r a m O b j e c t K e y > < K e y > T a b l e s \ r e v e n u e _ e x p e n s e \ M e a s u r e s \ S u m   o f   M o n t h   - s e q u e n c e < / K e y > < / D i a g r a m O b j e c t K e y > < D i a g r a m O b j e c t K e y > < K e y > T a b l e s \ r e v e n u e _ e x p e n s e \ S u m   o f   M o n t h   - s e q u e n c e \ A d d i t i o n a l   I n f o \ I m p l i c i t   M e a s u r e 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 T a b l e s \ C a l c u l a t i o n s \ C o l u m n s \ M e a s u r e s < / K e y > < / D i a g r a m O b j e c t K e y > < D i a g r a m O b j e c t K e y > < K e y > T a b l e s \ C a l c u l a t i o n s \ M e a s u r e s \ R e v e n u e < / K e y > < / D i a g r a m O b j e c t K e y > < D i a g r a m O b j e c t K e y > < K e y > T a b l e s \ C a l c u l a t i o n s \ M e a s u r e s \ C O G S < / K e y > < / D i a g r a m O b j e c t K e y > < D i a g r a m O b j e c t K e y > < K e y > T a b l e s \ C a l c u l a t i o n s \ M e a s u r e s \ G r o s s   P r o f i t < / K e y > < / D i a g r a m O b j e c t K e y > < D i a g r a m O b j e c t K e y > < K e y > T a b l e s \ C a l c u l a t i o n s \ M e a s u r e s \ G r o s s   M a r g i n < / K e y > < / D i a g r a m O b j e c t K e y > < D i a g r a m O b j e c t K e y > < K e y > T a b l e s \ C a l c u l a t i o n s \ M e a s u r e s \ O p e x < / K e y > < / D i a g r a m O b j e c t K e y > < D i a g r a m O b j e c t K e y > < K e y > T a b l e s \ C a l c u l a t i o n s \ M e a s u r e s \ O p e x   M a r g i n < / K e y > < / D i a g r a m O b j e c t K e y > < D i a g r a m O b j e c t K e y > < K e y > T a b l e s \ C a l c u l a t i o n s \ M e a s u r e s \ E B I T < / K e y > < / D i a g r a m O b j e c t K e y > < D i a g r a m O b j e c t K e y > < K e y > T a b l e s \ C a l c u l a t i o n s \ M e a s u r e s \ E B I T   M a r g i n < / K e y > < / D i a g r a m O b j e c t K e y > < D i a g r a m O b j e c t K e y > < K e y > T a b l e s \ C a l c u l a t i o n s \ M e a s u r e s \ I n t e r e s t   a n d   T a x < / K e y > < / D i a g r a m O b j e c t K e y > < D i a g r a m O b j e c t K e y > < K e y > T a b l e s \ C a l c u l a t i o n s \ M e a s u r e s \ N e t   P r o f i t < / K e y > < / D i a g r a m O b j e c t K e y > < D i a g r a m O b j e c t K e y > < K e y > T a b l e s \ C a l c u l a t i o n s \ M e a s u r e s \ N e t   P r o f i t   M a r g i n 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 T a b l e s \ d a t e \ C o l u m n s \ M o n t h   N a m e < / K e y > < / D i a g r a m O b j e c t K e y > < / A l l K e y s > < S e l e c t e d K e y s > < D i a g r a m O b j e c t K e y > < K e y > T a b l e s \ d a t e 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 T a g s \ T a b l e s \ & l t ; T a b l e s \ r e v e n u e _ e x p e n s e & g t ; 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 T a b l e s \ r e v e n u e _ e x p e n s e 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 T a b l e s \ r e v e n u e _ e x p e n s e \ C o l u m n s \ M o n t h   - 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 T a b l e s \ r e v e n u e _ e x p e n s e \ C o l u m n s \ M o n t h   - s e q u e n c e 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 T a b l e s \ r e v e n u e _ e x p e n s e \ C o l u m n s \ B u s i n e s s  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 T a b l e s \ r e v e n u e _ e x p e n s e \ C o l u m n s \ A m o u n t , 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 T a b l e s \ r e v e n u e _ e x p e n s e \ C o l u m n s \ E x p e n s e   s u b g r o u p 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 T a b l e s \ r e v e n u e _ e x p e n s e \ C o l u m n s \ R e v e n u e   /   E x p e n s e 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 T a b l e s \ r e v e n u e _ e x p e n s e \ C o l u m n s \ R e v e n u e   o r   e x p e n s e 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 T a b l e s \ r e v e n u e _ e x p e n s e \ M e a s u r e s \ S u m   o f   A m o u n t , 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 T a b l e s \ r e v e n u e _ e x p e n s e \ S u m   o f   A m o u n t ,   $ \ A d d i t i o n a l 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 T a b l e s \ r e v e n u e _ e x p e n s e \ M e a s u r e s \ S u m   o f   M o n t h   - s e q u e n c e 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 T a b l e s \ r e v e n u e _ e x p e n s e \ S u m   o f   M o n t h   - s e q u e n c e \ A d d i t i o n a l 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 T a b l e s \ C a l c u l a t i o n s \ C o l u m n s \ M e a s u r e s 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 T a b l e s \ C a l c u l a t i o n s \ M e a s u r e s \ G r o s s 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 T a b l e s \ C a l c u l a t i o n s \ M e a s u r e s \ O p e x 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 T a b l e s \ C a l c u l a t i o n s \ M e a s u r e s \ O p e x 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 T a b l e s \ C a l c u l a t i o n s \ M e a s u r e s \ E B I T 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 T a b l e s \ C a l c u l a t i o n s \ M e a s u r e s \ E B I T 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 T a b l e s \ C a l c u l a t i o n s \ M e a s u r e s \ I n t e r e s t   a n d  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 T a b l e s \ C a l c u l a t i o n s \ M e a s u r e s \ N e t 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 r e v e n u e _ e x p e n s e 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 r e v e n u e _ e x p e n s e 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 A m o u n t ,   $ < / K e y > < / D i a g r a m O b j e c t K e y > < D i a g r a m O b j e c t K e y > < K e y > M e a s u r e s \ S u m   o f   A m o u n t ,   $ \ T a g I n f o \ F o r m u l a < / K e y > < / D i a g r a m O b j e c t K e y > < D i a g r a m O b j e c t K e y > < K e y > M e a s u r e s \ S u m   o f   A m o u n t ,   $ \ T a g I n f o \ V a l u e < / K e y > < / D i a g r a m O b j e c t K e y > < D i a g r a m O b j e c t K e y > < K e y > M e a s u r e s \ S u m   o f   M o n t h   - s e q u e n c e < / K e y > < / D i a g r a m O b j e c t K e y > < D i a g r a m O b j e c t K e y > < K e y > M e a s u r e s \ S u m   o f   M o n t h   - s e q u e n c e \ T a g I n f o \ F o r m u l a < / K e y > < / D i a g r a m O b j e c t K e y > < D i a g r a m O b j e c t K e y > < K e y > M e a s u r e s \ S u m   o f   M o n t h   - s e q u e n c e \ T a g I n f o \ V a l u e < / K e y > < / D i a g r a m O b j e c t K e y > < D i a g r a m O b j e c t K e y > < K e y > C o l u m n s \ Y e a r < / K e y > < / D i a g r a m O b j e c t K e y > < D i a g r a m O b j e c t K e y > < K e y > C o l u m n s \ M o n t h   -   n a m e < / K e y > < / D i a g r a m O b j e c t K e y > < D i a g r a m O b j e c t K e y > < K e y > C o l u m n s \ M o n t h   - s e q u e n c e < / K e y > < / D i a g r a m O b j e c t K e y > < D i a g r a m O b j e c t K e y > < K e y > C o l u m n s \ D a t e < / K e y > < / D i a g r a m O b j e c t K e y > < D i a g r a m O b j e c t K e y > < K e y > C o l u m n s \ B u s i n e s s   L i n e < / K e y > < / D i a g r a m O b j e c t K e y > < D i a g r a m O b j e c t K e y > < K e y > C o l u m n s \ A m o u n t ,   $ < / K e y > < / D i a g r a m O b j e c t K e y > < D i a g r a m O b j e c t K e y > < K e y > C o l u m n s \ E x p e n s e   s u b g r o u p < / K e y > < / D i a g r a m O b j e c t K e y > < D i a g r a m O b j e c t K e y > < K e y > C o l u m n s \ R e v e n u e   /   E x p e n s e   G r o u p < / K e y > < / D i a g r a m O b j e c t K e y > < D i a g r a m O b j e c t K e y > < K e y > C o l u m n s \ R e v e n u e   o r   e x p e n s e 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 A m o u n t ,   $ & g t ; - & l t ; M e a s u r e s \ A m o u n t ,   $ & g t ; < / K e y > < / D i a g r a m O b j e c t K e y > < D i a g r a m O b j e c t K e y > < K e y > L i n k s \ & l t ; C o l u m n s \ S u m   o f   A m o u n t ,   $ & g t ; - & l t ; M e a s u r e s \ A m o u n t ,   $ & g t ; \ C O L U M N < / K e y > < / D i a g r a m O b j e c t K e y > < D i a g r a m O b j e c t K e y > < K e y > L i n k s \ & l t ; C o l u m n s \ S u m   o f   A m o u n t ,   $ & g t ; - & l t ; M e a s u r e s \ A m o u n t ,   $ & g t ; \ M E A S U R E < / K e y > < / D i a g r a m O b j e c t K e y > < D i a g r a m O b j e c t K e y > < K e y > L i n k s \ & l t ; C o l u m n s \ S u m   o f   M o n t h   - s e q u e n c e & g t ; - & l t ; M e a s u r e s \ M o n t h   - s e q u e n c e & g t ; < / K e y > < / D i a g r a m O b j e c t K e y > < D i a g r a m O b j e c t K e y > < K e y > L i n k s \ & l t ; C o l u m n s \ S u m   o f   M o n t h   - s e q u e n c e & g t ; - & l t ; M e a s u r e s \ M o n t h   - s e q u e n c e & g t ; \ C O L U M N < / K e y > < / D i a g r a m O b j e c t K e y > < D i a g r a m O b j e c t K e y > < K e y > L i n k s \ & l t ; C o l u m n s \ S u m   o f   M o n t h   - s e q u e n c e & g t ; - & l t ; M e a s u r e s \ M o n t h   - s e q u e n c e & g t ; \ M E A S U R E 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 A m o u n t ,   $ 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 A m o u n t , 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 A m o u n t , 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  - s e q u e n c e 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  - s e q u e n c e \ T a g I n f o \ F o r m u l a 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  - s e q u e n c e \ T a g I n f o \ V a l u e 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 - 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 - s e q u e n c e 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 L i n e 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 C o l u m n s \ A m o u n t ,   $ 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  s u b g r o u p 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 /   E x p e n s e   G r o u p 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 o r   e x p e n s e 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 A m o u n t ,   $ & g t ; - & l t ; M e a s u r e s \ A m o u n t , 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 A m o u n t ,   $ & g t ; - & l t ; M e a s u r e s \ A m o u n t , 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 A m o u n t ,   $ & g t ; - & l t ; M e a s u r e s \ A m o u n t , 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  - s e q u e n c e & g t ; - & l t ; M e a s u r e s \ M o n t h   - s e q u e n c e & g t ; 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  - s e q u e n c e & g t ; - & l t ; M e a s u r e s \ M o n t h   - s e q u e n c e & g t ; \ C O L U M N 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  - s e q u e n c e & g t ; - & l t ; M e a s u r e s \ M o n t h   - s e q u e n c e & g t ; \ M E A S U R E 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 M e a s u r e s \ C O G S < / K e y > < / D i a g r a m O b j e c t K e y > < D i a g r a m O b j e c t K e y > < K e y > M e a s u r e s \ C O G S \ T a g I n f o \ F o r m u l a < / K e y > < / D i a g r a m O b j e c t K e y > < D i a g r a m O b j e c t K e y > < K e y > M e a s u r e s \ C O G S \ T a g I n f o \ V a l u e 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 M e a s u r e s \ G r o s s   P r o f i t \ T a g I n f o \ V a l u e < / K e y > < / D i a g r a m O b j e c t K e y > < D i a g r a m O b j e c t K e y > < K e y > M e a s u r e s \ G r o s s   M a r g i n < / K e y > < / D i a g r a m O b j e c t K e y > < D i a g r a m O b j e c t K e y > < K e y > M e a s u r e s \ G r o s s   M a r g i n \ T a g I n f o \ F o r m u l a < / K e y > < / D i a g r a m O b j e c t K e y > < D i a g r a m O b j e c t K e y > < K e y > M e a s u r e s \ G r o s s   M a r g i n \ T a g I n f o \ V a l u e < / K e y > < / D i a g r a m O b j e c t K e y > < D i a g r a m O b j e c t K e y > < K e y > M e a s u r e s \ O p e x < / K e y > < / D i a g r a m O b j e c t K e y > < D i a g r a m O b j e c t K e y > < K e y > M e a s u r e s \ O p e x \ T a g I n f o \ F o r m u l a < / K e y > < / D i a g r a m O b j e c t K e y > < D i a g r a m O b j e c t K e y > < K e y > M e a s u r e s \ O p e x \ T a g I n f o \ V a l u e < / K e y > < / D i a g r a m O b j e c t K e y > < D i a g r a m O b j e c t K e y > < K e y > M e a s u r e s \ O p e x   R a t i o < / K e y > < / D i a g r a m O b j e c t K e y > < D i a g r a m O b j e c t K e y > < K e y > M e a s u r e s \ O p e x   R a t i o \ T a g I n f o \ F o r m u l a < / K e y > < / D i a g r a m O b j e c t K e y > < D i a g r a m O b j e c t K e y > < K e y > M e a s u r e s \ O p e x   R a t i o \ T a g I n f o \ V a l u e < / K e y > < / D i a g r a m O b j e c t K e y > < D i a g r a m O b j e c t K e y > < K e y > M e a s u r e s \ E B I T < / K e y > < / D i a g r a m O b j e c t K e y > < D i a g r a m O b j e c t K e y > < K e y > M e a s u r e s \ E B I T \ T a g I n f o \ F o r m u l a < / K e y > < / D i a g r a m O b j e c t K e y > < D i a g r a m O b j e c t K e y > < K e y > M e a s u r e s \ E B I T \ T a g I n f o \ V a l u e < / K e y > < / D i a g r a m O b j e c t K e y > < D i a g r a m O b j e c t K e y > < K e y > M e a s u r e s \ E B I T   M a r g i n < / K e y > < / D i a g r a m O b j e c t K e y > < D i a g r a m O b j e c t K e y > < K e y > M e a s u r e s \ E B I T   M a r g i n \ T a g I n f o \ F o r m u l a < / K e y > < / D i a g r a m O b j e c t K e y > < D i a g r a m O b j e c t K e y > < K e y > M e a s u r e s \ E B I T   M a r g i n \ T a g I n f o \ V a l u e < / K e y > < / D i a g r a m O b j e c t K e y > < D i a g r a m O b j e c t K e y > < K e y > M e a s u r e s \ I n t e r e s t   a n d   T a x < / K e y > < / D i a g r a m O b j e c t K e y > < D i a g r a m O b j e c t K e y > < K e y > M e a s u r e s \ I n t e r e s t   a n d   T a x \ T a g I n f o \ F o r m u l a < / K e y > < / D i a g r a m O b j e c t K e y > < D i a g r a m O b j e c t K e y > < K e y > M e a s u r e s \ I n t e r e s t   a n d   T a x \ T a g I n f o \ V a l u e < / K e y > < / D i a g r a m O b j e c t K e y > < D i a g r a m O b j e c t K e y > < K e y > M e a s u r e s \ N e t   P r o f i t < / K e y > < / D i a g r a m O b j e c t K e y > < D i a g r a m O b j e c t K e y > < K e y > M e a s u r e s \ N e t   P r o f i t \ T a g I n f o \ F o r m u l a < / K e y > < / D i a g r a m O b j e c t K e y > < D i a g r a m O b j e c t K e y > < K e y > M e a s u r e s \ N e t   P r o f i t \ T a g I n f o \ V a l u e < / K e y > < / D i a g r a m O b j e c t K e y > < D i a g r a m O b j e c t K e y > < K e y > M e a s u r e s \ N e t   P r o f i t   M a r g i n < / K e y > < / D i a g r a m O b j e c t K e y > < D i a g r a m O b j e c t K e y > < K e y > M e a s u r e s \ N e t   P r o f i t   M a r g i n \ T a g I n f o \ F o r m u l a < / K e y > < / D i a g r a m O b j e c t K e y > < D i a g r a m O b j e c t K e y > < K e y > M e a s u r e s \ N e t   P r o f i t   M a r g i n \ T a g I n f o \ V a l u e < / K e y > < / D i a g r a m O b j e c t K e y > < D i a g r a m O b j e c t K e y > < K e y > M e a s u r e s \ E x p e n s e < / K e y > < / D i a g r a m O b j e c t K e y > < D i a g r a m O b j e c t K e y > < K e y > M e a s u r e s \ E x p e n s e \ T a g I n f o \ F o r m u l a < / K e y > < / D i a g r a m O b j e c t K e y > < D i a g r a m O b j e c t K e y > < K e y > M e a s u r e s \ E x p e n s e \ T a g I n f o \ V a l u e < / K e y > < / D i a g r a m O b j e c t K e y > < D i a g r a m O b j e c t K e y > < K e y > M e a s u r e s \ E x p e n s e   m i n < / K e y > < / D i a g r a m O b j e c t K e y > < D i a g r a m O b j e c t K e y > < K e y > M e a s u r e s \ E x p e n s e   m i n \ T a g I n f o \ F o r m u l a < / K e y > < / D i a g r a m O b j e c t K e y > < D i a g r a m O b j e c t K e y > < K e y > M e a s u r e s \ E x p e n s e   m i n \ T a g I n f o \ V a l u e < / K e y > < / D i a g r a m O b j e c t K e y > < D i a g r a m O b j e c t K e y > < K e y > M e a s u r e s \ C O G S   R a t i o < / K e y > < / D i a g r a m O b j e c t K e y > < D i a g r a m O b j e c t K e y > < K e y > M e a s u r e s \ C O G S   R a t i o \ T a g I n f o \ F o r m u l a < / K e y > < / D i a g r a m O b j e c t K e y > < D i a g r a m O b j e c t K e y > < K e y > M e a s u r e s \ C O G S   R a t i o \ T a g I n f o \ V a l u e < / K e y > < / D i a g r a m O b j e c t K e y > < D i a g r a m O b j e c t K e y > < K e y > M e a s u r e s \ C O G S   A B S < / K e y > < / D i a g r a m O b j e c t K e y > < D i a g r a m O b j e c t K e y > < K e y > M e a s u r e s \ C O G S   A B S \ T a g I n f o \ F o r m u l a < / K e y > < / D i a g r a m O b j e c t K e y > < D i a g r a m O b j e c t K e y > < K e y > M e a s u r e s \ C O G S   A B S \ T a g I n f o \ V a l u e < / K e y > < / D i a g r a m O b j e c t K e y > < D i a g r a m O b j e c t K e y > < K e y > M e a s u r e s \ O P E X   A B S < / K e y > < / D i a g r a m O b j e c t K e y > < D i a g r a m O b j e c t K e y > < K e y > M e a s u r e s \ O P E X   A B S \ T a g I n f o \ F o r m u l a < / K e y > < / D i a g r a m O b j e c t K e y > < D i a g r a m O b j e c t K e y > < K e y > M e a s u r e s \ O P E X   A B S \ T a g I n f o \ V a l u e < / K e y > < / D i a g r a m O b j e c t K e y > < D i a g r a m O b j e c t K e y > < K e y > C o l u m n s \ M e a s u r e s 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 M e a s u r e s \ G r o s s 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 M e a s u r e s \ O p e x 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 M e a s u r e s \ O p e x \ T a g I n f o \ F o r m u l a 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 M e a s u r e s \ O p e x   R a t i o 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 M e a s u r e s \ O p e x 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 M e a s u r e s \ O p e x 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 M e a s u r e s \ E B I T \ T a g I n f o \ F o r m u l a 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  M a r g i n 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 M e a s u r e s \ E B I T 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 a n d   T a x 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 M e a s u r e s \ I n t e r e s t   a n d   T a x \ T a g I n f o \ F o r m u l a 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 a n d   T a x \ T a g I n f o \ V a l u e 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 M a r g i n 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 M e a s u r e s \ N e t 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 M e a s u r e s \ E x p e n s e 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 M e a s u r e s \ E x p e n s e \ T a g I n f o \ F o r m u l a 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 M e a s u r e s \ E x p e n s e \ T a g I n f o \ V a l u e 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 M e a s u r e s \ E x p e n s e   m i n 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 M e a s u r e s \ E x p e n s e   m i n \ T a g I n f o \ F o r m u l a 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 M e a s u r e s \ E x p e n s e   m i n \ T a g I n f o \ V a l u e 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  R a t i o 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 M e a s u r e s \ C O G S 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  A B S 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 M e a s u r e s \ C O G S   A B S \ T a g I n f o \ F o r m u l a 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  A B S \ T a g I n f o \ V a l u e 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 M e a s u r e s \ O P E X   A B S 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 M e a s u r e s \ O P E X   A B S \ T a g I n f o \ F o r m u l a 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 M e a s u r e s \ O P E X   A B S \ T a g I n f o \ V a l u e 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a 0 c d 1 8 9 - 4 1 a 7 - 4 5 6 9 - 9 5 8 7 - 8 2 9 7 3 b a c a 7 7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8 3 7 0 3 5 c - 6 a 3 9 - 4 6 5 c - 9 3 e 0 - 0 c 4 a d 3 3 a d 0 0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 M a r g i n < / M e a s u r e N a m e > < D i s p l a y N a m e > O p e x   M a r g i n 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d 5 b d b b 0 - c e d e - 4 5 e 1 - b e 3 8 - a 3 9 2 4 8 b d 5 3 d 8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6 1 4 1 8 e 5 d - 2 9 a 7 - 4 4 b 9 - 8 3 1 c - 8 b e 6 c 3 7 c 7 6 0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0 0 d 3 3 8 7 - 1 c 6 9 - 4 e 4 0 - 8 3 3 3 - e f 2 a 0 0 8 6 2 d 6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1 1 8 3 f 8 3 1 - f 6 9 8 - 4 2 5 1 - 8 d d c - 8 c a 1 a b 6 9 5 8 2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2 2 5 0 7 c d b - b 8 3 7 - 4 5 7 d - a 5 8 b - c 6 7 e 7 a f 2 6 7 2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6 5 b 1 6 d 2 5 - 3 7 d e - 4 1 c 1 - 8 b b a - e c 6 9 a 9 6 d b 8 d 0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a l c u l a t i o n s _ 9 0 7 e 7 c 6 e - f b c 6 - 4 c 2 4 - b e a 3 - 2 d 8 1 0 a 1 9 b 9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< / s t r i n g > < / k e y > < v a l u e > < i n t > 9 6 < / i n t > < / v a l u e > < / i t e m > < / C o l u m n W i d t h s > < C o l u m n D i s p l a y I n d e x > < i t e m > < k e y > < s t r i n g >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 2 0 2 4 - 1 2 - 0 7 T 1 9 : 3 4 : 1 2 . 1 7 2 3 1 1 9 + 0 7 : 0 0 < / L a s t P r o c e s s e d T i m e > < / D a t a M o d e l i n g S a n d b o x . S e r i a l i z e d S a n d b o x E r r o r C a c h e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b a c 1 e 0 b e - 0 7 2 5 - 4 b 8 f - b 1 5 b - d 3 8 3 1 8 1 c d 9 e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 M a r g i n < / M e a s u r e N a m e > < D i s p l a y N a m e > O p e x   M a r g i n 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6 9 5 d f f 1 3 - 0 4 d 0 - 4 0 4 e - 8 e 0 0 - d 5 9 f f 2 9 6 f 7 c 4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7 3 2 1 a d b d - e 7 a d - 4 7 e 9 - 9 8 b 3 - 7 2 2 d 8 8 3 e c 4 8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3 2 6 2 f 2 d e - 3 8 4 8 - 4 4 8 5 - b 2 8 c - 6 4 f 6 0 6 1 7 f 8 f 0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e 7 3 b 0 9 4 7 - b 6 4 e - 4 a 7 4 - a 2 7 9 - 5 4 5 5 e b 0 2 1 2 d f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8 5 f e 3 3 b 0 - 4 d 4 7 - 4 8 3 8 - 9 a 7 3 - 9 2 b 4 2 8 e d 2 b 9 d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7 d 6 4 a 4 f - 9 5 b 3 - 4 9 c 2 - a e 9 8 - 6 2 f 1 9 6 b 4 1 d 4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f 5 3 5 5 0 f - 8 d b c - 4 5 4 0 - 8 a 6 4 - d 9 4 9 5 5 1 e 1 9 9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1 5 c d 3 e 7 - 8 d 3 4 - 4 9 f 5 - 9 e 6 7 - c 6 9 3 e 3 6 3 b 3 0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6 d 2 c 2 7 c - 4 2 4 9 - 4 c 6 7 - a 4 e 3 - 7 8 3 e f 0 5 3 f 0 4 d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c 1 9 0 6 1 7 - 9 5 7 9 - 4 2 f f - a 0 d b - 2 7 0 a c 3 0 b 4 f 9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 O p e x < / M e a s u r e N a m e > < D i s p l a y N a m e > O p e x < / D i s p l a y N a m e > < V i s i b l e > F a l s e < / V i s i b l e > < / i t e m > < i t e m > < M e a s u r e N a m e > E B I T < / M e a s u r e N a m e > < D i s p l a y N a m e > E B I T < / D i s p l a y N a m e > < V i s i b l e > F a l s e < / V i s i b l e > < / i t e m > < i t e m > < M e a s u r e N a m e > E B I T   M a r g i n < / M e a s u r e N a m e > < D i s p l a y N a m e > E B I T   M a r g i n < / D i s p l a y N a m e > < V i s i b l e > F a l s e < / V i s i b l e > < / i t e m > < i t e m > < M e a s u r e N a m e > I n t e r e s t   a n d   T a x < / M e a s u r e N a m e > < D i s p l a y N a m e > I n t e r e s t   a n d   T a x 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 N e t   P r o f i t   M a r g i n < / M e a s u r e N a m e > < D i s p l a y N a m e > N e t   P r o f i t   M a r g i n < / D i s p l a y N a m e > < V i s i b l e > F a l s e < / V i s i b l e > < / i t e m > < i t e m > < M e a s u r e N a m e > E x p e n s e < / M e a s u r e N a m e > < D i s p l a y N a m e > E x p e n s e < / D i s p l a y N a m e > < V i s i b l e > F a l s e < / V i s i b l e > < / i t e m > < i t e m > < M e a s u r e N a m e > E x p e n s e   m i n < / M e a s u r e N a m e > < D i s p l a y N a m e > E x p e n s e   m i n < / D i s p l a y N a m e > < V i s i b l e > F a l s e < / V i s i b l e > < / i t e m > < i t e m > < M e a s u r e N a m e > C O G S   R a t i o < / M e a s u r e N a m e > < D i s p l a y N a m e > C O G S   R a t i o < / D i s p l a y N a m e > < V i s i b l e > F a l s e < / V i s i b l e > < / i t e m > < i t e m > < M e a s u r e N a m e > O p e x   R a t i o < / M e a s u r e N a m e > < D i s p l a y N a m e > O p e x   R a t i o < / D i s p l a y N a m e > < V i s i b l e > F a l s e < / V i s i b l e > < / i t e m > < i t e m > < M e a s u r e N a m e > C O G S   A B S < / M e a s u r e N a m e > < D i s p l a y N a m e > C O G S   A B S < / D i s p l a y N a m e > < V i s i b l e > F a l s e < / V i s i b l e > < / i t e m > < i t e m > < M e a s u r e N a m e > O P E X   A B S < / M e a s u r e N a m e > < D i s p l a y N a m e > O P E X   A B S 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2506663-7DAF-4584-9A1C-04653BD0C939}">
  <ds:schemaRefs/>
</ds:datastoreItem>
</file>

<file path=customXml/itemProps10.xml><?xml version="1.0" encoding="utf-8"?>
<ds:datastoreItem xmlns:ds="http://schemas.openxmlformats.org/officeDocument/2006/customXml" ds:itemID="{BE2100EA-22AC-4D41-9AF4-E42657056D18}">
  <ds:schemaRefs/>
</ds:datastoreItem>
</file>

<file path=customXml/itemProps11.xml><?xml version="1.0" encoding="utf-8"?>
<ds:datastoreItem xmlns:ds="http://schemas.openxmlformats.org/officeDocument/2006/customXml" ds:itemID="{353300FF-AE6B-400A-B5D8-35B3F4F3D9A6}">
  <ds:schemaRefs/>
</ds:datastoreItem>
</file>

<file path=customXml/itemProps12.xml><?xml version="1.0" encoding="utf-8"?>
<ds:datastoreItem xmlns:ds="http://schemas.openxmlformats.org/officeDocument/2006/customXml" ds:itemID="{6B40D49D-8F6E-4849-A8BE-11292B702DEB}">
  <ds:schemaRefs/>
</ds:datastoreItem>
</file>

<file path=customXml/itemProps13.xml><?xml version="1.0" encoding="utf-8"?>
<ds:datastoreItem xmlns:ds="http://schemas.openxmlformats.org/officeDocument/2006/customXml" ds:itemID="{881B72DE-6CAB-4128-B721-EF94ED01DA7B}">
  <ds:schemaRefs/>
</ds:datastoreItem>
</file>

<file path=customXml/itemProps14.xml><?xml version="1.0" encoding="utf-8"?>
<ds:datastoreItem xmlns:ds="http://schemas.openxmlformats.org/officeDocument/2006/customXml" ds:itemID="{FB6C46A8-E140-452C-8A58-D9B9EE411E2E}">
  <ds:schemaRefs/>
</ds:datastoreItem>
</file>

<file path=customXml/itemProps15.xml><?xml version="1.0" encoding="utf-8"?>
<ds:datastoreItem xmlns:ds="http://schemas.openxmlformats.org/officeDocument/2006/customXml" ds:itemID="{85F22277-9B36-47E5-B178-A6B4E03AA3D5}">
  <ds:schemaRefs/>
</ds:datastoreItem>
</file>

<file path=customXml/itemProps16.xml><?xml version="1.0" encoding="utf-8"?>
<ds:datastoreItem xmlns:ds="http://schemas.openxmlformats.org/officeDocument/2006/customXml" ds:itemID="{635B73F5-0C63-4F68-8954-AC10018176B4}">
  <ds:schemaRefs/>
</ds:datastoreItem>
</file>

<file path=customXml/itemProps17.xml><?xml version="1.0" encoding="utf-8"?>
<ds:datastoreItem xmlns:ds="http://schemas.openxmlformats.org/officeDocument/2006/customXml" ds:itemID="{439CB76A-07A5-49BA-B770-8F39DD8735E9}">
  <ds:schemaRefs/>
</ds:datastoreItem>
</file>

<file path=customXml/itemProps18.xml><?xml version="1.0" encoding="utf-8"?>
<ds:datastoreItem xmlns:ds="http://schemas.openxmlformats.org/officeDocument/2006/customXml" ds:itemID="{07D99695-78FD-46F2-9210-CD5928CC6CF9}">
  <ds:schemaRefs/>
</ds:datastoreItem>
</file>

<file path=customXml/itemProps19.xml><?xml version="1.0" encoding="utf-8"?>
<ds:datastoreItem xmlns:ds="http://schemas.openxmlformats.org/officeDocument/2006/customXml" ds:itemID="{B8DEE572-7765-4951-8E2E-C70E9DDC34F7}">
  <ds:schemaRefs/>
</ds:datastoreItem>
</file>

<file path=customXml/itemProps2.xml><?xml version="1.0" encoding="utf-8"?>
<ds:datastoreItem xmlns:ds="http://schemas.openxmlformats.org/officeDocument/2006/customXml" ds:itemID="{147946F7-A2CC-4041-9775-FA5D34430177}">
  <ds:schemaRefs/>
</ds:datastoreItem>
</file>

<file path=customXml/itemProps20.xml><?xml version="1.0" encoding="utf-8"?>
<ds:datastoreItem xmlns:ds="http://schemas.openxmlformats.org/officeDocument/2006/customXml" ds:itemID="{070E319B-BA45-4FEB-8539-C03568C8022D}">
  <ds:schemaRefs/>
</ds:datastoreItem>
</file>

<file path=customXml/itemProps21.xml><?xml version="1.0" encoding="utf-8"?>
<ds:datastoreItem xmlns:ds="http://schemas.openxmlformats.org/officeDocument/2006/customXml" ds:itemID="{C442EBC2-C1FA-4CC0-B712-8AD2447E1D15}">
  <ds:schemaRefs/>
</ds:datastoreItem>
</file>

<file path=customXml/itemProps22.xml><?xml version="1.0" encoding="utf-8"?>
<ds:datastoreItem xmlns:ds="http://schemas.openxmlformats.org/officeDocument/2006/customXml" ds:itemID="{17260B01-0CEA-4B14-BF29-0E396F7C91A6}">
  <ds:schemaRefs/>
</ds:datastoreItem>
</file>

<file path=customXml/itemProps23.xml><?xml version="1.0" encoding="utf-8"?>
<ds:datastoreItem xmlns:ds="http://schemas.openxmlformats.org/officeDocument/2006/customXml" ds:itemID="{5DB7240D-195D-4BD7-B2E1-8D95591F9C52}">
  <ds:schemaRefs/>
</ds:datastoreItem>
</file>

<file path=customXml/itemProps24.xml><?xml version="1.0" encoding="utf-8"?>
<ds:datastoreItem xmlns:ds="http://schemas.openxmlformats.org/officeDocument/2006/customXml" ds:itemID="{DDB8198B-D283-46C4-90E1-E174AAFCBB50}">
  <ds:schemaRefs/>
</ds:datastoreItem>
</file>

<file path=customXml/itemProps25.xml><?xml version="1.0" encoding="utf-8"?>
<ds:datastoreItem xmlns:ds="http://schemas.openxmlformats.org/officeDocument/2006/customXml" ds:itemID="{F1EEBCED-3BAE-413A-B65B-E28C2D2AED45}">
  <ds:schemaRefs/>
</ds:datastoreItem>
</file>

<file path=customXml/itemProps26.xml><?xml version="1.0" encoding="utf-8"?>
<ds:datastoreItem xmlns:ds="http://schemas.openxmlformats.org/officeDocument/2006/customXml" ds:itemID="{6E824BFA-069F-4E63-B9C1-B92D2E32F54F}">
  <ds:schemaRefs>
    <ds:schemaRef ds:uri="http://schemas.microsoft.com/DataMashup"/>
  </ds:schemaRefs>
</ds:datastoreItem>
</file>

<file path=customXml/itemProps27.xml><?xml version="1.0" encoding="utf-8"?>
<ds:datastoreItem xmlns:ds="http://schemas.openxmlformats.org/officeDocument/2006/customXml" ds:itemID="{79B916AD-4F92-4E54-829A-FACEDA652720}">
  <ds:schemaRefs/>
</ds:datastoreItem>
</file>

<file path=customXml/itemProps28.xml><?xml version="1.0" encoding="utf-8"?>
<ds:datastoreItem xmlns:ds="http://schemas.openxmlformats.org/officeDocument/2006/customXml" ds:itemID="{A9D36732-448F-4252-B5E7-489D59B75AEB}">
  <ds:schemaRefs/>
</ds:datastoreItem>
</file>

<file path=customXml/itemProps29.xml><?xml version="1.0" encoding="utf-8"?>
<ds:datastoreItem xmlns:ds="http://schemas.openxmlformats.org/officeDocument/2006/customXml" ds:itemID="{406E507F-5033-46F9-B777-5B94B33256EE}">
  <ds:schemaRefs/>
</ds:datastoreItem>
</file>

<file path=customXml/itemProps3.xml><?xml version="1.0" encoding="utf-8"?>
<ds:datastoreItem xmlns:ds="http://schemas.openxmlformats.org/officeDocument/2006/customXml" ds:itemID="{787AE3FE-C270-46D2-8D09-F2F4298712E8}">
  <ds:schemaRefs/>
</ds:datastoreItem>
</file>

<file path=customXml/itemProps30.xml><?xml version="1.0" encoding="utf-8"?>
<ds:datastoreItem xmlns:ds="http://schemas.openxmlformats.org/officeDocument/2006/customXml" ds:itemID="{FC177EB9-7DA1-4032-963B-A4C0B73A6F03}">
  <ds:schemaRefs/>
</ds:datastoreItem>
</file>

<file path=customXml/itemProps31.xml><?xml version="1.0" encoding="utf-8"?>
<ds:datastoreItem xmlns:ds="http://schemas.openxmlformats.org/officeDocument/2006/customXml" ds:itemID="{AE553497-C6B9-445E-9DC6-1CA99D604D1D}">
  <ds:schemaRefs/>
</ds:datastoreItem>
</file>

<file path=customXml/itemProps32.xml><?xml version="1.0" encoding="utf-8"?>
<ds:datastoreItem xmlns:ds="http://schemas.openxmlformats.org/officeDocument/2006/customXml" ds:itemID="{4584868A-6D17-4261-AE5D-DBEF147B1B23}">
  <ds:schemaRefs/>
</ds:datastoreItem>
</file>

<file path=customXml/itemProps33.xml><?xml version="1.0" encoding="utf-8"?>
<ds:datastoreItem xmlns:ds="http://schemas.openxmlformats.org/officeDocument/2006/customXml" ds:itemID="{D90AA380-5848-4884-87D9-D5B41C3D1970}">
  <ds:schemaRefs/>
</ds:datastoreItem>
</file>

<file path=customXml/itemProps34.xml><?xml version="1.0" encoding="utf-8"?>
<ds:datastoreItem xmlns:ds="http://schemas.openxmlformats.org/officeDocument/2006/customXml" ds:itemID="{398AD9E7-2368-4C36-A811-9CDF6BD4FCE8}">
  <ds:schemaRefs/>
</ds:datastoreItem>
</file>

<file path=customXml/itemProps35.xml><?xml version="1.0" encoding="utf-8"?>
<ds:datastoreItem xmlns:ds="http://schemas.openxmlformats.org/officeDocument/2006/customXml" ds:itemID="{353EF7FC-F9A9-4F08-A854-606F8D7F3BD8}">
  <ds:schemaRefs/>
</ds:datastoreItem>
</file>

<file path=customXml/itemProps36.xml><?xml version="1.0" encoding="utf-8"?>
<ds:datastoreItem xmlns:ds="http://schemas.openxmlformats.org/officeDocument/2006/customXml" ds:itemID="{446BB348-23D2-42C9-AA40-0159D1722C55}">
  <ds:schemaRefs/>
</ds:datastoreItem>
</file>

<file path=customXml/itemProps37.xml><?xml version="1.0" encoding="utf-8"?>
<ds:datastoreItem xmlns:ds="http://schemas.openxmlformats.org/officeDocument/2006/customXml" ds:itemID="{DA2816ED-2552-4B73-A8E4-21AFDA17C5F7}">
  <ds:schemaRefs/>
</ds:datastoreItem>
</file>

<file path=customXml/itemProps38.xml><?xml version="1.0" encoding="utf-8"?>
<ds:datastoreItem xmlns:ds="http://schemas.openxmlformats.org/officeDocument/2006/customXml" ds:itemID="{3A3EE207-CF29-443B-B12D-347D34DC2B2E}">
  <ds:schemaRefs/>
</ds:datastoreItem>
</file>

<file path=customXml/itemProps39.xml><?xml version="1.0" encoding="utf-8"?>
<ds:datastoreItem xmlns:ds="http://schemas.openxmlformats.org/officeDocument/2006/customXml" ds:itemID="{E9621EE5-5FDA-451D-BDC2-E1F59530EB08}">
  <ds:schemaRefs/>
</ds:datastoreItem>
</file>

<file path=customXml/itemProps4.xml><?xml version="1.0" encoding="utf-8"?>
<ds:datastoreItem xmlns:ds="http://schemas.openxmlformats.org/officeDocument/2006/customXml" ds:itemID="{8F81821A-8A49-48D8-835F-34F43E502306}">
  <ds:schemaRefs/>
</ds:datastoreItem>
</file>

<file path=customXml/itemProps40.xml><?xml version="1.0" encoding="utf-8"?>
<ds:datastoreItem xmlns:ds="http://schemas.openxmlformats.org/officeDocument/2006/customXml" ds:itemID="{D8499F5D-A086-4B9E-9EEF-713A76F933EB}">
  <ds:schemaRefs/>
</ds:datastoreItem>
</file>

<file path=customXml/itemProps41.xml><?xml version="1.0" encoding="utf-8"?>
<ds:datastoreItem xmlns:ds="http://schemas.openxmlformats.org/officeDocument/2006/customXml" ds:itemID="{E51B25D1-9647-4275-B9C5-FE79C298030C}">
  <ds:schemaRefs/>
</ds:datastoreItem>
</file>

<file path=customXml/itemProps42.xml><?xml version="1.0" encoding="utf-8"?>
<ds:datastoreItem xmlns:ds="http://schemas.openxmlformats.org/officeDocument/2006/customXml" ds:itemID="{E34EAC62-3B82-40E2-9625-F36BF9F396A3}">
  <ds:schemaRefs/>
</ds:datastoreItem>
</file>

<file path=customXml/itemProps43.xml><?xml version="1.0" encoding="utf-8"?>
<ds:datastoreItem xmlns:ds="http://schemas.openxmlformats.org/officeDocument/2006/customXml" ds:itemID="{EBABC669-1977-49F1-9351-46455572B245}">
  <ds:schemaRefs/>
</ds:datastoreItem>
</file>

<file path=customXml/itemProps44.xml><?xml version="1.0" encoding="utf-8"?>
<ds:datastoreItem xmlns:ds="http://schemas.openxmlformats.org/officeDocument/2006/customXml" ds:itemID="{0BDA8F0B-8AAF-4524-80DC-F504F28F48A8}">
  <ds:schemaRefs/>
</ds:datastoreItem>
</file>

<file path=customXml/itemProps45.xml><?xml version="1.0" encoding="utf-8"?>
<ds:datastoreItem xmlns:ds="http://schemas.openxmlformats.org/officeDocument/2006/customXml" ds:itemID="{1F922AF2-C486-4E20-BAB4-7992454F426C}">
  <ds:schemaRefs/>
</ds:datastoreItem>
</file>

<file path=customXml/itemProps46.xml><?xml version="1.0" encoding="utf-8"?>
<ds:datastoreItem xmlns:ds="http://schemas.openxmlformats.org/officeDocument/2006/customXml" ds:itemID="{F3A5C0BD-FCAD-4667-A00A-1B14C8361679}">
  <ds:schemaRefs/>
</ds:datastoreItem>
</file>

<file path=customXml/itemProps5.xml><?xml version="1.0" encoding="utf-8"?>
<ds:datastoreItem xmlns:ds="http://schemas.openxmlformats.org/officeDocument/2006/customXml" ds:itemID="{24FFD611-BE68-4DD7-9F68-B5265709C3A0}">
  <ds:schemaRefs/>
</ds:datastoreItem>
</file>

<file path=customXml/itemProps6.xml><?xml version="1.0" encoding="utf-8"?>
<ds:datastoreItem xmlns:ds="http://schemas.openxmlformats.org/officeDocument/2006/customXml" ds:itemID="{972D7A36-0789-4A07-B29F-1C8117BC98B6}">
  <ds:schemaRefs/>
</ds:datastoreItem>
</file>

<file path=customXml/itemProps7.xml><?xml version="1.0" encoding="utf-8"?>
<ds:datastoreItem xmlns:ds="http://schemas.openxmlformats.org/officeDocument/2006/customXml" ds:itemID="{354A6947-DDF9-4B25-A8BF-3D0912042EE3}">
  <ds:schemaRefs/>
</ds:datastoreItem>
</file>

<file path=customXml/itemProps8.xml><?xml version="1.0" encoding="utf-8"?>
<ds:datastoreItem xmlns:ds="http://schemas.openxmlformats.org/officeDocument/2006/customXml" ds:itemID="{3AF1C757-04CA-44BE-AE0C-5A35378FA2AF}">
  <ds:schemaRefs/>
</ds:datastoreItem>
</file>

<file path=customXml/itemProps9.xml><?xml version="1.0" encoding="utf-8"?>
<ds:datastoreItem xmlns:ds="http://schemas.openxmlformats.org/officeDocument/2006/customXml" ds:itemID="{5CE06FA5-C8EC-4EB8-8E14-C2695B819B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Monthly Pivot</vt:lpstr>
      <vt:lpstr>Yearly Pivot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Erena</dc:creator>
  <cp:lastModifiedBy>Erena</cp:lastModifiedBy>
  <cp:lastPrinted>2024-12-07T13:23:40Z</cp:lastPrinted>
  <dcterms:created xsi:type="dcterms:W3CDTF">2024-12-02T12:08:04Z</dcterms:created>
  <dcterms:modified xsi:type="dcterms:W3CDTF">2024-12-07T15:07:30Z</dcterms:modified>
</cp:coreProperties>
</file>