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lio Salinas\Desktop\WSP\"/>
    </mc:Choice>
  </mc:AlternateContent>
  <xr:revisionPtr revIDLastSave="0" documentId="13_ncr:1_{4AEC286F-234A-425A-8118-A04EB64C7D81}" xr6:coauthVersionLast="47" xr6:coauthVersionMax="47" xr10:uidLastSave="{00000000-0000-0000-0000-000000000000}"/>
  <bookViews>
    <workbookView xWindow="-108" yWindow="-108" windowWidth="23256" windowHeight="12456" tabRatio="736" xr2:uid="{00000000-000D-0000-FFFF-FFFF00000000}"/>
  </bookViews>
  <sheets>
    <sheet name="Income Statement" sheetId="88" r:id="rId1"/>
  </sheets>
  <definedNames>
    <definedName name="CIQWBGuid" hidden="1">"a611639b-bab1-425e-aaa5-008c326fdfdb"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43588.5561574074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K841c85bef3244d5c8fb6b3f84988d79e" hidden="1">#REF!</definedName>
    <definedName name="MLNKa7775792bf444a4785f8ed5c82461a24" hidden="1">#REF!</definedName>
    <definedName name="_xlnm.Print_Area" localSheetId="0">'Income Statement'!$C$2:$S$167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88" l="1"/>
  <c r="D21" i="88" l="1"/>
  <c r="E51" i="88"/>
  <c r="F51" i="88"/>
  <c r="G27" i="88"/>
  <c r="E66" i="88" l="1"/>
  <c r="F61" i="88"/>
  <c r="E61" i="88"/>
  <c r="D61" i="88"/>
  <c r="G56" i="88"/>
  <c r="D62" i="88"/>
  <c r="D23" i="88" l="1"/>
  <c r="G28" i="88"/>
  <c r="H28" i="88" s="1"/>
  <c r="I28" i="88" s="1"/>
  <c r="H27" i="88"/>
  <c r="K27" i="88"/>
  <c r="F66" i="88"/>
  <c r="D66" i="88"/>
  <c r="E39" i="88"/>
  <c r="J27" i="88"/>
  <c r="I27" i="88"/>
  <c r="J28" i="88" l="1"/>
  <c r="K28" i="88" s="1"/>
  <c r="D47" i="88" l="1"/>
  <c r="F39" i="88"/>
  <c r="G35" i="88" l="1"/>
  <c r="H35" i="88" s="1"/>
  <c r="I35" i="88" s="1"/>
  <c r="J35" i="88" s="1"/>
  <c r="K35" i="88" s="1"/>
  <c r="G39" i="88"/>
  <c r="H39" i="88" s="1"/>
  <c r="I39" i="88" s="1"/>
  <c r="J39" i="88" s="1"/>
  <c r="K39" i="88" l="1"/>
  <c r="F41" i="88" l="1"/>
  <c r="E41" i="88"/>
  <c r="F40" i="88"/>
  <c r="E40" i="88"/>
  <c r="F21" i="88"/>
  <c r="F23" i="88" s="1"/>
  <c r="E21" i="88"/>
  <c r="F15" i="88"/>
  <c r="E15" i="88"/>
  <c r="E54" i="88" s="1"/>
  <c r="F14" i="88"/>
  <c r="C2" i="88"/>
  <c r="E62" i="88" l="1"/>
  <c r="E23" i="88"/>
  <c r="F62" i="88"/>
  <c r="H62" i="88" s="1"/>
  <c r="G15" i="88"/>
  <c r="G54" i="88" s="1"/>
  <c r="F54" i="88"/>
  <c r="E14" i="88"/>
  <c r="E53" i="88" s="1"/>
  <c r="F53" i="88"/>
  <c r="D44" i="88"/>
  <c r="D67" i="88"/>
  <c r="E44" i="88"/>
  <c r="E67" i="88"/>
  <c r="F26" i="88"/>
  <c r="F67" i="88"/>
  <c r="I41" i="88"/>
  <c r="J41" i="88"/>
  <c r="F44" i="88"/>
  <c r="K41" i="88"/>
  <c r="D45" i="88"/>
  <c r="E45" i="88"/>
  <c r="J40" i="88"/>
  <c r="K40" i="88"/>
  <c r="G40" i="88"/>
  <c r="G19" i="88" s="1"/>
  <c r="H40" i="88"/>
  <c r="G14" i="88"/>
  <c r="G53" i="88" s="1"/>
  <c r="I40" i="88"/>
  <c r="G18" i="88"/>
  <c r="F45" i="88"/>
  <c r="D15" i="88"/>
  <c r="D54" i="88" s="1"/>
  <c r="G41" i="88"/>
  <c r="G20" i="88" s="1"/>
  <c r="H41" i="88"/>
  <c r="F30" i="88" l="1"/>
  <c r="F32" i="88" s="1"/>
  <c r="F50" i="88"/>
  <c r="G21" i="88"/>
  <c r="D14" i="88"/>
  <c r="D53" i="88" s="1"/>
  <c r="I62" i="88"/>
  <c r="J62" i="88"/>
  <c r="G62" i="88"/>
  <c r="K62" i="88"/>
  <c r="H15" i="88"/>
  <c r="H54" i="88" s="1"/>
  <c r="F43" i="88"/>
  <c r="G44" i="88"/>
  <c r="F46" i="88"/>
  <c r="I44" i="88"/>
  <c r="H67" i="88"/>
  <c r="I67" i="88"/>
  <c r="J67" i="88"/>
  <c r="K67" i="88"/>
  <c r="G67" i="88"/>
  <c r="H44" i="88"/>
  <c r="G45" i="88"/>
  <c r="F34" i="88"/>
  <c r="F36" i="88" s="1"/>
  <c r="H19" i="88"/>
  <c r="I19" i="88" s="1"/>
  <c r="J19" i="88" s="1"/>
  <c r="K19" i="88" s="1"/>
  <c r="K44" i="88"/>
  <c r="J44" i="88"/>
  <c r="H14" i="88"/>
  <c r="H53" i="88" s="1"/>
  <c r="H45" i="88"/>
  <c r="H18" i="88"/>
  <c r="H20" i="88"/>
  <c r="I20" i="88" s="1"/>
  <c r="J20" i="88" s="1"/>
  <c r="K20" i="88" s="1"/>
  <c r="J45" i="88"/>
  <c r="K45" i="88"/>
  <c r="D26" i="88"/>
  <c r="D43" i="88"/>
  <c r="E26" i="88"/>
  <c r="E50" i="88" s="1"/>
  <c r="E43" i="88"/>
  <c r="I45" i="88"/>
  <c r="D34" i="88" l="1"/>
  <c r="D36" i="88" s="1"/>
  <c r="D50" i="88"/>
  <c r="G57" i="88"/>
  <c r="G58" i="88" s="1"/>
  <c r="I15" i="88"/>
  <c r="I54" i="88" s="1"/>
  <c r="G66" i="88"/>
  <c r="G25" i="88"/>
  <c r="G24" i="88"/>
  <c r="I14" i="88"/>
  <c r="I53" i="88" s="1"/>
  <c r="K43" i="88"/>
  <c r="G43" i="88"/>
  <c r="G23" i="88" s="1"/>
  <c r="G22" i="88" s="1"/>
  <c r="J43" i="88"/>
  <c r="I43" i="88"/>
  <c r="H43" i="88"/>
  <c r="E34" i="88"/>
  <c r="E36" i="88" s="1"/>
  <c r="E30" i="88"/>
  <c r="D30" i="88"/>
  <c r="I18" i="88"/>
  <c r="H21" i="88"/>
  <c r="H57" i="88" l="1"/>
  <c r="H23" i="88"/>
  <c r="H22" i="88"/>
  <c r="J15" i="88"/>
  <c r="J54" i="88" s="1"/>
  <c r="H66" i="88"/>
  <c r="H24" i="88"/>
  <c r="H25" i="88"/>
  <c r="D32" i="88"/>
  <c r="D51" i="88" s="1"/>
  <c r="D46" i="88"/>
  <c r="K15" i="88"/>
  <c r="K54" i="88" s="1"/>
  <c r="J18" i="88"/>
  <c r="I21" i="88"/>
  <c r="E46" i="88"/>
  <c r="E32" i="88"/>
  <c r="J14" i="88"/>
  <c r="J53" i="88" s="1"/>
  <c r="I57" i="88" l="1"/>
  <c r="I23" i="88"/>
  <c r="I22" i="88" s="1"/>
  <c r="I66" i="88"/>
  <c r="H26" i="88"/>
  <c r="I24" i="88"/>
  <c r="I25" i="88"/>
  <c r="G46" i="88"/>
  <c r="K46" i="88"/>
  <c r="J46" i="88"/>
  <c r="I46" i="88"/>
  <c r="H46" i="88"/>
  <c r="K18" i="88"/>
  <c r="K21" i="88" s="1"/>
  <c r="J21" i="88"/>
  <c r="K14" i="88"/>
  <c r="K53" i="88" s="1"/>
  <c r="H30" i="88" l="1"/>
  <c r="H50" i="88"/>
  <c r="J57" i="88"/>
  <c r="J23" i="88"/>
  <c r="J22" i="88" s="1"/>
  <c r="K57" i="88"/>
  <c r="D49" i="88"/>
  <c r="K23" i="88"/>
  <c r="K22" i="88" s="1"/>
  <c r="J66" i="88"/>
  <c r="K66" i="88"/>
  <c r="H31" i="88"/>
  <c r="H32" i="88" s="1"/>
  <c r="H51" i="88" s="1"/>
  <c r="I26" i="88"/>
  <c r="I50" i="88" s="1"/>
  <c r="J24" i="88"/>
  <c r="J25" i="88"/>
  <c r="K25" i="88"/>
  <c r="K24" i="88"/>
  <c r="I30" i="88" l="1"/>
  <c r="I31" i="88" s="1"/>
  <c r="I32" i="88" s="1"/>
  <c r="I51" i="88" s="1"/>
  <c r="H58" i="88"/>
  <c r="G68" i="88"/>
  <c r="G33" i="88" s="1"/>
  <c r="K26" i="88"/>
  <c r="K50" i="88" s="1"/>
  <c r="J26" i="88"/>
  <c r="J50" i="88" s="1"/>
  <c r="G59" i="88" l="1"/>
  <c r="H56" i="88" s="1"/>
  <c r="H59" i="88" s="1"/>
  <c r="I56" i="88" s="1"/>
  <c r="J30" i="88"/>
  <c r="J31" i="88" s="1"/>
  <c r="J32" i="88" s="1"/>
  <c r="J51" i="88" s="1"/>
  <c r="H68" i="88"/>
  <c r="H33" i="88" s="1"/>
  <c r="H34" i="88" s="1"/>
  <c r="H36" i="88" s="1"/>
  <c r="I58" i="88"/>
  <c r="K30" i="88"/>
  <c r="I59" i="88" l="1"/>
  <c r="J56" i="88" s="1"/>
  <c r="I68" i="88"/>
  <c r="I33" i="88" s="1"/>
  <c r="I34" i="88" s="1"/>
  <c r="I36" i="88" s="1"/>
  <c r="K31" i="88"/>
  <c r="K32" i="88" s="1"/>
  <c r="K51" i="88" s="1"/>
  <c r="K58" i="88" l="1"/>
  <c r="K68" i="88" s="1"/>
  <c r="K33" i="88" s="1"/>
  <c r="K34" i="88" s="1"/>
  <c r="K36" i="88" s="1"/>
  <c r="J58" i="88"/>
  <c r="J59" i="88" s="1"/>
  <c r="K56" i="88" s="1"/>
  <c r="J68" i="88" l="1"/>
  <c r="J33" i="88" s="1"/>
  <c r="J34" i="88" s="1"/>
  <c r="J36" i="88" s="1"/>
  <c r="K59" i="88"/>
  <c r="G26" i="88"/>
  <c r="G50" i="88" s="1"/>
  <c r="G34" i="88" l="1"/>
  <c r="G36" i="88" s="1"/>
  <c r="G30" i="88"/>
  <c r="G31" i="88" l="1"/>
  <c r="G32" i="88" s="1"/>
  <c r="G51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Feldman</author>
  </authors>
  <commentList>
    <comment ref="D11" authorId="0" shapeId="0" xr:uid="{E24E3A78-14DB-41DB-AA13-BA263AA55D94}">
      <text>
        <r>
          <rPr>
            <sz val="9"/>
            <color indexed="81"/>
            <rFont val="Tahoma"/>
            <family val="2"/>
          </rPr>
          <t>Front cover of Apple 2018 10K</t>
        </r>
      </text>
    </comment>
    <comment ref="L112" authorId="0" shapeId="0" xr:uid="{5EAA221B-D184-49EB-B363-569BBE60EDF6}">
      <text>
        <r>
          <rPr>
            <sz val="9"/>
            <color indexed="81"/>
            <rFont val="Tahoma"/>
            <family val="2"/>
          </rPr>
          <t>WSP estimate</t>
        </r>
      </text>
    </comment>
    <comment ref="C128" authorId="0" shapeId="0" xr:uid="{EF7AA6A7-5BD1-4EC9-8E27-63AB9C2A80C6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C129" authorId="0" shapeId="0" xr:uid="{279812E5-2C20-40E9-B4AE-93D85F8AB841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E156" authorId="0" shapeId="0" xr:uid="{AB6F2038-8709-486A-83F8-43908749CBB7}">
      <text>
        <r>
          <rPr>
            <sz val="9"/>
            <color indexed="81"/>
            <rFont val="Tahoma"/>
            <family val="2"/>
          </rPr>
          <t>2018 Note 5 - Debt. 10K p55</t>
        </r>
      </text>
    </comment>
    <comment ref="F156" authorId="0" shapeId="0" xr:uid="{61B49820-20D2-4167-A477-FB22FD007934}">
      <text>
        <r>
          <rPr>
            <sz val="9"/>
            <color indexed="81"/>
            <rFont val="Tahoma"/>
            <family val="2"/>
          </rPr>
          <t>2018 Note 5 - Debt. 10K p55</t>
        </r>
      </text>
    </comment>
    <comment ref="C162" authorId="0" shapeId="0" xr:uid="{686C4C94-EBED-4FD1-8764-61C9F8E304C1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C163" authorId="0" shapeId="0" xr:uid="{947574C5-B31A-4CEB-8ED3-46BEAD124A20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  <comment ref="D166" authorId="0" shapeId="0" xr:uid="{208BCA8D-593D-4383-AC48-CDC34D71BE7A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  <comment ref="E166" authorId="0" shapeId="0" xr:uid="{6D65D870-E6E7-4A6F-BE08-0EF7FC2D9DD5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  <comment ref="F166" authorId="0" shapeId="0" xr:uid="{8C7D9834-9A26-4747-B650-F0D3E8102F98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</commentList>
</comments>
</file>

<file path=xl/sharedStrings.xml><?xml version="1.0" encoding="utf-8"?>
<sst xmlns="http://schemas.openxmlformats.org/spreadsheetml/2006/main" count="62" uniqueCount="58">
  <si>
    <t>Tax rate</t>
  </si>
  <si>
    <t>Net income</t>
  </si>
  <si>
    <t>Operating profit (EBIT)</t>
  </si>
  <si>
    <t>Interest income</t>
  </si>
  <si>
    <t>Company name</t>
  </si>
  <si>
    <t>Ticker</t>
  </si>
  <si>
    <t>Fiscal year end date</t>
  </si>
  <si>
    <t>Latest fiscal year end date</t>
  </si>
  <si>
    <t>Latest closing share price date</t>
  </si>
  <si>
    <t xml:space="preserve">Fiscal year  </t>
  </si>
  <si>
    <t>Revenue</t>
  </si>
  <si>
    <t>Pretax profit</t>
  </si>
  <si>
    <t>Gross Profit</t>
  </si>
  <si>
    <t>Cost of sales (enter as -)</t>
  </si>
  <si>
    <t>Taxes (enter expense as -)</t>
  </si>
  <si>
    <t>Selling, general &amp; administrative (enter as -)</t>
  </si>
  <si>
    <t>Interest expense (enter as -)</t>
  </si>
  <si>
    <t>Growth rates &amp; margins</t>
  </si>
  <si>
    <t>INCOME STATEMENT</t>
  </si>
  <si>
    <t>Beginning of period</t>
  </si>
  <si>
    <t>End of period</t>
  </si>
  <si>
    <t>PROPERTY, PLANT &amp; EQUIPMENT</t>
  </si>
  <si>
    <t>EBITDA</t>
  </si>
  <si>
    <t>Step</t>
  </si>
  <si>
    <t>Depreciation &amp; amortization</t>
  </si>
  <si>
    <t>Research &amp; development (enter as -)</t>
  </si>
  <si>
    <t>Other expense, net (enter as -)</t>
  </si>
  <si>
    <t>Adjusted EBITDA</t>
  </si>
  <si>
    <t>Latest closing share price</t>
  </si>
  <si>
    <t>Stock based compensation</t>
  </si>
  <si>
    <t>Circ break 1=off, 0=on</t>
  </si>
  <si>
    <t xml:space="preserve">Depreciation &amp; Amortization - Total </t>
  </si>
  <si>
    <r>
      <t xml:space="preserve">D&amp;A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related to PP&amp;E</t>
    </r>
  </si>
  <si>
    <t>as % of revenue</t>
  </si>
  <si>
    <t>Gross profit margin</t>
  </si>
  <si>
    <t>R&amp;D % of sales</t>
  </si>
  <si>
    <t>SG&amp;A % of sales</t>
  </si>
  <si>
    <t>Shares outstanding (millions)</t>
  </si>
  <si>
    <t>Microsoft</t>
  </si>
  <si>
    <t>Productivity and Business Processes</t>
  </si>
  <si>
    <t>Intelligent Cloud</t>
  </si>
  <si>
    <t>More Personal Computing</t>
  </si>
  <si>
    <t>MSFT</t>
  </si>
  <si>
    <t>Total Revenue</t>
  </si>
  <si>
    <t xml:space="preserve"> Comments</t>
  </si>
  <si>
    <t>Stock Based Compensation 2-yr CAGR</t>
  </si>
  <si>
    <t xml:space="preserve">Less: Depreciation </t>
  </si>
  <si>
    <t xml:space="preserve">D&amp;A Related to PPE as a % of CapEx </t>
  </si>
  <si>
    <t xml:space="preserve">Plus: Capital expenditures </t>
  </si>
  <si>
    <t xml:space="preserve">Overall growth rate </t>
  </si>
  <si>
    <r>
      <rPr>
        <i/>
        <sz val="11"/>
        <color theme="1"/>
        <rFont val="Calibri"/>
        <family val="2"/>
        <scheme val="minor"/>
      </rPr>
      <t xml:space="preserve">Fiscal year </t>
    </r>
    <r>
      <rPr>
        <sz val="11"/>
        <color theme="1"/>
        <rFont val="Calibri"/>
        <family val="2"/>
        <scheme val="minor"/>
      </rPr>
      <t xml:space="preserve"> </t>
    </r>
  </si>
  <si>
    <t>INPUTING TOTAL DEPRECIATION &amp; AMORTIZATION</t>
  </si>
  <si>
    <t xml:space="preserve">CapEx as % of Revenue </t>
  </si>
  <si>
    <t>Revenue CAGR 2026-2030</t>
  </si>
  <si>
    <t>KPIS</t>
  </si>
  <si>
    <t>EBIT margin</t>
  </si>
  <si>
    <t>Net Income margin</t>
  </si>
  <si>
    <t>$ mm except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</si>
</sst>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%_);\(0.0%\);@_)"/>
    <numFmt numFmtId="165" formatCode="#,##0.00_);\(#,##0\)"/>
    <numFmt numFmtId="166" formatCode="#,##0.0%_);\(#,##0.0%\)"/>
    <numFmt numFmtId="167" formatCode="0.0\ \x"/>
    <numFmt numFmtId="168" formatCode="#,##0.00\ ;\(#,##0.00\)"/>
    <numFmt numFmtId="169" formatCode="&quot;$&quot;#,##0.00\ ;\(&quot;$&quot;#,##0.00\)"/>
    <numFmt numFmtId="170" formatCode="0.0%_);\(0.0%\)"/>
    <numFmt numFmtId="171" formatCode="0.000\ \x&quot;rate&quot;"/>
    <numFmt numFmtId="172" formatCode="#,##0.000_);[Red]\(#,##0.000\)"/>
    <numFmt numFmtId="173" formatCode="0.00_);\(0.00\);0.00"/>
    <numFmt numFmtId="174" formatCode="\C&quot;$&quot;#,##0.00_);[Red]\(&quot;$&quot;#,##0.00\)"/>
    <numFmt numFmtId="175" formatCode="#,##0%_);\(#,##0.0%\)"/>
    <numFmt numFmtId="176" formatCode="_(* #,##0.00000000_);_(* \(#,##0.00000000\);_(* &quot;-&quot;?_);_(@_)"/>
    <numFmt numFmtId="177" formatCode="mmm\-d\-yyyy"/>
    <numFmt numFmtId="178" formatCode="mmm\-yyyy"/>
    <numFmt numFmtId="179" formatCode="yyyy"/>
    <numFmt numFmtId="180" formatCode="0.00\x&quot;rate&quot;"/>
    <numFmt numFmtId="181" formatCode="0.0&quot;  &quot;"/>
    <numFmt numFmtId="182" formatCode="&quot;$&quot;#,##0.0\ ;[Red]\(&quot;$&quot;#,##0\)"/>
    <numFmt numFmtId="183" formatCode="&quot;$&quot;#,##0.000_);[Red]\(&quot;$&quot;#,##0.000\)"/>
    <numFmt numFmtId="184" formatCode="&quot;$&quot;#,##0.00&quot;A&quot;;[Red]\(&quot;$&quot;#,##0.00\)&quot;A&quot;"/>
    <numFmt numFmtId="185" formatCode="#,##0.0\ ;[Red]\(&quot;$&quot;#,##0\)"/>
    <numFmt numFmtId="186" formatCode="&quot;$&quot;#,##0.00&quot;E&quot;;[Red]\(&quot;$&quot;#,##0.00\)&quot;E&quot;"/>
    <numFmt numFmtId="187" formatCode="_([$€-2]* #,##0.00_);_([$€-2]* \(#,##0.00\);_([$€-2]* &quot;-&quot;??_)"/>
    <numFmt numFmtId="188" formatCode="#,##0.00;\(#,##0.00\)"/>
    <numFmt numFmtId="189" formatCode=".%\,\(0.0%%;\t"/>
    <numFmt numFmtId="190" formatCode="#,##0.0_);[Red]\(#,##0.0\)"/>
    <numFmt numFmtId="191" formatCode="0.0%_);[Red]\(0.0%\)"/>
    <numFmt numFmtId="192" formatCode="0.00_);\(0.00\);0.00_)"/>
    <numFmt numFmtId="193" formatCode="0.0%"/>
    <numFmt numFmtId="194" formatCode="#,##0\x"/>
    <numFmt numFmtId="195" formatCode="&quot;TKR&quot;\ 0"/>
    <numFmt numFmtId="196" formatCode=".%\,\(0.%%;\t"/>
    <numFmt numFmtId="197" formatCode="&quot;$&quot;#,###.0\ \ "/>
    <numFmt numFmtId="198" formatCode="#,##0.00\x_);[Red]\(#,##0.00\x\)"/>
    <numFmt numFmtId="199" formatCode="#,##0.0_);\(#,##0.0\)"/>
    <numFmt numFmtId="200" formatCode="#,##0.000_);\(#,##0.000\)"/>
    <numFmt numFmtId="201" formatCode="#,##0.00\x_);[Red]\(#,##0.00\x\);&quot;--  &quot;"/>
    <numFmt numFmtId="202" formatCode="_(* #,##0.0_);_(* \(#,##0.0\);_(* &quot;-&quot;??_);_(@_)"/>
    <numFmt numFmtId="203" formatCode="0.0\x_);[Red]\(0.0\x\)"/>
    <numFmt numFmtId="204" formatCode="0.0\ "/>
    <numFmt numFmtId="205" formatCode="&quot;$&quot;#,##0.0;\(&quot;$&quot;#,##0.00\)"/>
    <numFmt numFmtId="206" formatCode="#,##0.00%_);\(#,##0.00%\)"/>
    <numFmt numFmtId="207" formatCode="0.00\%;\-0.00\%;0.00\%"/>
    <numFmt numFmtId="208" formatCode="0.0%\ ;\(0.0%\)"/>
    <numFmt numFmtId="209" formatCode="_(&quot;$&quot;* #,##0_);_(&quot;$&quot;* \(#,##0\);_(&quot;$&quot;* &quot;-&quot;??_);_(@_)"/>
    <numFmt numFmtId="210" formatCode="&quot;$&quot;0.00\ "/>
    <numFmt numFmtId="211" formatCode="0.0\ \ \ \ \ "/>
    <numFmt numFmtId="212" formatCode="0.00\x;\-0.00\x;0.00\x"/>
    <numFmt numFmtId="213" formatCode="&quot;$&quot;#,##0.000_);\(&quot;$&quot;#,##0.000\)"/>
    <numFmt numFmtId="214" formatCode="#,##0.0_);\(#,##0.0\);_(* &quot;-&quot;_)"/>
    <numFmt numFmtId="215" formatCode="_(&quot;$&quot;* #,##0.00_);_(&quot;$&quot;* \(#,##0.00\);_(* &quot;-&quot;_);_(@_)"/>
    <numFmt numFmtId="216" formatCode="0.00%_);[Red]\(0.00%\)"/>
    <numFmt numFmtId="217" formatCode="#,##0.0\x_);\(#,##0.0\x\)"/>
    <numFmt numFmtId="218" formatCode="#,##0.00\x_);\(#,##0.00\x\)"/>
    <numFmt numFmtId="219" formatCode="###0&quot;E&quot;_)"/>
    <numFmt numFmtId="220" formatCode="0\A;[Red]0\A"/>
    <numFmt numFmtId="221" formatCode="0\P_);\(0\P\)"/>
    <numFmt numFmtId="222" formatCode="m/d/yy;@"/>
    <numFmt numFmtId="223" formatCode="[&gt;1]&quot;10Q: &quot;0&quot; qtrs&quot;;&quot;10Q: &quot;0&quot; qtr&quot;"/>
    <numFmt numFmtId="224" formatCode="&quot;$&quot;#,##0.00_);[Red]\(&quot;$&quot;#,##0.00\);&quot;--  &quot;;_(@_)"/>
    <numFmt numFmtId="225" formatCode="mmm\-dd\-yy"/>
    <numFmt numFmtId="226" formatCode="mmm\-dd\-yyyy"/>
    <numFmt numFmtId="227" formatCode="#,##0.0_);[Red]\(#,##0.0\);&quot;--  &quot;"/>
    <numFmt numFmtId="228" formatCode="0.00\x"/>
    <numFmt numFmtId="229" formatCode="0.0&quot; years&quot;"/>
    <numFmt numFmtId="230" formatCode="_(#,##0.0%_);\(#,##0.0%\);_(&quot;–&quot;_)_%;_(@_)_%"/>
    <numFmt numFmtId="231" formatCode="_(#,##0_)_%;\(#,##0\)_%;_(&quot;–&quot;_)_%;_(@_)_%"/>
  </numFmts>
  <fonts count="8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GillSans"/>
    </font>
    <font>
      <sz val="8"/>
      <color indexed="49"/>
      <name val="Times New Roman"/>
      <family val="1"/>
    </font>
    <font>
      <sz val="10"/>
      <name val="Arial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8"/>
      <name val="Arial"/>
      <family val="2"/>
    </font>
    <font>
      <sz val="10"/>
      <name val="Helvetica"/>
      <family val="2"/>
    </font>
    <font>
      <b/>
      <sz val="8"/>
      <name val="Arial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b/>
      <sz val="10"/>
      <name val="Arial"/>
      <family val="2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color indexed="12"/>
      <name val="Arial"/>
      <family val="2"/>
    </font>
    <font>
      <sz val="1"/>
      <color indexed="9"/>
      <name val="Symbol"/>
      <family val="1"/>
      <charset val="2"/>
    </font>
    <font>
      <sz val="11"/>
      <color indexed="8"/>
      <name val="Calibri"/>
      <family val="2"/>
      <scheme val="minor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sz val="8"/>
      <color indexed="10"/>
      <name val="Arial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3"/>
      <color indexed="8"/>
      <name val="Verdana"/>
      <family val="2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CE5CD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10">
    <xf numFmtId="0" fontId="0" fillId="0" borderId="0"/>
    <xf numFmtId="0" fontId="3" fillId="0" borderId="0"/>
    <xf numFmtId="165" fontId="3" fillId="0" borderId="0">
      <alignment horizontal="right"/>
    </xf>
    <xf numFmtId="166" fontId="3" fillId="2" borderId="0"/>
    <xf numFmtId="167" fontId="3" fillId="2" borderId="0"/>
    <xf numFmtId="168" fontId="3" fillId="2" borderId="0"/>
    <xf numFmtId="169" fontId="3" fillId="2" borderId="0">
      <alignment horizontal="right"/>
    </xf>
    <xf numFmtId="170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1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6" fillId="0" borderId="0"/>
    <xf numFmtId="0" fontId="9" fillId="4" borderId="0" applyNumberFormat="0" applyBorder="0" applyAlignment="0" applyProtection="0"/>
    <xf numFmtId="172" fontId="10" fillId="0" borderId="0" applyFont="0" applyFill="0" applyBorder="0" applyAlignment="0" applyProtection="0"/>
    <xf numFmtId="38" fontId="10" fillId="0" borderId="0" applyFill="0" applyBorder="0" applyAlignment="0" applyProtection="0">
      <protection locked="0"/>
    </xf>
    <xf numFmtId="0" fontId="11" fillId="0" borderId="0"/>
    <xf numFmtId="37" fontId="12" fillId="0" borderId="0">
      <alignment horizontal="centerContinuous"/>
    </xf>
    <xf numFmtId="0" fontId="13" fillId="21" borderId="2" applyNumberFormat="0" applyAlignment="0" applyProtection="0"/>
    <xf numFmtId="172" fontId="10" fillId="0" borderId="0" applyFont="0" applyFill="0" applyBorder="0" applyAlignment="0" applyProtection="0">
      <protection locked="0"/>
    </xf>
    <xf numFmtId="172" fontId="10" fillId="0" borderId="3" applyFont="0" applyFill="0" applyAlignment="0" applyProtection="0"/>
    <xf numFmtId="0" fontId="14" fillId="22" borderId="4" applyNumberFormat="0" applyAlignment="0" applyProtection="0"/>
    <xf numFmtId="0" fontId="5" fillId="0" borderId="0">
      <alignment horizontal="center" wrapText="1"/>
      <protection hidden="1"/>
    </xf>
    <xf numFmtId="0" fontId="15" fillId="0" borderId="5" applyNumberFormat="0" applyFill="0" applyBorder="0" applyProtection="0">
      <alignment horizontal="left" vertical="center"/>
    </xf>
    <xf numFmtId="0" fontId="15" fillId="0" borderId="5" applyNumberFormat="0" applyFill="0" applyBorder="0" applyProtection="0">
      <alignment horizontal="right" vertical="center"/>
    </xf>
    <xf numFmtId="43" fontId="5" fillId="0" borderId="0" applyFont="0" applyFill="0" applyBorder="0" applyAlignment="0" applyProtection="0"/>
    <xf numFmtId="37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0" fontId="17" fillId="23" borderId="0">
      <alignment horizontal="center" vertical="center" wrapText="1"/>
    </xf>
    <xf numFmtId="173" fontId="5" fillId="0" borderId="0" applyFill="0" applyBorder="0">
      <alignment horizontal="right"/>
      <protection locked="0"/>
    </xf>
    <xf numFmtId="0" fontId="18" fillId="0" borderId="0" applyFont="0" applyFill="0" applyBorder="0" applyAlignment="0"/>
    <xf numFmtId="7" fontId="19" fillId="0" borderId="0" applyFont="0" applyFill="0" applyBorder="0" applyAlignment="0" applyProtection="0"/>
    <xf numFmtId="5" fontId="16" fillId="0" borderId="0" applyFont="0" applyFill="0" applyBorder="0" applyAlignment="0" applyProtection="0"/>
    <xf numFmtId="174" fontId="6" fillId="0" borderId="0" applyFill="0" applyBorder="0" applyProtection="0">
      <alignment horizontal="right"/>
    </xf>
    <xf numFmtId="175" fontId="3" fillId="2" borderId="6">
      <alignment horizontal="right"/>
    </xf>
    <xf numFmtId="176" fontId="3" fillId="2" borderId="6">
      <alignment horizontal="right"/>
    </xf>
    <xf numFmtId="175" fontId="3" fillId="2" borderId="6">
      <alignment horizontal="right"/>
    </xf>
    <xf numFmtId="15" fontId="20" fillId="0" borderId="0" applyFill="0" applyBorder="0" applyAlignment="0"/>
    <xf numFmtId="177" fontId="18" fillId="24" borderId="0" applyFont="0" applyFill="0" applyBorder="0" applyAlignment="0" applyProtection="0"/>
    <xf numFmtId="178" fontId="20" fillId="0" borderId="5"/>
    <xf numFmtId="14" fontId="21" fillId="0" borderId="0" applyFont="0" applyFill="0" applyBorder="0" applyAlignment="0" applyProtection="0">
      <alignment horizontal="center"/>
    </xf>
    <xf numFmtId="179" fontId="21" fillId="0" borderId="0" applyFont="0" applyFill="0" applyBorder="0" applyAlignment="0" applyProtection="0">
      <alignment horizontal="center"/>
    </xf>
    <xf numFmtId="180" fontId="6" fillId="0" borderId="0" applyFont="0" applyFill="0" applyBorder="0" applyAlignment="0" applyProtection="0"/>
    <xf numFmtId="8" fontId="10" fillId="0" borderId="0" applyFont="0" applyFill="0" applyBorder="0" applyAlignment="0" applyProtection="0"/>
    <xf numFmtId="6" fontId="10" fillId="0" borderId="0" applyFont="0" applyFill="0" applyBorder="0" applyAlignment="0" applyProtection="0">
      <alignment horizontal="right"/>
    </xf>
    <xf numFmtId="6" fontId="10" fillId="0" borderId="0" applyFont="0" applyFill="0" applyBorder="0" applyAlignment="0" applyProtection="0"/>
    <xf numFmtId="39" fontId="3" fillId="25" borderId="0"/>
    <xf numFmtId="7" fontId="3" fillId="25" borderId="0" applyBorder="0"/>
    <xf numFmtId="181" fontId="3" fillId="25" borderId="0"/>
    <xf numFmtId="182" fontId="3" fillId="0" borderId="0"/>
    <xf numFmtId="183" fontId="3" fillId="25" borderId="0"/>
    <xf numFmtId="184" fontId="11" fillId="0" borderId="0" applyFont="0" applyFill="0" applyBorder="0" applyProtection="0">
      <alignment horizontal="left"/>
      <protection locked="0"/>
    </xf>
    <xf numFmtId="185" fontId="3" fillId="0" borderId="0"/>
    <xf numFmtId="186" fontId="11" fillId="0" borderId="0" applyFont="0" applyFill="0" applyBorder="0" applyProtection="0">
      <alignment horizontal="left"/>
      <protection locked="0"/>
    </xf>
    <xf numFmtId="187" fontId="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0" fontId="3" fillId="0" borderId="7"/>
    <xf numFmtId="188" fontId="3" fillId="2" borderId="6">
      <alignment horizontal="right"/>
    </xf>
    <xf numFmtId="189" fontId="3" fillId="2" borderId="6">
      <alignment horizontal="right"/>
    </xf>
    <xf numFmtId="188" fontId="3" fillId="2" borderId="6">
      <alignment horizontal="right"/>
    </xf>
    <xf numFmtId="190" fontId="10" fillId="0" borderId="0" applyFill="0" applyBorder="0" applyAlignment="0" applyProtection="0">
      <protection locked="0"/>
    </xf>
    <xf numFmtId="0" fontId="23" fillId="5" borderId="0" applyNumberFormat="0" applyBorder="0" applyAlignment="0" applyProtection="0"/>
    <xf numFmtId="191" fontId="24" fillId="0" borderId="0" applyFill="0" applyBorder="0" applyAlignment="0" applyProtection="0"/>
    <xf numFmtId="170" fontId="25" fillId="0" borderId="0" applyAlignment="0">
      <alignment horizontal="left"/>
      <protection locked="0"/>
    </xf>
    <xf numFmtId="190" fontId="6" fillId="26" borderId="8" applyNumberFormat="0" applyFont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190" fontId="29" fillId="0" borderId="0" applyNumberFormat="0" applyFill="0" applyBorder="0" applyAlignment="0" applyProtection="0"/>
    <xf numFmtId="0" fontId="30" fillId="0" borderId="0"/>
    <xf numFmtId="172" fontId="10" fillId="0" borderId="0" applyFont="0" applyFill="0" applyBorder="0" applyAlignment="0" applyProtection="0"/>
    <xf numFmtId="38" fontId="10" fillId="0" borderId="0" applyFill="0" applyBorder="0" applyAlignment="0" applyProtection="0">
      <alignment horizontal="right"/>
      <protection locked="0"/>
    </xf>
    <xf numFmtId="0" fontId="31" fillId="8" borderId="2" applyNumberFormat="0" applyAlignment="0" applyProtection="0"/>
    <xf numFmtId="0" fontId="18" fillId="24" borderId="0" applyFont="0" applyBorder="0" applyAlignment="0">
      <protection locked="0"/>
    </xf>
    <xf numFmtId="0" fontId="5" fillId="0" borderId="0" applyFill="0" applyBorder="0">
      <alignment horizontal="right"/>
      <protection locked="0"/>
    </xf>
    <xf numFmtId="17" fontId="32" fillId="27" borderId="0"/>
    <xf numFmtId="192" fontId="5" fillId="0" borderId="0" applyFill="0" applyBorder="0">
      <alignment horizontal="right"/>
      <protection locked="0"/>
    </xf>
    <xf numFmtId="0" fontId="33" fillId="28" borderId="12">
      <alignment horizontal="left" vertical="center" wrapText="1"/>
    </xf>
    <xf numFmtId="0" fontId="34" fillId="0" borderId="13" applyNumberFormat="0" applyFill="0" applyAlignment="0" applyProtection="0"/>
    <xf numFmtId="193" fontId="10" fillId="0" borderId="0" applyFont="0" applyFill="0" applyBorder="0" applyAlignment="0" applyProtection="0">
      <alignment horizontal="right"/>
    </xf>
    <xf numFmtId="194" fontId="3" fillId="0" borderId="0">
      <alignment horizontal="right"/>
    </xf>
    <xf numFmtId="195" fontId="3" fillId="25" borderId="0">
      <alignment horizontal="right"/>
    </xf>
    <xf numFmtId="196" fontId="3" fillId="0" borderId="0">
      <alignment horizontal="right"/>
    </xf>
    <xf numFmtId="194" fontId="3" fillId="0" borderId="0">
      <alignment horizontal="right"/>
    </xf>
    <xf numFmtId="170" fontId="35" fillId="0" borderId="0" applyFill="0" applyBorder="0" applyAlignment="0" applyProtection="0">
      <alignment horizontal="right"/>
    </xf>
    <xf numFmtId="170" fontId="35" fillId="0" borderId="0" applyFill="0" applyBorder="0" applyAlignment="0" applyProtection="0"/>
    <xf numFmtId="197" fontId="3" fillId="2" borderId="6">
      <alignment horizontal="right"/>
    </xf>
    <xf numFmtId="198" fontId="10" fillId="0" borderId="0" applyFont="0" applyFill="0" applyBorder="0" applyAlignment="0" applyProtection="0"/>
    <xf numFmtId="0" fontId="16" fillId="2" borderId="0" applyFont="0" applyBorder="0" applyAlignment="0" applyProtection="0">
      <alignment horizontal="right"/>
      <protection hidden="1"/>
    </xf>
    <xf numFmtId="0" fontId="36" fillId="26" borderId="0" applyNumberFormat="0" applyBorder="0" applyAlignment="0" applyProtection="0"/>
    <xf numFmtId="37" fontId="19" fillId="0" borderId="0" applyFont="0" applyFill="0" applyBorder="0" applyAlignment="0" applyProtection="0"/>
    <xf numFmtId="19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/>
    <xf numFmtId="0" fontId="20" fillId="0" borderId="0" applyNumberFormat="0" applyFill="0" applyBorder="0" applyAlignment="0" applyProtection="0"/>
    <xf numFmtId="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7" fillId="29" borderId="14" applyNumberFormat="0" applyFont="0" applyAlignment="0" applyProtection="0"/>
    <xf numFmtId="0" fontId="16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7" fillId="21" borderId="15" applyNumberFormat="0" applyAlignment="0" applyProtection="0"/>
    <xf numFmtId="203" fontId="10" fillId="0" borderId="0" applyFont="0" applyFill="0" applyBorder="0" applyAlignment="0" applyProtection="0">
      <alignment horizontal="right"/>
    </xf>
    <xf numFmtId="0" fontId="38" fillId="0" borderId="0" applyNumberFormat="0" applyFill="0" applyBorder="0" applyAlignment="0" applyProtection="0"/>
    <xf numFmtId="0" fontId="18" fillId="0" borderId="0"/>
    <xf numFmtId="204" fontId="3" fillId="25" borderId="0"/>
    <xf numFmtId="9" fontId="10" fillId="0" borderId="0" applyFont="0" applyFill="0" applyBorder="0" applyAlignment="0" applyProtection="0">
      <alignment horizontal="right"/>
    </xf>
    <xf numFmtId="205" fontId="3" fillId="0" borderId="0"/>
    <xf numFmtId="0" fontId="5" fillId="0" borderId="0" applyFont="0" applyFill="0" applyBorder="0" applyAlignment="0"/>
    <xf numFmtId="16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ill="0" applyBorder="0">
      <alignment horizontal="right"/>
      <protection locked="0"/>
    </xf>
    <xf numFmtId="191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172" fontId="10" fillId="0" borderId="0" applyFont="0" applyFill="0" applyBorder="0" applyAlignment="0" applyProtection="0">
      <protection locked="0"/>
    </xf>
    <xf numFmtId="190" fontId="10" fillId="0" borderId="0" applyFill="0" applyBorder="0" applyAlignment="0" applyProtection="0"/>
    <xf numFmtId="38" fontId="10" fillId="0" borderId="0" applyFont="0" applyFill="0" applyBorder="0" applyAlignment="0" applyProtection="0"/>
    <xf numFmtId="168" fontId="3" fillId="2" borderId="16">
      <alignment horizontal="right"/>
    </xf>
    <xf numFmtId="208" fontId="39" fillId="2" borderId="0"/>
    <xf numFmtId="209" fontId="3" fillId="2" borderId="0"/>
    <xf numFmtId="0" fontId="40" fillId="0" borderId="0">
      <alignment horizontal="center"/>
    </xf>
    <xf numFmtId="0" fontId="3" fillId="0" borderId="5">
      <alignment horizontal="centerContinuous"/>
    </xf>
    <xf numFmtId="210" fontId="3" fillId="2" borderId="0">
      <alignment horizontal="right"/>
    </xf>
    <xf numFmtId="211" fontId="3" fillId="2" borderId="6">
      <alignment horizontal="right"/>
    </xf>
    <xf numFmtId="212" fontId="5" fillId="0" borderId="0">
      <alignment horizontal="right"/>
      <protection locked="0"/>
    </xf>
    <xf numFmtId="190" fontId="21" fillId="0" borderId="0" applyFont="0" applyFill="0" applyBorder="0" applyAlignment="0" applyProtection="0"/>
    <xf numFmtId="0" fontId="41" fillId="0" borderId="0" applyNumberFormat="0" applyFill="0" applyBorder="0" applyProtection="0">
      <alignment horizontal="right" vertical="center"/>
    </xf>
    <xf numFmtId="0" fontId="42" fillId="23" borderId="8">
      <alignment horizontal="center" vertical="center" wrapText="1"/>
      <protection hidden="1"/>
    </xf>
    <xf numFmtId="172" fontId="10" fillId="0" borderId="0" applyFill="0" applyBorder="0" applyAlignment="0" applyProtection="0">
      <protection locked="0"/>
    </xf>
    <xf numFmtId="213" fontId="21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0" fontId="43" fillId="0" borderId="17" applyNumberFormat="0" applyFill="0" applyProtection="0">
      <alignment horizontal="left" vertical="top" wrapText="1"/>
    </xf>
    <xf numFmtId="0" fontId="30" fillId="0" borderId="0" applyNumberFormat="0" applyFill="0" applyBorder="0" applyProtection="0">
      <alignment horizontal="left" vertical="top" wrapText="1"/>
    </xf>
    <xf numFmtId="0" fontId="44" fillId="0" borderId="0" applyNumberFormat="0" applyFill="0" applyProtection="0">
      <alignment horizontal="left" vertical="top" wrapText="1"/>
    </xf>
    <xf numFmtId="0" fontId="45" fillId="0" borderId="0" applyNumberFormat="0" applyFill="0" applyBorder="0" applyProtection="0"/>
    <xf numFmtId="0" fontId="46" fillId="30" borderId="0" applyNumberFormat="0" applyBorder="0" applyProtection="0"/>
    <xf numFmtId="0" fontId="47" fillId="0" borderId="0" applyNumberFormat="0" applyFill="0" applyBorder="0" applyProtection="0">
      <alignment vertical="top"/>
    </xf>
    <xf numFmtId="214" fontId="48" fillId="0" borderId="0" applyFill="0" applyBorder="0" applyProtection="0">
      <alignment horizontal="right" wrapText="1"/>
    </xf>
    <xf numFmtId="215" fontId="48" fillId="0" borderId="0" applyFill="0" applyBorder="0" applyProtection="0">
      <alignment horizontal="right"/>
    </xf>
    <xf numFmtId="4" fontId="18" fillId="0" borderId="0" applyFill="0" applyBorder="0" applyProtection="0">
      <alignment horizontal="right"/>
    </xf>
    <xf numFmtId="183" fontId="49" fillId="0" borderId="0" applyFill="0" applyBorder="0" applyAlignment="0" applyProtection="0"/>
    <xf numFmtId="216" fontId="50" fillId="0" borderId="0" applyFill="0" applyBorder="0" applyAlignment="0" applyProtection="0">
      <alignment horizontal="left"/>
      <protection locked="0"/>
    </xf>
    <xf numFmtId="216" fontId="50" fillId="0" borderId="0" applyFill="0" applyBorder="0" applyAlignment="0" applyProtection="0"/>
    <xf numFmtId="216" fontId="51" fillId="0" borderId="0" applyFill="0" applyBorder="0" applyAlignment="0" applyProtection="0">
      <alignment horizontal="left"/>
      <protection locked="0"/>
    </xf>
    <xf numFmtId="216" fontId="51" fillId="0" borderId="0" applyFill="0" applyBorder="0" applyAlignment="0" applyProtection="0">
      <protection locked="0"/>
    </xf>
    <xf numFmtId="190" fontId="10" fillId="0" borderId="0" applyFill="0" applyBorder="0" applyAlignment="0" applyProtection="0">
      <protection locked="0"/>
    </xf>
    <xf numFmtId="190" fontId="49" fillId="0" borderId="0" applyFill="0" applyBorder="0" applyAlignment="0" applyProtection="0"/>
    <xf numFmtId="49" fontId="52" fillId="0" borderId="0"/>
    <xf numFmtId="217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1" borderId="0" applyNumberFormat="0" applyBorder="0" applyProtection="0">
      <alignment horizontal="left" vertical="center"/>
    </xf>
    <xf numFmtId="190" fontId="55" fillId="0" borderId="0" applyNumberFormat="0" applyFill="0" applyBorder="0" applyAlignment="0" applyProtection="0"/>
    <xf numFmtId="0" fontId="5" fillId="0" borderId="0" applyBorder="0"/>
    <xf numFmtId="38" fontId="56" fillId="0" borderId="0" applyFill="0" applyBorder="0" applyAlignment="0" applyProtection="0">
      <alignment horizontal="left"/>
    </xf>
    <xf numFmtId="0" fontId="57" fillId="0" borderId="0"/>
    <xf numFmtId="0" fontId="58" fillId="0" borderId="18" applyNumberFormat="0" applyFill="0" applyAlignment="0" applyProtection="0"/>
    <xf numFmtId="0" fontId="59" fillId="0" borderId="0" applyNumberFormat="0" applyFill="0" applyBorder="0" applyAlignment="0" applyProtection="0"/>
    <xf numFmtId="1" fontId="10" fillId="0" borderId="0" applyFont="0" applyFill="0" applyBorder="0" applyAlignment="0" applyProtection="0"/>
    <xf numFmtId="219" fontId="19" fillId="0" borderId="0" applyFont="0" applyFill="0" applyBorder="0" applyAlignment="0" applyProtection="0"/>
    <xf numFmtId="223" fontId="20" fillId="0" borderId="0" applyFill="0" applyBorder="0" applyAlignment="0" applyProtection="0">
      <alignment horizontal="right"/>
    </xf>
    <xf numFmtId="0" fontId="67" fillId="0" borderId="0" applyAlignment="0"/>
    <xf numFmtId="0" fontId="68" fillId="0" borderId="0" applyAlignment="0"/>
    <xf numFmtId="0" fontId="46" fillId="31" borderId="0" applyAlignment="0"/>
    <xf numFmtId="224" fontId="18" fillId="0" borderId="20" applyFont="0" applyFill="0" applyBorder="0" applyAlignment="0" applyProtection="0"/>
    <xf numFmtId="225" fontId="20" fillId="0" borderId="0" applyFont="0" applyFill="0" applyBorder="0" applyAlignment="0" applyProtection="0"/>
    <xf numFmtId="226" fontId="18" fillId="0" borderId="0" applyFont="0" applyFill="0" applyBorder="0" applyAlignment="0" applyProtection="0"/>
    <xf numFmtId="177" fontId="69" fillId="24" borderId="21" applyFont="0" applyFill="0" applyBorder="0" applyAlignment="0" applyProtection="0"/>
    <xf numFmtId="0" fontId="70" fillId="0" borderId="0" applyAlignment="0"/>
    <xf numFmtId="14" fontId="20" fillId="0" borderId="5" applyFont="0" applyFill="0" applyBorder="0" applyAlignment="0" applyProtection="0"/>
    <xf numFmtId="0" fontId="71" fillId="32" borderId="22"/>
    <xf numFmtId="0" fontId="72" fillId="33" borderId="0" applyAlignment="0"/>
    <xf numFmtId="0" fontId="73" fillId="34" borderId="0" applyAlignment="0"/>
    <xf numFmtId="0" fontId="74" fillId="0" borderId="0" applyAlignment="0"/>
    <xf numFmtId="227" fontId="18" fillId="0" borderId="0" applyFont="0" applyFill="0" applyBorder="0" applyAlignment="0" applyProtection="0">
      <alignment horizontal="right"/>
    </xf>
    <xf numFmtId="190" fontId="75" fillId="0" borderId="0" applyNumberFormat="0" applyFill="0" applyBorder="0" applyAlignment="0" applyProtection="0">
      <alignment horizontal="left"/>
    </xf>
    <xf numFmtId="0" fontId="76" fillId="35" borderId="0" applyAlignment="0"/>
    <xf numFmtId="0" fontId="77" fillId="0" borderId="0" applyAlignment="0"/>
    <xf numFmtId="0" fontId="78" fillId="0" borderId="0" applyAlignment="0"/>
    <xf numFmtId="0" fontId="79" fillId="0" borderId="0" applyAlignment="0"/>
    <xf numFmtId="0" fontId="80" fillId="0" borderId="0" applyAlignment="0"/>
    <xf numFmtId="0" fontId="47" fillId="0" borderId="0" applyAlignment="0"/>
    <xf numFmtId="228" fontId="18" fillId="0" borderId="0" applyFont="0" applyFill="0" applyBorder="0" applyAlignment="0" applyProtection="0">
      <alignment horizontal="right"/>
    </xf>
    <xf numFmtId="0" fontId="81" fillId="0" borderId="0" applyAlignment="0"/>
    <xf numFmtId="229" fontId="18" fillId="0" borderId="0" applyFont="0" applyFill="0" applyBorder="0" applyAlignment="0"/>
    <xf numFmtId="9" fontId="82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4" fontId="62" fillId="0" borderId="0" xfId="0" applyNumberFormat="1" applyFont="1" applyAlignment="1">
      <alignment horizontal="left"/>
    </xf>
    <xf numFmtId="37" fontId="1" fillId="0" borderId="0" xfId="0" applyNumberFormat="1" applyFont="1"/>
    <xf numFmtId="164" fontId="0" fillId="0" borderId="0" xfId="0" applyNumberFormat="1"/>
    <xf numFmtId="0" fontId="63" fillId="0" borderId="1" xfId="0" applyFont="1" applyBorder="1"/>
    <xf numFmtId="0" fontId="0" fillId="0" borderId="1" xfId="0" applyBorder="1"/>
    <xf numFmtId="220" fontId="63" fillId="0" borderId="0" xfId="0" applyNumberFormat="1" applyFont="1"/>
    <xf numFmtId="221" fontId="63" fillId="0" borderId="0" xfId="0" applyNumberFormat="1" applyFont="1"/>
    <xf numFmtId="0" fontId="64" fillId="0" borderId="1" xfId="0" applyFont="1" applyBorder="1"/>
    <xf numFmtId="0" fontId="64" fillId="0" borderId="0" xfId="0" applyFont="1"/>
    <xf numFmtId="222" fontId="65" fillId="0" borderId="0" xfId="0" applyNumberFormat="1" applyFont="1"/>
    <xf numFmtId="222" fontId="64" fillId="0" borderId="0" xfId="0" applyNumberFormat="1" applyFont="1"/>
    <xf numFmtId="37" fontId="2" fillId="0" borderId="0" xfId="0" applyNumberFormat="1" applyFont="1"/>
    <xf numFmtId="0" fontId="63" fillId="0" borderId="0" xfId="0" applyFont="1"/>
    <xf numFmtId="37" fontId="60" fillId="0" borderId="0" xfId="0" applyNumberFormat="1" applyFont="1"/>
    <xf numFmtId="37" fontId="0" fillId="0" borderId="0" xfId="0" applyNumberFormat="1"/>
    <xf numFmtId="0" fontId="66" fillId="0" borderId="0" xfId="0" applyFont="1"/>
    <xf numFmtId="0" fontId="0" fillId="0" borderId="0" xfId="0" applyAlignment="1">
      <alignment horizontal="left" indent="1"/>
    </xf>
    <xf numFmtId="164" fontId="2" fillId="0" borderId="0" xfId="0" applyNumberFormat="1" applyFont="1"/>
    <xf numFmtId="164" fontId="1" fillId="0" borderId="0" xfId="0" applyNumberFormat="1" applyFont="1"/>
    <xf numFmtId="0" fontId="6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37" fontId="2" fillId="0" borderId="0" xfId="0" applyNumberFormat="1" applyFont="1" applyAlignment="1">
      <alignment horizontal="left" indent="1"/>
    </xf>
    <xf numFmtId="0" fontId="0" fillId="0" borderId="19" xfId="0" applyBorder="1"/>
    <xf numFmtId="9" fontId="64" fillId="0" borderId="0" xfId="0" applyNumberFormat="1" applyFont="1"/>
    <xf numFmtId="193" fontId="64" fillId="0" borderId="0" xfId="0" applyNumberFormat="1" applyFont="1"/>
    <xf numFmtId="0" fontId="0" fillId="0" borderId="0" xfId="0" quotePrefix="1"/>
    <xf numFmtId="222" fontId="64" fillId="0" borderId="5" xfId="0" applyNumberFormat="1" applyFont="1" applyBorder="1"/>
    <xf numFmtId="230" fontId="0" fillId="0" borderId="0" xfId="0" applyNumberFormat="1"/>
    <xf numFmtId="0" fontId="63" fillId="0" borderId="19" xfId="0" applyFont="1" applyBorder="1"/>
    <xf numFmtId="0" fontId="1" fillId="0" borderId="0" xfId="0" applyFont="1" applyAlignment="1">
      <alignment horizontal="center"/>
    </xf>
    <xf numFmtId="231" fontId="1" fillId="36" borderId="23" xfId="0" applyNumberFormat="1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22" fontId="1" fillId="0" borderId="0" xfId="0" applyNumberFormat="1" applyFont="1" applyAlignment="1">
      <alignment horizontal="center"/>
    </xf>
    <xf numFmtId="0" fontId="63" fillId="0" borderId="1" xfId="0" applyFont="1" applyBorder="1" applyAlignment="1">
      <alignment horizontal="left"/>
    </xf>
    <xf numFmtId="200" fontId="1" fillId="0" borderId="0" xfId="0" applyNumberFormat="1" applyFont="1" applyAlignment="1">
      <alignment horizontal="center"/>
    </xf>
    <xf numFmtId="164" fontId="62" fillId="0" borderId="0" xfId="0" applyNumberFormat="1" applyFont="1"/>
    <xf numFmtId="164" fontId="65" fillId="0" borderId="0" xfId="0" applyNumberFormat="1" applyFont="1"/>
    <xf numFmtId="9" fontId="0" fillId="0" borderId="0" xfId="209" applyFont="1"/>
    <xf numFmtId="10" fontId="0" fillId="0" borderId="0" xfId="0" applyNumberFormat="1"/>
    <xf numFmtId="222" fontId="0" fillId="0" borderId="0" xfId="0" applyNumberFormat="1"/>
    <xf numFmtId="193" fontId="0" fillId="0" borderId="0" xfId="209" applyNumberFormat="1" applyFont="1"/>
    <xf numFmtId="193" fontId="63" fillId="0" borderId="0" xfId="0" applyNumberFormat="1" applyFont="1"/>
  </cellXfs>
  <cellStyles count="210">
    <cellStyle name="$" xfId="1" xr:uid="{00000000-0005-0000-0000-000000000000}"/>
    <cellStyle name="$m" xfId="2" xr:uid="{00000000-0005-0000-0000-000001000000}"/>
    <cellStyle name="$q" xfId="3" xr:uid="{00000000-0005-0000-0000-000002000000}"/>
    <cellStyle name="$q*" xfId="4" xr:uid="{00000000-0005-0000-0000-000003000000}"/>
    <cellStyle name="$qA" xfId="5" xr:uid="{00000000-0005-0000-0000-000004000000}"/>
    <cellStyle name="$qRange" xfId="6" xr:uid="{00000000-0005-0000-0000-000005000000}"/>
    <cellStyle name="%" xfId="7" xr:uid="{00000000-0005-0000-0000-000006000000}"/>
    <cellStyle name="******************************************" xfId="8" xr:uid="{00000000-0005-0000-0000-000007000000}"/>
    <cellStyle name="10Q" xfId="184" xr:uid="{00000000-0005-0000-0000-000008000000}"/>
    <cellStyle name="2 Decimal Places_MA Software Comps - List_AccretionDilution OTGS v16.xls Chart 1" xfId="9" xr:uid="{00000000-0005-0000-0000-000009000000}"/>
    <cellStyle name="20% - Accent1 2" xfId="10" xr:uid="{00000000-0005-0000-0000-00000A000000}"/>
    <cellStyle name="20% - Accent2 2" xfId="11" xr:uid="{00000000-0005-0000-0000-00000B000000}"/>
    <cellStyle name="20% - Accent3 2" xfId="12" xr:uid="{00000000-0005-0000-0000-00000C000000}"/>
    <cellStyle name="20% - Accent4 2" xfId="13" xr:uid="{00000000-0005-0000-0000-00000D000000}"/>
    <cellStyle name="20% - Accent5 2" xfId="14" xr:uid="{00000000-0005-0000-0000-00000E000000}"/>
    <cellStyle name="20% - Accent6 2" xfId="15" xr:uid="{00000000-0005-0000-0000-00000F000000}"/>
    <cellStyle name="40% - Accent1 2" xfId="16" xr:uid="{00000000-0005-0000-0000-000010000000}"/>
    <cellStyle name="40% - Accent2 2" xfId="17" xr:uid="{00000000-0005-0000-0000-000011000000}"/>
    <cellStyle name="40% - Accent3 2" xfId="18" xr:uid="{00000000-0005-0000-0000-000012000000}"/>
    <cellStyle name="40% - Accent4 2" xfId="19" xr:uid="{00000000-0005-0000-0000-000013000000}"/>
    <cellStyle name="40% - Accent5 2" xfId="20" xr:uid="{00000000-0005-0000-0000-000014000000}"/>
    <cellStyle name="40% - Accent6 2" xfId="21" xr:uid="{00000000-0005-0000-0000-000015000000}"/>
    <cellStyle name="60% - Accent1 2" xfId="22" xr:uid="{00000000-0005-0000-0000-000016000000}"/>
    <cellStyle name="60% - Accent2 2" xfId="23" xr:uid="{00000000-0005-0000-0000-000017000000}"/>
    <cellStyle name="60% - Accent3 2" xfId="24" xr:uid="{00000000-0005-0000-0000-000018000000}"/>
    <cellStyle name="60% - Accent4 2" xfId="25" xr:uid="{00000000-0005-0000-0000-000019000000}"/>
    <cellStyle name="60% - Accent5 2" xfId="26" xr:uid="{00000000-0005-0000-0000-00001A000000}"/>
    <cellStyle name="60% - Accent6 2" xfId="27" xr:uid="{00000000-0005-0000-0000-00001B000000}"/>
    <cellStyle name="Accent1 2" xfId="28" xr:uid="{00000000-0005-0000-0000-00001C000000}"/>
    <cellStyle name="Accent2 2" xfId="29" xr:uid="{00000000-0005-0000-0000-00001D000000}"/>
    <cellStyle name="Accent3 2" xfId="30" xr:uid="{00000000-0005-0000-0000-00001E000000}"/>
    <cellStyle name="Accent4 2" xfId="31" xr:uid="{00000000-0005-0000-0000-00001F000000}"/>
    <cellStyle name="Accent5 2" xfId="32" xr:uid="{00000000-0005-0000-0000-000020000000}"/>
    <cellStyle name="Accent6 2" xfId="33" xr:uid="{00000000-0005-0000-0000-000021000000}"/>
    <cellStyle name="AFE" xfId="34" xr:uid="{00000000-0005-0000-0000-000022000000}"/>
    <cellStyle name="Bad 2" xfId="35" xr:uid="{00000000-0005-0000-0000-000023000000}"/>
    <cellStyle name="Balance" xfId="36" xr:uid="{00000000-0005-0000-0000-000024000000}"/>
    <cellStyle name="BalanceSheet" xfId="37" xr:uid="{00000000-0005-0000-0000-000025000000}"/>
    <cellStyle name="Body_$Numeric" xfId="38" xr:uid="{00000000-0005-0000-0000-000026000000}"/>
    <cellStyle name="Bold Header" xfId="39" xr:uid="{00000000-0005-0000-0000-000027000000}"/>
    <cellStyle name="Calculation 2" xfId="40" xr:uid="{00000000-0005-0000-0000-000028000000}"/>
    <cellStyle name="CashFlow" xfId="41" xr:uid="{00000000-0005-0000-0000-000029000000}"/>
    <cellStyle name="ChartingText" xfId="185" xr:uid="{00000000-0005-0000-0000-00002A000000}"/>
    <cellStyle name="Check" xfId="42" xr:uid="{00000000-0005-0000-0000-00002B000000}"/>
    <cellStyle name="Check Cell 2" xfId="43" xr:uid="{00000000-0005-0000-0000-00002C000000}"/>
    <cellStyle name="CHPTop" xfId="186" xr:uid="{00000000-0005-0000-0000-00002D000000}"/>
    <cellStyle name="ColHeading" xfId="44" xr:uid="{00000000-0005-0000-0000-00002E000000}"/>
    <cellStyle name="colheadleft" xfId="45" xr:uid="{00000000-0005-0000-0000-00002F000000}"/>
    <cellStyle name="colheadright" xfId="46" xr:uid="{00000000-0005-0000-0000-000030000000}"/>
    <cellStyle name="ColumnHeaderNormal" xfId="187" xr:uid="{00000000-0005-0000-0000-000031000000}"/>
    <cellStyle name="Comma 2" xfId="47" xr:uid="{00000000-0005-0000-0000-000032000000}"/>
    <cellStyle name="Comma0" xfId="48" xr:uid="{00000000-0005-0000-0000-000033000000}"/>
    <cellStyle name="Comma2" xfId="49" xr:uid="{00000000-0005-0000-0000-000034000000}"/>
    <cellStyle name="Company" xfId="50" xr:uid="{00000000-0005-0000-0000-000035000000}"/>
    <cellStyle name="CurRatio" xfId="51" xr:uid="{00000000-0005-0000-0000-000036000000}"/>
    <cellStyle name="Currency--" xfId="188" xr:uid="{00000000-0005-0000-0000-000037000000}"/>
    <cellStyle name="Currency [1]" xfId="52" xr:uid="{00000000-0005-0000-0000-000038000000}"/>
    <cellStyle name="Currency [2]" xfId="53" xr:uid="{00000000-0005-0000-0000-000039000000}"/>
    <cellStyle name="Currency0" xfId="54" xr:uid="{00000000-0005-0000-0000-00003A000000}"/>
    <cellStyle name="Currency2" xfId="55" xr:uid="{00000000-0005-0000-0000-00003B000000}"/>
    <cellStyle name="d_yield" xfId="56" xr:uid="{00000000-0005-0000-0000-00003C000000}"/>
    <cellStyle name="d_yield_CW's MAKER MODEL" xfId="57" xr:uid="{00000000-0005-0000-0000-00003D000000}"/>
    <cellStyle name="d_yield_valuation" xfId="58" xr:uid="{00000000-0005-0000-0000-00003E000000}"/>
    <cellStyle name="Date [d-mmm-yy]" xfId="59" xr:uid="{00000000-0005-0000-0000-00003F000000}"/>
    <cellStyle name="Date [mm-dd-yy]" xfId="189" xr:uid="{00000000-0005-0000-0000-000040000000}"/>
    <cellStyle name="Date [mm-dd-yyyy]" xfId="190" xr:uid="{00000000-0005-0000-0000-000041000000}"/>
    <cellStyle name="Date [mm-d-yyyy]" xfId="191" xr:uid="{00000000-0005-0000-0000-000042000000}"/>
    <cellStyle name="Date [mmm-d-yyyy]" xfId="60" xr:uid="{00000000-0005-0000-0000-000043000000}"/>
    <cellStyle name="Date [mmm-yyyy]" xfId="61" xr:uid="{00000000-0005-0000-0000-000044000000}"/>
    <cellStyle name="Dates" xfId="62" xr:uid="{00000000-0005-0000-0000-000045000000}"/>
    <cellStyle name="DateYear" xfId="63" xr:uid="{00000000-0005-0000-0000-000046000000}"/>
    <cellStyle name="Dezimal_Capital expenditure planning FY 2000" xfId="64" xr:uid="{00000000-0005-0000-0000-000047000000}"/>
    <cellStyle name="Dollar" xfId="65" xr:uid="{00000000-0005-0000-0000-000048000000}"/>
    <cellStyle name="Dollars" xfId="66" xr:uid="{00000000-0005-0000-0000-000049000000}"/>
    <cellStyle name="DollarWhole" xfId="67" xr:uid="{00000000-0005-0000-0000-00004A000000}"/>
    <cellStyle name="eps" xfId="68" xr:uid="{00000000-0005-0000-0000-00004B000000}"/>
    <cellStyle name="eps$" xfId="69" xr:uid="{00000000-0005-0000-0000-00004C000000}"/>
    <cellStyle name="eps$A" xfId="70" xr:uid="{00000000-0005-0000-0000-00004D000000}"/>
    <cellStyle name="eps$E" xfId="71" xr:uid="{00000000-0005-0000-0000-00004E000000}"/>
    <cellStyle name="epsA" xfId="72" xr:uid="{00000000-0005-0000-0000-00004F000000}"/>
    <cellStyle name="EPSActual" xfId="73" xr:uid="{00000000-0005-0000-0000-000050000000}"/>
    <cellStyle name="epsE" xfId="74" xr:uid="{00000000-0005-0000-0000-000051000000}"/>
    <cellStyle name="EPSEstimate" xfId="75" xr:uid="{00000000-0005-0000-0000-000052000000}"/>
    <cellStyle name="Euro" xfId="76" xr:uid="{00000000-0005-0000-0000-000053000000}"/>
    <cellStyle name="Explanatory Text 2" xfId="77" xr:uid="{00000000-0005-0000-0000-000054000000}"/>
    <cellStyle name="fy_eps$" xfId="78" xr:uid="{00000000-0005-0000-0000-000055000000}"/>
    <cellStyle name="g_rate" xfId="79" xr:uid="{00000000-0005-0000-0000-000056000000}"/>
    <cellStyle name="g_rate_CW's MAKER MODEL" xfId="80" xr:uid="{00000000-0005-0000-0000-000057000000}"/>
    <cellStyle name="g_rate_valuation" xfId="81" xr:uid="{00000000-0005-0000-0000-000058000000}"/>
    <cellStyle name="General" xfId="82" xr:uid="{00000000-0005-0000-0000-000059000000}"/>
    <cellStyle name="Good 2" xfId="83" xr:uid="{00000000-0005-0000-0000-00005A000000}"/>
    <cellStyle name="GrowthRate" xfId="84" xr:uid="{00000000-0005-0000-0000-00005B000000}"/>
    <cellStyle name="GrowthSeq" xfId="85" xr:uid="{00000000-0005-0000-0000-00005C000000}"/>
    <cellStyle name="Hard Number Input" xfId="86" xr:uid="{00000000-0005-0000-0000-00005D000000}"/>
    <cellStyle name="Heading 1 2" xfId="87" xr:uid="{00000000-0005-0000-0000-00005E000000}"/>
    <cellStyle name="Heading 2 2" xfId="88" xr:uid="{00000000-0005-0000-0000-00005F000000}"/>
    <cellStyle name="Heading 3 2" xfId="89" xr:uid="{00000000-0005-0000-0000-000060000000}"/>
    <cellStyle name="Heading 4 2" xfId="90" xr:uid="{00000000-0005-0000-0000-000061000000}"/>
    <cellStyle name="Historical Number" xfId="91" xr:uid="{00000000-0005-0000-0000-000062000000}"/>
    <cellStyle name="iemens" xfId="92" xr:uid="{00000000-0005-0000-0000-000064000000}"/>
    <cellStyle name="Income" xfId="93" xr:uid="{00000000-0005-0000-0000-000065000000}"/>
    <cellStyle name="IncomeStatement" xfId="94" xr:uid="{00000000-0005-0000-0000-000066000000}"/>
    <cellStyle name="Input 2" xfId="95" xr:uid="{00000000-0005-0000-0000-000067000000}"/>
    <cellStyle name="Input Fixed [0]" xfId="96" xr:uid="{00000000-0005-0000-0000-000068000000}"/>
    <cellStyle name="Integer" xfId="97" xr:uid="{00000000-0005-0000-0000-000069000000}"/>
    <cellStyle name="Inverse Header" xfId="98" xr:uid="{00000000-0005-0000-0000-00006A000000}"/>
    <cellStyle name="Invisible" xfId="192" xr:uid="{00000000-0005-0000-0000-00006B000000}"/>
    <cellStyle name="Item" xfId="99" xr:uid="{00000000-0005-0000-0000-00006C000000}"/>
    <cellStyle name="ItemTypeClass" xfId="100" xr:uid="{00000000-0005-0000-0000-00006D000000}"/>
    <cellStyle name="Linked Cell 2" xfId="101" xr:uid="{00000000-0005-0000-0000-00006E000000}"/>
    <cellStyle name="LTGR" xfId="102" xr:uid="{00000000-0005-0000-0000-00006F000000}"/>
    <cellStyle name="m" xfId="103" xr:uid="{00000000-0005-0000-0000-000070000000}"/>
    <cellStyle name="m$" xfId="104" xr:uid="{00000000-0005-0000-0000-000071000000}"/>
    <cellStyle name="m/d/yy" xfId="193" xr:uid="{00000000-0005-0000-0000-000072000000}"/>
    <cellStyle name="m_CW's MAKER MODEL" xfId="105" xr:uid="{00000000-0005-0000-0000-000073000000}"/>
    <cellStyle name="m_valuation" xfId="106" xr:uid="{00000000-0005-0000-0000-000074000000}"/>
    <cellStyle name="Margin" xfId="107" xr:uid="{00000000-0005-0000-0000-000075000000}"/>
    <cellStyle name="Margins" xfId="108" xr:uid="{00000000-0005-0000-0000-000076000000}"/>
    <cellStyle name="mm" xfId="109" xr:uid="{00000000-0005-0000-0000-000077000000}"/>
    <cellStyle name="Multiple" xfId="110" xr:uid="{00000000-0005-0000-0000-000078000000}"/>
    <cellStyle name="MyStyle" xfId="194" xr:uid="{00000000-0005-0000-0000-000079000000}"/>
    <cellStyle name="NA is zero" xfId="111" xr:uid="{00000000-0005-0000-0000-00007A000000}"/>
    <cellStyle name="Neutral 2" xfId="112" xr:uid="{00000000-0005-0000-0000-00007B000000}"/>
    <cellStyle name="NewColumnHeaderNormal" xfId="195" xr:uid="{00000000-0005-0000-0000-00007C000000}"/>
    <cellStyle name="NewSectionHeaderNormal" xfId="196" xr:uid="{00000000-0005-0000-0000-00007D000000}"/>
    <cellStyle name="NewTitleNormal" xfId="197" xr:uid="{00000000-0005-0000-0000-00007E000000}"/>
    <cellStyle name="Normal" xfId="0" builtinId="0"/>
    <cellStyle name="Normal--" xfId="198" xr:uid="{00000000-0005-0000-0000-000080000000}"/>
    <cellStyle name="Normal [0]" xfId="113" xr:uid="{00000000-0005-0000-0000-000081000000}"/>
    <cellStyle name="Normal [1]" xfId="114" xr:uid="{00000000-0005-0000-0000-000082000000}"/>
    <cellStyle name="Normal [2]" xfId="115" xr:uid="{00000000-0005-0000-0000-000083000000}"/>
    <cellStyle name="Normal [3]" xfId="116" xr:uid="{00000000-0005-0000-0000-000084000000}"/>
    <cellStyle name="Normal 2" xfId="117" xr:uid="{00000000-0005-0000-0000-000085000000}"/>
    <cellStyle name="Normal Bold" xfId="118" xr:uid="{00000000-0005-0000-0000-000086000000}"/>
    <cellStyle name="Normal Pct" xfId="119" xr:uid="{00000000-0005-0000-0000-000087000000}"/>
    <cellStyle name="NormalX" xfId="120" xr:uid="{00000000-0005-0000-0000-000088000000}"/>
    <cellStyle name="Note 2" xfId="121" xr:uid="{00000000-0005-0000-0000-000089000000}"/>
    <cellStyle name="NPPESalesPct" xfId="122" xr:uid="{00000000-0005-0000-0000-00008A000000}"/>
    <cellStyle name="Number" xfId="123" xr:uid="{00000000-0005-0000-0000-00008B000000}"/>
    <cellStyle name="NWI%S" xfId="124" xr:uid="{00000000-0005-0000-0000-00008C000000}"/>
    <cellStyle name="Output 2" xfId="125" xr:uid="{00000000-0005-0000-0000-00008D000000}"/>
    <cellStyle name="P/E" xfId="126" xr:uid="{00000000-0005-0000-0000-00008E000000}"/>
    <cellStyle name="Palatino" xfId="127" xr:uid="{00000000-0005-0000-0000-00008F000000}"/>
    <cellStyle name="pc1" xfId="128" xr:uid="{00000000-0005-0000-0000-000090000000}"/>
    <cellStyle name="pe" xfId="129" xr:uid="{00000000-0005-0000-0000-000091000000}"/>
    <cellStyle name="PE/LTGR" xfId="130" xr:uid="{00000000-0005-0000-0000-000092000000}"/>
    <cellStyle name="PEG" xfId="131" xr:uid="{00000000-0005-0000-0000-000093000000}"/>
    <cellStyle name="Percent" xfId="209" builtinId="5"/>
    <cellStyle name="Percent [0]" xfId="132" xr:uid="{00000000-0005-0000-0000-000094000000}"/>
    <cellStyle name="Percent [1]" xfId="133" xr:uid="{00000000-0005-0000-0000-000095000000}"/>
    <cellStyle name="Percent [2]" xfId="134" xr:uid="{00000000-0005-0000-0000-000096000000}"/>
    <cellStyle name="PercentChange" xfId="135" xr:uid="{00000000-0005-0000-0000-000097000000}"/>
    <cellStyle name="PercentPresentation" xfId="136" xr:uid="{00000000-0005-0000-0000-000098000000}"/>
    <cellStyle name="PerShare" xfId="137" xr:uid="{00000000-0005-0000-0000-000099000000}"/>
    <cellStyle name="POPS" xfId="138" xr:uid="{00000000-0005-0000-0000-00009A000000}"/>
    <cellStyle name="Presentation" xfId="139" xr:uid="{00000000-0005-0000-0000-00009B000000}"/>
    <cellStyle name="PresentationZero" xfId="140" xr:uid="{00000000-0005-0000-0000-00009C000000}"/>
    <cellStyle name="price" xfId="141" xr:uid="{00000000-0005-0000-0000-00009D000000}"/>
    <cellStyle name="q" xfId="142" xr:uid="{00000000-0005-0000-0000-00009E000000}"/>
    <cellStyle name="q_CW's MAKER MODEL" xfId="143" xr:uid="{00000000-0005-0000-0000-00009F000000}"/>
    <cellStyle name="QEPS-h" xfId="144" xr:uid="{00000000-0005-0000-0000-0000A0000000}"/>
    <cellStyle name="QEPS-H1" xfId="145" xr:uid="{00000000-0005-0000-0000-0000A1000000}"/>
    <cellStyle name="qRange" xfId="146" xr:uid="{00000000-0005-0000-0000-0000A2000000}"/>
    <cellStyle name="range" xfId="147" xr:uid="{00000000-0005-0000-0000-0000A3000000}"/>
    <cellStyle name="RatioX" xfId="148" xr:uid="{00000000-0005-0000-0000-0000A4000000}"/>
    <cellStyle name="Red font" xfId="199" xr:uid="{00000000-0005-0000-0000-0000A5000000}"/>
    <cellStyle name="Report" xfId="149" xr:uid="{00000000-0005-0000-0000-0000A6000000}"/>
    <cellStyle name="Right" xfId="150" xr:uid="{00000000-0005-0000-0000-0000A7000000}"/>
    <cellStyle name="SectionHeaderNormal" xfId="200" xr:uid="{00000000-0005-0000-0000-0000A8000000}"/>
    <cellStyle name="SectionHeading" xfId="151" xr:uid="{00000000-0005-0000-0000-0000A9000000}"/>
    <cellStyle name="Shares" xfId="152" xr:uid="{00000000-0005-0000-0000-0000AA000000}"/>
    <cellStyle name="StockPrice" xfId="153" xr:uid="{00000000-0005-0000-0000-0000AB000000}"/>
    <cellStyle name="Style 1" xfId="154" xr:uid="{00000000-0005-0000-0000-0000AC000000}"/>
    <cellStyle name="Style 21" xfId="155" xr:uid="{00000000-0005-0000-0000-0000AD000000}"/>
    <cellStyle name="Style 22" xfId="156" xr:uid="{00000000-0005-0000-0000-0000AE000000}"/>
    <cellStyle name="Style 23" xfId="157" xr:uid="{00000000-0005-0000-0000-0000AF000000}"/>
    <cellStyle name="Style 24" xfId="158" xr:uid="{00000000-0005-0000-0000-0000B0000000}"/>
    <cellStyle name="Style 26" xfId="159" xr:uid="{00000000-0005-0000-0000-0000B1000000}"/>
    <cellStyle name="Style 27" xfId="160" xr:uid="{00000000-0005-0000-0000-0000B2000000}"/>
    <cellStyle name="Style 34" xfId="161" xr:uid="{00000000-0005-0000-0000-0000B3000000}"/>
    <cellStyle name="Style 37" xfId="162" xr:uid="{00000000-0005-0000-0000-0000B4000000}"/>
    <cellStyle name="Style 63" xfId="163" xr:uid="{00000000-0005-0000-0000-0000B5000000}"/>
    <cellStyle name="SubDollar" xfId="164" xr:uid="{00000000-0005-0000-0000-0000B6000000}"/>
    <cellStyle name="SubGrowth" xfId="165" xr:uid="{00000000-0005-0000-0000-0000B7000000}"/>
    <cellStyle name="SubGrowthRate" xfId="166" xr:uid="{00000000-0005-0000-0000-0000B8000000}"/>
    <cellStyle name="SubMargins" xfId="167" xr:uid="{00000000-0005-0000-0000-0000B9000000}"/>
    <cellStyle name="SubPenetration" xfId="168" xr:uid="{00000000-0005-0000-0000-0000BA000000}"/>
    <cellStyle name="Subscribers" xfId="169" xr:uid="{00000000-0005-0000-0000-0000BB000000}"/>
    <cellStyle name="SubScript" xfId="201" xr:uid="{00000000-0005-0000-0000-0000BC000000}"/>
    <cellStyle name="SubVariable" xfId="170" xr:uid="{00000000-0005-0000-0000-0000BD000000}"/>
    <cellStyle name="SuperScript" xfId="202" xr:uid="{00000000-0005-0000-0000-0000BE000000}"/>
    <cellStyle name="tcn" xfId="171" xr:uid="{00000000-0005-0000-0000-0000BF000000}"/>
    <cellStyle name="TextBold" xfId="203" xr:uid="{00000000-0005-0000-0000-0000C0000000}"/>
    <cellStyle name="TextItalic" xfId="204" xr:uid="{00000000-0005-0000-0000-0000C1000000}"/>
    <cellStyle name="TextNormal" xfId="205" xr:uid="{00000000-0005-0000-0000-0000C2000000}"/>
    <cellStyle name="Times" xfId="206" xr:uid="{00000000-0005-0000-0000-0000C3000000}"/>
    <cellStyle name="Times [1]" xfId="172" xr:uid="{00000000-0005-0000-0000-0000C4000000}"/>
    <cellStyle name="Times [2]" xfId="173" xr:uid="{00000000-0005-0000-0000-0000C5000000}"/>
    <cellStyle name="Title 2" xfId="174" xr:uid="{00000000-0005-0000-0000-0000C6000000}"/>
    <cellStyle name="title2" xfId="175" xr:uid="{00000000-0005-0000-0000-0000C7000000}"/>
    <cellStyle name="TitleII" xfId="176" xr:uid="{00000000-0005-0000-0000-0000C8000000}"/>
    <cellStyle name="TitleNormal" xfId="207" xr:uid="{00000000-0005-0000-0000-0000C9000000}"/>
    <cellStyle name="Titles" xfId="177" xr:uid="{00000000-0005-0000-0000-0000CA000000}"/>
    <cellStyle name="TitleSub" xfId="178" xr:uid="{00000000-0005-0000-0000-0000CB000000}"/>
    <cellStyle name="tn" xfId="179" xr:uid="{00000000-0005-0000-0000-0000CC000000}"/>
    <cellStyle name="Total 2" xfId="180" xr:uid="{00000000-0005-0000-0000-0000CD000000}"/>
    <cellStyle name="Warning Text 2" xfId="181" xr:uid="{00000000-0005-0000-0000-0000CE000000}"/>
    <cellStyle name="WholeNumber" xfId="182" xr:uid="{00000000-0005-0000-0000-0000CF000000}"/>
    <cellStyle name="Year&quot;E&quot;" xfId="183" xr:uid="{00000000-0005-0000-0000-0000D0000000}"/>
    <cellStyle name="Years" xfId="208" xr:uid="{00000000-0005-0000-0000-0000D1000000}"/>
  </cellStyles>
  <dxfs count="1"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0000FF"/>
      <color rgb="FFFFFF99"/>
      <color rgb="FF0080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Revenue by Segment Projections for 2026-2030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63306710283951E-2"/>
          <c:y val="0.26017700955907985"/>
          <c:w val="0.95807338657943208"/>
          <c:h val="0.496696043001935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'Income Statement'!$C$18</c:f>
              <c:strCache>
                <c:ptCount val="1"/>
                <c:pt idx="0">
                  <c:v>Productivity and Business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Statement'!$D$18:$K$18</c:f>
              <c:numCache>
                <c:formatCode>#,##0_);\(#,##0\)</c:formatCode>
                <c:ptCount val="8"/>
                <c:pt idx="0">
                  <c:v>94151</c:v>
                </c:pt>
                <c:pt idx="1">
                  <c:v>106820</c:v>
                </c:pt>
                <c:pt idx="2">
                  <c:v>120810</c:v>
                </c:pt>
                <c:pt idx="3">
                  <c:v>136849.24443164794</c:v>
                </c:pt>
                <c:pt idx="4">
                  <c:v>154895.02026513743</c:v>
                </c:pt>
                <c:pt idx="5">
                  <c:v>175389.97884250115</c:v>
                </c:pt>
                <c:pt idx="6">
                  <c:v>198557.35098008835</c:v>
                </c:pt>
                <c:pt idx="7">
                  <c:v>224807.20670708315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0-4F94-AA07-EB7C55A53651}"/>
            </c:ext>
          </c:extLst>
        </c:ser>
        <c:ser>
          <c:idx val="3"/>
          <c:order val="1"/>
          <c:tx>
            <c:strRef>
              <c:f>'Income Statement'!$C$19</c:f>
              <c:strCache>
                <c:ptCount val="1"/>
                <c:pt idx="0">
                  <c:v>Intelligent Cloud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Statement'!$D$19:$K$19</c:f>
              <c:numCache>
                <c:formatCode>#,##0_);\(#,##0\)</c:formatCode>
                <c:ptCount val="8"/>
                <c:pt idx="0">
                  <c:v>72944</c:v>
                </c:pt>
                <c:pt idx="1">
                  <c:v>87464</c:v>
                </c:pt>
                <c:pt idx="2">
                  <c:v>106265</c:v>
                </c:pt>
                <c:pt idx="3">
                  <c:v>128262.58937555522</c:v>
                </c:pt>
                <c:pt idx="4">
                  <c:v>154813.83177266543</c:v>
                </c:pt>
                <c:pt idx="5">
                  <c:v>186861.3648361518</c:v>
                </c:pt>
                <c:pt idx="6">
                  <c:v>225542.95871768837</c:v>
                </c:pt>
                <c:pt idx="7">
                  <c:v>272231.90985324112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0-4F94-AA07-EB7C55A53651}"/>
            </c:ext>
          </c:extLst>
        </c:ser>
        <c:ser>
          <c:idx val="4"/>
          <c:order val="2"/>
          <c:tx>
            <c:strRef>
              <c:f>'Income Statement'!$C$20</c:f>
              <c:strCache>
                <c:ptCount val="1"/>
                <c:pt idx="0">
                  <c:v>More Personal Computing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Statement'!$D$20:$K$20</c:f>
              <c:numCache>
                <c:formatCode>#,##0_);\(#,##0\)</c:formatCode>
                <c:ptCount val="8"/>
                <c:pt idx="0">
                  <c:v>44820</c:v>
                </c:pt>
                <c:pt idx="1">
                  <c:v>50838</c:v>
                </c:pt>
                <c:pt idx="2">
                  <c:v>54649</c:v>
                </c:pt>
                <c:pt idx="3">
                  <c:v>60366.215113145445</c:v>
                </c:pt>
                <c:pt idx="4">
                  <c:v>66681.54819093761</c:v>
                </c:pt>
                <c:pt idx="5">
                  <c:v>73657.57254792795</c:v>
                </c:pt>
                <c:pt idx="6">
                  <c:v>81363.407731895102</c:v>
                </c:pt>
                <c:pt idx="7">
                  <c:v>89875.404371207915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0-4F94-AA07-EB7C55A53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3797375"/>
        <c:axId val="1213791135"/>
      </c:barChart>
      <c:catAx>
        <c:axId val="12137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1135"/>
        <c:crosses val="autoZero"/>
        <c:auto val="1"/>
        <c:lblAlgn val="ctr"/>
        <c:lblOffset val="100"/>
        <c:noMultiLvlLbl val="0"/>
      </c:catAx>
      <c:valAx>
        <c:axId val="1213791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</a:t>
                </a:r>
                <a:r>
                  <a:rPr lang="en-US" baseline="0"/>
                  <a:t> IN MILLIONS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" sourceLinked="0"/>
        <c:majorTickMark val="none"/>
        <c:minorTickMark val="none"/>
        <c:tickLblPos val="nextTo"/>
        <c:crossAx val="12137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Revenue &amp; Net Income (2023A–2025A Historical, 2026P–2030P Forecast)</a:t>
            </a:r>
          </a:p>
        </c:rich>
      </c:tx>
      <c:layout>
        <c:manualLayout>
          <c:xMode val="edge"/>
          <c:yMode val="edge"/>
          <c:x val="0.17239500883218645"/>
          <c:y val="5.2013595333200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9689501562466"/>
          <c:y val="0.21792997467514122"/>
          <c:w val="0.79863901307796614"/>
          <c:h val="0.4623614195603179"/>
        </c:manualLayout>
      </c:layout>
      <c:lineChart>
        <c:grouping val="standard"/>
        <c:varyColors val="0"/>
        <c:ser>
          <c:idx val="2"/>
          <c:order val="0"/>
          <c:tx>
            <c:strRef>
              <c:f>'Income Statement'!$C$21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Statement'!$D$21:$K$21</c:f>
              <c:numCache>
                <c:formatCode>#,##0_);\(#,##0\)</c:formatCode>
                <c:ptCount val="8"/>
                <c:pt idx="0">
                  <c:v>211915</c:v>
                </c:pt>
                <c:pt idx="1">
                  <c:v>245122</c:v>
                </c:pt>
                <c:pt idx="2">
                  <c:v>281724</c:v>
                </c:pt>
                <c:pt idx="3">
                  <c:v>325478.04892034864</c:v>
                </c:pt>
                <c:pt idx="4">
                  <c:v>376390.40022874047</c:v>
                </c:pt>
                <c:pt idx="5">
                  <c:v>435908.91622658091</c:v>
                </c:pt>
                <c:pt idx="6">
                  <c:v>505463.71742967179</c:v>
                </c:pt>
                <c:pt idx="7">
                  <c:v>586914.52093153214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4-4782-8341-869DE622BE52}"/>
            </c:ext>
          </c:extLst>
        </c:ser>
        <c:ser>
          <c:idx val="3"/>
          <c:order val="1"/>
          <c:tx>
            <c:strRef>
              <c:f>'Income Statement'!$C$32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Statement'!$D$32:$K$32</c:f>
              <c:numCache>
                <c:formatCode>#,##0_);\(#,##0\)</c:formatCode>
                <c:ptCount val="8"/>
                <c:pt idx="0">
                  <c:v>72361</c:v>
                </c:pt>
                <c:pt idx="1">
                  <c:v>88136</c:v>
                </c:pt>
                <c:pt idx="2">
                  <c:v>101832</c:v>
                </c:pt>
                <c:pt idx="3">
                  <c:v>113258.49666026754</c:v>
                </c:pt>
                <c:pt idx="4">
                  <c:v>131444.73942314787</c:v>
                </c:pt>
                <c:pt idx="5">
                  <c:v>152947.92829563734</c:v>
                </c:pt>
                <c:pt idx="6">
                  <c:v>177943.05137944699</c:v>
                </c:pt>
                <c:pt idx="7">
                  <c:v>207221.60989907163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4-4782-8341-869DE622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942432"/>
        <c:axId val="1058939072"/>
      </c:lineChart>
      <c:catAx>
        <c:axId val="10589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A;[Red]0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39072"/>
        <c:crosses val="autoZero"/>
        <c:auto val="1"/>
        <c:lblAlgn val="ctr"/>
        <c:lblOffset val="100"/>
        <c:noMultiLvlLbl val="0"/>
      </c:catAx>
      <c:valAx>
        <c:axId val="10589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Microsoft Revenue vs EBIT vs Net Income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15069991251093"/>
          <c:y val="0.25083333333333335"/>
          <c:w val="0.82029374453193349"/>
          <c:h val="0.493248031496063"/>
        </c:manualLayout>
      </c:layout>
      <c:lineChart>
        <c:grouping val="standard"/>
        <c:varyColors val="0"/>
        <c:ser>
          <c:idx val="0"/>
          <c:order val="0"/>
          <c:tx>
            <c:strRef>
              <c:f>'Income Statement'!$C$32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Statement'!$D$32:$K$32</c:f>
              <c:numCache>
                <c:formatCode>#,##0_);\(#,##0\)</c:formatCode>
                <c:ptCount val="8"/>
                <c:pt idx="0">
                  <c:v>72361</c:v>
                </c:pt>
                <c:pt idx="1">
                  <c:v>88136</c:v>
                </c:pt>
                <c:pt idx="2">
                  <c:v>101832</c:v>
                </c:pt>
                <c:pt idx="3">
                  <c:v>113258.49666026754</c:v>
                </c:pt>
                <c:pt idx="4">
                  <c:v>131444.73942314787</c:v>
                </c:pt>
                <c:pt idx="5">
                  <c:v>152947.92829563734</c:v>
                </c:pt>
                <c:pt idx="6">
                  <c:v>177943.05137944699</c:v>
                </c:pt>
                <c:pt idx="7">
                  <c:v>207221.60989907163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70-46FE-9FE2-EBA7A1957193}"/>
            </c:ext>
          </c:extLst>
        </c:ser>
        <c:ser>
          <c:idx val="1"/>
          <c:order val="1"/>
          <c:tx>
            <c:strRef>
              <c:f>'Income Statement'!$C$26</c:f>
              <c:strCache>
                <c:ptCount val="1"/>
                <c:pt idx="0">
                  <c:v>Operating profit (EBIT)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Statement'!$D$26:$K$26</c:f>
              <c:numCache>
                <c:formatCode>#,##0_);\(#,##0\)</c:formatCode>
                <c:ptCount val="8"/>
                <c:pt idx="0">
                  <c:v>88523</c:v>
                </c:pt>
                <c:pt idx="1">
                  <c:v>109433</c:v>
                </c:pt>
                <c:pt idx="2">
                  <c:v>128528</c:v>
                </c:pt>
                <c:pt idx="3">
                  <c:v>143252.80170983684</c:v>
                </c:pt>
                <c:pt idx="4">
                  <c:v>165660.87804787414</c:v>
                </c:pt>
                <c:pt idx="5">
                  <c:v>191856.78956505583</c:v>
                </c:pt>
                <c:pt idx="6">
                  <c:v>222469.97585446941</c:v>
                </c:pt>
                <c:pt idx="7">
                  <c:v>258318.95504634822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70-46FE-9FE2-EBA7A1957193}"/>
            </c:ext>
          </c:extLst>
        </c:ser>
        <c:ser>
          <c:idx val="2"/>
          <c:order val="2"/>
          <c:tx>
            <c:strRef>
              <c:f>'Income Statement'!$C$21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Statement'!$D$21:$K$21</c:f>
              <c:numCache>
                <c:formatCode>#,##0_);\(#,##0\)</c:formatCode>
                <c:ptCount val="8"/>
                <c:pt idx="0">
                  <c:v>211915</c:v>
                </c:pt>
                <c:pt idx="1">
                  <c:v>245122</c:v>
                </c:pt>
                <c:pt idx="2">
                  <c:v>281724</c:v>
                </c:pt>
                <c:pt idx="3">
                  <c:v>325478.04892034864</c:v>
                </c:pt>
                <c:pt idx="4">
                  <c:v>376390.40022874047</c:v>
                </c:pt>
                <c:pt idx="5">
                  <c:v>435908.91622658091</c:v>
                </c:pt>
                <c:pt idx="6">
                  <c:v>505463.71742967179</c:v>
                </c:pt>
                <c:pt idx="7">
                  <c:v>586914.52093153214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70-46FE-9FE2-EBA7A195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330895"/>
        <c:axId val="1792342415"/>
      </c:lineChart>
      <c:catAx>
        <c:axId val="179233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A;[Red]0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2415"/>
        <c:crosses val="autoZero"/>
        <c:auto val="1"/>
        <c:lblAlgn val="ctr"/>
        <c:lblOffset val="100"/>
        <c:noMultiLvlLbl val="0"/>
      </c:catAx>
      <c:valAx>
        <c:axId val="17923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527244</xdr:colOff>
      <xdr:row>3</xdr:row>
      <xdr:rowOff>26894</xdr:rowOff>
    </xdr:from>
    <xdr:to>
      <xdr:col>19</xdr:col>
      <xdr:colOff>73293</xdr:colOff>
      <xdr:row>19</xdr:row>
      <xdr:rowOff>129741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33E0-05FD-ADCD-90C5-F43123C8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575981</xdr:colOff>
      <xdr:row>20</xdr:row>
      <xdr:rowOff>63645</xdr:rowOff>
    </xdr:from>
    <xdr:to>
      <xdr:col>18</xdr:col>
      <xdr:colOff>517711</xdr:colOff>
      <xdr:row>37</xdr:row>
      <xdr:rowOff>112057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305E27-C08A-6FBC-E548-93F9440D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39</xdr:row>
      <xdr:rowOff>118110</xdr:rowOff>
    </xdr:from>
    <xdr:to>
      <xdr:col>18</xdr:col>
      <xdr:colOff>121920</xdr:colOff>
      <xdr:row>54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642AB-A77B-9C78-35B1-A2F9C963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F324-BE31-4CA6-8A95-C508E6F352E8}">
  <sheetPr>
    <pageSetUpPr fitToPage="1"/>
  </sheetPr>
  <dimension ref="C1:V168"/>
  <sheetViews>
    <sheetView tabSelected="1" topLeftCell="A48" zoomScaleNormal="100" workbookViewId="0">
      <selection activeCell="D4" sqref="D4"/>
    </sheetView>
  </sheetViews>
  <sheetFormatPr defaultColWidth="8.88671875" defaultRowHeight="14.4"/>
  <cols>
    <col min="1" max="2" width="1.6640625" customWidth="1"/>
    <col min="3" max="3" width="46.6640625" bestFit="1" customWidth="1"/>
    <col min="4" max="4" width="31.21875" bestFit="1" customWidth="1"/>
    <col min="5" max="12" width="11.44140625" customWidth="1"/>
    <col min="13" max="13" width="11.88671875" customWidth="1"/>
    <col min="14" max="16" width="10.33203125" bestFit="1" customWidth="1"/>
    <col min="17" max="18" width="9.44140625" bestFit="1" customWidth="1"/>
    <col min="19" max="19" width="30.5546875" bestFit="1" customWidth="1"/>
  </cols>
  <sheetData>
    <row r="1" spans="3:12" ht="15" thickBot="1"/>
    <row r="2" spans="3:12" ht="15" thickBot="1">
      <c r="C2" s="32" t="str">
        <f>"Financial Statement Model for "&amp;D5</f>
        <v>Financial Statement Model for Microsoft</v>
      </c>
      <c r="D2" s="26"/>
      <c r="E2" s="26"/>
      <c r="F2" s="26"/>
      <c r="G2" s="26"/>
      <c r="H2" s="26"/>
      <c r="I2" s="26"/>
      <c r="J2" s="26"/>
      <c r="K2" s="26"/>
    </row>
    <row r="3" spans="3:12">
      <c r="C3" t="s">
        <v>57</v>
      </c>
    </row>
    <row r="4" spans="3:12">
      <c r="C4" s="2"/>
    </row>
    <row r="5" spans="3:12">
      <c r="C5" s="1" t="s">
        <v>4</v>
      </c>
      <c r="D5" s="33" t="s">
        <v>38</v>
      </c>
    </row>
    <row r="6" spans="3:12">
      <c r="C6" s="1" t="s">
        <v>5</v>
      </c>
      <c r="D6" s="33" t="s">
        <v>42</v>
      </c>
    </row>
    <row r="7" spans="3:12">
      <c r="C7" t="s">
        <v>30</v>
      </c>
      <c r="D7" s="34">
        <v>1</v>
      </c>
    </row>
    <row r="8" spans="3:12">
      <c r="C8" t="s">
        <v>28</v>
      </c>
      <c r="D8" s="35"/>
    </row>
    <row r="9" spans="3:12">
      <c r="C9" t="s">
        <v>8</v>
      </c>
      <c r="D9" s="36">
        <v>45862</v>
      </c>
    </row>
    <row r="10" spans="3:12">
      <c r="C10" s="1" t="s">
        <v>7</v>
      </c>
      <c r="D10" s="37">
        <v>45838</v>
      </c>
    </row>
    <row r="11" spans="3:12" ht="15" customHeight="1">
      <c r="C11" t="s">
        <v>37</v>
      </c>
      <c r="D11" s="39">
        <f>7433166379/1000000</f>
        <v>7433.1663790000002</v>
      </c>
    </row>
    <row r="13" spans="3:12">
      <c r="C13" s="5" t="s">
        <v>18</v>
      </c>
      <c r="D13" s="6"/>
      <c r="E13" s="6"/>
      <c r="F13" s="6"/>
      <c r="G13" s="6"/>
      <c r="H13" s="6"/>
      <c r="I13" s="6"/>
      <c r="J13" s="6"/>
      <c r="K13" s="6"/>
    </row>
    <row r="14" spans="3:12">
      <c r="C14" t="s">
        <v>9</v>
      </c>
      <c r="D14" s="7">
        <f>E14-1</f>
        <v>2023</v>
      </c>
      <c r="E14" s="7">
        <f>F14-1</f>
        <v>2024</v>
      </c>
      <c r="F14" s="7">
        <f>YEAR(D10)</f>
        <v>2025</v>
      </c>
      <c r="G14" s="8">
        <f>F14+1</f>
        <v>2026</v>
      </c>
      <c r="H14" s="8">
        <f>G14+1</f>
        <v>2027</v>
      </c>
      <c r="I14" s="8">
        <f>H14+1</f>
        <v>2028</v>
      </c>
      <c r="J14" s="8">
        <f>I14+1</f>
        <v>2029</v>
      </c>
      <c r="K14" s="8">
        <f>J14+1</f>
        <v>2030</v>
      </c>
    </row>
    <row r="15" spans="3:12">
      <c r="C15" s="9" t="s">
        <v>6</v>
      </c>
      <c r="D15" s="30">
        <f>EOMONTH(E15,-12)</f>
        <v>45107</v>
      </c>
      <c r="E15" s="30">
        <f>EOMONTH(F15,-12)</f>
        <v>45473</v>
      </c>
      <c r="F15" s="30">
        <f>D10</f>
        <v>45838</v>
      </c>
      <c r="G15" s="30">
        <f>EOMONTH(F15,12)</f>
        <v>46203</v>
      </c>
      <c r="H15" s="30">
        <f>EOMONTH(G15,12)</f>
        <v>46568</v>
      </c>
      <c r="I15" s="30">
        <f>EOMONTH(H15,12)</f>
        <v>46934</v>
      </c>
      <c r="J15" s="30">
        <f>EOMONTH(I15,12)</f>
        <v>47299</v>
      </c>
      <c r="K15" s="30">
        <f>EOMONTH(J15,12)</f>
        <v>47664</v>
      </c>
      <c r="L15" s="14" t="s">
        <v>44</v>
      </c>
    </row>
    <row r="16" spans="3:12">
      <c r="C16" s="10"/>
      <c r="D16" s="11"/>
      <c r="E16" s="12"/>
      <c r="F16" s="12"/>
      <c r="G16" s="27"/>
      <c r="H16" s="28"/>
      <c r="I16" s="28"/>
      <c r="J16" s="12"/>
      <c r="K16" s="12"/>
    </row>
    <row r="17" spans="3:21">
      <c r="C17" t="s">
        <v>10</v>
      </c>
      <c r="D17" s="23"/>
      <c r="E17" s="23"/>
      <c r="F17" s="23"/>
      <c r="G17" s="13"/>
      <c r="H17" s="13"/>
      <c r="I17" s="13"/>
      <c r="J17" s="13"/>
      <c r="K17" s="13"/>
    </row>
    <row r="18" spans="3:21">
      <c r="C18" s="14" t="s">
        <v>39</v>
      </c>
      <c r="D18" s="3">
        <v>94151</v>
      </c>
      <c r="E18" s="3">
        <v>106820</v>
      </c>
      <c r="F18" s="3">
        <v>120810</v>
      </c>
      <c r="G18" s="13">
        <f t="shared" ref="G18:K20" si="0">F18*(1+G39)</f>
        <v>136849.24443164794</v>
      </c>
      <c r="H18" s="13">
        <f t="shared" si="0"/>
        <v>154895.02026513743</v>
      </c>
      <c r="I18" s="13">
        <f t="shared" si="0"/>
        <v>175389.97884250115</v>
      </c>
      <c r="J18" s="13">
        <f t="shared" si="0"/>
        <v>198557.35098008835</v>
      </c>
      <c r="K18" s="13">
        <f t="shared" si="0"/>
        <v>224807.20670708315</v>
      </c>
    </row>
    <row r="19" spans="3:21">
      <c r="C19" s="14" t="s">
        <v>40</v>
      </c>
      <c r="D19" s="3">
        <v>72944</v>
      </c>
      <c r="E19" s="3">
        <v>87464</v>
      </c>
      <c r="F19" s="3">
        <v>106265</v>
      </c>
      <c r="G19" s="13">
        <f t="shared" si="0"/>
        <v>128262.58937555522</v>
      </c>
      <c r="H19" s="13">
        <f t="shared" si="0"/>
        <v>154813.83177266543</v>
      </c>
      <c r="I19" s="13">
        <f t="shared" si="0"/>
        <v>186861.3648361518</v>
      </c>
      <c r="J19" s="13">
        <f t="shared" si="0"/>
        <v>225542.95871768837</v>
      </c>
      <c r="K19" s="13">
        <f t="shared" si="0"/>
        <v>272231.90985324112</v>
      </c>
    </row>
    <row r="20" spans="3:21">
      <c r="C20" s="14" t="s">
        <v>41</v>
      </c>
      <c r="D20" s="3">
        <v>44820</v>
      </c>
      <c r="E20" s="3">
        <v>50838</v>
      </c>
      <c r="F20" s="3">
        <v>54649</v>
      </c>
      <c r="G20" s="13">
        <f t="shared" si="0"/>
        <v>60366.215113145445</v>
      </c>
      <c r="H20" s="13">
        <f t="shared" si="0"/>
        <v>66681.54819093761</v>
      </c>
      <c r="I20" s="13">
        <f t="shared" si="0"/>
        <v>73657.57254792795</v>
      </c>
      <c r="J20" s="13">
        <f t="shared" si="0"/>
        <v>81363.407731895102</v>
      </c>
      <c r="K20" s="13">
        <f t="shared" si="0"/>
        <v>89875.404371207915</v>
      </c>
      <c r="R20" s="23"/>
      <c r="S20" s="23"/>
      <c r="T20" s="23"/>
    </row>
    <row r="21" spans="3:21">
      <c r="C21" s="14" t="s">
        <v>43</v>
      </c>
      <c r="D21" s="15">
        <f>SUM(D18:D20)</f>
        <v>211915</v>
      </c>
      <c r="E21" s="15">
        <f t="shared" ref="E21:F21" si="1">SUM(E18:E20)</f>
        <v>245122</v>
      </c>
      <c r="F21" s="15">
        <f t="shared" si="1"/>
        <v>281724</v>
      </c>
      <c r="G21" s="13">
        <f>SUM(G18:G20)</f>
        <v>325478.04892034864</v>
      </c>
      <c r="H21" s="13">
        <f t="shared" ref="H21:K21" si="2">SUM(H18:H20)</f>
        <v>376390.40022874047</v>
      </c>
      <c r="I21" s="13">
        <f t="shared" si="2"/>
        <v>435908.91622658091</v>
      </c>
      <c r="J21" s="13">
        <f t="shared" si="2"/>
        <v>505463.71742967179</v>
      </c>
      <c r="K21" s="13">
        <f t="shared" si="2"/>
        <v>586914.52093153214</v>
      </c>
      <c r="R21" s="23"/>
      <c r="S21" s="23"/>
      <c r="T21" s="23"/>
    </row>
    <row r="22" spans="3:21">
      <c r="C22" t="s">
        <v>13</v>
      </c>
      <c r="D22" s="3">
        <v>-65863</v>
      </c>
      <c r="E22" s="3">
        <v>-74114</v>
      </c>
      <c r="F22" s="3">
        <v>-87831</v>
      </c>
      <c r="G22" s="3">
        <f>G21-G23</f>
        <v>100346.75712978645</v>
      </c>
      <c r="H22" s="3">
        <f t="shared" ref="H22:K22" si="3">H21-H23</f>
        <v>116043.32827673902</v>
      </c>
      <c r="I22" s="3">
        <f t="shared" si="3"/>
        <v>134393.22956615651</v>
      </c>
      <c r="J22" s="3">
        <f t="shared" si="3"/>
        <v>155837.37539008947</v>
      </c>
      <c r="K22" s="3">
        <f t="shared" si="3"/>
        <v>180949.12723983504</v>
      </c>
      <c r="R22" s="23"/>
      <c r="S22" s="23"/>
      <c r="T22" s="23"/>
    </row>
    <row r="23" spans="3:21">
      <c r="C23" s="14" t="s">
        <v>12</v>
      </c>
      <c r="D23" s="15">
        <f>D21+D22</f>
        <v>146052</v>
      </c>
      <c r="E23" s="15">
        <f t="shared" ref="E23:F23" si="4">E21+E22</f>
        <v>171008</v>
      </c>
      <c r="F23" s="15">
        <f t="shared" si="4"/>
        <v>193893</v>
      </c>
      <c r="G23" s="15">
        <f>G21*G43</f>
        <v>225131.29179056219</v>
      </c>
      <c r="H23" s="15">
        <f t="shared" ref="H23:K23" si="5">H21*H43</f>
        <v>260347.07195200145</v>
      </c>
      <c r="I23" s="15">
        <f t="shared" si="5"/>
        <v>301515.6866604244</v>
      </c>
      <c r="J23" s="15">
        <f t="shared" si="5"/>
        <v>349626.34203958232</v>
      </c>
      <c r="K23" s="15">
        <f t="shared" si="5"/>
        <v>405965.3936916971</v>
      </c>
      <c r="L23" s="29"/>
      <c r="R23" s="23"/>
      <c r="S23" s="23"/>
      <c r="T23" s="23"/>
    </row>
    <row r="24" spans="3:21">
      <c r="C24" t="s">
        <v>25</v>
      </c>
      <c r="D24" s="3">
        <v>-27195</v>
      </c>
      <c r="E24" s="3">
        <v>-29510</v>
      </c>
      <c r="F24" s="3">
        <v>-32488</v>
      </c>
      <c r="G24" s="13">
        <f>-(G21*G44)</f>
        <v>-39495.386019530037</v>
      </c>
      <c r="H24" s="13">
        <f>-(H21*H44)</f>
        <v>-45673.384734825726</v>
      </c>
      <c r="I24" s="13">
        <f>-(I21*I44)</f>
        <v>-52895.705172231173</v>
      </c>
      <c r="J24" s="13">
        <f>-(J21*J44)</f>
        <v>-61335.886413762513</v>
      </c>
      <c r="K24" s="13">
        <f>-(K21*K44)</f>
        <v>-71219.597271001039</v>
      </c>
      <c r="L24" s="29"/>
      <c r="S24" s="23"/>
      <c r="T24" s="23"/>
    </row>
    <row r="25" spans="3:21">
      <c r="C25" t="s">
        <v>15</v>
      </c>
      <c r="D25" s="3">
        <v>-30334</v>
      </c>
      <c r="E25" s="3">
        <v>-32065</v>
      </c>
      <c r="F25" s="3">
        <v>-32877</v>
      </c>
      <c r="G25" s="13">
        <f>-(G21*G45)</f>
        <v>-42383.104061195299</v>
      </c>
      <c r="H25" s="13">
        <f>-(H21*H45)</f>
        <v>-49012.809169301589</v>
      </c>
      <c r="I25" s="13">
        <f>-(I21*I45)</f>
        <v>-56763.191923137369</v>
      </c>
      <c r="J25" s="13">
        <f>-(J21*J45)</f>
        <v>-65820.479771350379</v>
      </c>
      <c r="K25" s="13">
        <f>-(K21*K45)</f>
        <v>-76426.841374347845</v>
      </c>
      <c r="L25" s="29"/>
      <c r="S25" s="23"/>
      <c r="T25" s="23"/>
      <c r="U25" s="23"/>
    </row>
    <row r="26" spans="3:21">
      <c r="C26" s="14" t="s">
        <v>2</v>
      </c>
      <c r="D26" s="15">
        <f>D23+D24+D25</f>
        <v>88523</v>
      </c>
      <c r="E26" s="15">
        <f t="shared" ref="E26:F26" si="6">E23+E24+E25</f>
        <v>109433</v>
      </c>
      <c r="F26" s="15">
        <f t="shared" si="6"/>
        <v>128528</v>
      </c>
      <c r="G26" s="15">
        <f>G23+G24+G25</f>
        <v>143252.80170983684</v>
      </c>
      <c r="H26" s="15">
        <f t="shared" ref="H26:K26" si="7">H23+H24+H25</f>
        <v>165660.87804787414</v>
      </c>
      <c r="I26" s="15">
        <f t="shared" si="7"/>
        <v>191856.78956505583</v>
      </c>
      <c r="J26" s="15">
        <f t="shared" si="7"/>
        <v>222469.97585446941</v>
      </c>
      <c r="K26" s="15">
        <f t="shared" si="7"/>
        <v>258318.95504634822</v>
      </c>
      <c r="L26" s="14"/>
    </row>
    <row r="27" spans="3:21">
      <c r="C27" t="s">
        <v>3</v>
      </c>
      <c r="D27" s="3">
        <v>2994</v>
      </c>
      <c r="E27" s="3">
        <v>3157</v>
      </c>
      <c r="F27" s="3">
        <v>2647</v>
      </c>
      <c r="G27" s="16">
        <f>AVERAGE($D$27:$F$27)</f>
        <v>2932.6666666666665</v>
      </c>
      <c r="H27" s="16">
        <f>AVERAGE($D$27:$F$27)</f>
        <v>2932.6666666666665</v>
      </c>
      <c r="I27" s="16">
        <f>AVERAGE($D$27:$F$27)</f>
        <v>2932.6666666666665</v>
      </c>
      <c r="J27" s="16">
        <f>AVERAGE($D$27:$F$27)</f>
        <v>2932.6666666666665</v>
      </c>
      <c r="K27" s="16">
        <f>AVERAGE($D$27:$F$27)</f>
        <v>2932.6666666666665</v>
      </c>
    </row>
    <row r="28" spans="3:21">
      <c r="C28" t="s">
        <v>16</v>
      </c>
      <c r="D28" s="3">
        <v>-1968</v>
      </c>
      <c r="E28" s="3">
        <v>-2935</v>
      </c>
      <c r="F28" s="3">
        <v>-2385</v>
      </c>
      <c r="G28" s="16">
        <f>AVERAGE(D28:F28)</f>
        <v>-2429.3333333333335</v>
      </c>
      <c r="H28" s="16">
        <f t="shared" ref="H28:K28" si="8">AVERAGE(E28:G28)</f>
        <v>-2583.1111111111113</v>
      </c>
      <c r="I28" s="16">
        <f t="shared" si="8"/>
        <v>-2465.8148148148152</v>
      </c>
      <c r="J28" s="16">
        <f t="shared" si="8"/>
        <v>-2492.7530864197538</v>
      </c>
      <c r="K28" s="16">
        <f t="shared" si="8"/>
        <v>-2513.8930041152271</v>
      </c>
    </row>
    <row r="29" spans="3:21">
      <c r="C29" t="s">
        <v>26</v>
      </c>
      <c r="D29" s="3">
        <v>-238</v>
      </c>
      <c r="E29" s="3">
        <v>-1868</v>
      </c>
      <c r="F29" s="3">
        <v>-5163</v>
      </c>
      <c r="G29" s="16">
        <v>-5163</v>
      </c>
      <c r="H29" s="16">
        <v>-5163</v>
      </c>
      <c r="I29" s="16">
        <v>-5163</v>
      </c>
      <c r="J29" s="16">
        <v>-5163</v>
      </c>
      <c r="K29" s="16">
        <v>-5163</v>
      </c>
    </row>
    <row r="30" spans="3:21">
      <c r="C30" s="14" t="s">
        <v>11</v>
      </c>
      <c r="D30" s="15">
        <f>D26+D27+D28+D29</f>
        <v>89311</v>
      </c>
      <c r="E30" s="15">
        <f t="shared" ref="E30:F30" si="9">E26+E27+E28+E29</f>
        <v>107787</v>
      </c>
      <c r="F30" s="15">
        <f t="shared" si="9"/>
        <v>123627</v>
      </c>
      <c r="G30" s="15">
        <f>G26+G27+G28+G29</f>
        <v>138593.13504317016</v>
      </c>
      <c r="H30" s="15">
        <f t="shared" ref="H30:K30" si="10">H26+H27+H28+H29</f>
        <v>160847.43360342967</v>
      </c>
      <c r="I30" s="15">
        <f t="shared" si="10"/>
        <v>187160.64141690769</v>
      </c>
      <c r="J30" s="15">
        <f t="shared" si="10"/>
        <v>217746.88943471632</v>
      </c>
      <c r="K30" s="15">
        <f t="shared" si="10"/>
        <v>253574.72870889964</v>
      </c>
      <c r="L30" s="14"/>
      <c r="M30" s="14"/>
    </row>
    <row r="31" spans="3:21">
      <c r="C31" t="s">
        <v>14</v>
      </c>
      <c r="D31" s="3">
        <v>-16950</v>
      </c>
      <c r="E31" s="3">
        <v>-19651</v>
      </c>
      <c r="F31" s="3">
        <v>-21795</v>
      </c>
      <c r="G31" s="13">
        <f>-(G30*G46)</f>
        <v>-25334.638382902613</v>
      </c>
      <c r="H31" s="13">
        <f>-(H30*H46)</f>
        <v>-29402.6941802818</v>
      </c>
      <c r="I31" s="13">
        <f>-(I30*I46)</f>
        <v>-34212.713121270353</v>
      </c>
      <c r="J31" s="13">
        <f>-(J30*J46)</f>
        <v>-39803.838055269312</v>
      </c>
      <c r="K31" s="13">
        <f>-(K30*K46)</f>
        <v>-46353.118809828025</v>
      </c>
    </row>
    <row r="32" spans="3:21">
      <c r="C32" s="14" t="s">
        <v>1</v>
      </c>
      <c r="D32" s="15">
        <f>D30+D31</f>
        <v>72361</v>
      </c>
      <c r="E32" s="15">
        <f t="shared" ref="E32:K32" si="11">E30+E31</f>
        <v>88136</v>
      </c>
      <c r="F32" s="15">
        <f t="shared" si="11"/>
        <v>101832</v>
      </c>
      <c r="G32" s="15">
        <f>G30+G31</f>
        <v>113258.49666026754</v>
      </c>
      <c r="H32" s="15">
        <f t="shared" si="11"/>
        <v>131444.73942314787</v>
      </c>
      <c r="I32" s="15">
        <f t="shared" si="11"/>
        <v>152947.92829563734</v>
      </c>
      <c r="J32" s="15">
        <f t="shared" si="11"/>
        <v>177943.05137944699</v>
      </c>
      <c r="K32" s="15">
        <f t="shared" si="11"/>
        <v>207221.60989907163</v>
      </c>
      <c r="L32" s="14"/>
    </row>
    <row r="33" spans="3:19">
      <c r="C33" s="22" t="s">
        <v>24</v>
      </c>
      <c r="D33" s="3">
        <v>13861</v>
      </c>
      <c r="E33" s="3">
        <v>22287</v>
      </c>
      <c r="F33" s="3">
        <v>34153</v>
      </c>
      <c r="G33" s="16">
        <f>G68</f>
        <v>30476.670270391594</v>
      </c>
      <c r="H33" s="16">
        <f t="shared" ref="H33:K33" si="12">H68</f>
        <v>35243.931683759343</v>
      </c>
      <c r="I33" s="16">
        <f t="shared" si="12"/>
        <v>40817.045425427117</v>
      </c>
      <c r="J33" s="16">
        <f t="shared" si="12"/>
        <v>47329.923172546696</v>
      </c>
      <c r="K33" s="16">
        <f t="shared" si="12"/>
        <v>54956.702581538848</v>
      </c>
    </row>
    <row r="34" spans="3:19">
      <c r="C34" s="21" t="s">
        <v>22</v>
      </c>
      <c r="D34" s="15">
        <f t="shared" ref="D34:K34" si="13">SUM(D26,D33)</f>
        <v>102384</v>
      </c>
      <c r="E34" s="15">
        <f t="shared" si="13"/>
        <v>131720</v>
      </c>
      <c r="F34" s="15">
        <f t="shared" si="13"/>
        <v>162681</v>
      </c>
      <c r="G34" s="15">
        <f t="shared" si="13"/>
        <v>173729.47198022844</v>
      </c>
      <c r="H34" s="15">
        <f t="shared" si="13"/>
        <v>200904.80973163349</v>
      </c>
      <c r="I34" s="15">
        <f t="shared" si="13"/>
        <v>232673.83499048295</v>
      </c>
      <c r="J34" s="15">
        <f t="shared" si="13"/>
        <v>269799.89902701613</v>
      </c>
      <c r="K34" s="15">
        <f t="shared" si="13"/>
        <v>313275.65762788709</v>
      </c>
      <c r="L34" s="14"/>
    </row>
    <row r="35" spans="3:19">
      <c r="C35" s="22" t="s">
        <v>29</v>
      </c>
      <c r="D35" s="3">
        <v>9611</v>
      </c>
      <c r="E35" s="3">
        <v>10734</v>
      </c>
      <c r="F35" s="3">
        <v>11974</v>
      </c>
      <c r="G35" s="16">
        <f>F35*(1+$D$47)</f>
        <v>13365.17322813912</v>
      </c>
      <c r="H35" s="16">
        <f>G35*(1+$D$47)</f>
        <v>14917.976901467067</v>
      </c>
      <c r="I35" s="16">
        <f>H35*(1+$D$47)</f>
        <v>16651.189702813215</v>
      </c>
      <c r="J35" s="16">
        <f>I35*(1+$D$47)</f>
        <v>18585.772075555786</v>
      </c>
      <c r="K35" s="16">
        <f>J35*(1+$D$47)</f>
        <v>20745.119706740759</v>
      </c>
    </row>
    <row r="36" spans="3:19">
      <c r="C36" s="21" t="s">
        <v>27</v>
      </c>
      <c r="D36" s="15">
        <f>SUM(D34,D35)</f>
        <v>111995</v>
      </c>
      <c r="E36" s="15">
        <f t="shared" ref="E36:K36" si="14">SUM(E34,E35)</f>
        <v>142454</v>
      </c>
      <c r="F36" s="15">
        <f t="shared" si="14"/>
        <v>174655</v>
      </c>
      <c r="G36" s="15">
        <f>SUM(G34,G35)</f>
        <v>187094.64520836755</v>
      </c>
      <c r="H36" s="15">
        <f>SUM(H34,H35)</f>
        <v>215822.78663310056</v>
      </c>
      <c r="I36" s="15">
        <f t="shared" si="14"/>
        <v>249325.02469329617</v>
      </c>
      <c r="J36" s="15">
        <f t="shared" si="14"/>
        <v>288385.67110257194</v>
      </c>
      <c r="K36" s="15">
        <f t="shared" si="14"/>
        <v>334020.77733462787</v>
      </c>
      <c r="L36" s="14"/>
    </row>
    <row r="37" spans="3:19">
      <c r="C37" s="18"/>
      <c r="G37" s="24"/>
    </row>
    <row r="38" spans="3:19">
      <c r="C38" s="17" t="s">
        <v>17</v>
      </c>
      <c r="D38" s="19"/>
      <c r="E38" s="19"/>
      <c r="F38" s="19"/>
      <c r="G38" s="20"/>
      <c r="H38" s="20"/>
      <c r="I38" s="20"/>
      <c r="J38" s="19"/>
      <c r="K38" s="19"/>
      <c r="N38" s="20"/>
      <c r="O38" s="20"/>
      <c r="P38" s="20"/>
      <c r="Q38" s="20"/>
      <c r="R38" s="20"/>
      <c r="S38" s="20"/>
    </row>
    <row r="39" spans="3:19" s="10" customFormat="1">
      <c r="C39" s="10" t="s">
        <v>39</v>
      </c>
      <c r="D39" s="40"/>
      <c r="E39" s="40">
        <f t="shared" ref="E39:F41" si="15">E18/D18-1</f>
        <v>0.13456044014402391</v>
      </c>
      <c r="F39" s="40">
        <f t="shared" si="15"/>
        <v>0.13096798352368477</v>
      </c>
      <c r="G39" s="41">
        <f>AVERAGE(E39:F39)</f>
        <v>0.13276421183385434</v>
      </c>
      <c r="H39" s="41">
        <f t="shared" ref="H39:K39" si="16">AVERAGE(F39:G39)</f>
        <v>0.13186609767876956</v>
      </c>
      <c r="I39" s="41">
        <f t="shared" si="16"/>
        <v>0.13231515475631195</v>
      </c>
      <c r="J39" s="41">
        <f t="shared" si="16"/>
        <v>0.13209062621754075</v>
      </c>
      <c r="K39" s="41">
        <f t="shared" si="16"/>
        <v>0.13220289048692635</v>
      </c>
      <c r="L39"/>
      <c r="N39" s="41"/>
      <c r="O39" s="41"/>
      <c r="P39" s="41"/>
      <c r="Q39" s="41"/>
      <c r="R39" s="41"/>
      <c r="S39" s="41"/>
    </row>
    <row r="40" spans="3:19">
      <c r="C40" t="s">
        <v>40</v>
      </c>
      <c r="D40" s="19"/>
      <c r="E40" s="19">
        <f t="shared" si="15"/>
        <v>0.19905681070410175</v>
      </c>
      <c r="F40" s="19">
        <f t="shared" si="15"/>
        <v>0.21495701088447827</v>
      </c>
      <c r="G40" s="20">
        <f>AVERAGE($E$40:$F$40)</f>
        <v>0.20700691079429001</v>
      </c>
      <c r="H40" s="20">
        <f t="shared" ref="H40:K40" si="17">AVERAGE($E$40:$F$40)</f>
        <v>0.20700691079429001</v>
      </c>
      <c r="I40" s="20">
        <f t="shared" si="17"/>
        <v>0.20700691079429001</v>
      </c>
      <c r="J40" s="20">
        <f t="shared" si="17"/>
        <v>0.20700691079429001</v>
      </c>
      <c r="K40" s="20">
        <f t="shared" si="17"/>
        <v>0.20700691079429001</v>
      </c>
      <c r="N40" s="20"/>
      <c r="O40" s="20"/>
      <c r="P40" s="20"/>
      <c r="Q40" s="20"/>
      <c r="R40" s="20"/>
      <c r="S40" s="20"/>
    </row>
    <row r="41" spans="3:19">
      <c r="C41" t="s">
        <v>41</v>
      </c>
      <c r="D41" s="19"/>
      <c r="E41" s="19">
        <f t="shared" si="15"/>
        <v>0.1342704149933065</v>
      </c>
      <c r="F41" s="19">
        <f t="shared" si="15"/>
        <v>7.4963609898107686E-2</v>
      </c>
      <c r="G41" s="20">
        <f>AVERAGE($E$41:$F$41)</f>
        <v>0.10461701244570709</v>
      </c>
      <c r="H41" s="20">
        <f t="shared" ref="H41:K41" si="18">AVERAGE($E$41:$F$41)</f>
        <v>0.10461701244570709</v>
      </c>
      <c r="I41" s="20">
        <f t="shared" si="18"/>
        <v>0.10461701244570709</v>
      </c>
      <c r="J41" s="20">
        <f t="shared" si="18"/>
        <v>0.10461701244570709</v>
      </c>
      <c r="K41" s="20">
        <f t="shared" si="18"/>
        <v>0.10461701244570709</v>
      </c>
      <c r="N41" s="20"/>
      <c r="O41" s="20"/>
      <c r="P41" s="20"/>
      <c r="Q41" s="20"/>
      <c r="R41" s="20"/>
      <c r="S41" s="20"/>
    </row>
    <row r="42" spans="3:19">
      <c r="C42" t="s">
        <v>49</v>
      </c>
      <c r="D42" s="19"/>
      <c r="E42" s="19"/>
      <c r="F42" s="19"/>
      <c r="G42" s="20"/>
      <c r="H42" s="20"/>
      <c r="I42" s="20"/>
      <c r="J42" s="20"/>
      <c r="K42" s="20"/>
      <c r="N42" s="20"/>
      <c r="O42" s="20"/>
      <c r="P42" s="20"/>
      <c r="Q42" s="20"/>
      <c r="R42" s="20"/>
      <c r="S42" s="20"/>
    </row>
    <row r="43" spans="3:19">
      <c r="C43" s="22" t="s">
        <v>34</v>
      </c>
      <c r="D43" s="19">
        <f>D23/D21</f>
        <v>0.68920085883491022</v>
      </c>
      <c r="E43" s="19">
        <f>E23/E21</f>
        <v>0.69764443827971379</v>
      </c>
      <c r="F43" s="19">
        <f>F23/F21</f>
        <v>0.68823742386165188</v>
      </c>
      <c r="G43" s="20">
        <f>AVERAGE($D$43:$F$43)</f>
        <v>0.69169424032542537</v>
      </c>
      <c r="H43" s="20">
        <f t="shared" ref="H43:K43" si="19">AVERAGE($D$43:$F$43)</f>
        <v>0.69169424032542537</v>
      </c>
      <c r="I43" s="20">
        <f t="shared" si="19"/>
        <v>0.69169424032542537</v>
      </c>
      <c r="J43" s="20">
        <f t="shared" si="19"/>
        <v>0.69169424032542537</v>
      </c>
      <c r="K43" s="20">
        <f t="shared" si="19"/>
        <v>0.69169424032542537</v>
      </c>
      <c r="N43" s="20"/>
      <c r="O43" s="20"/>
      <c r="P43" s="20"/>
      <c r="Q43" s="20"/>
      <c r="R43" s="20"/>
      <c r="S43" s="20"/>
    </row>
    <row r="44" spans="3:19">
      <c r="C44" s="22" t="s">
        <v>35</v>
      </c>
      <c r="D44" s="19">
        <f>-D24/D21</f>
        <v>0.12832975485454073</v>
      </c>
      <c r="E44" s="19">
        <f>-E24/E21</f>
        <v>0.12038903076835208</v>
      </c>
      <c r="F44" s="19">
        <f>-F24/F21</f>
        <v>0.11531853871164686</v>
      </c>
      <c r="G44" s="20">
        <f>AVERAGE($D$44:$F$44)</f>
        <v>0.12134577477817989</v>
      </c>
      <c r="H44" s="20">
        <f t="shared" ref="H44:K44" si="20">AVERAGE($D$44:$F$44)</f>
        <v>0.12134577477817989</v>
      </c>
      <c r="I44" s="20">
        <f t="shared" si="20"/>
        <v>0.12134577477817989</v>
      </c>
      <c r="J44" s="20">
        <f t="shared" si="20"/>
        <v>0.12134577477817989</v>
      </c>
      <c r="K44" s="20">
        <f t="shared" si="20"/>
        <v>0.12134577477817989</v>
      </c>
      <c r="N44" s="20"/>
      <c r="O44" s="20"/>
      <c r="P44" s="20"/>
      <c r="Q44" s="20"/>
      <c r="R44" s="20"/>
      <c r="S44" s="20"/>
    </row>
    <row r="45" spans="3:19">
      <c r="C45" s="22" t="s">
        <v>36</v>
      </c>
      <c r="D45" s="19">
        <f>-D25/D21</f>
        <v>0.14314229761932851</v>
      </c>
      <c r="E45" s="19">
        <f>-E25/E21</f>
        <v>0.13081241177862452</v>
      </c>
      <c r="F45" s="19">
        <f>-F25/F21</f>
        <v>0.11669932274140649</v>
      </c>
      <c r="G45" s="20">
        <f>AVERAGE($D$45:$F$45)</f>
        <v>0.13021801071311984</v>
      </c>
      <c r="H45" s="20">
        <f t="shared" ref="H45:K45" si="21">AVERAGE($D$45:$F$45)</f>
        <v>0.13021801071311984</v>
      </c>
      <c r="I45" s="20">
        <f t="shared" si="21"/>
        <v>0.13021801071311984</v>
      </c>
      <c r="J45" s="20">
        <f t="shared" si="21"/>
        <v>0.13021801071311984</v>
      </c>
      <c r="K45" s="20">
        <f t="shared" si="21"/>
        <v>0.13021801071311984</v>
      </c>
      <c r="N45" s="20"/>
      <c r="O45" s="20"/>
      <c r="P45" s="20"/>
      <c r="Q45" s="20"/>
      <c r="R45" s="20"/>
      <c r="S45" s="20"/>
    </row>
    <row r="46" spans="3:19">
      <c r="C46" s="22" t="s">
        <v>0</v>
      </c>
      <c r="D46" s="19">
        <f>-(D31/D30)</f>
        <v>0.18978625253328257</v>
      </c>
      <c r="E46" s="19">
        <f>-(E31/E30)</f>
        <v>0.18231326597827197</v>
      </c>
      <c r="F46" s="19">
        <f>-(F31/F30)</f>
        <v>0.17629644009803683</v>
      </c>
      <c r="G46" s="20">
        <f>AVERAGE($D$46:$F$46)</f>
        <v>0.18279865286986377</v>
      </c>
      <c r="H46" s="20">
        <f t="shared" ref="H46:K46" si="22">AVERAGE($D$46:$F$46)</f>
        <v>0.18279865286986377</v>
      </c>
      <c r="I46" s="20">
        <f t="shared" si="22"/>
        <v>0.18279865286986377</v>
      </c>
      <c r="J46" s="20">
        <f t="shared" si="22"/>
        <v>0.18279865286986377</v>
      </c>
      <c r="K46" s="20">
        <f t="shared" si="22"/>
        <v>0.18279865286986377</v>
      </c>
      <c r="N46" s="20"/>
      <c r="O46" s="20"/>
      <c r="P46" s="20"/>
      <c r="Q46" s="20"/>
      <c r="R46" s="20"/>
      <c r="S46" s="20"/>
    </row>
    <row r="47" spans="3:19">
      <c r="C47" t="s">
        <v>45</v>
      </c>
      <c r="D47" s="42">
        <f>((F35/D35)^(1/2))-1</f>
        <v>0.11618283181385669</v>
      </c>
    </row>
    <row r="48" spans="3:19">
      <c r="C48" s="21" t="s">
        <v>54</v>
      </c>
      <c r="D48" s="42"/>
    </row>
    <row r="49" spans="3:22" ht="15.75" customHeight="1">
      <c r="C49" t="s">
        <v>53</v>
      </c>
      <c r="D49" s="45">
        <f>((K21/G21)^(1/4))-1</f>
        <v>0.15881281060814212</v>
      </c>
      <c r="E49" s="46"/>
      <c r="F49" s="46"/>
      <c r="G49" s="46"/>
      <c r="H49" s="46"/>
      <c r="I49" s="46"/>
      <c r="J49" s="46"/>
      <c r="K49" s="46"/>
      <c r="U49" s="23"/>
      <c r="V49" s="23"/>
    </row>
    <row r="50" spans="3:22" ht="15.75" customHeight="1">
      <c r="C50" t="s">
        <v>55</v>
      </c>
      <c r="D50" s="45">
        <f>D26/D21</f>
        <v>0.41772880636104098</v>
      </c>
      <c r="E50" s="45">
        <f t="shared" ref="E50:K50" si="23">E26/E21</f>
        <v>0.44644299573273716</v>
      </c>
      <c r="F50" s="45">
        <f t="shared" si="23"/>
        <v>0.45621956240859851</v>
      </c>
      <c r="G50" s="45">
        <f t="shared" si="23"/>
        <v>0.44013045483412566</v>
      </c>
      <c r="H50" s="45">
        <f t="shared" si="23"/>
        <v>0.44013045483412566</v>
      </c>
      <c r="I50" s="45">
        <f t="shared" si="23"/>
        <v>0.44013045483412566</v>
      </c>
      <c r="J50" s="45">
        <f t="shared" si="23"/>
        <v>0.44013045483412566</v>
      </c>
      <c r="K50" s="45">
        <f t="shared" si="23"/>
        <v>0.44013045483412566</v>
      </c>
      <c r="U50" s="23"/>
      <c r="V50" s="23"/>
    </row>
    <row r="51" spans="3:22" ht="15.75" customHeight="1">
      <c r="C51" t="s">
        <v>56</v>
      </c>
      <c r="D51" s="45">
        <f>D32/D21</f>
        <v>0.34146237878394642</v>
      </c>
      <c r="E51" s="45">
        <f t="shared" ref="E51:K51" si="24">E32/E21</f>
        <v>0.35955972944084985</v>
      </c>
      <c r="F51" s="45">
        <f t="shared" si="24"/>
        <v>0.36146015248967073</v>
      </c>
      <c r="G51" s="45">
        <f t="shared" si="24"/>
        <v>0.34797583749798222</v>
      </c>
      <c r="H51" s="45">
        <f t="shared" si="24"/>
        <v>0.34922447369344728</v>
      </c>
      <c r="I51" s="45">
        <f t="shared" si="24"/>
        <v>0.35087130040748377</v>
      </c>
      <c r="J51" s="45">
        <f t="shared" si="24"/>
        <v>0.3520392171456011</v>
      </c>
      <c r="K51" s="45">
        <f t="shared" si="24"/>
        <v>0.35306948884170741</v>
      </c>
      <c r="U51" s="23"/>
      <c r="V51" s="23"/>
    </row>
    <row r="52" spans="3:22" ht="15.75" customHeight="1">
      <c r="C52" s="14" t="s">
        <v>21</v>
      </c>
      <c r="D52" s="14"/>
      <c r="E52" s="14"/>
      <c r="F52" s="14"/>
      <c r="G52" s="14"/>
      <c r="H52" s="14"/>
      <c r="I52" s="14"/>
      <c r="J52" s="14"/>
      <c r="K52" s="14"/>
      <c r="U52" s="23"/>
      <c r="V52" s="23"/>
    </row>
    <row r="53" spans="3:22" ht="15.75" customHeight="1">
      <c r="C53" t="s">
        <v>50</v>
      </c>
      <c r="D53" s="7">
        <f t="shared" ref="D53:K54" si="25">D14</f>
        <v>2023</v>
      </c>
      <c r="E53" s="7">
        <f t="shared" si="25"/>
        <v>2024</v>
      </c>
      <c r="F53" s="7">
        <f t="shared" si="25"/>
        <v>2025</v>
      </c>
      <c r="G53" s="7">
        <f t="shared" si="25"/>
        <v>2026</v>
      </c>
      <c r="H53" s="7">
        <f t="shared" si="25"/>
        <v>2027</v>
      </c>
      <c r="I53" s="7">
        <f t="shared" si="25"/>
        <v>2028</v>
      </c>
      <c r="J53" s="7">
        <f t="shared" si="25"/>
        <v>2029</v>
      </c>
      <c r="K53" s="7">
        <f t="shared" si="25"/>
        <v>2030</v>
      </c>
      <c r="U53" s="23"/>
      <c r="V53" s="23"/>
    </row>
    <row r="54" spans="3:22" ht="15.75" customHeight="1">
      <c r="C54" t="s">
        <v>6</v>
      </c>
      <c r="D54" s="44">
        <f t="shared" si="25"/>
        <v>45107</v>
      </c>
      <c r="E54" s="44">
        <f t="shared" si="25"/>
        <v>45473</v>
      </c>
      <c r="F54" s="44">
        <f t="shared" si="25"/>
        <v>45838</v>
      </c>
      <c r="G54" s="44">
        <f t="shared" si="25"/>
        <v>46203</v>
      </c>
      <c r="H54" s="44">
        <f t="shared" si="25"/>
        <v>46568</v>
      </c>
      <c r="I54" s="44">
        <f t="shared" si="25"/>
        <v>46934</v>
      </c>
      <c r="J54" s="44">
        <f t="shared" si="25"/>
        <v>47299</v>
      </c>
      <c r="K54" s="44">
        <f t="shared" si="25"/>
        <v>47664</v>
      </c>
      <c r="S54" s="14"/>
      <c r="U54" s="23"/>
      <c r="V54" s="23"/>
    </row>
    <row r="55" spans="3:22" ht="15.75" customHeight="1"/>
    <row r="56" spans="3:22" ht="15.75" customHeight="1">
      <c r="C56" t="s">
        <v>19</v>
      </c>
      <c r="G56" s="23">
        <f>F59</f>
        <v>204966</v>
      </c>
      <c r="H56" s="23">
        <f t="shared" ref="H56:K56" si="26">G59</f>
        <v>245960.08802919576</v>
      </c>
      <c r="I56" s="23">
        <f t="shared" si="26"/>
        <v>293366.60669152555</v>
      </c>
      <c r="J56" s="23">
        <f t="shared" si="26"/>
        <v>348269.50580800901</v>
      </c>
      <c r="K56" s="23">
        <f t="shared" si="26"/>
        <v>411932.85944003036</v>
      </c>
    </row>
    <row r="57" spans="3:22" ht="15.75" customHeight="1">
      <c r="C57" t="s">
        <v>48</v>
      </c>
      <c r="D57" s="3">
        <v>28107</v>
      </c>
      <c r="E57" s="3">
        <v>44477</v>
      </c>
      <c r="F57" s="3">
        <v>64551</v>
      </c>
      <c r="G57" s="23">
        <f>G62*G21</f>
        <v>62189.123084595311</v>
      </c>
      <c r="H57" s="23">
        <f>H62*H21</f>
        <v>71916.951098024787</v>
      </c>
      <c r="I57" s="23">
        <f>I62*I21</f>
        <v>83289.159852133322</v>
      </c>
      <c r="J57" s="23">
        <f>J62*J21</f>
        <v>96579.002615699021</v>
      </c>
      <c r="K57" s="23">
        <f>K62*K21</f>
        <v>112141.81571820713</v>
      </c>
      <c r="L57" s="14"/>
    </row>
    <row r="58" spans="3:22" ht="15" customHeight="1">
      <c r="C58" t="s">
        <v>46</v>
      </c>
      <c r="D58" s="3">
        <v>-11000</v>
      </c>
      <c r="E58" s="3">
        <v>-15200</v>
      </c>
      <c r="F58" s="3">
        <v>-22000</v>
      </c>
      <c r="G58" s="16">
        <f>-(G57*$F$61)</f>
        <v>-21195.035055399559</v>
      </c>
      <c r="H58" s="16">
        <f t="shared" ref="H58:K58" si="27">-(H57*$F$61)</f>
        <v>-24510.432435694962</v>
      </c>
      <c r="I58" s="16">
        <f t="shared" si="27"/>
        <v>-28386.260735649845</v>
      </c>
      <c r="J58" s="16">
        <f t="shared" si="27"/>
        <v>-32915.648983677689</v>
      </c>
      <c r="K58" s="16">
        <f t="shared" si="27"/>
        <v>-38219.701411295828</v>
      </c>
    </row>
    <row r="59" spans="3:22">
      <c r="C59" t="s">
        <v>20</v>
      </c>
      <c r="E59" s="3">
        <v>135591</v>
      </c>
      <c r="F59" s="3">
        <v>204966</v>
      </c>
      <c r="G59" s="23">
        <f>G56+G57+G58</f>
        <v>245960.08802919576</v>
      </c>
      <c r="H59" s="23">
        <f t="shared" ref="H59:K59" si="28">H56+H57+H58</f>
        <v>293366.60669152555</v>
      </c>
      <c r="I59" s="23">
        <f t="shared" si="28"/>
        <v>348269.50580800901</v>
      </c>
      <c r="J59" s="23">
        <f t="shared" si="28"/>
        <v>411932.85944003036</v>
      </c>
      <c r="K59" s="23">
        <f t="shared" si="28"/>
        <v>485854.97374694166</v>
      </c>
    </row>
    <row r="61" spans="3:22" ht="15.75" customHeight="1">
      <c r="C61" t="s">
        <v>47</v>
      </c>
      <c r="D61" s="4">
        <f>-(D58/D57)</f>
        <v>0.39136158252392644</v>
      </c>
      <c r="E61" s="4">
        <f>-(E58/E57)</f>
        <v>0.34174966836792048</v>
      </c>
      <c r="F61" s="4">
        <f>-(F58/F57)</f>
        <v>0.34081578906600984</v>
      </c>
      <c r="H61" s="23"/>
      <c r="L61" s="14"/>
    </row>
    <row r="62" spans="3:22" ht="15.75" customHeight="1">
      <c r="C62" t="s">
        <v>52</v>
      </c>
      <c r="D62" s="4">
        <f>D57/D21</f>
        <v>0.13263336715192411</v>
      </c>
      <c r="E62" s="4">
        <f>E57/E21</f>
        <v>0.18144842160230415</v>
      </c>
      <c r="F62" s="4">
        <f>F57/F21</f>
        <v>0.22912850875324786</v>
      </c>
      <c r="G62" s="4">
        <f>AVERAGE($D$62:$F$62)+$K$63</f>
        <v>0.19107009916915874</v>
      </c>
      <c r="H62" s="4">
        <f>AVERAGE($D$62:$F$62)+$K$63</f>
        <v>0.19107009916915874</v>
      </c>
      <c r="I62" s="4">
        <f>AVERAGE($D$62:$F$62)+$K$63</f>
        <v>0.19107009916915874</v>
      </c>
      <c r="J62" s="4">
        <f>AVERAGE($D$62:$F$62)+$K$63</f>
        <v>0.19107009916915874</v>
      </c>
      <c r="K62" s="4">
        <f>AVERAGE($D$62:$F$62)+$K$63</f>
        <v>0.19107009916915874</v>
      </c>
    </row>
    <row r="63" spans="3:22">
      <c r="C63" t="s">
        <v>23</v>
      </c>
      <c r="D63" s="23"/>
      <c r="K63" s="4">
        <v>0.01</v>
      </c>
      <c r="L63" s="14"/>
    </row>
    <row r="64" spans="3:22">
      <c r="C64" s="14"/>
      <c r="D64" s="23"/>
      <c r="K64" s="43"/>
      <c r="L64" s="14"/>
    </row>
    <row r="65" spans="3:12">
      <c r="C65" s="38" t="s">
        <v>51</v>
      </c>
    </row>
    <row r="66" spans="3:12">
      <c r="C66" s="22" t="s">
        <v>32</v>
      </c>
      <c r="D66" s="23">
        <f>D68+D58</f>
        <v>2861</v>
      </c>
      <c r="E66" s="23">
        <f>E68+E58</f>
        <v>7087</v>
      </c>
      <c r="F66" s="23">
        <f>F68+F58</f>
        <v>12153</v>
      </c>
      <c r="G66" s="23">
        <f>G21*G67</f>
        <v>9281.6352149920367</v>
      </c>
      <c r="H66" s="23">
        <f>H21*H67</f>
        <v>10733.499248064383</v>
      </c>
      <c r="I66" s="23">
        <f>I21*I67</f>
        <v>12430.784689777271</v>
      </c>
      <c r="J66" s="23">
        <f>J21*J67</f>
        <v>14414.274188869009</v>
      </c>
      <c r="K66" s="23">
        <f>K21*K67</f>
        <v>16737.00117024302</v>
      </c>
    </row>
    <row r="67" spans="3:12">
      <c r="C67" s="18" t="s">
        <v>33</v>
      </c>
      <c r="D67" s="43">
        <f>D66/D21</f>
        <v>1.3500696033787132E-2</v>
      </c>
      <c r="E67" s="43">
        <f>E66/E21</f>
        <v>2.8912133549824168E-2</v>
      </c>
      <c r="F67" s="43">
        <f>F66/F21</f>
        <v>4.3137964816629043E-2</v>
      </c>
      <c r="G67" s="43">
        <f>AVERAGE($D$67:$F67)</f>
        <v>2.8516931466746779E-2</v>
      </c>
      <c r="H67" s="43">
        <f>AVERAGE($D$67:$F67)</f>
        <v>2.8516931466746779E-2</v>
      </c>
      <c r="I67" s="43">
        <f>AVERAGE($D$67:$F67)</f>
        <v>2.8516931466746779E-2</v>
      </c>
      <c r="J67" s="43">
        <f>AVERAGE($D$67:$F67)</f>
        <v>2.8516931466746779E-2</v>
      </c>
      <c r="K67" s="43">
        <f>AVERAGE($D$67:$F67)</f>
        <v>2.8516931466746779E-2</v>
      </c>
    </row>
    <row r="68" spans="3:12">
      <c r="C68" s="21" t="s">
        <v>31</v>
      </c>
      <c r="D68">
        <v>13861</v>
      </c>
      <c r="E68">
        <v>22287</v>
      </c>
      <c r="F68">
        <v>34153</v>
      </c>
      <c r="G68" s="23">
        <f>-G58+G66</f>
        <v>30476.670270391594</v>
      </c>
      <c r="H68" s="23">
        <f>-H58+H66</f>
        <v>35243.931683759343</v>
      </c>
      <c r="I68" s="23">
        <f>-I58+I66</f>
        <v>40817.045425427117</v>
      </c>
      <c r="J68" s="23">
        <f>-J58+J66</f>
        <v>47329.923172546696</v>
      </c>
      <c r="K68" s="23">
        <f>-K58+K66</f>
        <v>54956.702581538848</v>
      </c>
    </row>
    <row r="71" spans="3:12">
      <c r="L71" s="14"/>
    </row>
    <row r="80" spans="3:12">
      <c r="D80" s="23"/>
      <c r="E80" s="23"/>
    </row>
    <row r="112" spans="12:12"/>
    <row r="122" spans="3:3" ht="15" customHeight="1"/>
    <row r="128" spans="3:3"/>
    <row r="129" spans="3:3"/>
    <row r="147" spans="5:18">
      <c r="R147" s="23"/>
    </row>
    <row r="148" spans="5:18">
      <c r="R148" s="23"/>
    </row>
    <row r="150" spans="5:18">
      <c r="R150" s="23"/>
    </row>
    <row r="156" spans="5:18"/>
    <row r="162" spans="3:8"/>
    <row r="163" spans="3:8"/>
    <row r="166" spans="3:8" ht="15" customHeight="1"/>
    <row r="167" spans="3:8" ht="15" customHeight="1"/>
    <row r="168" spans="3:8">
      <c r="C168" s="25"/>
      <c r="D168" s="31"/>
      <c r="E168" s="31"/>
      <c r="F168" s="31"/>
      <c r="G168" s="31"/>
      <c r="H168" s="31"/>
    </row>
  </sheetData>
  <conditionalFormatting sqref="C45">
    <cfRule type="expression" dxfId="0" priority="1">
      <formula>#REF!=$C45</formula>
    </cfRule>
  </conditionalFormatting>
  <dataValidations count="2">
    <dataValidation type="list" allowBlank="1" showInputMessage="1" showErrorMessage="1" sqref="D7" xr:uid="{19E5F1E5-3DDF-4AA3-B8B0-9E82139D26A5}">
      <formula1>"0,1"</formula1>
    </dataValidation>
    <dataValidation type="list" allowBlank="1" showInputMessage="1" showErrorMessage="1" sqref="C3:C4" xr:uid="{A5BFF76B-2D0E-4D72-A12E-1DD069158069}">
      <formula1>"$ bns except per share, $ mm except per share,$ in thousands except per share"</formula1>
    </dataValidation>
  </dataValidations>
  <pageMargins left="0.7" right="0.7" top="0.75" bottom="0.75" header="0.3" footer="0.3"/>
  <pageSetup scale="3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'Income Statement'!Print_Area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Salinas, Julio A</cp:lastModifiedBy>
  <cp:lastPrinted>2014-05-21T15:17:24Z</cp:lastPrinted>
  <dcterms:created xsi:type="dcterms:W3CDTF">2011-11-04T21:28:06Z</dcterms:created>
  <dcterms:modified xsi:type="dcterms:W3CDTF">2025-09-13T20:21:22Z</dcterms:modified>
</cp:coreProperties>
</file>