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Ben/Dropbox/Provincial EPS/eps-1.4.2-alberta-wipB/InputData/elec/CCaMC/"/>
    </mc:Choice>
  </mc:AlternateContent>
  <xr:revisionPtr revIDLastSave="0" documentId="13_ncr:1_{75E72330-3EC6-784E-9225-8028C864AE0F}" xr6:coauthVersionLast="36" xr6:coauthVersionMax="36" xr10:uidLastSave="{00000000-0000-0000-0000-000000000000}"/>
  <bookViews>
    <workbookView xWindow="-23520" yWindow="460" windowWidth="23500" windowHeight="18360" xr2:uid="{00000000-000D-0000-FFFF-FFFF00000000}"/>
  </bookViews>
  <sheets>
    <sheet name="About" sheetId="2" r:id="rId1"/>
    <sheet name="EIA Costs" sheetId="10" r:id="rId2"/>
    <sheet name="Coal Cost Multipliers" sheetId="12" r:id="rId3"/>
    <sheet name="Cost Improvement and Off Wnd" sheetId="15" r:id="rId4"/>
    <sheet name="AB Gen and Cap Costs" sheetId="16" r:id="rId5"/>
    <sheet name="Cogen" sheetId="18" r:id="rId6"/>
    <sheet name="Start Year Wind and Solar" sheetId="9" r:id="rId7"/>
    <sheet name="CCaMC-BCCpUC" sheetId="6" r:id="rId8"/>
    <sheet name="CCaMC-AFOaMCpUC" sheetId="7" r:id="rId9"/>
    <sheet name="CCaMC-VOaMCpUC" sheetId="8" r:id="rId10"/>
  </sheets>
  <definedNames>
    <definedName name="USD_to_CAN">About!$A$75</definedName>
  </definedNames>
  <calcPr calcId="179021"/>
</workbook>
</file>

<file path=xl/calcChain.xml><?xml version="1.0" encoding="utf-8"?>
<calcChain xmlns="http://schemas.openxmlformats.org/spreadsheetml/2006/main">
  <c r="M2" i="6" l="1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L3" i="6"/>
  <c r="B13" i="7"/>
  <c r="K2" i="6" l="1"/>
  <c r="J2" i="6"/>
  <c r="I2" i="6"/>
  <c r="H2" i="6"/>
  <c r="F2" i="6"/>
  <c r="N2" i="6" s="1"/>
  <c r="E2" i="6"/>
  <c r="F12" i="18"/>
  <c r="D16" i="18"/>
  <c r="B17" i="18"/>
  <c r="B16" i="18"/>
  <c r="D2" i="6"/>
  <c r="C2" i="6"/>
  <c r="B2" i="6"/>
  <c r="G2" i="6" l="1"/>
  <c r="A77" i="2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E119" i="15"/>
  <c r="D119" i="15"/>
  <c r="D12" i="18"/>
  <c r="D13" i="18"/>
  <c r="D14" i="18"/>
  <c r="F119" i="15"/>
  <c r="C3" i="6"/>
  <c r="D3" i="6" s="1"/>
  <c r="G119" i="15"/>
  <c r="C4" i="6"/>
  <c r="H119" i="15"/>
  <c r="C5" i="6"/>
  <c r="I119" i="15"/>
  <c r="C6" i="6"/>
  <c r="J119" i="15"/>
  <c r="C7" i="6"/>
  <c r="K119" i="15"/>
  <c r="C8" i="6"/>
  <c r="L119" i="15"/>
  <c r="C9" i="6"/>
  <c r="M119" i="15"/>
  <c r="C10" i="6"/>
  <c r="N119" i="15"/>
  <c r="C11" i="6"/>
  <c r="O119" i="15"/>
  <c r="C12" i="6"/>
  <c r="P119" i="15"/>
  <c r="C13" i="6"/>
  <c r="Q119" i="15"/>
  <c r="C14" i="6"/>
  <c r="R119" i="15"/>
  <c r="C15" i="6"/>
  <c r="S119" i="15"/>
  <c r="C16" i="6"/>
  <c r="T119" i="15"/>
  <c r="C17" i="6"/>
  <c r="U119" i="15"/>
  <c r="C18" i="6"/>
  <c r="V119" i="15"/>
  <c r="C19" i="6"/>
  <c r="W119" i="15"/>
  <c r="C20" i="6"/>
  <c r="X119" i="15"/>
  <c r="C21" i="6"/>
  <c r="Y119" i="15"/>
  <c r="C22" i="6"/>
  <c r="Z119" i="15"/>
  <c r="C23" i="6"/>
  <c r="AA119" i="15"/>
  <c r="C24" i="6"/>
  <c r="AB119" i="15"/>
  <c r="C25" i="6"/>
  <c r="AC119" i="15"/>
  <c r="C26" i="6"/>
  <c r="AD119" i="15"/>
  <c r="C27" i="6"/>
  <c r="AE119" i="15"/>
  <c r="C28" i="6"/>
  <c r="AF119" i="15"/>
  <c r="C29" i="6"/>
  <c r="AG119" i="15"/>
  <c r="C30" i="6"/>
  <c r="AH119" i="15"/>
  <c r="C31" i="6"/>
  <c r="AI119" i="15"/>
  <c r="C32" i="6"/>
  <c r="AJ119" i="15"/>
  <c r="C33" i="6"/>
  <c r="AK119" i="15"/>
  <c r="C34" i="6"/>
  <c r="AL119" i="15"/>
  <c r="C35" i="6"/>
  <c r="D6" i="8"/>
  <c r="D14" i="8" s="1"/>
  <c r="B6" i="8"/>
  <c r="B14" i="8" s="1"/>
  <c r="D3" i="8"/>
  <c r="D4" i="8" s="1"/>
  <c r="B3" i="8"/>
  <c r="B4" i="8"/>
  <c r="D6" i="7"/>
  <c r="D14" i="7" s="1"/>
  <c r="B6" i="7"/>
  <c r="B14" i="7" s="1"/>
  <c r="D3" i="7"/>
  <c r="E12" i="18"/>
  <c r="E13" i="18"/>
  <c r="B19" i="18"/>
  <c r="B4" i="7"/>
  <c r="B3" i="7"/>
  <c r="G14" i="18"/>
  <c r="F14" i="18"/>
  <c r="E14" i="18"/>
  <c r="C14" i="18"/>
  <c r="B14" i="18"/>
  <c r="G13" i="18"/>
  <c r="F13" i="18"/>
  <c r="C13" i="18"/>
  <c r="B13" i="18"/>
  <c r="G12" i="18"/>
  <c r="C12" i="18"/>
  <c r="B12" i="18"/>
  <c r="E118" i="15"/>
  <c r="B13" i="8"/>
  <c r="B12" i="8"/>
  <c r="B11" i="8" s="1"/>
  <c r="B7" i="8"/>
  <c r="B2" i="8"/>
  <c r="B7" i="7"/>
  <c r="B12" i="7"/>
  <c r="B11" i="7" s="1"/>
  <c r="D13" i="8"/>
  <c r="D12" i="8"/>
  <c r="D11" i="8" s="1"/>
  <c r="D10" i="8"/>
  <c r="D9" i="8"/>
  <c r="D8" i="8"/>
  <c r="D7" i="8"/>
  <c r="D5" i="8"/>
  <c r="D2" i="8"/>
  <c r="B10" i="8"/>
  <c r="B9" i="8"/>
  <c r="B8" i="8"/>
  <c r="B5" i="8"/>
  <c r="D13" i="7"/>
  <c r="D12" i="7"/>
  <c r="D11" i="7" s="1"/>
  <c r="D10" i="7"/>
  <c r="D9" i="7"/>
  <c r="D8" i="7"/>
  <c r="D7" i="7"/>
  <c r="D5" i="7"/>
  <c r="D2" i="7"/>
  <c r="B10" i="7"/>
  <c r="B9" i="7"/>
  <c r="B8" i="7"/>
  <c r="B5" i="7"/>
  <c r="B2" i="7"/>
  <c r="B122" i="15"/>
  <c r="C122" i="15"/>
  <c r="D122" i="15"/>
  <c r="E122" i="15"/>
  <c r="F122" i="15"/>
  <c r="H3" i="6"/>
  <c r="G122" i="15"/>
  <c r="H4" i="6"/>
  <c r="H122" i="15"/>
  <c r="H5" i="6"/>
  <c r="I122" i="15"/>
  <c r="H6" i="6"/>
  <c r="J122" i="15"/>
  <c r="H7" i="6"/>
  <c r="K122" i="15"/>
  <c r="H8" i="6"/>
  <c r="L122" i="15"/>
  <c r="H9" i="6"/>
  <c r="M122" i="15"/>
  <c r="H10" i="6"/>
  <c r="N122" i="15"/>
  <c r="H11" i="6"/>
  <c r="O122" i="15"/>
  <c r="H12" i="6"/>
  <c r="P122" i="15"/>
  <c r="H13" i="6"/>
  <c r="Q122" i="15"/>
  <c r="H14" i="6"/>
  <c r="R122" i="15"/>
  <c r="H15" i="6"/>
  <c r="S122" i="15"/>
  <c r="H16" i="6"/>
  <c r="T122" i="15"/>
  <c r="H17" i="6"/>
  <c r="U122" i="15"/>
  <c r="H18" i="6"/>
  <c r="V122" i="15"/>
  <c r="H19" i="6"/>
  <c r="W122" i="15"/>
  <c r="H20" i="6"/>
  <c r="X122" i="15"/>
  <c r="H21" i="6"/>
  <c r="Y122" i="15"/>
  <c r="H22" i="6"/>
  <c r="Z122" i="15"/>
  <c r="H23" i="6"/>
  <c r="AA122" i="15"/>
  <c r="H24" i="6"/>
  <c r="AB122" i="15"/>
  <c r="H25" i="6"/>
  <c r="AC122" i="15"/>
  <c r="H26" i="6"/>
  <c r="AD122" i="15"/>
  <c r="H27" i="6"/>
  <c r="AE122" i="15"/>
  <c r="H28" i="6"/>
  <c r="AF122" i="15"/>
  <c r="H29" i="6"/>
  <c r="AG122" i="15"/>
  <c r="H30" i="6"/>
  <c r="AH122" i="15"/>
  <c r="H31" i="6"/>
  <c r="AI122" i="15"/>
  <c r="H32" i="6"/>
  <c r="AJ122" i="15"/>
  <c r="H33" i="6"/>
  <c r="AK122" i="15"/>
  <c r="H34" i="6"/>
  <c r="AL122" i="15"/>
  <c r="H35" i="6"/>
  <c r="C118" i="15"/>
  <c r="D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AA118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C119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C121" i="15"/>
  <c r="D121" i="15"/>
  <c r="E121" i="15"/>
  <c r="F121" i="15"/>
  <c r="E3" i="6"/>
  <c r="G121" i="15"/>
  <c r="E4" i="6"/>
  <c r="H121" i="15"/>
  <c r="E5" i="6"/>
  <c r="I121" i="15"/>
  <c r="E6" i="6"/>
  <c r="J121" i="15"/>
  <c r="E7" i="6"/>
  <c r="K121" i="15"/>
  <c r="E8" i="6"/>
  <c r="L121" i="15"/>
  <c r="E9" i="6"/>
  <c r="M121" i="15"/>
  <c r="E10" i="6"/>
  <c r="N121" i="15"/>
  <c r="E11" i="6"/>
  <c r="O121" i="15"/>
  <c r="E12" i="6"/>
  <c r="P121" i="15"/>
  <c r="E13" i="6"/>
  <c r="Q121" i="15"/>
  <c r="E14" i="6"/>
  <c r="R121" i="15"/>
  <c r="E15" i="6"/>
  <c r="S121" i="15"/>
  <c r="E16" i="6"/>
  <c r="T121" i="15"/>
  <c r="E17" i="6"/>
  <c r="U121" i="15"/>
  <c r="E18" i="6"/>
  <c r="V121" i="15"/>
  <c r="E19" i="6"/>
  <c r="W121" i="15"/>
  <c r="E20" i="6"/>
  <c r="X121" i="15"/>
  <c r="E21" i="6"/>
  <c r="Y121" i="15"/>
  <c r="E22" i="6"/>
  <c r="Z121" i="15"/>
  <c r="E23" i="6"/>
  <c r="AA121" i="15"/>
  <c r="E24" i="6"/>
  <c r="AB121" i="15"/>
  <c r="E25" i="6"/>
  <c r="AC121" i="15"/>
  <c r="E26" i="6"/>
  <c r="AD121" i="15"/>
  <c r="E27" i="6"/>
  <c r="AE121" i="15"/>
  <c r="E28" i="6"/>
  <c r="AF121" i="15"/>
  <c r="E29" i="6"/>
  <c r="AG121" i="15"/>
  <c r="E30" i="6"/>
  <c r="AH121" i="15"/>
  <c r="E31" i="6"/>
  <c r="AI121" i="15"/>
  <c r="E32" i="6"/>
  <c r="AJ121" i="15"/>
  <c r="E33" i="6"/>
  <c r="AK121" i="15"/>
  <c r="E34" i="6"/>
  <c r="AL121" i="15"/>
  <c r="E35" i="6"/>
  <c r="C123" i="15"/>
  <c r="D123" i="15"/>
  <c r="E123" i="15"/>
  <c r="F123" i="15"/>
  <c r="I3" i="6"/>
  <c r="G123" i="15"/>
  <c r="I4" i="6"/>
  <c r="H123" i="15"/>
  <c r="I5" i="6"/>
  <c r="I123" i="15"/>
  <c r="I6" i="6"/>
  <c r="J123" i="15"/>
  <c r="I7" i="6"/>
  <c r="K123" i="15"/>
  <c r="I8" i="6"/>
  <c r="L123" i="15"/>
  <c r="I9" i="6"/>
  <c r="M123" i="15"/>
  <c r="I10" i="6"/>
  <c r="N123" i="15"/>
  <c r="I11" i="6"/>
  <c r="O123" i="15"/>
  <c r="I12" i="6"/>
  <c r="P123" i="15"/>
  <c r="I13" i="6"/>
  <c r="Q123" i="15"/>
  <c r="I14" i="6"/>
  <c r="R123" i="15"/>
  <c r="I15" i="6"/>
  <c r="S123" i="15"/>
  <c r="I16" i="6"/>
  <c r="T123" i="15"/>
  <c r="I17" i="6"/>
  <c r="U123" i="15"/>
  <c r="I18" i="6"/>
  <c r="V123" i="15"/>
  <c r="I19" i="6"/>
  <c r="W123" i="15"/>
  <c r="I20" i="6"/>
  <c r="X123" i="15"/>
  <c r="I21" i="6"/>
  <c r="Y123" i="15"/>
  <c r="I22" i="6"/>
  <c r="Z123" i="15"/>
  <c r="I23" i="6"/>
  <c r="AA123" i="15"/>
  <c r="I24" i="6"/>
  <c r="AB123" i="15"/>
  <c r="I25" i="6"/>
  <c r="AC123" i="15"/>
  <c r="I26" i="6"/>
  <c r="AD123" i="15"/>
  <c r="I27" i="6"/>
  <c r="AE123" i="15"/>
  <c r="I28" i="6"/>
  <c r="AF123" i="15"/>
  <c r="I29" i="6"/>
  <c r="AG123" i="15"/>
  <c r="I30" i="6"/>
  <c r="AH123" i="15"/>
  <c r="I31" i="6"/>
  <c r="AI123" i="15"/>
  <c r="I32" i="6"/>
  <c r="AJ123" i="15"/>
  <c r="I33" i="6"/>
  <c r="AK123" i="15"/>
  <c r="I34" i="6"/>
  <c r="AL123" i="15"/>
  <c r="I35" i="6"/>
  <c r="C124" i="15"/>
  <c r="D124" i="15"/>
  <c r="E124" i="15"/>
  <c r="F124" i="15"/>
  <c r="J3" i="6"/>
  <c r="G124" i="15"/>
  <c r="J4" i="6"/>
  <c r="H124" i="15"/>
  <c r="J5" i="6"/>
  <c r="I124" i="15"/>
  <c r="J6" i="6"/>
  <c r="J124" i="15"/>
  <c r="J7" i="6"/>
  <c r="K124" i="15"/>
  <c r="J8" i="6"/>
  <c r="L124" i="15"/>
  <c r="J9" i="6"/>
  <c r="M124" i="15"/>
  <c r="J10" i="6"/>
  <c r="N124" i="15"/>
  <c r="J11" i="6"/>
  <c r="O124" i="15"/>
  <c r="J12" i="6"/>
  <c r="P124" i="15"/>
  <c r="J13" i="6"/>
  <c r="Q124" i="15"/>
  <c r="J14" i="6"/>
  <c r="R124" i="15"/>
  <c r="J15" i="6"/>
  <c r="S124" i="15"/>
  <c r="J16" i="6"/>
  <c r="T124" i="15"/>
  <c r="J17" i="6"/>
  <c r="U124" i="15"/>
  <c r="J18" i="6"/>
  <c r="V124" i="15"/>
  <c r="J19" i="6"/>
  <c r="W124" i="15"/>
  <c r="J20" i="6"/>
  <c r="X124" i="15"/>
  <c r="J21" i="6"/>
  <c r="Y124" i="15"/>
  <c r="J22" i="6"/>
  <c r="Z124" i="15"/>
  <c r="J23" i="6"/>
  <c r="AA124" i="15"/>
  <c r="J24" i="6"/>
  <c r="AB124" i="15"/>
  <c r="J25" i="6"/>
  <c r="AC124" i="15"/>
  <c r="J26" i="6"/>
  <c r="AD124" i="15"/>
  <c r="J27" i="6"/>
  <c r="AE124" i="15"/>
  <c r="J28" i="6"/>
  <c r="AF124" i="15"/>
  <c r="J29" i="6"/>
  <c r="AG124" i="15"/>
  <c r="J30" i="6"/>
  <c r="AH124" i="15"/>
  <c r="J31" i="6"/>
  <c r="AI124" i="15"/>
  <c r="J32" i="6"/>
  <c r="AJ124" i="15"/>
  <c r="J33" i="6"/>
  <c r="AK124" i="15"/>
  <c r="J34" i="6"/>
  <c r="AL124" i="15"/>
  <c r="J35" i="6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B119" i="15"/>
  <c r="B120" i="15"/>
  <c r="B121" i="15"/>
  <c r="B123" i="15"/>
  <c r="B124" i="15"/>
  <c r="B125" i="15"/>
  <c r="B126" i="15"/>
  <c r="B118" i="15"/>
  <c r="A71" i="2"/>
  <c r="B35" i="12"/>
  <c r="B34" i="12"/>
  <c r="B33" i="12"/>
  <c r="C13" i="8"/>
  <c r="C13" i="7"/>
  <c r="L21" i="6"/>
  <c r="K21" i="6"/>
  <c r="B13" i="6"/>
  <c r="L35" i="6"/>
  <c r="K35" i="6"/>
  <c r="K34" i="6"/>
  <c r="L34" i="6"/>
  <c r="K26" i="6"/>
  <c r="L26" i="6"/>
  <c r="K18" i="6"/>
  <c r="L18" i="6"/>
  <c r="K10" i="6"/>
  <c r="L10" i="6"/>
  <c r="L2" i="6"/>
  <c r="B34" i="6"/>
  <c r="B26" i="6"/>
  <c r="B18" i="6"/>
  <c r="B10" i="6"/>
  <c r="L13" i="6"/>
  <c r="K13" i="6"/>
  <c r="K19" i="6"/>
  <c r="L19" i="6"/>
  <c r="L33" i="6"/>
  <c r="K33" i="6"/>
  <c r="L25" i="6"/>
  <c r="K25" i="6"/>
  <c r="L17" i="6"/>
  <c r="K17" i="6"/>
  <c r="L9" i="6"/>
  <c r="K9" i="6"/>
  <c r="B33" i="6"/>
  <c r="B25" i="6"/>
  <c r="B17" i="6"/>
  <c r="B9" i="6"/>
  <c r="L11" i="6"/>
  <c r="K11" i="6"/>
  <c r="L32" i="6"/>
  <c r="K32" i="6"/>
  <c r="L24" i="6"/>
  <c r="K24" i="6"/>
  <c r="K16" i="6"/>
  <c r="L16" i="6"/>
  <c r="L8" i="6"/>
  <c r="K8" i="6"/>
  <c r="B32" i="6"/>
  <c r="B24" i="6"/>
  <c r="B16" i="6"/>
  <c r="B8" i="6"/>
  <c r="B21" i="6"/>
  <c r="K3" i="6"/>
  <c r="L31" i="6"/>
  <c r="K31" i="6"/>
  <c r="L23" i="6"/>
  <c r="K23" i="6"/>
  <c r="L15" i="6"/>
  <c r="K15" i="6"/>
  <c r="L7" i="6"/>
  <c r="K7" i="6"/>
  <c r="B31" i="6"/>
  <c r="B23" i="6"/>
  <c r="B15" i="6"/>
  <c r="B7" i="6"/>
  <c r="L5" i="6"/>
  <c r="K5" i="6"/>
  <c r="K27" i="6"/>
  <c r="L27" i="6"/>
  <c r="L30" i="6"/>
  <c r="K30" i="6"/>
  <c r="L22" i="6"/>
  <c r="K22" i="6"/>
  <c r="L14" i="6"/>
  <c r="K14" i="6"/>
  <c r="L6" i="6"/>
  <c r="K6" i="6"/>
  <c r="B30" i="6"/>
  <c r="B22" i="6"/>
  <c r="B14" i="6"/>
  <c r="B6" i="6"/>
  <c r="B5" i="6"/>
  <c r="L28" i="6"/>
  <c r="K28" i="6"/>
  <c r="L20" i="6"/>
  <c r="K20" i="6"/>
  <c r="L12" i="6"/>
  <c r="K12" i="6"/>
  <c r="L4" i="6"/>
  <c r="K4" i="6"/>
  <c r="B28" i="6"/>
  <c r="B20" i="6"/>
  <c r="B12" i="6"/>
  <c r="B4" i="6"/>
  <c r="L29" i="6"/>
  <c r="K29" i="6"/>
  <c r="B29" i="6"/>
  <c r="B35" i="6"/>
  <c r="B27" i="6"/>
  <c r="B19" i="6"/>
  <c r="B11" i="6"/>
  <c r="B3" i="6"/>
  <c r="D4" i="7" l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</calcChain>
</file>

<file path=xl/sharedStrings.xml><?xml version="1.0" encoding="utf-8"?>
<sst xmlns="http://schemas.openxmlformats.org/spreadsheetml/2006/main" count="561" uniqueCount="366">
  <si>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</si>
  <si>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</si>
  <si>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</si>
  <si>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</si>
  <si>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</si>
  <si>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</si>
  <si>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</si>
  <si>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</si>
  <si>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</si>
  <si>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</si>
  <si>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</si>
  <si>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</si>
  <si>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</si>
  <si>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</si>
  <si>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</si>
  <si>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</si>
  <si>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</si>
  <si>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</si>
  <si>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</si>
  <si>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</si>
  <si>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</si>
  <si>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</si>
  <si>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</si>
  <si>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</si>
  <si>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</si>
  <si>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</si>
  <si>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</si>
  <si>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</si>
  <si>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</si>
  <si>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</si>
  <si>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</si>
  <si>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</si>
  <si>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</si>
  <si>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</si>
  <si>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</si>
  <si>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</si>
  <si>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</si>
  <si>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</si>
  <si>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</si>
  <si>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</si>
  <si>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</si>
  <si>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</si>
  <si>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</si>
  <si>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</si>
  <si>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</si>
  <si>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</si>
  <si>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</si>
  <si>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</si>
  <si>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</si>
  <si>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</si>
  <si>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</si>
  <si>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</si>
  <si>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</si>
  <si>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</si>
  <si>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</si>
  <si>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</si>
  <si>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</si>
  <si>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</si>
  <si>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</si>
  <si>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</si>
  <si>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</si>
  <si>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</si>
  <si>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</si>
  <si>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</si>
  <si>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</si>
  <si>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</si>
  <si>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</si>
  <si>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</si>
  <si>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</si>
  <si>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</si>
  <si>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</si>
  <si>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</si>
  <si>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</si>
  <si>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</si>
  <si>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</si>
  <si>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</si>
  <si>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</si>
  <si>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</si>
  <si>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</si>
  <si>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</si>
  <si>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</si>
  <si>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2015 Capital Costs (Except Wind and Solar), Fixed O&amp;M, Variable O&amp;M</t>
  </si>
  <si>
    <t>U.S. Solar Market Insight Report: 2015 Year in Review (Executive Summary)</t>
  </si>
  <si>
    <t>Average Utility Scale Solar Cost in Q4 of Year ($/W-dc)</t>
  </si>
  <si>
    <t>Installed Cost of Wind ($/kW-dc)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</si>
  <si>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</si>
  <si>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</si>
  <si>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</si>
  <si>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</si>
  <si>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curves to determine cost declines.  Therefore, we only specify the start year costs in this document (meaning the year before the first simulated year),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</si>
  <si>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</si>
  <si>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</si>
  <si>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</si>
  <si>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</si>
  <si>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</si>
  <si>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</si>
  <si>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</si>
  <si>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</si>
  <si>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</si>
  <si>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</si>
  <si>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</si>
  <si>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</si>
  <si>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</si>
  <si>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</si>
  <si>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</si>
  <si>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</si>
  <si>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</si>
  <si>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</si>
  <si>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</si>
  <si>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</si>
  <si>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</si>
  <si>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</si>
  <si>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</si>
  <si>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</si>
  <si>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</si>
  <si>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</si>
  <si>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</si>
  <si>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</si>
  <si>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</si>
  <si>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</si>
  <si>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</si>
  <si>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</si>
  <si>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</si>
  <si>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</si>
  <si>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</si>
  <si>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</si>
  <si>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</si>
  <si>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</si>
  <si>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</si>
  <si>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</si>
  <si>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</si>
  <si>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</si>
  <si>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</si>
  <si>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</si>
  <si>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</si>
  <si>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</si>
  <si>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</si>
  <si>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</si>
  <si>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</si>
  <si>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</si>
  <si>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</si>
  <si>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</si>
  <si>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</si>
  <si>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</si>
  <si>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</si>
  <si>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</si>
  <si>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</si>
  <si>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</si>
  <si>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</si>
  <si>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</si>
  <si>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</si>
  <si>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</si>
  <si>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</si>
  <si>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</si>
  <si>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</si>
  <si>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</si>
  <si>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</si>
  <si>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</si>
  <si>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</si>
  <si>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</si>
  <si>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</si>
  <si>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</si>
  <si>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</si>
  <si>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</si>
  <si>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</si>
  <si>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</si>
  <si>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</si>
  <si>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</si>
  <si>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</si>
  <si>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</si>
  <si>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</si>
  <si>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</si>
  <si>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</si>
  <si>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</si>
  <si>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</si>
  <si>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</si>
  <si>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</si>
  <si>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</si>
  <si>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</si>
  <si>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</si>
  <si>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</si>
  <si>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</si>
  <si>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National Renewable Energy Lab</t>
  </si>
  <si>
    <t>Annual Technology Baseline (ATB) Spreadshett - 2016 Final</t>
  </si>
  <si>
    <t>http://www.nrel.gov/docs/fy16osti/66944-DA.xlsm</t>
  </si>
  <si>
    <t>For offshore wind, we decline costs according to NREL's annual technology baseline.</t>
  </si>
  <si>
    <t>Overnight Capital Cost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</si>
  <si>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</si>
  <si>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</si>
  <si>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</si>
  <si>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</si>
  <si>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</si>
  <si>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</si>
  <si>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NREL Electricity Source</t>
  </si>
  <si>
    <t>Model Electricity Source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</si>
  <si>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</si>
  <si>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</si>
  <si>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</si>
  <si>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</si>
  <si>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</si>
  <si>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</si>
  <si>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</si>
  <si>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</si>
  <si>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</si>
  <si>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</si>
  <si>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</si>
  <si>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</si>
  <si>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</si>
  <si>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</si>
  <si>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</si>
  <si>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</si>
  <si>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</si>
  <si>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</si>
  <si>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</si>
  <si>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</si>
  <si>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</si>
  <si>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</si>
  <si>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</si>
  <si>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</si>
  <si>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</si>
  <si>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</si>
  <si>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</si>
  <si>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</si>
  <si>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</si>
  <si>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</si>
  <si>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</si>
  <si>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</si>
  <si>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</si>
  <si>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</si>
  <si>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</si>
  <si>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</si>
  <si>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</si>
  <si>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</si>
  <si>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</si>
  <si>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</si>
  <si>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</si>
  <si>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</si>
  <si>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</si>
  <si>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</si>
  <si>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</si>
  <si>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</si>
  <si>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</si>
  <si>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</si>
  <si>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</si>
  <si>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</si>
  <si>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</si>
  <si>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</si>
  <si>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</si>
  <si>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</si>
  <si>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</si>
  <si>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</si>
  <si>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</si>
  <si>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</si>
  <si>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</si>
  <si>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</si>
  <si>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</si>
  <si>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</si>
  <si>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</si>
  <si>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</si>
  <si>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</si>
  <si>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</si>
  <si>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</si>
  <si>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</si>
  <si>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</si>
  <si>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</si>
  <si>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</si>
  <si>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</si>
  <si>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</si>
  <si>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</si>
  <si>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</si>
  <si>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</si>
  <si>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Cost Improvement Rate and 2015 Offshore Wind Costs</t>
  </si>
  <si>
    <t>2016 (Q4)</t>
  </si>
  <si>
    <t>Solar Energy Industries Association</t>
  </si>
  <si>
    <t>https://www.seia.org/research-resources/solar-market-insight-report-2016-year-review</t>
  </si>
  <si>
    <t>"National Solar PV System Pricing" section, last paragraph (using "fixed-tilt" value)</t>
  </si>
  <si>
    <t>2016 Solar Capital Cost</t>
  </si>
  <si>
    <t>2016 Wind Technologies Market Report</t>
  </si>
  <si>
    <t>https://energy.gov/sites/prod/files/2017/10/f37/2016_Wind_Technologies_Market_Report_101317.pdf</t>
  </si>
  <si>
    <t>Page viii, bullet point 1</t>
  </si>
  <si>
    <t>2016 Onshore Wind Capital Cost</t>
  </si>
  <si>
    <t>We adjust 2012 USD to 2015 CAN</t>
  </si>
  <si>
    <t>Coal to Gas ($/MW)</t>
  </si>
  <si>
    <t>We adjust 2016 USD to 2015 CAN for coal to gas conversion</t>
  </si>
  <si>
    <t>coal to gas</t>
  </si>
  <si>
    <t>Coal to Gas Conversion Costs</t>
  </si>
  <si>
    <t>Capital Cost Estimates for Utility Scale Electricity Generating Plants</t>
  </si>
  <si>
    <t>https://www.eia.gov/analysis/studies/powerplants/capitalcost/pdf/capcost_assumption.pdf</t>
  </si>
  <si>
    <t>Table 1. Updated estimates of power plant capital and operating costs</t>
  </si>
  <si>
    <t>4. Range represents annual average prices between 2017 to 2039</t>
  </si>
  <si>
    <r>
      <t>3. Calculated using 56 kg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/GJ and Heat Rate</t>
    </r>
  </si>
  <si>
    <t>2. Model output by technology over forecast horizon</t>
  </si>
  <si>
    <t>1. 1x1 combined cycle</t>
  </si>
  <si>
    <t>$2.61 - $3.49</t>
  </si>
  <si>
    <t>(2017 $Cdn/GJ)</t>
  </si>
  <si>
    <r>
      <t>Natural Gas Price</t>
    </r>
    <r>
      <rPr>
        <b/>
        <vertAlign val="superscript"/>
        <sz val="11"/>
        <rFont val="Calibri"/>
        <family val="2"/>
        <scheme val="minor"/>
      </rPr>
      <t>4</t>
    </r>
  </si>
  <si>
    <t>(2017 $Cdn/MWh)</t>
  </si>
  <si>
    <t>Variable O&amp;M</t>
  </si>
  <si>
    <t>(2017 $Cdn/kW-yr)</t>
  </si>
  <si>
    <t>Fixed O&amp;M</t>
  </si>
  <si>
    <t>$1,330 - $2,100</t>
  </si>
  <si>
    <t>$1,000 - $1,500</t>
  </si>
  <si>
    <t>$1,500 - $1,950</t>
  </si>
  <si>
    <t>(2017 $Cdn/kW)</t>
  </si>
  <si>
    <t>Overnight Capital Costs</t>
  </si>
  <si>
    <t>-</t>
  </si>
  <si>
    <t>0.560-0.672</t>
  </si>
  <si>
    <t>(Tonne/MWh)</t>
  </si>
  <si>
    <r>
      <t>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Emissions</t>
    </r>
    <r>
      <rPr>
        <b/>
        <vertAlign val="superscript"/>
        <sz val="11"/>
        <rFont val="Calibri"/>
        <family val="2"/>
        <scheme val="minor"/>
      </rPr>
      <t>3</t>
    </r>
  </si>
  <si>
    <t>10 - 12</t>
  </si>
  <si>
    <t>(GJ/MWh)</t>
  </si>
  <si>
    <t>Heat Rate</t>
  </si>
  <si>
    <t>16% - 19%</t>
  </si>
  <si>
    <t>33% - 39%</t>
  </si>
  <si>
    <t>2%-13%</t>
  </si>
  <si>
    <t>3% - 25%</t>
  </si>
  <si>
    <t>56% - 71%</t>
  </si>
  <si>
    <t>(%)</t>
  </si>
  <si>
    <r>
      <t>Avg. Capacity Factor</t>
    </r>
    <r>
      <rPr>
        <b/>
        <vertAlign val="superscript"/>
        <sz val="11"/>
        <rFont val="Calibri"/>
        <family val="2"/>
        <scheme val="minor"/>
      </rPr>
      <t>2</t>
    </r>
  </si>
  <si>
    <t>368-406</t>
  </si>
  <si>
    <t>(MW)</t>
  </si>
  <si>
    <t>Installed Capacity</t>
  </si>
  <si>
    <t>PV Solar</t>
  </si>
  <si>
    <t>Wind</t>
  </si>
  <si>
    <t>Coal-to-Gas</t>
  </si>
  <si>
    <t>Simple Cycle</t>
  </si>
  <si>
    <r>
      <t>Combined Cycle</t>
    </r>
    <r>
      <rPr>
        <b/>
        <vertAlign val="superscript"/>
        <sz val="11"/>
        <rFont val="Calibri"/>
        <family val="2"/>
        <scheme val="minor"/>
      </rPr>
      <t>1</t>
    </r>
  </si>
  <si>
    <t>Unit</t>
  </si>
  <si>
    <t>Generation Cost Assumptions</t>
  </si>
  <si>
    <t>Conversion Rate between 2017 CAD and 2015 CAD</t>
  </si>
  <si>
    <t>Source:</t>
  </si>
  <si>
    <t>https://www.bankofcanada.ca/rates/related/inflation-calculator/</t>
  </si>
  <si>
    <t>https://iea-etsap.org/E-TechDS/PDF/E04-CHP-GS-gct_ADfinal.pdf</t>
  </si>
  <si>
    <t>Plant Type:</t>
  </si>
  <si>
    <t>Investment Cost Low (2010 USD/kW)</t>
  </si>
  <si>
    <t>High</t>
  </si>
  <si>
    <t>Average</t>
  </si>
  <si>
    <t>O&amp;M Costs (2010 USD/kWh/year)</t>
  </si>
  <si>
    <t>2020 Expected Investment Costs (2010 USD/kWh)</t>
  </si>
  <si>
    <t>2030 Expected Investment Costs (2010 USD/kWh)</t>
  </si>
  <si>
    <t>Gas Turbine CHP</t>
  </si>
  <si>
    <t>CCGT CHP</t>
  </si>
  <si>
    <t>ICE CHP</t>
  </si>
  <si>
    <t>2010 USD -&gt; CAD</t>
  </si>
  <si>
    <t>Source: https://www.poundsterlinglive.com/bank-of-england-spot/historical-spot-exchange-rates/usd/USD-to-CAD-2010</t>
  </si>
  <si>
    <t>2010 CAD -&gt; 2015 CAD</t>
  </si>
  <si>
    <t>Source: https://www.bankofcanada.ca/rates/related/inflation-calculator/</t>
  </si>
  <si>
    <t>Adjusted</t>
  </si>
  <si>
    <t>Normalized St. Deviation</t>
  </si>
  <si>
    <t>Note:</t>
  </si>
  <si>
    <t>The standard deviation is calculated from the currency and inflation adjusted cost of the different types of gas powered cogen plants</t>
  </si>
  <si>
    <t>Standard Deviation (from averages) of Investment Costs</t>
  </si>
  <si>
    <t>Investment:</t>
  </si>
  <si>
    <t>For variable O&amp;M costs, cogen is modelled the same as NG non peaker</t>
  </si>
  <si>
    <t>for fixed O&amp;M costs and construction cost per unit capacity forecast, it assumes that cogen decreases at the same rate as NG non peaker</t>
  </si>
  <si>
    <t>offshore wind ($/MW)</t>
  </si>
  <si>
    <t>Cogeneration ($/MW)</t>
  </si>
  <si>
    <t>cogeneration</t>
  </si>
  <si>
    <t>AESO</t>
  </si>
  <si>
    <t>Long-term Outlook</t>
  </si>
  <si>
    <t>https://www.aeso.ca/download/listedfiles/2017-LTO-data-file.xlsx</t>
  </si>
  <si>
    <t>Source: AESO, LTO 2017, https://www.aeso.ca/grid/forecasting/</t>
  </si>
  <si>
    <t>Alberta Electricity System Operator</t>
  </si>
  <si>
    <t>2017 long -term outlook</t>
  </si>
  <si>
    <t>https://www.aeso.ca/grid/forecasting/</t>
  </si>
  <si>
    <t>Generation Capacity by Type' tab in the Excel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</si>
</sst>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&quot;$&quot;#,##0"/>
    <numFmt numFmtId="171" formatCode="#,##0.000"/>
    <numFmt numFmtId="172" formatCode="#,##0.0"/>
    <numFmt numFmtId="173" formatCode="0.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name val="Arial"/>
      <family val="2"/>
    </font>
    <font>
      <b/>
      <vertAlign val="subscript"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6" fillId="0" borderId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0" fillId="5" borderId="0" xfId="0" applyFill="1"/>
    <xf numFmtId="2" fontId="0" fillId="5" borderId="0" xfId="0" applyNumberFormat="1" applyFill="1"/>
    <xf numFmtId="11" fontId="0" fillId="5" borderId="0" xfId="0" applyNumberFormat="1" applyFill="1"/>
    <xf numFmtId="0" fontId="12" fillId="5" borderId="0" xfId="0" applyFont="1" applyFill="1"/>
    <xf numFmtId="0" fontId="12" fillId="5" borderId="14" xfId="0" applyFont="1" applyFill="1" applyBorder="1"/>
    <xf numFmtId="0" fontId="12" fillId="5" borderId="15" xfId="0" applyFont="1" applyFill="1" applyBorder="1"/>
    <xf numFmtId="0" fontId="4" fillId="0" borderId="19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vertical="center"/>
    </xf>
    <xf numFmtId="170" fontId="12" fillId="0" borderId="19" xfId="0" applyNumberFormat="1" applyFont="1" applyFill="1" applyBorder="1" applyAlignment="1">
      <alignment horizontal="center" vertical="center"/>
    </xf>
    <xf numFmtId="0" fontId="14" fillId="0" borderId="19" xfId="14" applyFont="1" applyFill="1" applyBorder="1" applyAlignment="1">
      <alignment horizontal="left" vertical="center"/>
    </xf>
    <xf numFmtId="3" fontId="12" fillId="0" borderId="19" xfId="0" applyNumberFormat="1" applyFont="1" applyFill="1" applyBorder="1" applyAlignment="1">
      <alignment horizontal="center" vertical="center"/>
    </xf>
    <xf numFmtId="171" fontId="12" fillId="0" borderId="19" xfId="0" applyNumberFormat="1" applyFont="1" applyFill="1" applyBorder="1" applyAlignment="1">
      <alignment horizontal="center" vertical="center"/>
    </xf>
    <xf numFmtId="172" fontId="12" fillId="0" borderId="19" xfId="0" quotePrefix="1" applyNumberFormat="1" applyFont="1" applyFill="1" applyBorder="1" applyAlignment="1">
      <alignment horizontal="center" vertical="center"/>
    </xf>
    <xf numFmtId="172" fontId="12" fillId="0" borderId="19" xfId="0" applyNumberFormat="1" applyFont="1" applyFill="1" applyBorder="1" applyAlignment="1">
      <alignment horizontal="center" vertical="center"/>
    </xf>
    <xf numFmtId="9" fontId="12" fillId="0" borderId="19" xfId="0" applyNumberFormat="1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0" fontId="12" fillId="0" borderId="19" xfId="0" applyFont="1" applyFill="1" applyBorder="1"/>
    <xf numFmtId="0" fontId="0" fillId="5" borderId="15" xfId="0" applyFill="1" applyBorder="1"/>
    <xf numFmtId="0" fontId="0" fillId="0" borderId="20" xfId="0" applyFill="1" applyBorder="1"/>
    <xf numFmtId="0" fontId="18" fillId="0" borderId="20" xfId="0" applyFont="1" applyFill="1" applyBorder="1"/>
    <xf numFmtId="0" fontId="1" fillId="5" borderId="0" xfId="0" applyFont="1" applyFill="1"/>
    <xf numFmtId="0" fontId="0" fillId="5" borderId="0" xfId="0" applyFill="1" applyAlignment="1">
      <alignment horizontal="left"/>
    </xf>
    <xf numFmtId="173" fontId="0" fillId="0" borderId="0" xfId="0" applyNumberForma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170" fontId="12" fillId="0" borderId="18" xfId="0" applyNumberFormat="1" applyFont="1" applyFill="1" applyBorder="1" applyAlignment="1">
      <alignment horizontal="center" vertical="center"/>
    </xf>
    <xf numFmtId="170" fontId="12" fillId="0" borderId="17" xfId="0" applyNumberFormat="1" applyFont="1" applyFill="1" applyBorder="1" applyAlignment="1">
      <alignment horizontal="center" vertical="center"/>
    </xf>
    <xf numFmtId="170" fontId="12" fillId="0" borderId="16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15">
    <cellStyle name="Body: normal cell" xfId="4" xr:uid="{00000000-0005-0000-0000-000000000000}"/>
    <cellStyle name="Followed Hyperlink" xfId="8" builtinId="9" customBuiltin="1"/>
    <cellStyle name="Font: Calibri, 9pt regular" xfId="6" xr:uid="{00000000-0005-0000-0000-000002000000}"/>
    <cellStyle name="Footnotes: all except top row" xfId="9" xr:uid="{00000000-0005-0000-0000-000003000000}"/>
    <cellStyle name="Footnotes: top row" xfId="7" xr:uid="{00000000-0005-0000-0000-000004000000}"/>
    <cellStyle name="Header: bottom row" xfId="2" xr:uid="{00000000-0005-0000-0000-000005000000}"/>
    <cellStyle name="Header: top rows" xfId="10" xr:uid="{00000000-0005-0000-0000-000006000000}"/>
    <cellStyle name="Hyperlink" xfId="5" builtinId="8"/>
    <cellStyle name="Hyperlink 2" xfId="11" xr:uid="{00000000-0005-0000-0000-000008000000}"/>
    <cellStyle name="Normal" xfId="0" builtinId="0"/>
    <cellStyle name="Normal 32" xfId="14" xr:uid="{D4C1A51A-181F-4D9B-9BA8-F8D30A550BD6}"/>
    <cellStyle name="Parent row" xfId="3" xr:uid="{00000000-0005-0000-0000-00000A000000}"/>
    <cellStyle name="Section Break" xfId="12" xr:uid="{00000000-0005-0000-0000-00000B000000}"/>
    <cellStyle name="Section Break: parent row" xfId="13" xr:uid="{00000000-0005-0000-0000-00000C000000}"/>
    <cellStyle name="Table title" xfId="1" xr:uid="{00000000-0005-0000-0000-00000D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zoomScaleNormal="100" workbookViewId="0">
      <selection activeCell="D27" sqref="D27:D32"/>
    </sheetView>
  </sheetViews>
  <sheetFormatPr baseColWidth="10" defaultColWidth="9.1640625" defaultRowHeight="15" x14ac:dyDescent="0.2"/>
  <cols>
    <col min="1" max="1" width="9.1640625" style="2"/>
    <col min="2" max="2" width="78.5" style="2" customWidth="1"/>
    <col min="3" max="3" width="7.5" style="2" customWidth="1"/>
    <col min="4" max="4" width="77.5" style="2" customWidth="1"/>
    <col min="5" max="5" width="10.83203125" style="2" customWidth="1"/>
    <col min="6" max="6" width="56.1640625" style="2" bestFit="1" customWidth="1"/>
    <col min="7" max="11" width="10.83203125" style="2" customWidth="1"/>
    <col min="12" max="16384" width="9.1640625" style="2"/>
  </cols>
  <sheetData>
    <row r="1" spans="1:5" x14ac:dyDescent="0.2">
      <c r="A1" s="1" t="s">
        <v>11</v>
      </c>
    </row>
    <row r="2" spans="1:5" x14ac:dyDescent="0.2">
      <c r="A2" s="1" t="s">
        <v>12</v>
      </c>
    </row>
    <row r="3" spans="1:5" x14ac:dyDescent="0.2">
      <c r="A3" s="1" t="s">
        <v>13</v>
      </c>
    </row>
    <row r="5" spans="1:5" x14ac:dyDescent="0.2">
      <c r="A5" s="5" t="s">
        <v>4</v>
      </c>
      <c r="B5" s="6" t="s">
        <v>81</v>
      </c>
      <c r="C5" s="8"/>
      <c r="D5" s="15" t="s">
        <v>280</v>
      </c>
      <c r="E5" s="8"/>
    </row>
    <row r="6" spans="1:5" x14ac:dyDescent="0.2">
      <c r="B6" t="s">
        <v>1</v>
      </c>
      <c r="D6" s="19" t="s">
        <v>5</v>
      </c>
    </row>
    <row r="7" spans="1:5" x14ac:dyDescent="0.2">
      <c r="B7" s="2">
        <v>2015</v>
      </c>
      <c r="D7" s="2">
        <v>2017</v>
      </c>
    </row>
    <row r="8" spans="1:5" x14ac:dyDescent="0.2">
      <c r="B8" t="s">
        <v>63</v>
      </c>
      <c r="D8" s="19" t="s">
        <v>277</v>
      </c>
    </row>
    <row r="9" spans="1:5" x14ac:dyDescent="0.2">
      <c r="B9" s="3" t="s">
        <v>62</v>
      </c>
      <c r="D9" s="3" t="s">
        <v>278</v>
      </c>
    </row>
    <row r="10" spans="1:5" x14ac:dyDescent="0.2">
      <c r="B10" t="s">
        <v>61</v>
      </c>
      <c r="D10" s="19" t="s">
        <v>279</v>
      </c>
    </row>
    <row r="11" spans="1:5" x14ac:dyDescent="0.2">
      <c r="B11"/>
      <c r="D11" s="9"/>
    </row>
    <row r="12" spans="1:5" x14ac:dyDescent="0.2">
      <c r="B12" s="6" t="s">
        <v>141</v>
      </c>
      <c r="D12" s="14" t="s">
        <v>276</v>
      </c>
    </row>
    <row r="13" spans="1:5" x14ac:dyDescent="0.2">
      <c r="B13" s="22" t="s">
        <v>142</v>
      </c>
      <c r="D13" s="19" t="s">
        <v>273</v>
      </c>
    </row>
    <row r="14" spans="1:5" x14ac:dyDescent="0.2">
      <c r="B14" s="2">
        <v>2009</v>
      </c>
      <c r="D14" s="2">
        <v>2017</v>
      </c>
    </row>
    <row r="15" spans="1:5" x14ac:dyDescent="0.2">
      <c r="B15" s="2" t="s">
        <v>143</v>
      </c>
      <c r="D15" s="19" t="s">
        <v>82</v>
      </c>
    </row>
    <row r="16" spans="1:5" x14ac:dyDescent="0.2">
      <c r="B16" s="3" t="s">
        <v>144</v>
      </c>
      <c r="D16" s="3" t="s">
        <v>274</v>
      </c>
    </row>
    <row r="17" spans="1:4" x14ac:dyDescent="0.2">
      <c r="B17" s="22" t="s">
        <v>145</v>
      </c>
      <c r="D17" s="19" t="s">
        <v>275</v>
      </c>
    </row>
    <row r="18" spans="1:4" x14ac:dyDescent="0.2">
      <c r="B18" s="22"/>
    </row>
    <row r="19" spans="1:4" x14ac:dyDescent="0.2">
      <c r="A19" s="7"/>
      <c r="B19" s="6" t="s">
        <v>27</v>
      </c>
      <c r="D19" s="6" t="s">
        <v>271</v>
      </c>
    </row>
    <row r="20" spans="1:4" x14ac:dyDescent="0.2">
      <c r="A20" s="7"/>
      <c r="B20" s="2" t="s">
        <v>77</v>
      </c>
      <c r="D20" s="22" t="s">
        <v>182</v>
      </c>
    </row>
    <row r="21" spans="1:4" x14ac:dyDescent="0.2">
      <c r="A21" s="7"/>
      <c r="B21" s="2">
        <v>2015</v>
      </c>
      <c r="D21" s="2">
        <v>2016</v>
      </c>
    </row>
    <row r="22" spans="1:4" x14ac:dyDescent="0.2">
      <c r="A22" s="7"/>
      <c r="B22" s="2" t="s">
        <v>78</v>
      </c>
      <c r="D22" s="22" t="s">
        <v>183</v>
      </c>
    </row>
    <row r="23" spans="1:4" ht="48" x14ac:dyDescent="0.2">
      <c r="A23" s="7"/>
      <c r="B23" s="49" t="s">
        <v>79</v>
      </c>
      <c r="D23" s="3" t="s">
        <v>184</v>
      </c>
    </row>
    <row r="24" spans="1:4" ht="16" thickBot="1" x14ac:dyDescent="0.25">
      <c r="A24" s="7"/>
      <c r="B24" s="2" t="s">
        <v>80</v>
      </c>
      <c r="D24" s="22"/>
    </row>
    <row r="25" spans="1:4" ht="16" thickBot="1" x14ac:dyDescent="0.25">
      <c r="A25" s="7"/>
      <c r="B25" s="20" t="s">
        <v>28</v>
      </c>
      <c r="C25" s="21">
        <v>0.85899999999999999</v>
      </c>
      <c r="D25" s="22"/>
    </row>
    <row r="26" spans="1:4" x14ac:dyDescent="0.2">
      <c r="A26" s="7"/>
      <c r="D26" s="22"/>
    </row>
    <row r="27" spans="1:4" x14ac:dyDescent="0.2">
      <c r="A27" s="7"/>
      <c r="B27" s="6" t="s">
        <v>285</v>
      </c>
      <c r="D27" s="6" t="s">
        <v>285</v>
      </c>
    </row>
    <row r="28" spans="1:4" x14ac:dyDescent="0.2">
      <c r="A28" s="7"/>
      <c r="B28" s="75" t="s">
        <v>358</v>
      </c>
      <c r="D28" s="2" t="s">
        <v>362</v>
      </c>
    </row>
    <row r="29" spans="1:4" x14ac:dyDescent="0.2">
      <c r="A29" s="7"/>
      <c r="B29" s="75">
        <v>2017</v>
      </c>
      <c r="D29" s="2">
        <v>2017</v>
      </c>
    </row>
    <row r="30" spans="1:4" x14ac:dyDescent="0.2">
      <c r="A30" s="7"/>
      <c r="B30" s="76" t="s">
        <v>359</v>
      </c>
      <c r="D30" s="22" t="s">
        <v>363</v>
      </c>
    </row>
    <row r="31" spans="1:4" x14ac:dyDescent="0.2">
      <c r="A31" s="7"/>
      <c r="B31" s="76" t="s">
        <v>360</v>
      </c>
      <c r="D31" s="2" t="s">
        <v>364</v>
      </c>
    </row>
    <row r="32" spans="1:4" s="8" customFormat="1" x14ac:dyDescent="0.2">
      <c r="A32" s="7"/>
      <c r="B32" s="74"/>
      <c r="D32" s="88" t="s">
        <v>365</v>
      </c>
    </row>
    <row r="33" spans="1:11" x14ac:dyDescent="0.2">
      <c r="A33" s="7"/>
      <c r="B33" s="2" t="s">
        <v>1</v>
      </c>
    </row>
    <row r="34" spans="1:11" x14ac:dyDescent="0.2">
      <c r="A34" s="7"/>
      <c r="B34" s="2">
        <v>2016</v>
      </c>
    </row>
    <row r="35" spans="1:11" x14ac:dyDescent="0.2">
      <c r="A35" s="7"/>
      <c r="B35" t="s">
        <v>286</v>
      </c>
    </row>
    <row r="36" spans="1:11" x14ac:dyDescent="0.2">
      <c r="A36" s="7"/>
      <c r="B36" s="2" t="s">
        <v>287</v>
      </c>
    </row>
    <row r="37" spans="1:11" x14ac:dyDescent="0.2">
      <c r="A37" s="7"/>
      <c r="B37" t="s">
        <v>288</v>
      </c>
    </row>
    <row r="38" spans="1:11" x14ac:dyDescent="0.2">
      <c r="A38" s="7"/>
    </row>
    <row r="39" spans="1:11" x14ac:dyDescent="0.2">
      <c r="A39" s="7" t="s">
        <v>22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2">
      <c r="A40" s="10" t="s">
        <v>68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2">
      <c r="A41" s="10" t="s">
        <v>85</v>
      </c>
      <c r="D41" s="7"/>
      <c r="E41" s="11"/>
      <c r="F41" s="11"/>
      <c r="G41" s="11"/>
      <c r="H41" s="11"/>
      <c r="I41" s="11"/>
      <c r="J41" s="11"/>
      <c r="K41" s="11"/>
    </row>
    <row r="42" spans="1:11" x14ac:dyDescent="0.2">
      <c r="A42" s="10" t="s">
        <v>185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2">
      <c r="A43" s="10"/>
      <c r="D43" s="7"/>
      <c r="E43" s="11"/>
      <c r="F43" s="11"/>
      <c r="G43" s="11"/>
      <c r="H43" s="11"/>
      <c r="I43" s="11"/>
      <c r="J43" s="11"/>
      <c r="K43" s="11"/>
    </row>
    <row r="44" spans="1:11" x14ac:dyDescent="0.2">
      <c r="A44" s="10" t="s">
        <v>69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2">
      <c r="A45" s="10" t="s">
        <v>89</v>
      </c>
      <c r="D45" s="7"/>
      <c r="E45" s="11"/>
      <c r="F45" s="11"/>
      <c r="G45" s="11"/>
      <c r="H45" s="11"/>
      <c r="I45" s="11"/>
      <c r="J45" s="11"/>
      <c r="K45" s="11"/>
    </row>
    <row r="46" spans="1:11" x14ac:dyDescent="0.2">
      <c r="A46" s="10" t="s">
        <v>90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2">
      <c r="A47" s="10" t="s">
        <v>70</v>
      </c>
      <c r="D47" s="7"/>
      <c r="E47" s="11"/>
      <c r="F47" s="11"/>
      <c r="G47" s="11"/>
      <c r="H47" s="11"/>
      <c r="I47" s="11"/>
      <c r="J47" s="11"/>
      <c r="K47" s="11"/>
    </row>
    <row r="48" spans="1:11" x14ac:dyDescent="0.2">
      <c r="A48" s="10" t="s">
        <v>71</v>
      </c>
      <c r="D48" s="7"/>
      <c r="E48" s="11"/>
      <c r="F48" s="11"/>
      <c r="G48" s="11"/>
      <c r="H48" s="11"/>
      <c r="I48" s="11"/>
      <c r="J48" s="11"/>
      <c r="K48" s="11"/>
    </row>
    <row r="49" spans="1:11" x14ac:dyDescent="0.2">
      <c r="A49" s="10"/>
      <c r="D49" s="7"/>
      <c r="E49" s="11"/>
      <c r="F49" s="11"/>
      <c r="G49" s="11"/>
      <c r="H49" s="11"/>
      <c r="I49" s="11"/>
      <c r="J49" s="11"/>
      <c r="K49" s="11"/>
    </row>
    <row r="50" spans="1:11" x14ac:dyDescent="0.2">
      <c r="A50" s="10" t="s">
        <v>29</v>
      </c>
      <c r="D50" s="7"/>
      <c r="E50" s="11"/>
      <c r="F50" s="11"/>
      <c r="G50" s="11"/>
      <c r="H50" s="11"/>
      <c r="I50" s="11"/>
      <c r="J50" s="11"/>
      <c r="K50" s="11"/>
    </row>
    <row r="51" spans="1:11" x14ac:dyDescent="0.2">
      <c r="A51" s="10" t="s">
        <v>30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2">
      <c r="A52" s="10"/>
      <c r="D52" s="7"/>
      <c r="E52" s="11"/>
      <c r="F52" s="11"/>
      <c r="G52" s="11"/>
      <c r="H52" s="11"/>
      <c r="I52" s="11"/>
      <c r="J52" s="11"/>
      <c r="K52" s="11"/>
    </row>
    <row r="53" spans="1:11" x14ac:dyDescent="0.2">
      <c r="A53" s="10" t="s">
        <v>86</v>
      </c>
      <c r="D53" s="7"/>
      <c r="E53" s="11"/>
      <c r="F53" s="11"/>
      <c r="G53" s="11"/>
      <c r="H53" s="11"/>
      <c r="I53" s="11"/>
      <c r="J53" s="11"/>
      <c r="K53" s="11"/>
    </row>
    <row r="54" spans="1:11" x14ac:dyDescent="0.2">
      <c r="A54" s="10" t="s">
        <v>72</v>
      </c>
      <c r="D54" s="7"/>
      <c r="E54" s="11"/>
      <c r="F54" s="11"/>
      <c r="G54" s="11"/>
      <c r="H54" s="11"/>
      <c r="I54" s="11"/>
      <c r="J54" s="11"/>
      <c r="K54" s="11"/>
    </row>
    <row r="55" spans="1:11" x14ac:dyDescent="0.2">
      <c r="A55" s="10" t="s">
        <v>73</v>
      </c>
      <c r="D55" s="7"/>
      <c r="E55" s="11"/>
      <c r="F55" s="11"/>
      <c r="G55" s="11"/>
      <c r="H55" s="11"/>
      <c r="I55" s="11"/>
      <c r="J55" s="11"/>
      <c r="K55" s="11"/>
    </row>
    <row r="56" spans="1:11" x14ac:dyDescent="0.2">
      <c r="A56" s="10" t="s">
        <v>74</v>
      </c>
      <c r="D56" s="7"/>
      <c r="E56" s="11"/>
      <c r="F56" s="11"/>
      <c r="G56" s="11"/>
      <c r="H56" s="11"/>
      <c r="I56" s="11"/>
      <c r="J56" s="11"/>
      <c r="K56" s="11"/>
    </row>
    <row r="57" spans="1:11" x14ac:dyDescent="0.2">
      <c r="A57" s="10" t="s">
        <v>75</v>
      </c>
      <c r="D57" s="7"/>
      <c r="E57" s="11"/>
      <c r="F57" s="11"/>
      <c r="G57" s="11"/>
      <c r="H57" s="11"/>
      <c r="I57" s="11"/>
      <c r="J57" s="11"/>
      <c r="K57" s="11"/>
    </row>
    <row r="58" spans="1:11" x14ac:dyDescent="0.2">
      <c r="A58" s="10" t="s">
        <v>76</v>
      </c>
      <c r="D58" s="7"/>
      <c r="E58" s="11"/>
      <c r="F58" s="11"/>
      <c r="G58" s="11"/>
      <c r="H58" s="11"/>
      <c r="I58" s="11"/>
      <c r="J58" s="11"/>
      <c r="K58" s="11"/>
    </row>
    <row r="59" spans="1:11" x14ac:dyDescent="0.2">
      <c r="A59" s="10"/>
      <c r="D59" s="7"/>
      <c r="E59" s="11"/>
      <c r="F59" s="11"/>
      <c r="G59" s="11"/>
      <c r="H59" s="11"/>
      <c r="I59" s="11"/>
      <c r="J59" s="11"/>
      <c r="K59" s="11"/>
    </row>
    <row r="60" spans="1:11" x14ac:dyDescent="0.2">
      <c r="A60" s="10" t="s">
        <v>146</v>
      </c>
      <c r="D60" s="7"/>
      <c r="E60" s="11"/>
      <c r="F60" s="11"/>
      <c r="G60" s="11"/>
      <c r="H60" s="11"/>
      <c r="I60" s="11"/>
      <c r="J60" s="11"/>
      <c r="K60" s="11"/>
    </row>
    <row r="61" spans="1:11" x14ac:dyDescent="0.2">
      <c r="A61" s="10" t="s">
        <v>147</v>
      </c>
      <c r="D61" s="7"/>
      <c r="E61" s="11"/>
      <c r="F61" s="11"/>
      <c r="G61" s="11"/>
      <c r="H61" s="11"/>
      <c r="I61" s="11"/>
      <c r="J61" s="11"/>
      <c r="K61" s="11"/>
    </row>
    <row r="62" spans="1:11" x14ac:dyDescent="0.2">
      <c r="A62" s="10" t="s">
        <v>148</v>
      </c>
      <c r="D62" s="7"/>
      <c r="E62" s="11"/>
      <c r="F62" s="11"/>
      <c r="G62" s="11"/>
      <c r="H62" s="11"/>
      <c r="I62" s="11"/>
      <c r="J62" s="11"/>
      <c r="K62" s="11"/>
    </row>
    <row r="63" spans="1:11" x14ac:dyDescent="0.2">
      <c r="A63" s="10"/>
      <c r="D63" s="7"/>
      <c r="E63" s="11"/>
      <c r="F63" s="11"/>
      <c r="G63" s="11"/>
      <c r="H63" s="11"/>
      <c r="I63" s="11"/>
      <c r="J63" s="11"/>
      <c r="K63" s="11"/>
    </row>
    <row r="64" spans="1:11" x14ac:dyDescent="0.2">
      <c r="A64" s="7" t="s">
        <v>26</v>
      </c>
      <c r="D64" s="7"/>
      <c r="E64" s="11"/>
      <c r="F64" s="11"/>
      <c r="G64" s="11"/>
      <c r="H64" s="11"/>
      <c r="I64" s="11"/>
      <c r="J64" s="11"/>
      <c r="K64" s="11"/>
    </row>
    <row r="65" spans="1:11" x14ac:dyDescent="0.2">
      <c r="A65" s="10" t="s">
        <v>66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2">
      <c r="A66" s="10" t="s">
        <v>67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2">
      <c r="A67" s="10" t="s">
        <v>88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2">
      <c r="A68" s="19" t="s">
        <v>24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2">
      <c r="A69" s="19">
        <v>0.98699999999999999</v>
      </c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2">
      <c r="A70" s="22" t="s">
        <v>151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2">
      <c r="A71" s="18">
        <f>229.594/236.736</f>
        <v>0.96983137334414704</v>
      </c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2">
      <c r="A72" s="2" t="s">
        <v>87</v>
      </c>
    </row>
    <row r="73" spans="1:11" x14ac:dyDescent="0.2">
      <c r="A73" s="24">
        <v>0.97</v>
      </c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2">
      <c r="A74" s="10" t="s">
        <v>281</v>
      </c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2">
      <c r="A75" s="24">
        <v>1.0307117464753801</v>
      </c>
      <c r="B75" s="73"/>
      <c r="D75" s="7"/>
      <c r="E75" s="11"/>
      <c r="F75" s="11"/>
      <c r="G75" s="11"/>
      <c r="H75" s="11"/>
      <c r="I75" s="11"/>
      <c r="J75" s="11"/>
      <c r="K75" s="11"/>
    </row>
    <row r="76" spans="1:11" x14ac:dyDescent="0.2">
      <c r="A76" s="2" t="s">
        <v>283</v>
      </c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2">
      <c r="A77" s="24">
        <f>0.982*1.3901</f>
        <v>1.3650781999999999</v>
      </c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2">
      <c r="B78" s="9"/>
      <c r="D78" s="7"/>
      <c r="E78" s="11"/>
      <c r="F78" s="11"/>
      <c r="G78" s="11"/>
      <c r="H78" s="11"/>
      <c r="I78" s="11"/>
      <c r="J78" s="11"/>
      <c r="K78" s="11"/>
    </row>
    <row r="79" spans="1:11" x14ac:dyDescent="0.2">
      <c r="A79" s="19" t="s">
        <v>23</v>
      </c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2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2">
      <c r="A81" s="5" t="s">
        <v>349</v>
      </c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2">
      <c r="A82" s="10" t="s">
        <v>353</v>
      </c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2">
      <c r="A83" s="10" t="s">
        <v>354</v>
      </c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2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 x14ac:dyDescent="0.2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 x14ac:dyDescent="0.2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 x14ac:dyDescent="0.2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 x14ac:dyDescent="0.2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 x14ac:dyDescent="0.2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 x14ac:dyDescent="0.2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 x14ac:dyDescent="0.2">
      <c r="A91" s="10"/>
      <c r="B91" s="9"/>
      <c r="D91" s="7"/>
      <c r="E91" s="11"/>
      <c r="F91" s="11"/>
      <c r="G91" s="11"/>
      <c r="H91" s="11"/>
      <c r="I91" s="11"/>
      <c r="J91" s="11"/>
      <c r="K91" s="11"/>
    </row>
    <row r="92" spans="1:11" x14ac:dyDescent="0.2">
      <c r="A92" s="10"/>
      <c r="B92" s="9"/>
      <c r="D92" s="7"/>
      <c r="E92" s="11"/>
      <c r="F92" s="11"/>
      <c r="G92" s="11"/>
      <c r="H92" s="11"/>
      <c r="I92" s="11"/>
      <c r="J92" s="11"/>
      <c r="K92" s="11"/>
    </row>
    <row r="93" spans="1:11" x14ac:dyDescent="0.2">
      <c r="A93" s="10"/>
      <c r="B93" s="9"/>
      <c r="D93" s="7"/>
      <c r="E93" s="11"/>
      <c r="F93" s="11"/>
      <c r="G93" s="11"/>
      <c r="H93" s="11"/>
      <c r="I93" s="11"/>
      <c r="J93" s="11"/>
      <c r="K93" s="11"/>
    </row>
    <row r="94" spans="1:11" x14ac:dyDescent="0.2">
      <c r="A94" s="10"/>
      <c r="B94" s="9"/>
      <c r="D94" s="7"/>
      <c r="E94" s="11"/>
      <c r="F94" s="11"/>
      <c r="G94" s="11"/>
      <c r="H94" s="11"/>
      <c r="I94" s="11"/>
      <c r="J94" s="11"/>
      <c r="K94" s="11"/>
    </row>
    <row r="95" spans="1:11" x14ac:dyDescent="0.2">
      <c r="A95" s="10"/>
      <c r="B95" s="9"/>
      <c r="D95" s="7"/>
      <c r="E95" s="11"/>
      <c r="F95" s="11"/>
      <c r="G95" s="11"/>
      <c r="H95" s="11"/>
      <c r="I95" s="11"/>
      <c r="J95" s="11"/>
      <c r="K95" s="11"/>
    </row>
    <row r="96" spans="1:11" x14ac:dyDescent="0.2">
      <c r="A96" s="7"/>
      <c r="B96" s="9"/>
      <c r="D96" s="7"/>
      <c r="E96" s="11"/>
      <c r="F96" s="11"/>
      <c r="G96" s="11"/>
      <c r="H96" s="11"/>
      <c r="I96" s="11"/>
      <c r="J96" s="11"/>
      <c r="K96" s="11"/>
    </row>
  </sheetData>
  <hyperlinks>
    <hyperlink ref="B23" r:id="rId1" display="http://rredc.nrel.gov/solar/calculators/pvwatts/system.html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14"/>
  <sheetViews>
    <sheetView workbookViewId="0">
      <selection activeCell="B13" sqref="B13"/>
    </sheetView>
  </sheetViews>
  <sheetFormatPr baseColWidth="10" defaultColWidth="9.1640625" defaultRowHeight="15" x14ac:dyDescent="0.2"/>
  <cols>
    <col min="1" max="1" width="33.1640625" style="22" customWidth="1"/>
    <col min="2" max="4" width="24" style="22" customWidth="1"/>
    <col min="5" max="16384" width="9.1640625" style="22"/>
  </cols>
  <sheetData>
    <row r="1" spans="1:4" x14ac:dyDescent="0.2">
      <c r="A1" s="5" t="s">
        <v>21</v>
      </c>
      <c r="B1" s="17" t="s">
        <v>92</v>
      </c>
      <c r="C1" s="17" t="s">
        <v>95</v>
      </c>
      <c r="D1" s="17" t="s">
        <v>93</v>
      </c>
    </row>
    <row r="2" spans="1:4" x14ac:dyDescent="0.2">
      <c r="A2" s="22" t="s">
        <v>14</v>
      </c>
      <c r="B2" s="12">
        <f>('EIA Costs'!E2)*(USD_to_CAN)</f>
        <v>4.6072815067449486</v>
      </c>
      <c r="C2" s="22">
        <v>0</v>
      </c>
      <c r="D2" s="12">
        <f>('EIA Costs'!E4)*(USD_to_CAN)</f>
        <v>8.6992071402522075</v>
      </c>
    </row>
    <row r="3" spans="1:4" x14ac:dyDescent="0.2">
      <c r="A3" s="22" t="s">
        <v>32</v>
      </c>
      <c r="B3" s="12">
        <f>'AB Gen and Cap Costs'!D12*'AB Gen and Cap Costs'!B21</f>
        <v>7.76</v>
      </c>
      <c r="C3" s="22">
        <v>0</v>
      </c>
      <c r="D3" s="12">
        <f>('EIA Costs'!E6)*(USD_to_CAN)</f>
        <v>3.3704274109744929</v>
      </c>
    </row>
    <row r="4" spans="1:4" x14ac:dyDescent="0.2">
      <c r="A4" s="22" t="s">
        <v>357</v>
      </c>
      <c r="B4" s="12">
        <f>B3</f>
        <v>7.76</v>
      </c>
      <c r="C4" s="22">
        <v>0</v>
      </c>
      <c r="D4" s="12">
        <f>D3</f>
        <v>3.3704274109744929</v>
      </c>
    </row>
    <row r="5" spans="1:4" x14ac:dyDescent="0.2">
      <c r="A5" s="22" t="s">
        <v>16</v>
      </c>
      <c r="B5" s="12">
        <f>('EIA Costs'!E17)*(USD_to_CAN)</f>
        <v>5.9368996596981889</v>
      </c>
      <c r="C5" s="22">
        <v>0</v>
      </c>
      <c r="D5" s="12">
        <f>('EIA Costs'!E17)*(USD_to_CAN)</f>
        <v>5.9368996596981889</v>
      </c>
    </row>
    <row r="6" spans="1:4" x14ac:dyDescent="0.2">
      <c r="A6" s="22" t="s">
        <v>139</v>
      </c>
      <c r="B6" s="12">
        <f>'AB Gen and Cap Costs'!G12*'AB Gen and Cap Costs'!B21</f>
        <v>0</v>
      </c>
      <c r="C6" s="22">
        <v>0</v>
      </c>
      <c r="D6" s="12">
        <f>('EIA Costs'!E18)*(USD_to_CAN)</f>
        <v>0</v>
      </c>
    </row>
    <row r="7" spans="1:4" x14ac:dyDescent="0.2">
      <c r="A7" s="22" t="s">
        <v>17</v>
      </c>
      <c r="B7" s="12">
        <f>'AB Gen and Cap Costs'!G12*'AB Gen and Cap Costs'!B21</f>
        <v>0</v>
      </c>
      <c r="C7" s="22">
        <v>0</v>
      </c>
      <c r="D7" s="12">
        <f>('EIA Costs'!E21)*(USD_to_CAN)</f>
        <v>0</v>
      </c>
    </row>
    <row r="8" spans="1:4" x14ac:dyDescent="0.2">
      <c r="A8" s="22" t="s">
        <v>18</v>
      </c>
      <c r="B8" s="12">
        <f>('EIA Costs'!E20)*(USD_to_CAN)</f>
        <v>0</v>
      </c>
      <c r="C8" s="22">
        <v>0</v>
      </c>
      <c r="D8" s="12">
        <f>('EIA Costs'!E20)*(USD_to_CAN)</f>
        <v>0</v>
      </c>
    </row>
    <row r="9" spans="1:4" x14ac:dyDescent="0.2">
      <c r="A9" s="22" t="s">
        <v>19</v>
      </c>
      <c r="B9" s="12">
        <f>('EIA Costs'!E14)*(USD_to_CAN)</f>
        <v>5.4215437864604992</v>
      </c>
      <c r="C9" s="22">
        <v>0</v>
      </c>
      <c r="D9" s="12">
        <f>('EIA Costs'!E14)*(USD_to_CAN)</f>
        <v>5.4215437864604992</v>
      </c>
    </row>
    <row r="10" spans="1:4" x14ac:dyDescent="0.2">
      <c r="A10" s="22" t="s">
        <v>33</v>
      </c>
      <c r="B10" s="12">
        <f>('EIA Costs'!E15)*(USD_to_CAN)</f>
        <v>0</v>
      </c>
      <c r="C10" s="22">
        <v>0</v>
      </c>
      <c r="D10" s="12">
        <f>('EIA Costs'!E15)*(USD_to_CAN)</f>
        <v>0</v>
      </c>
    </row>
    <row r="11" spans="1:4" x14ac:dyDescent="0.2">
      <c r="A11" s="22" t="s">
        <v>34</v>
      </c>
      <c r="B11" s="12">
        <f>(B12)*(USD_to_CAN)</f>
        <v>3.9991615763244748</v>
      </c>
      <c r="C11" s="22">
        <v>0</v>
      </c>
      <c r="D11" s="12">
        <f>(D12)*(USD_to_CAN)</f>
        <v>11.016742723822544</v>
      </c>
    </row>
    <row r="12" spans="1:4" x14ac:dyDescent="0.2">
      <c r="A12" s="22" t="s">
        <v>35</v>
      </c>
      <c r="B12" s="12">
        <f>'AB Gen and Cap Costs'!E12*'AB Gen and Cap Costs'!B21</f>
        <v>3.88</v>
      </c>
      <c r="C12" s="22">
        <v>0</v>
      </c>
      <c r="D12" s="12">
        <f>('EIA Costs'!E9)*(USD_to_CAN)</f>
        <v>10.688480810949692</v>
      </c>
    </row>
    <row r="13" spans="1:4" x14ac:dyDescent="0.2">
      <c r="A13" s="22" t="s">
        <v>284</v>
      </c>
      <c r="B13" s="12">
        <f>'AB Gen and Cap Costs'!F12*'AB Gen and Cap Costs'!B21</f>
        <v>3.88</v>
      </c>
      <c r="C13" s="16">
        <f>C2*'Coal Cost Multipliers'!$B$34</f>
        <v>0</v>
      </c>
      <c r="D13" s="12">
        <f>B13</f>
        <v>3.88</v>
      </c>
    </row>
    <row r="14" spans="1:4" x14ac:dyDescent="0.2">
      <c r="A14" s="22" t="s">
        <v>138</v>
      </c>
      <c r="B14" s="12">
        <f>B6</f>
        <v>0</v>
      </c>
      <c r="C14" s="22">
        <v>0</v>
      </c>
      <c r="D14" s="12">
        <f>D6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26.83203125" customWidth="1"/>
    <col min="2" max="2" width="26.83203125" style="22" customWidth="1"/>
    <col min="3" max="3" width="52.5" customWidth="1"/>
    <col min="4" max="4" width="34.5" customWidth="1"/>
    <col min="5" max="5" width="31" customWidth="1"/>
    <col min="6" max="6" width="29.1640625" customWidth="1"/>
  </cols>
  <sheetData>
    <row r="1" spans="1:6" x14ac:dyDescent="0.2">
      <c r="A1" s="1" t="s">
        <v>40</v>
      </c>
      <c r="B1" s="1" t="s">
        <v>91</v>
      </c>
      <c r="C1" s="1" t="s">
        <v>46</v>
      </c>
      <c r="D1" s="1" t="s">
        <v>42</v>
      </c>
      <c r="E1" s="1" t="s">
        <v>41</v>
      </c>
      <c r="F1" s="1" t="s">
        <v>43</v>
      </c>
    </row>
    <row r="2" spans="1:6" x14ac:dyDescent="0.2">
      <c r="A2" s="22" t="s">
        <v>137</v>
      </c>
      <c r="B2" s="22" t="s">
        <v>92</v>
      </c>
      <c r="C2" t="s">
        <v>44</v>
      </c>
      <c r="D2">
        <v>2917</v>
      </c>
      <c r="E2" s="16">
        <v>4.47</v>
      </c>
      <c r="F2" s="16">
        <v>31.16</v>
      </c>
    </row>
    <row r="3" spans="1:6" x14ac:dyDescent="0.2">
      <c r="C3" t="s">
        <v>45</v>
      </c>
      <c r="D3">
        <v>3727</v>
      </c>
      <c r="E3" s="16">
        <v>7.22</v>
      </c>
      <c r="F3" s="16">
        <v>51.37</v>
      </c>
    </row>
    <row r="4" spans="1:6" x14ac:dyDescent="0.2">
      <c r="A4" t="s">
        <v>137</v>
      </c>
      <c r="B4" s="22" t="s">
        <v>93</v>
      </c>
      <c r="C4" t="s">
        <v>47</v>
      </c>
      <c r="D4">
        <v>6492</v>
      </c>
      <c r="E4" s="16">
        <v>8.44</v>
      </c>
      <c r="F4" s="16">
        <v>72.8</v>
      </c>
    </row>
    <row r="5" spans="1:6" x14ac:dyDescent="0.2">
      <c r="A5" s="22" t="s">
        <v>32</v>
      </c>
      <c r="B5" s="22" t="s">
        <v>92</v>
      </c>
      <c r="C5" t="s">
        <v>48</v>
      </c>
      <c r="D5">
        <v>912</v>
      </c>
      <c r="E5" s="16">
        <v>3.6</v>
      </c>
      <c r="F5" s="16">
        <v>13.16</v>
      </c>
    </row>
    <row r="6" spans="1:6" x14ac:dyDescent="0.2">
      <c r="A6" t="s">
        <v>32</v>
      </c>
      <c r="B6" s="22" t="s">
        <v>93</v>
      </c>
      <c r="C6" t="s">
        <v>49</v>
      </c>
      <c r="D6">
        <v>1017</v>
      </c>
      <c r="E6" s="16">
        <v>3.27</v>
      </c>
      <c r="F6" s="16">
        <v>15.36</v>
      </c>
    </row>
    <row r="7" spans="1:6" x14ac:dyDescent="0.2">
      <c r="C7" t="s">
        <v>50</v>
      </c>
      <c r="D7">
        <v>2072</v>
      </c>
      <c r="E7" s="16">
        <v>6.78</v>
      </c>
      <c r="F7" s="16">
        <v>31.77</v>
      </c>
    </row>
    <row r="8" spans="1:6" x14ac:dyDescent="0.2">
      <c r="A8" s="22" t="s">
        <v>35</v>
      </c>
      <c r="B8" s="22" t="s">
        <v>92</v>
      </c>
      <c r="C8" t="s">
        <v>51</v>
      </c>
      <c r="D8">
        <v>968</v>
      </c>
      <c r="E8" s="16">
        <v>15.44</v>
      </c>
      <c r="F8" s="16">
        <v>7.34</v>
      </c>
    </row>
    <row r="9" spans="1:6" x14ac:dyDescent="0.2">
      <c r="A9" s="22" t="s">
        <v>35</v>
      </c>
      <c r="B9" s="22" t="s">
        <v>93</v>
      </c>
      <c r="C9" t="s">
        <v>52</v>
      </c>
      <c r="D9">
        <v>671</v>
      </c>
      <c r="E9" s="16">
        <v>10.37</v>
      </c>
      <c r="F9" s="16">
        <v>7.04</v>
      </c>
    </row>
    <row r="10" spans="1:6" x14ac:dyDescent="0.2">
      <c r="C10" t="s">
        <v>53</v>
      </c>
      <c r="D10">
        <v>6978</v>
      </c>
      <c r="E10" s="16">
        <v>42.97</v>
      </c>
      <c r="F10" s="16">
        <v>0</v>
      </c>
    </row>
    <row r="11" spans="1:6" x14ac:dyDescent="0.2">
      <c r="A11" t="s">
        <v>15</v>
      </c>
      <c r="B11" s="22" t="s">
        <v>94</v>
      </c>
      <c r="C11" t="s">
        <v>54</v>
      </c>
      <c r="D11">
        <v>5366</v>
      </c>
      <c r="E11" s="16">
        <v>2.14</v>
      </c>
      <c r="F11" s="16">
        <v>93.23</v>
      </c>
    </row>
    <row r="12" spans="1:6" x14ac:dyDescent="0.2">
      <c r="C12" t="s">
        <v>55</v>
      </c>
      <c r="D12">
        <v>1477</v>
      </c>
      <c r="E12" s="16">
        <v>7.75</v>
      </c>
      <c r="F12" s="16">
        <v>17.440000000000001</v>
      </c>
    </row>
    <row r="13" spans="1:6" x14ac:dyDescent="0.2">
      <c r="C13" t="s">
        <v>56</v>
      </c>
      <c r="D13">
        <v>1744</v>
      </c>
      <c r="E13" s="16">
        <v>7.75</v>
      </c>
      <c r="F13" s="16">
        <v>17.440000000000001</v>
      </c>
    </row>
    <row r="14" spans="1:6" x14ac:dyDescent="0.2">
      <c r="A14" t="s">
        <v>19</v>
      </c>
      <c r="B14" s="22" t="s">
        <v>94</v>
      </c>
      <c r="C14" t="s">
        <v>2</v>
      </c>
      <c r="D14">
        <v>3659</v>
      </c>
      <c r="E14" s="16">
        <v>5.26</v>
      </c>
      <c r="F14" s="16">
        <v>105.58</v>
      </c>
    </row>
    <row r="15" spans="1:6" x14ac:dyDescent="0.2">
      <c r="A15" t="s">
        <v>33</v>
      </c>
      <c r="B15" s="22" t="s">
        <v>94</v>
      </c>
      <c r="C15" t="s">
        <v>31</v>
      </c>
      <c r="D15">
        <v>2448</v>
      </c>
      <c r="E15" s="16">
        <v>0</v>
      </c>
      <c r="F15" s="16">
        <v>112.85</v>
      </c>
    </row>
    <row r="16" spans="1:6" x14ac:dyDescent="0.2">
      <c r="C16" t="s">
        <v>57</v>
      </c>
      <c r="D16">
        <v>8271</v>
      </c>
      <c r="E16" s="16">
        <v>8.74</v>
      </c>
      <c r="F16" s="16">
        <v>392.6</v>
      </c>
    </row>
    <row r="17" spans="1:6" x14ac:dyDescent="0.2">
      <c r="A17" t="s">
        <v>16</v>
      </c>
      <c r="B17" s="22" t="s">
        <v>94</v>
      </c>
      <c r="C17" t="s">
        <v>58</v>
      </c>
      <c r="D17">
        <v>2651</v>
      </c>
      <c r="E17" s="16">
        <v>5.76</v>
      </c>
      <c r="F17" s="16">
        <v>15.15</v>
      </c>
    </row>
    <row r="18" spans="1:6" x14ac:dyDescent="0.2">
      <c r="A18" t="s">
        <v>139</v>
      </c>
      <c r="B18" s="22" t="s">
        <v>94</v>
      </c>
      <c r="C18" t="s">
        <v>0</v>
      </c>
      <c r="D18" s="23">
        <v>1980</v>
      </c>
      <c r="E18" s="16">
        <v>0</v>
      </c>
      <c r="F18" s="16">
        <v>39.53</v>
      </c>
    </row>
    <row r="19" spans="1:6" x14ac:dyDescent="0.2">
      <c r="A19" t="s">
        <v>138</v>
      </c>
      <c r="B19" s="22" t="s">
        <v>94</v>
      </c>
      <c r="C19" t="s">
        <v>59</v>
      </c>
      <c r="D19" s="23">
        <v>6154</v>
      </c>
      <c r="E19" s="16">
        <v>0</v>
      </c>
      <c r="F19" s="16">
        <v>73.959999999999994</v>
      </c>
    </row>
    <row r="20" spans="1:6" x14ac:dyDescent="0.2">
      <c r="A20" t="s">
        <v>18</v>
      </c>
      <c r="B20" s="22" t="s">
        <v>94</v>
      </c>
      <c r="C20" t="s">
        <v>8</v>
      </c>
      <c r="D20">
        <v>4052</v>
      </c>
      <c r="E20" s="16">
        <v>0</v>
      </c>
      <c r="F20" s="16">
        <v>67.23</v>
      </c>
    </row>
    <row r="21" spans="1:6" x14ac:dyDescent="0.2">
      <c r="A21" t="s">
        <v>17</v>
      </c>
      <c r="B21" s="22" t="s">
        <v>94</v>
      </c>
      <c r="C21" t="s">
        <v>60</v>
      </c>
      <c r="D21" s="23">
        <v>3279</v>
      </c>
      <c r="E21" s="16">
        <v>0</v>
      </c>
      <c r="F21" s="16">
        <v>24.68</v>
      </c>
    </row>
    <row r="23" spans="1:6" x14ac:dyDescent="0.2">
      <c r="A23" t="s">
        <v>65</v>
      </c>
    </row>
    <row r="24" spans="1:6" x14ac:dyDescent="0.2">
      <c r="A2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>
      <selection activeCell="D2" sqref="D2:D3"/>
    </sheetView>
  </sheetViews>
  <sheetFormatPr baseColWidth="10" defaultColWidth="8.83203125" defaultRowHeight="15" x14ac:dyDescent="0.2"/>
  <cols>
    <col min="1" max="2" width="20.83203125" style="46" customWidth="1"/>
    <col min="3" max="3" width="21" style="46" customWidth="1"/>
    <col min="4" max="8" width="20.83203125" style="46" customWidth="1"/>
  </cols>
  <sheetData>
    <row r="1" spans="1:8" x14ac:dyDescent="0.2">
      <c r="A1" s="25"/>
      <c r="B1" s="25"/>
      <c r="C1" s="26" t="s">
        <v>96</v>
      </c>
      <c r="D1" s="26" t="s">
        <v>96</v>
      </c>
      <c r="E1" s="26" t="s">
        <v>96</v>
      </c>
      <c r="F1" s="26" t="s">
        <v>97</v>
      </c>
      <c r="G1" s="26" t="s">
        <v>97</v>
      </c>
      <c r="H1" s="26" t="s">
        <v>97</v>
      </c>
    </row>
    <row r="2" spans="1:8" ht="30" x14ac:dyDescent="0.2">
      <c r="A2" s="27" t="s">
        <v>98</v>
      </c>
      <c r="B2" s="79" t="s">
        <v>99</v>
      </c>
      <c r="C2" s="81" t="s">
        <v>128</v>
      </c>
      <c r="D2" s="81" t="s">
        <v>129</v>
      </c>
      <c r="E2" s="81" t="s">
        <v>130</v>
      </c>
      <c r="F2" s="83" t="s">
        <v>131</v>
      </c>
      <c r="G2" s="83" t="s">
        <v>132</v>
      </c>
      <c r="H2" s="77" t="s">
        <v>100</v>
      </c>
    </row>
    <row r="3" spans="1:8" x14ac:dyDescent="0.2">
      <c r="A3" s="26" t="s">
        <v>101</v>
      </c>
      <c r="B3" s="80"/>
      <c r="C3" s="82"/>
      <c r="D3" s="82"/>
      <c r="E3" s="82"/>
      <c r="F3" s="84"/>
      <c r="G3" s="84"/>
      <c r="H3" s="78"/>
    </row>
    <row r="4" spans="1:8" x14ac:dyDescent="0.2">
      <c r="A4" s="26" t="s">
        <v>102</v>
      </c>
      <c r="B4" s="28">
        <v>1000</v>
      </c>
      <c r="C4" s="25"/>
      <c r="D4" s="25"/>
      <c r="E4" s="25"/>
      <c r="F4" s="25"/>
      <c r="G4" s="25"/>
      <c r="H4" s="25"/>
    </row>
    <row r="5" spans="1:8" ht="30" x14ac:dyDescent="0.2">
      <c r="A5" s="29" t="s">
        <v>103</v>
      </c>
      <c r="B5" s="28">
        <v>1000</v>
      </c>
      <c r="C5" s="30">
        <v>2217840</v>
      </c>
      <c r="D5" s="30">
        <v>2461143</v>
      </c>
      <c r="E5" s="30">
        <v>2090180</v>
      </c>
      <c r="F5" s="30">
        <v>2800491</v>
      </c>
      <c r="G5" s="30">
        <v>3433006</v>
      </c>
      <c r="H5" s="30">
        <v>2848907</v>
      </c>
    </row>
    <row r="6" spans="1:8" ht="30" x14ac:dyDescent="0.2">
      <c r="A6" s="31" t="s">
        <v>104</v>
      </c>
      <c r="B6" s="31" t="s">
        <v>105</v>
      </c>
      <c r="C6" s="32">
        <v>3641</v>
      </c>
      <c r="D6" s="32">
        <v>4076</v>
      </c>
      <c r="E6" s="32">
        <v>3393</v>
      </c>
      <c r="F6" s="32">
        <v>4589</v>
      </c>
      <c r="G6" s="32">
        <v>5763</v>
      </c>
      <c r="H6" s="32">
        <v>4652</v>
      </c>
    </row>
    <row r="7" spans="1:8" x14ac:dyDescent="0.2">
      <c r="A7" s="33" t="s">
        <v>133</v>
      </c>
      <c r="B7" s="34"/>
      <c r="C7" s="34"/>
      <c r="D7" s="34"/>
      <c r="E7" s="34"/>
      <c r="F7" s="34"/>
      <c r="G7" s="34"/>
      <c r="H7" s="34"/>
    </row>
    <row r="8" spans="1:8" ht="30" x14ac:dyDescent="0.2">
      <c r="A8" s="35" t="s">
        <v>106</v>
      </c>
      <c r="B8" s="36">
        <v>1000</v>
      </c>
      <c r="C8" s="37">
        <v>2217840</v>
      </c>
      <c r="D8" s="37">
        <v>2461143</v>
      </c>
      <c r="E8" s="37">
        <v>2090180</v>
      </c>
      <c r="F8" s="37">
        <v>2800491</v>
      </c>
      <c r="G8" s="37">
        <v>3433006</v>
      </c>
      <c r="H8" s="37">
        <v>2848907</v>
      </c>
    </row>
    <row r="9" spans="1:8" x14ac:dyDescent="0.2">
      <c r="A9" s="38" t="s">
        <v>134</v>
      </c>
      <c r="B9" s="34"/>
      <c r="C9" s="34"/>
      <c r="D9" s="34"/>
      <c r="E9" s="34"/>
      <c r="F9" s="34"/>
      <c r="G9" s="34"/>
      <c r="H9" s="34"/>
    </row>
    <row r="10" spans="1:8" x14ac:dyDescent="0.2">
      <c r="A10" s="35" t="s">
        <v>107</v>
      </c>
      <c r="B10" s="36">
        <v>1000</v>
      </c>
      <c r="C10" s="39">
        <v>16571</v>
      </c>
      <c r="D10" s="37">
        <v>16571</v>
      </c>
      <c r="E10" s="37">
        <v>16571</v>
      </c>
      <c r="F10" s="39">
        <v>29871</v>
      </c>
      <c r="G10" s="39">
        <v>34299</v>
      </c>
      <c r="H10" s="39">
        <v>30210</v>
      </c>
    </row>
    <row r="11" spans="1:8" ht="30" x14ac:dyDescent="0.2">
      <c r="A11" s="38" t="s">
        <v>135</v>
      </c>
      <c r="B11" s="34"/>
      <c r="C11" s="34"/>
      <c r="D11" s="34"/>
      <c r="E11" s="34"/>
      <c r="F11" s="34"/>
      <c r="G11" s="34"/>
      <c r="H11" s="34"/>
    </row>
    <row r="12" spans="1:8" x14ac:dyDescent="0.2">
      <c r="A12" s="35" t="s">
        <v>108</v>
      </c>
      <c r="B12" s="36">
        <v>1000</v>
      </c>
      <c r="C12" s="39">
        <v>2455</v>
      </c>
      <c r="D12" s="39">
        <v>1276</v>
      </c>
      <c r="E12" s="40">
        <v>0</v>
      </c>
      <c r="F12" s="40">
        <v>0</v>
      </c>
      <c r="G12" s="40">
        <v>0</v>
      </c>
      <c r="H12" s="40">
        <v>0</v>
      </c>
    </row>
    <row r="13" spans="1:8" ht="30" x14ac:dyDescent="0.2">
      <c r="A13" s="35" t="s">
        <v>109</v>
      </c>
      <c r="B13" s="36">
        <v>1000</v>
      </c>
      <c r="C13" s="40">
        <v>0</v>
      </c>
      <c r="D13" s="40">
        <v>0</v>
      </c>
      <c r="E13" s="39">
        <v>1174</v>
      </c>
      <c r="F13" s="39">
        <v>1593</v>
      </c>
      <c r="G13" s="39">
        <v>1415</v>
      </c>
      <c r="H13" s="39">
        <v>1340</v>
      </c>
    </row>
    <row r="14" spans="1:8" x14ac:dyDescent="0.2">
      <c r="A14" s="35" t="s">
        <v>110</v>
      </c>
      <c r="B14" s="36">
        <v>1000</v>
      </c>
      <c r="C14" s="40">
        <v>0</v>
      </c>
      <c r="D14" s="39">
        <v>1751</v>
      </c>
      <c r="E14" s="39">
        <v>1593</v>
      </c>
      <c r="F14" s="40">
        <v>296</v>
      </c>
      <c r="G14" s="39">
        <v>1068</v>
      </c>
      <c r="H14" s="40">
        <v>296</v>
      </c>
    </row>
    <row r="15" spans="1:8" x14ac:dyDescent="0.2">
      <c r="A15" s="35" t="s">
        <v>111</v>
      </c>
      <c r="B15" s="36">
        <v>1000</v>
      </c>
      <c r="C15" s="40">
        <v>440</v>
      </c>
      <c r="D15" s="40">
        <v>440</v>
      </c>
      <c r="E15" s="40">
        <v>440</v>
      </c>
      <c r="F15" s="40">
        <v>451</v>
      </c>
      <c r="G15" s="40">
        <v>407</v>
      </c>
      <c r="H15" s="40">
        <v>440</v>
      </c>
    </row>
    <row r="16" spans="1:8" ht="30" x14ac:dyDescent="0.2">
      <c r="A16" s="35" t="s">
        <v>112</v>
      </c>
      <c r="B16" s="36">
        <v>1000</v>
      </c>
      <c r="C16" s="40">
        <v>721</v>
      </c>
      <c r="D16" s="39">
        <v>2740</v>
      </c>
      <c r="E16" s="40">
        <v>473</v>
      </c>
      <c r="F16" s="40">
        <v>0</v>
      </c>
      <c r="G16" s="40">
        <v>0</v>
      </c>
      <c r="H16" s="40">
        <v>0</v>
      </c>
    </row>
    <row r="17" spans="1:8" x14ac:dyDescent="0.2">
      <c r="A17" s="35" t="s">
        <v>113</v>
      </c>
      <c r="B17" s="36">
        <v>1000</v>
      </c>
      <c r="C17" s="39">
        <v>2877</v>
      </c>
      <c r="D17" s="37">
        <v>10954</v>
      </c>
      <c r="E17" s="39">
        <v>1884</v>
      </c>
      <c r="F17" s="40">
        <v>0</v>
      </c>
      <c r="G17" s="40">
        <v>0</v>
      </c>
      <c r="H17" s="40">
        <v>0</v>
      </c>
    </row>
    <row r="18" spans="1:8" x14ac:dyDescent="0.2">
      <c r="A18" s="35" t="s">
        <v>114</v>
      </c>
      <c r="B18" s="36">
        <v>1000</v>
      </c>
      <c r="C18" s="39">
        <v>5051</v>
      </c>
      <c r="D18" s="39">
        <v>2635</v>
      </c>
      <c r="E18" s="40">
        <v>617</v>
      </c>
      <c r="F18" s="40">
        <v>0</v>
      </c>
      <c r="G18" s="40">
        <v>0</v>
      </c>
      <c r="H18" s="40">
        <v>0</v>
      </c>
    </row>
    <row r="19" spans="1:8" x14ac:dyDescent="0.2">
      <c r="A19" s="35" t="s">
        <v>115</v>
      </c>
      <c r="B19" s="36">
        <v>1000</v>
      </c>
      <c r="C19" s="40">
        <v>0</v>
      </c>
      <c r="D19" s="40">
        <v>16</v>
      </c>
      <c r="E19" s="40">
        <v>14</v>
      </c>
      <c r="F19" s="40">
        <v>24</v>
      </c>
      <c r="G19" s="40">
        <v>85</v>
      </c>
      <c r="H19" s="40">
        <v>24</v>
      </c>
    </row>
    <row r="20" spans="1:8" x14ac:dyDescent="0.2">
      <c r="A20" s="35" t="s">
        <v>116</v>
      </c>
      <c r="B20" s="36">
        <v>1000</v>
      </c>
      <c r="C20" s="40">
        <v>577</v>
      </c>
      <c r="D20" s="40">
        <v>609</v>
      </c>
      <c r="E20" s="40">
        <v>587</v>
      </c>
      <c r="F20" s="40">
        <v>186</v>
      </c>
      <c r="G20" s="40">
        <v>186</v>
      </c>
      <c r="H20" s="40">
        <v>186</v>
      </c>
    </row>
    <row r="21" spans="1:8" ht="30" x14ac:dyDescent="0.2">
      <c r="A21" s="35" t="s">
        <v>117</v>
      </c>
      <c r="B21" s="36">
        <v>1000</v>
      </c>
      <c r="C21" s="39">
        <v>1153</v>
      </c>
      <c r="D21" s="39">
        <v>1153</v>
      </c>
      <c r="E21" s="39">
        <v>1153</v>
      </c>
      <c r="F21" s="40">
        <v>399</v>
      </c>
      <c r="G21" s="40">
        <v>399</v>
      </c>
      <c r="H21" s="40">
        <v>399</v>
      </c>
    </row>
    <row r="22" spans="1:8" x14ac:dyDescent="0.2">
      <c r="A22" s="35" t="s">
        <v>118</v>
      </c>
      <c r="B22" s="36">
        <v>1000</v>
      </c>
      <c r="C22" s="40">
        <v>367</v>
      </c>
      <c r="D22" s="40">
        <v>415</v>
      </c>
      <c r="E22" s="40">
        <v>378</v>
      </c>
      <c r="F22" s="40">
        <v>33</v>
      </c>
      <c r="G22" s="40">
        <v>61</v>
      </c>
      <c r="H22" s="40">
        <v>42</v>
      </c>
    </row>
    <row r="23" spans="1:8" x14ac:dyDescent="0.2">
      <c r="A23" s="35" t="s">
        <v>119</v>
      </c>
      <c r="B23" s="36">
        <v>1000</v>
      </c>
      <c r="C23" s="39">
        <v>1080</v>
      </c>
      <c r="D23" s="40">
        <v>913</v>
      </c>
      <c r="E23" s="40">
        <v>880</v>
      </c>
      <c r="F23" s="40">
        <v>191</v>
      </c>
      <c r="G23" s="40">
        <v>189</v>
      </c>
      <c r="H23" s="40">
        <v>184</v>
      </c>
    </row>
    <row r="24" spans="1:8" x14ac:dyDescent="0.2">
      <c r="A24" s="35" t="s">
        <v>120</v>
      </c>
      <c r="B24" s="36">
        <v>1000</v>
      </c>
      <c r="C24" s="39">
        <v>3241</v>
      </c>
      <c r="D24" s="39">
        <v>3422</v>
      </c>
      <c r="E24" s="39">
        <v>3301</v>
      </c>
      <c r="F24" s="40">
        <v>431</v>
      </c>
      <c r="G24" s="40">
        <v>425</v>
      </c>
      <c r="H24" s="40">
        <v>414</v>
      </c>
    </row>
    <row r="25" spans="1:8" x14ac:dyDescent="0.2">
      <c r="A25" s="35" t="s">
        <v>121</v>
      </c>
      <c r="B25" s="36">
        <v>1000</v>
      </c>
      <c r="C25" s="39">
        <v>2401</v>
      </c>
      <c r="D25" s="39">
        <v>2380</v>
      </c>
      <c r="E25" s="39">
        <v>2428</v>
      </c>
      <c r="F25" s="39">
        <v>2272</v>
      </c>
      <c r="G25" s="39">
        <v>2218</v>
      </c>
      <c r="H25" s="39">
        <v>2280</v>
      </c>
    </row>
    <row r="26" spans="1:8" x14ac:dyDescent="0.2">
      <c r="A26" s="35" t="s">
        <v>122</v>
      </c>
      <c r="B26" s="36">
        <v>1000</v>
      </c>
      <c r="C26" s="41" t="s">
        <v>123</v>
      </c>
      <c r="D26" s="41" t="s">
        <v>123</v>
      </c>
      <c r="E26" s="41" t="s">
        <v>123</v>
      </c>
      <c r="F26" s="40">
        <v>555</v>
      </c>
      <c r="G26" s="40">
        <v>272</v>
      </c>
      <c r="H26" s="40">
        <v>65</v>
      </c>
    </row>
    <row r="27" spans="1:8" x14ac:dyDescent="0.2">
      <c r="A27" s="35" t="s">
        <v>124</v>
      </c>
      <c r="B27" s="36">
        <v>1000</v>
      </c>
      <c r="C27" s="39">
        <v>20364</v>
      </c>
      <c r="D27" s="37">
        <v>28705</v>
      </c>
      <c r="E27" s="37">
        <v>14924</v>
      </c>
      <c r="F27" s="39">
        <v>6430</v>
      </c>
      <c r="G27" s="39">
        <v>6725</v>
      </c>
      <c r="H27" s="39">
        <v>5668</v>
      </c>
    </row>
    <row r="28" spans="1:8" x14ac:dyDescent="0.2">
      <c r="A28" s="42" t="s">
        <v>125</v>
      </c>
      <c r="B28" s="42" t="s">
        <v>126</v>
      </c>
      <c r="C28" s="43">
        <v>3.73</v>
      </c>
      <c r="D28" s="43">
        <v>5.76</v>
      </c>
      <c r="E28" s="43">
        <v>3.07</v>
      </c>
      <c r="F28" s="43">
        <v>1.42</v>
      </c>
      <c r="G28" s="43">
        <v>1.52</v>
      </c>
      <c r="H28" s="43">
        <v>1.24</v>
      </c>
    </row>
    <row r="29" spans="1:8" ht="30" x14ac:dyDescent="0.2">
      <c r="A29" s="31" t="s">
        <v>127</v>
      </c>
      <c r="B29" s="44">
        <v>1000</v>
      </c>
      <c r="C29" s="32">
        <v>36935</v>
      </c>
      <c r="D29" s="45">
        <v>45276</v>
      </c>
      <c r="E29" s="45">
        <v>31495</v>
      </c>
      <c r="F29" s="32">
        <v>36301</v>
      </c>
      <c r="G29" s="32">
        <v>41023</v>
      </c>
      <c r="H29" s="32">
        <v>35878</v>
      </c>
    </row>
    <row r="30" spans="1:8" ht="30" x14ac:dyDescent="0.2">
      <c r="A30" s="42" t="s">
        <v>127</v>
      </c>
      <c r="B30" s="42" t="s">
        <v>126</v>
      </c>
      <c r="C30" s="43">
        <v>7.69</v>
      </c>
      <c r="D30" s="43">
        <v>9.51</v>
      </c>
      <c r="E30" s="43">
        <v>6.48</v>
      </c>
      <c r="F30" s="43">
        <v>7.99</v>
      </c>
      <c r="G30" s="43">
        <v>9.25</v>
      </c>
      <c r="H30" s="43">
        <v>7.87</v>
      </c>
    </row>
    <row r="32" spans="1:8" x14ac:dyDescent="0.2">
      <c r="B32" s="46" t="s">
        <v>149</v>
      </c>
    </row>
    <row r="33" spans="1:4" x14ac:dyDescent="0.2">
      <c r="A33" s="47" t="s">
        <v>136</v>
      </c>
      <c r="B33" s="48">
        <f>D6/AVERAGE(C6,E6)</f>
        <v>1.1589422803525733</v>
      </c>
      <c r="C33" s="48"/>
      <c r="D33" s="48"/>
    </row>
    <row r="34" spans="1:4" x14ac:dyDescent="0.2">
      <c r="A34" s="47" t="s">
        <v>125</v>
      </c>
      <c r="B34" s="48">
        <f>D28/(AVERAGE(C28,E28))</f>
        <v>1.6941176470588235</v>
      </c>
      <c r="C34" s="48"/>
      <c r="D34" s="48"/>
    </row>
    <row r="35" spans="1:4" x14ac:dyDescent="0.2">
      <c r="A35" s="47" t="s">
        <v>107</v>
      </c>
      <c r="B35" s="48">
        <f>D10/AVERAGE(E10,C10)</f>
        <v>1</v>
      </c>
      <c r="C35" s="48"/>
      <c r="D35" s="48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26"/>
  <sheetViews>
    <sheetView topLeftCell="A23" workbookViewId="0">
      <selection activeCell="F7" sqref="F7"/>
    </sheetView>
  </sheetViews>
  <sheetFormatPr baseColWidth="10" defaultColWidth="8.83203125" defaultRowHeight="15" x14ac:dyDescent="0.2"/>
  <cols>
    <col min="1" max="1" width="21.83203125" bestFit="1" customWidth="1"/>
    <col min="2" max="2" width="21.83203125" style="22" customWidth="1"/>
  </cols>
  <sheetData>
    <row r="1" spans="1:39" s="22" customFormat="1" x14ac:dyDescent="0.2">
      <c r="C1" s="22" t="s">
        <v>186</v>
      </c>
    </row>
    <row r="2" spans="1:39" s="22" customFormat="1" x14ac:dyDescent="0.2">
      <c r="A2" s="22" t="s">
        <v>194</v>
      </c>
      <c r="B2" s="22" t="s">
        <v>193</v>
      </c>
      <c r="C2" s="22">
        <v>2014</v>
      </c>
      <c r="D2" s="22">
        <v>2015</v>
      </c>
      <c r="E2" s="22">
        <v>2016</v>
      </c>
      <c r="F2" s="22">
        <v>2017</v>
      </c>
      <c r="G2" s="22">
        <v>2018</v>
      </c>
      <c r="H2" s="22">
        <v>2019</v>
      </c>
      <c r="I2" s="22">
        <v>2020</v>
      </c>
      <c r="J2" s="22">
        <v>2021</v>
      </c>
      <c r="K2" s="22">
        <v>2022</v>
      </c>
      <c r="L2" s="22">
        <v>2023</v>
      </c>
      <c r="M2" s="22">
        <v>2024</v>
      </c>
      <c r="N2" s="22">
        <v>2025</v>
      </c>
      <c r="O2" s="22">
        <v>2026</v>
      </c>
      <c r="P2" s="22">
        <v>2027</v>
      </c>
      <c r="Q2" s="22">
        <v>2028</v>
      </c>
      <c r="R2" s="22">
        <v>2029</v>
      </c>
      <c r="S2" s="22">
        <v>2030</v>
      </c>
      <c r="T2" s="22">
        <v>2031</v>
      </c>
      <c r="U2" s="22">
        <v>2032</v>
      </c>
      <c r="V2" s="22">
        <v>2033</v>
      </c>
      <c r="W2" s="22">
        <v>2034</v>
      </c>
      <c r="X2" s="22">
        <v>2035</v>
      </c>
      <c r="Y2" s="22">
        <v>2036</v>
      </c>
      <c r="Z2" s="22">
        <v>2037</v>
      </c>
      <c r="AA2" s="22">
        <v>2038</v>
      </c>
      <c r="AB2" s="22">
        <v>2039</v>
      </c>
      <c r="AC2" s="22">
        <v>2040</v>
      </c>
      <c r="AD2" s="22">
        <v>2041</v>
      </c>
      <c r="AE2" s="22">
        <v>2042</v>
      </c>
      <c r="AF2" s="22">
        <v>2043</v>
      </c>
      <c r="AG2" s="22">
        <v>2044</v>
      </c>
      <c r="AH2" s="22">
        <v>2045</v>
      </c>
      <c r="AI2" s="22">
        <v>2046</v>
      </c>
      <c r="AJ2" s="22">
        <v>2047</v>
      </c>
      <c r="AK2" s="22">
        <v>2048</v>
      </c>
      <c r="AL2" s="22">
        <v>2049</v>
      </c>
      <c r="AM2" s="22">
        <v>2050</v>
      </c>
    </row>
    <row r="3" spans="1:39" x14ac:dyDescent="0.2">
      <c r="A3" t="s">
        <v>14</v>
      </c>
      <c r="B3" s="22" t="s">
        <v>187</v>
      </c>
      <c r="C3" s="22">
        <v>6542.8564452168666</v>
      </c>
      <c r="D3" s="22">
        <v>6542.8564452168666</v>
      </c>
      <c r="E3" s="22">
        <v>6542.8564452168666</v>
      </c>
      <c r="F3" s="22">
        <v>6542.8564452168666</v>
      </c>
      <c r="G3" s="22">
        <v>6457.9993624358212</v>
      </c>
      <c r="H3" s="22">
        <v>6359.4154255109343</v>
      </c>
      <c r="I3" s="22">
        <v>6253.4947102646775</v>
      </c>
      <c r="J3" s="22">
        <v>6216.5690640637449</v>
      </c>
      <c r="K3" s="22">
        <v>6184.891880111777</v>
      </c>
      <c r="L3" s="22">
        <v>6153.2158156883124</v>
      </c>
      <c r="M3" s="22">
        <v>6114.6554096016016</v>
      </c>
      <c r="N3" s="22">
        <v>6081.4204111983972</v>
      </c>
      <c r="O3" s="22">
        <v>6041.6429381883763</v>
      </c>
      <c r="P3" s="22">
        <v>5992.8368575310624</v>
      </c>
      <c r="Q3" s="22">
        <v>5959.8013874549097</v>
      </c>
      <c r="R3" s="22">
        <v>5919.9652582605204</v>
      </c>
      <c r="S3" s="22">
        <v>5875.882507647294</v>
      </c>
      <c r="T3" s="22">
        <v>5836.358733733734</v>
      </c>
      <c r="U3" s="22">
        <v>5802.7311260700708</v>
      </c>
      <c r="V3" s="22">
        <v>5761.2898582617399</v>
      </c>
      <c r="W3" s="22">
        <v>5724.7067858461542</v>
      </c>
      <c r="X3" s="22">
        <v>5689.7676796240003</v>
      </c>
      <c r="Y3" s="22">
        <v>5656.0388360920915</v>
      </c>
      <c r="Z3" s="22">
        <v>5616.5109746933867</v>
      </c>
      <c r="AA3" s="22">
        <v>5583.6747603618087</v>
      </c>
      <c r="AB3" s="22">
        <v>5547.0340471460222</v>
      </c>
      <c r="AC3" s="22">
        <v>5512.4362440606674</v>
      </c>
      <c r="AD3" s="22">
        <v>5476.0916177020044</v>
      </c>
      <c r="AE3" s="22">
        <v>5439.7469913433415</v>
      </c>
      <c r="AF3" s="22">
        <v>5403.4023649846786</v>
      </c>
      <c r="AG3" s="22">
        <v>5367.0577386260156</v>
      </c>
      <c r="AH3" s="22">
        <v>5330.7131122673527</v>
      </c>
      <c r="AI3" s="22">
        <v>5294.3684859086898</v>
      </c>
      <c r="AJ3" s="22">
        <v>5258.0238595500268</v>
      </c>
      <c r="AK3" s="22">
        <v>5221.6792331913639</v>
      </c>
      <c r="AL3" s="22">
        <v>5185.334606832701</v>
      </c>
      <c r="AM3" s="22">
        <v>5148.989980474038</v>
      </c>
    </row>
    <row r="4" spans="1:39" x14ac:dyDescent="0.2">
      <c r="A4" t="s">
        <v>14</v>
      </c>
      <c r="B4" s="22" t="s">
        <v>188</v>
      </c>
      <c r="C4" s="22">
        <v>6542.8564452168666</v>
      </c>
      <c r="D4" s="22">
        <v>6542.8564452168666</v>
      </c>
      <c r="E4" s="22">
        <v>6542.8564452168666</v>
      </c>
      <c r="F4" s="22">
        <v>6542.8564452168666</v>
      </c>
      <c r="G4" s="22">
        <v>6457.9993624358212</v>
      </c>
      <c r="H4" s="22">
        <v>6359.4154255109343</v>
      </c>
      <c r="I4" s="22">
        <v>6253.4947102646775</v>
      </c>
      <c r="J4" s="22">
        <v>6216.5690640637449</v>
      </c>
      <c r="K4" s="22">
        <v>6184.891880111777</v>
      </c>
      <c r="L4" s="22">
        <v>6153.2158156883124</v>
      </c>
      <c r="M4" s="22">
        <v>6114.6554096016016</v>
      </c>
      <c r="N4" s="22">
        <v>6081.4204111983972</v>
      </c>
      <c r="O4" s="22">
        <v>6041.6429381883763</v>
      </c>
      <c r="P4" s="22">
        <v>5992.8368575310624</v>
      </c>
      <c r="Q4" s="22">
        <v>5959.8013874549097</v>
      </c>
      <c r="R4" s="22">
        <v>5919.9652582605204</v>
      </c>
      <c r="S4" s="22">
        <v>5875.882507647294</v>
      </c>
      <c r="T4" s="22">
        <v>5836.358733733734</v>
      </c>
      <c r="U4" s="22">
        <v>5802.7311260700708</v>
      </c>
      <c r="V4" s="22">
        <v>5761.2898582617399</v>
      </c>
      <c r="W4" s="22">
        <v>5724.7067858461542</v>
      </c>
      <c r="X4" s="22">
        <v>5689.7676796240003</v>
      </c>
      <c r="Y4" s="22">
        <v>5656.0388360920915</v>
      </c>
      <c r="Z4" s="22">
        <v>5616.5109746933867</v>
      </c>
      <c r="AA4" s="22">
        <v>5583.6747603618087</v>
      </c>
      <c r="AB4" s="22">
        <v>5547.0340471460222</v>
      </c>
      <c r="AC4" s="22">
        <v>5512.4362440606674</v>
      </c>
      <c r="AD4" s="22">
        <v>5476.0916177020044</v>
      </c>
      <c r="AE4" s="22">
        <v>5439.7469913433415</v>
      </c>
      <c r="AF4" s="22">
        <v>5403.4023649846786</v>
      </c>
      <c r="AG4" s="22">
        <v>5367.0577386260156</v>
      </c>
      <c r="AH4" s="22">
        <v>5330.7131122673527</v>
      </c>
      <c r="AI4" s="22">
        <v>5294.3684859086898</v>
      </c>
      <c r="AJ4" s="22">
        <v>5258.0238595500268</v>
      </c>
      <c r="AK4" s="22">
        <v>5221.6792331913639</v>
      </c>
      <c r="AL4" s="22">
        <v>5185.334606832701</v>
      </c>
      <c r="AM4" s="22">
        <v>5148.989980474038</v>
      </c>
    </row>
    <row r="5" spans="1:39" x14ac:dyDescent="0.2">
      <c r="A5" t="s">
        <v>14</v>
      </c>
      <c r="B5" s="22" t="s">
        <v>189</v>
      </c>
      <c r="C5" s="22">
        <v>6542.8564452168666</v>
      </c>
      <c r="D5" s="22">
        <v>6542.8564452168666</v>
      </c>
      <c r="E5" s="22">
        <v>6542.8564452168666</v>
      </c>
      <c r="F5" s="22">
        <v>6542.8564452168666</v>
      </c>
      <c r="G5" s="22">
        <v>6457.9993624358212</v>
      </c>
      <c r="H5" s="22">
        <v>6359.4154255109343</v>
      </c>
      <c r="I5" s="22">
        <v>6253.4947102646775</v>
      </c>
      <c r="J5" s="22">
        <v>6216.5690640637449</v>
      </c>
      <c r="K5" s="22">
        <v>6184.891880111777</v>
      </c>
      <c r="L5" s="22">
        <v>6153.2158156883124</v>
      </c>
      <c r="M5" s="22">
        <v>6114.6554096016016</v>
      </c>
      <c r="N5" s="22">
        <v>6081.4204111983972</v>
      </c>
      <c r="O5" s="22">
        <v>6041.6429381883763</v>
      </c>
      <c r="P5" s="22">
        <v>5992.8368575310624</v>
      </c>
      <c r="Q5" s="22">
        <v>5959.8013874549097</v>
      </c>
      <c r="R5" s="22">
        <v>5919.9652582605204</v>
      </c>
      <c r="S5" s="22">
        <v>5875.882507647294</v>
      </c>
      <c r="T5" s="22">
        <v>5836.358733733734</v>
      </c>
      <c r="U5" s="22">
        <v>5802.7311260700708</v>
      </c>
      <c r="V5" s="22">
        <v>5761.2898582617399</v>
      </c>
      <c r="W5" s="22">
        <v>5724.7067858461542</v>
      </c>
      <c r="X5" s="22">
        <v>5689.7676796240003</v>
      </c>
      <c r="Y5" s="22">
        <v>5656.0388360920915</v>
      </c>
      <c r="Z5" s="22">
        <v>5616.5109746933867</v>
      </c>
      <c r="AA5" s="22">
        <v>5583.6747603618087</v>
      </c>
      <c r="AB5" s="22">
        <v>5547.0340471460222</v>
      </c>
      <c r="AC5" s="22">
        <v>5512.4362440606674</v>
      </c>
      <c r="AD5" s="22">
        <v>5476.0916177020044</v>
      </c>
      <c r="AE5" s="22">
        <v>5439.7469913433415</v>
      </c>
      <c r="AF5" s="22">
        <v>5403.4023649846786</v>
      </c>
      <c r="AG5" s="22">
        <v>5367.0577386260156</v>
      </c>
      <c r="AH5" s="22">
        <v>5330.7131122673527</v>
      </c>
      <c r="AI5" s="22">
        <v>5294.3684859086898</v>
      </c>
      <c r="AJ5" s="22">
        <v>5258.0238595500268</v>
      </c>
      <c r="AK5" s="22">
        <v>5221.6792331913639</v>
      </c>
      <c r="AL5" s="22">
        <v>5185.334606832701</v>
      </c>
      <c r="AM5" s="22">
        <v>5148.989980474038</v>
      </c>
    </row>
    <row r="6" spans="1:39" x14ac:dyDescent="0.2">
      <c r="A6" t="s">
        <v>14</v>
      </c>
      <c r="B6" s="22" t="s">
        <v>190</v>
      </c>
      <c r="C6" s="22">
        <v>6542.8564452168666</v>
      </c>
      <c r="D6" s="22">
        <v>6542.8564452168666</v>
      </c>
      <c r="E6" s="22">
        <v>6542.8564452168666</v>
      </c>
      <c r="F6" s="22">
        <v>6542.8564452168666</v>
      </c>
      <c r="G6" s="22">
        <v>6457.9993624358212</v>
      </c>
      <c r="H6" s="22">
        <v>6359.4154255109343</v>
      </c>
      <c r="I6" s="22">
        <v>6253.4947102646775</v>
      </c>
      <c r="J6" s="22">
        <v>6216.5690640637449</v>
      </c>
      <c r="K6" s="22">
        <v>6184.891880111777</v>
      </c>
      <c r="L6" s="22">
        <v>6153.2158156883124</v>
      </c>
      <c r="M6" s="22">
        <v>6114.6554096016016</v>
      </c>
      <c r="N6" s="22">
        <v>6081.4204111983972</v>
      </c>
      <c r="O6" s="22">
        <v>6041.6429381883763</v>
      </c>
      <c r="P6" s="22">
        <v>5992.8368575310624</v>
      </c>
      <c r="Q6" s="22">
        <v>5959.8013874549097</v>
      </c>
      <c r="R6" s="22">
        <v>5919.9652582605204</v>
      </c>
      <c r="S6" s="22">
        <v>5875.882507647294</v>
      </c>
      <c r="T6" s="22">
        <v>5836.358733733734</v>
      </c>
      <c r="U6" s="22">
        <v>5802.7311260700708</v>
      </c>
      <c r="V6" s="22">
        <v>5761.2898582617399</v>
      </c>
      <c r="W6" s="22">
        <v>5724.7067858461542</v>
      </c>
      <c r="X6" s="22">
        <v>5689.7676796240003</v>
      </c>
      <c r="Y6" s="22">
        <v>5656.0388360920915</v>
      </c>
      <c r="Z6" s="22">
        <v>5616.5109746933867</v>
      </c>
      <c r="AA6" s="22">
        <v>5583.6747603618087</v>
      </c>
      <c r="AB6" s="22">
        <v>5547.0340471460222</v>
      </c>
      <c r="AC6" s="22">
        <v>5512.4362440606674</v>
      </c>
      <c r="AD6" s="22">
        <v>5476.0916177020044</v>
      </c>
      <c r="AE6" s="22">
        <v>5439.7469913433415</v>
      </c>
      <c r="AF6" s="22">
        <v>5403.4023649846786</v>
      </c>
      <c r="AG6" s="22">
        <v>5367.0577386260156</v>
      </c>
      <c r="AH6" s="22">
        <v>5330.7131122673527</v>
      </c>
      <c r="AI6" s="22">
        <v>5294.3684859086898</v>
      </c>
      <c r="AJ6" s="22">
        <v>5258.0238595500268</v>
      </c>
      <c r="AK6" s="22">
        <v>5221.6792331913639</v>
      </c>
      <c r="AL6" s="22">
        <v>5185.334606832701</v>
      </c>
      <c r="AM6" s="22">
        <v>5148.989980474038</v>
      </c>
    </row>
    <row r="7" spans="1:39" x14ac:dyDescent="0.2">
      <c r="A7" t="s">
        <v>14</v>
      </c>
      <c r="B7" s="22" t="s">
        <v>191</v>
      </c>
      <c r="C7" s="22">
        <v>6542.8564452168666</v>
      </c>
      <c r="D7" s="22">
        <v>6542.8564452168666</v>
      </c>
      <c r="E7" s="22">
        <v>6542.8564452168666</v>
      </c>
      <c r="F7" s="22">
        <v>6542.8564452168666</v>
      </c>
      <c r="G7" s="22">
        <v>6457.9993624358212</v>
      </c>
      <c r="H7" s="22">
        <v>6359.4154255109343</v>
      </c>
      <c r="I7" s="22">
        <v>6253.4947102646775</v>
      </c>
      <c r="J7" s="22">
        <v>6216.5690640637449</v>
      </c>
      <c r="K7" s="22">
        <v>6184.891880111777</v>
      </c>
      <c r="L7" s="22">
        <v>6153.2158156883124</v>
      </c>
      <c r="M7" s="22">
        <v>6114.6554096016016</v>
      </c>
      <c r="N7" s="22">
        <v>6081.4204111983972</v>
      </c>
      <c r="O7" s="22">
        <v>6041.6429381883763</v>
      </c>
      <c r="P7" s="22">
        <v>5992.8368575310624</v>
      </c>
      <c r="Q7" s="22">
        <v>5959.8013874549097</v>
      </c>
      <c r="R7" s="22">
        <v>5919.9652582605204</v>
      </c>
      <c r="S7" s="22">
        <v>5875.882507647294</v>
      </c>
      <c r="T7" s="22">
        <v>5836.358733733734</v>
      </c>
      <c r="U7" s="22">
        <v>5802.7311260700708</v>
      </c>
      <c r="V7" s="22">
        <v>5761.2898582617399</v>
      </c>
      <c r="W7" s="22">
        <v>5724.7067858461542</v>
      </c>
      <c r="X7" s="22">
        <v>5689.7676796240003</v>
      </c>
      <c r="Y7" s="22">
        <v>5656.0388360920915</v>
      </c>
      <c r="Z7" s="22">
        <v>5616.5109746933867</v>
      </c>
      <c r="AA7" s="22">
        <v>5583.6747603618087</v>
      </c>
      <c r="AB7" s="22">
        <v>5547.0340471460222</v>
      </c>
      <c r="AC7" s="22">
        <v>5512.4362440606674</v>
      </c>
      <c r="AD7" s="22">
        <v>5476.0916177020044</v>
      </c>
      <c r="AE7" s="22">
        <v>5439.7469913433415</v>
      </c>
      <c r="AF7" s="22">
        <v>5403.4023649846786</v>
      </c>
      <c r="AG7" s="22">
        <v>5367.0577386260156</v>
      </c>
      <c r="AH7" s="22">
        <v>5330.7131122673527</v>
      </c>
      <c r="AI7" s="22">
        <v>5294.3684859086898</v>
      </c>
      <c r="AJ7" s="22">
        <v>5258.0238595500268</v>
      </c>
      <c r="AK7" s="22">
        <v>5221.6792331913639</v>
      </c>
      <c r="AL7" s="22">
        <v>5185.334606832701</v>
      </c>
      <c r="AM7" s="22">
        <v>5148.989980474038</v>
      </c>
    </row>
    <row r="8" spans="1:39" x14ac:dyDescent="0.2">
      <c r="A8" t="s">
        <v>14</v>
      </c>
      <c r="B8" s="22" t="s">
        <v>192</v>
      </c>
      <c r="C8" s="22">
        <v>6542.8564452168666</v>
      </c>
      <c r="D8" s="22">
        <v>6542.8564452168666</v>
      </c>
      <c r="E8" s="22">
        <v>6542.8564452168666</v>
      </c>
      <c r="F8" s="22">
        <v>6542.8564452168666</v>
      </c>
      <c r="G8" s="22">
        <v>6457.9993624358212</v>
      </c>
      <c r="H8" s="22">
        <v>6359.4154255109343</v>
      </c>
      <c r="I8" s="22">
        <v>6253.4947102646775</v>
      </c>
      <c r="J8" s="22">
        <v>6216.5690640637449</v>
      </c>
      <c r="K8" s="22">
        <v>6184.891880111777</v>
      </c>
      <c r="L8" s="22">
        <v>6153.2158156883124</v>
      </c>
      <c r="M8" s="22">
        <v>6114.6554096016016</v>
      </c>
      <c r="N8" s="22">
        <v>6081.4204111983972</v>
      </c>
      <c r="O8" s="22">
        <v>6041.6429381883763</v>
      </c>
      <c r="P8" s="22">
        <v>5992.8368575310624</v>
      </c>
      <c r="Q8" s="22">
        <v>5959.8013874549097</v>
      </c>
      <c r="R8" s="22">
        <v>5919.9652582605204</v>
      </c>
      <c r="S8" s="22">
        <v>5875.882507647294</v>
      </c>
      <c r="T8" s="22">
        <v>5836.358733733734</v>
      </c>
      <c r="U8" s="22">
        <v>5802.7311260700708</v>
      </c>
      <c r="V8" s="22">
        <v>5761.2898582617399</v>
      </c>
      <c r="W8" s="22">
        <v>5724.7067858461542</v>
      </c>
      <c r="X8" s="22">
        <v>5689.7676796240003</v>
      </c>
      <c r="Y8" s="22">
        <v>5656.0388360920915</v>
      </c>
      <c r="Z8" s="22">
        <v>5616.5109746933867</v>
      </c>
      <c r="AA8" s="22">
        <v>5583.6747603618087</v>
      </c>
      <c r="AB8" s="22">
        <v>5547.0340471460222</v>
      </c>
      <c r="AC8" s="22">
        <v>5512.4362440606674</v>
      </c>
      <c r="AD8" s="22">
        <v>5476.0916177020044</v>
      </c>
      <c r="AE8" s="22">
        <v>5439.7469913433415</v>
      </c>
      <c r="AF8" s="22">
        <v>5403.4023649846786</v>
      </c>
      <c r="AG8" s="22">
        <v>5367.0577386260156</v>
      </c>
      <c r="AH8" s="22">
        <v>5330.7131122673527</v>
      </c>
      <c r="AI8" s="22">
        <v>5294.3684859086898</v>
      </c>
      <c r="AJ8" s="22">
        <v>5258.0238595500268</v>
      </c>
      <c r="AK8" s="22">
        <v>5221.6792331913639</v>
      </c>
      <c r="AL8" s="22">
        <v>5185.334606832701</v>
      </c>
      <c r="AM8" s="22">
        <v>5148.989980474038</v>
      </c>
    </row>
    <row r="9" spans="1:39" x14ac:dyDescent="0.2">
      <c r="A9" t="s">
        <v>32</v>
      </c>
      <c r="B9" s="22" t="s">
        <v>195</v>
      </c>
      <c r="C9" s="22">
        <v>1016.669044128</v>
      </c>
      <c r="D9" s="22">
        <v>1016.669044128</v>
      </c>
      <c r="E9" s="22">
        <v>1016.669044128</v>
      </c>
      <c r="F9" s="22">
        <v>1004.3090131037322</v>
      </c>
      <c r="G9" s="22">
        <v>1001.5170920424891</v>
      </c>
      <c r="H9" s="22">
        <v>997.94746053350377</v>
      </c>
      <c r="I9" s="22">
        <v>991.86506413795507</v>
      </c>
      <c r="J9" s="22">
        <v>988.94568391427163</v>
      </c>
      <c r="K9" s="22">
        <v>985.9727361309823</v>
      </c>
      <c r="L9" s="22">
        <v>983.0529453573713</v>
      </c>
      <c r="M9" s="22">
        <v>980.13449520908136</v>
      </c>
      <c r="N9" s="22">
        <v>977.08634725065338</v>
      </c>
      <c r="O9" s="22">
        <v>968.37952682675302</v>
      </c>
      <c r="P9" s="22">
        <v>961.6701153951326</v>
      </c>
      <c r="Q9" s="22">
        <v>955.44918198469429</v>
      </c>
      <c r="R9" s="22">
        <v>951.02484871321496</v>
      </c>
      <c r="S9" s="22">
        <v>946.32216966288581</v>
      </c>
      <c r="T9" s="22">
        <v>942.05678926288329</v>
      </c>
      <c r="U9" s="22">
        <v>938.66291815881618</v>
      </c>
      <c r="V9" s="22">
        <v>935.64632067416107</v>
      </c>
      <c r="W9" s="22">
        <v>932.58592016186583</v>
      </c>
      <c r="X9" s="22">
        <v>929.15231129402503</v>
      </c>
      <c r="Y9" s="22">
        <v>925.69544141063329</v>
      </c>
      <c r="Z9" s="22">
        <v>922.71316258789727</v>
      </c>
      <c r="AA9" s="22">
        <v>919.0731760539195</v>
      </c>
      <c r="AB9" s="22">
        <v>916.08647289146745</v>
      </c>
      <c r="AC9" s="22">
        <v>912.66520676931179</v>
      </c>
      <c r="AD9" s="22">
        <v>909.29951047995439</v>
      </c>
      <c r="AE9" s="22">
        <v>905.93381419059699</v>
      </c>
      <c r="AF9" s="22">
        <v>902.56811790123959</v>
      </c>
      <c r="AG9" s="22">
        <v>899.20242161188219</v>
      </c>
      <c r="AH9" s="22">
        <v>895.83672532252479</v>
      </c>
      <c r="AI9" s="22">
        <v>892.47102903316738</v>
      </c>
      <c r="AJ9" s="22">
        <v>889.10533274380998</v>
      </c>
      <c r="AK9" s="22">
        <v>885.73963645445258</v>
      </c>
      <c r="AL9" s="22">
        <v>882.37394016509518</v>
      </c>
      <c r="AM9" s="22">
        <v>879.00824387573778</v>
      </c>
    </row>
    <row r="10" spans="1:39" x14ac:dyDescent="0.2">
      <c r="A10" s="22" t="s">
        <v>32</v>
      </c>
      <c r="B10" s="22" t="s">
        <v>196</v>
      </c>
      <c r="C10" s="22">
        <v>1016.669044128</v>
      </c>
      <c r="D10" s="22">
        <v>1016.669044128</v>
      </c>
      <c r="E10" s="22">
        <v>1016.669044128</v>
      </c>
      <c r="F10" s="22">
        <v>1004.3090131037322</v>
      </c>
      <c r="G10" s="22">
        <v>1001.5170920424891</v>
      </c>
      <c r="H10" s="22">
        <v>997.94746053350377</v>
      </c>
      <c r="I10" s="22">
        <v>991.86506413795507</v>
      </c>
      <c r="J10" s="22">
        <v>988.94568391427163</v>
      </c>
      <c r="K10" s="22">
        <v>985.9727361309823</v>
      </c>
      <c r="L10" s="22">
        <v>983.0529453573713</v>
      </c>
      <c r="M10" s="22">
        <v>980.13449520908136</v>
      </c>
      <c r="N10" s="22">
        <v>977.08634725065338</v>
      </c>
      <c r="O10" s="22">
        <v>968.37952682675302</v>
      </c>
      <c r="P10" s="22">
        <v>961.6701153951326</v>
      </c>
      <c r="Q10" s="22">
        <v>955.44918198469429</v>
      </c>
      <c r="R10" s="22">
        <v>951.02484871321496</v>
      </c>
      <c r="S10" s="22">
        <v>946.32216966288581</v>
      </c>
      <c r="T10" s="22">
        <v>942.05678926288329</v>
      </c>
      <c r="U10" s="22">
        <v>938.66291815881618</v>
      </c>
      <c r="V10" s="22">
        <v>935.64632067416107</v>
      </c>
      <c r="W10" s="22">
        <v>932.58592016186583</v>
      </c>
      <c r="X10" s="22">
        <v>929.15231129402503</v>
      </c>
      <c r="Y10" s="22">
        <v>925.69544141063329</v>
      </c>
      <c r="Z10" s="22">
        <v>922.71316258789727</v>
      </c>
      <c r="AA10" s="22">
        <v>919.0731760539195</v>
      </c>
      <c r="AB10" s="22">
        <v>916.08647289146745</v>
      </c>
      <c r="AC10" s="22">
        <v>912.66520676931179</v>
      </c>
      <c r="AD10" s="22">
        <v>909.29951047995439</v>
      </c>
      <c r="AE10" s="22">
        <v>905.93381419059699</v>
      </c>
      <c r="AF10" s="22">
        <v>902.56811790123959</v>
      </c>
      <c r="AG10" s="22">
        <v>899.20242161188219</v>
      </c>
      <c r="AH10" s="22">
        <v>895.83672532252479</v>
      </c>
      <c r="AI10" s="22">
        <v>892.47102903316738</v>
      </c>
      <c r="AJ10" s="22">
        <v>889.10533274380998</v>
      </c>
      <c r="AK10" s="22">
        <v>885.73963645445258</v>
      </c>
      <c r="AL10" s="22">
        <v>882.37394016509518</v>
      </c>
      <c r="AM10" s="22">
        <v>879.00824387573778</v>
      </c>
    </row>
    <row r="11" spans="1:39" x14ac:dyDescent="0.2">
      <c r="A11" s="22" t="s">
        <v>32</v>
      </c>
      <c r="B11" s="22" t="s">
        <v>197</v>
      </c>
      <c r="C11" s="22">
        <v>1016.669044128</v>
      </c>
      <c r="D11" s="22">
        <v>1016.669044128</v>
      </c>
      <c r="E11" s="22">
        <v>1016.669044128</v>
      </c>
      <c r="F11" s="22">
        <v>1004.3090131037322</v>
      </c>
      <c r="G11" s="22">
        <v>1001.5170920424891</v>
      </c>
      <c r="H11" s="22">
        <v>997.94746053350377</v>
      </c>
      <c r="I11" s="22">
        <v>991.86506413795507</v>
      </c>
      <c r="J11" s="22">
        <v>988.94568391427163</v>
      </c>
      <c r="K11" s="22">
        <v>985.9727361309823</v>
      </c>
      <c r="L11" s="22">
        <v>983.0529453573713</v>
      </c>
      <c r="M11" s="22">
        <v>980.13449520908136</v>
      </c>
      <c r="N11" s="22">
        <v>977.08634725065338</v>
      </c>
      <c r="O11" s="22">
        <v>968.37952682675302</v>
      </c>
      <c r="P11" s="22">
        <v>961.6701153951326</v>
      </c>
      <c r="Q11" s="22">
        <v>955.44918198469429</v>
      </c>
      <c r="R11" s="22">
        <v>951.02484871321496</v>
      </c>
      <c r="S11" s="22">
        <v>946.32216966288581</v>
      </c>
      <c r="T11" s="22">
        <v>942.05678926288329</v>
      </c>
      <c r="U11" s="22">
        <v>938.66291815881618</v>
      </c>
      <c r="V11" s="22">
        <v>935.64632067416107</v>
      </c>
      <c r="W11" s="22">
        <v>932.58592016186583</v>
      </c>
      <c r="X11" s="22">
        <v>929.15231129402503</v>
      </c>
      <c r="Y11" s="22">
        <v>925.69544141063329</v>
      </c>
      <c r="Z11" s="22">
        <v>922.71316258789727</v>
      </c>
      <c r="AA11" s="22">
        <v>919.0731760539195</v>
      </c>
      <c r="AB11" s="22">
        <v>916.08647289146745</v>
      </c>
      <c r="AC11" s="22">
        <v>912.66520676931179</v>
      </c>
      <c r="AD11" s="22">
        <v>909.29951047995439</v>
      </c>
      <c r="AE11" s="22">
        <v>905.93381419059699</v>
      </c>
      <c r="AF11" s="22">
        <v>902.56811790123959</v>
      </c>
      <c r="AG11" s="22">
        <v>899.20242161188219</v>
      </c>
      <c r="AH11" s="22">
        <v>895.83672532252479</v>
      </c>
      <c r="AI11" s="22">
        <v>892.47102903316738</v>
      </c>
      <c r="AJ11" s="22">
        <v>889.10533274380998</v>
      </c>
      <c r="AK11" s="22">
        <v>885.73963645445258</v>
      </c>
      <c r="AL11" s="22">
        <v>882.37394016509518</v>
      </c>
      <c r="AM11" s="22">
        <v>879.00824387573778</v>
      </c>
    </row>
    <row r="12" spans="1:39" x14ac:dyDescent="0.2">
      <c r="A12" t="s">
        <v>16</v>
      </c>
      <c r="B12" s="22" t="s">
        <v>198</v>
      </c>
      <c r="C12" s="22">
        <v>5937.8628529899997</v>
      </c>
      <c r="D12" s="22">
        <v>5937.8628529899997</v>
      </c>
      <c r="E12" s="22">
        <v>5848.7949101951499</v>
      </c>
      <c r="F12" s="22">
        <v>5759.7269674002991</v>
      </c>
      <c r="G12" s="22">
        <v>5670.6590246054493</v>
      </c>
      <c r="H12" s="22">
        <v>5581.5910818105995</v>
      </c>
      <c r="I12" s="22">
        <v>5492.5231390157496</v>
      </c>
      <c r="J12" s="22">
        <v>5403.4551962208989</v>
      </c>
      <c r="K12" s="22">
        <v>5314.3872534260499</v>
      </c>
      <c r="L12" s="22">
        <v>5225.3193106312001</v>
      </c>
      <c r="M12" s="22">
        <v>5136.2513678363493</v>
      </c>
      <c r="N12" s="22">
        <v>5047.1834250414995</v>
      </c>
      <c r="O12" s="22">
        <v>4958.1154822466497</v>
      </c>
      <c r="P12" s="22">
        <v>4869.0475394517998</v>
      </c>
      <c r="Q12" s="22">
        <v>4779.9795966569491</v>
      </c>
      <c r="R12" s="22">
        <v>4690.9116538620992</v>
      </c>
      <c r="S12" s="22">
        <v>4601.8437110672494</v>
      </c>
      <c r="T12" s="22">
        <v>4512.7757682723995</v>
      </c>
      <c r="U12" s="22">
        <v>4423.7078254775488</v>
      </c>
      <c r="V12" s="22">
        <v>4334.6398826826999</v>
      </c>
      <c r="W12" s="22">
        <v>4245.57193988785</v>
      </c>
      <c r="X12" s="22">
        <v>4156.5039970929993</v>
      </c>
      <c r="Y12" s="22">
        <v>4135.5235483457682</v>
      </c>
      <c r="Z12" s="22">
        <v>4114.5430995985371</v>
      </c>
      <c r="AA12" s="22">
        <v>4093.562650851306</v>
      </c>
      <c r="AB12" s="22">
        <v>4072.5822021040744</v>
      </c>
      <c r="AC12" s="22">
        <v>4051.6017533568433</v>
      </c>
      <c r="AD12" s="22">
        <v>4030.6213046096118</v>
      </c>
      <c r="AE12" s="22">
        <v>4009.6408558623807</v>
      </c>
      <c r="AF12" s="22">
        <v>3988.6604071151487</v>
      </c>
      <c r="AG12" s="22">
        <v>3967.6799583679181</v>
      </c>
      <c r="AH12" s="22">
        <v>3946.6995096206861</v>
      </c>
      <c r="AI12" s="22">
        <v>3925.7190608734554</v>
      </c>
      <c r="AJ12" s="22">
        <v>3904.7386121262234</v>
      </c>
      <c r="AK12" s="22">
        <v>3883.7581633789928</v>
      </c>
      <c r="AL12" s="22">
        <v>3862.7777146317617</v>
      </c>
      <c r="AM12" s="22">
        <v>3841.7972658845301</v>
      </c>
    </row>
    <row r="13" spans="1:39" x14ac:dyDescent="0.2">
      <c r="A13" s="22" t="s">
        <v>16</v>
      </c>
      <c r="B13" s="22" t="s">
        <v>199</v>
      </c>
      <c r="C13" s="22">
        <v>5937.8628529899997</v>
      </c>
      <c r="D13" s="22">
        <v>5937.8628529899997</v>
      </c>
      <c r="E13" s="22">
        <v>5937.8628529899997</v>
      </c>
      <c r="F13" s="22">
        <v>5937.8628529899997</v>
      </c>
      <c r="G13" s="22">
        <v>5937.8628529899997</v>
      </c>
      <c r="H13" s="22">
        <v>5937.8628529899997</v>
      </c>
      <c r="I13" s="22">
        <v>5937.8628529899997</v>
      </c>
      <c r="J13" s="22">
        <v>5937.8628529899997</v>
      </c>
      <c r="K13" s="22">
        <v>5937.8628529899997</v>
      </c>
      <c r="L13" s="22">
        <v>5937.8628529899997</v>
      </c>
      <c r="M13" s="22">
        <v>5937.8628529899997</v>
      </c>
      <c r="N13" s="22">
        <v>5937.8628529899997</v>
      </c>
      <c r="O13" s="22">
        <v>5937.8628529899997</v>
      </c>
      <c r="P13" s="22">
        <v>5937.8628529899997</v>
      </c>
      <c r="Q13" s="22">
        <v>5937.8628529899997</v>
      </c>
      <c r="R13" s="22">
        <v>5937.8628529899997</v>
      </c>
      <c r="S13" s="22">
        <v>5937.8628529899997</v>
      </c>
      <c r="T13" s="22">
        <v>5937.8628529899997</v>
      </c>
      <c r="U13" s="22">
        <v>5937.8628529899997</v>
      </c>
      <c r="V13" s="22">
        <v>5937.8628529899997</v>
      </c>
      <c r="W13" s="22">
        <v>5937.8628529899997</v>
      </c>
      <c r="X13" s="22">
        <v>5937.8628529899997</v>
      </c>
      <c r="Y13" s="22">
        <v>5937.8628529899997</v>
      </c>
      <c r="Z13" s="22">
        <v>5937.8628529899997</v>
      </c>
      <c r="AA13" s="22">
        <v>5937.8628529899997</v>
      </c>
      <c r="AB13" s="22">
        <v>5937.8628529899997</v>
      </c>
      <c r="AC13" s="22">
        <v>5937.8628529899997</v>
      </c>
      <c r="AD13" s="22">
        <v>5937.8628529899997</v>
      </c>
      <c r="AE13" s="22">
        <v>5937.8628529899997</v>
      </c>
      <c r="AF13" s="22">
        <v>5937.8628529899997</v>
      </c>
      <c r="AG13" s="22">
        <v>5937.8628529899997</v>
      </c>
      <c r="AH13" s="22">
        <v>5937.8628529899997</v>
      </c>
      <c r="AI13" s="22">
        <v>5937.8628529899997</v>
      </c>
      <c r="AJ13" s="22">
        <v>5937.8628529899997</v>
      </c>
      <c r="AK13" s="22">
        <v>5937.8628529899997</v>
      </c>
      <c r="AL13" s="22">
        <v>5937.8628529899997</v>
      </c>
      <c r="AM13" s="22">
        <v>5937.8628529899997</v>
      </c>
    </row>
    <row r="14" spans="1:39" x14ac:dyDescent="0.2">
      <c r="A14" s="22" t="s">
        <v>16</v>
      </c>
      <c r="B14" s="22" t="s">
        <v>200</v>
      </c>
      <c r="C14" s="22">
        <v>5937.8628529899997</v>
      </c>
      <c r="D14" s="22">
        <v>5937.8628529899997</v>
      </c>
      <c r="E14" s="22">
        <v>5937.8628529899997</v>
      </c>
      <c r="F14" s="22">
        <v>5937.8628529899997</v>
      </c>
      <c r="G14" s="22">
        <v>5937.8628529899997</v>
      </c>
      <c r="H14" s="22">
        <v>5937.8628529899997</v>
      </c>
      <c r="I14" s="22">
        <v>5937.8628529899997</v>
      </c>
      <c r="J14" s="22">
        <v>5937.8628529899997</v>
      </c>
      <c r="K14" s="22">
        <v>5937.8628529899997</v>
      </c>
      <c r="L14" s="22">
        <v>5937.8628529899997</v>
      </c>
      <c r="M14" s="22">
        <v>5937.8628529899997</v>
      </c>
      <c r="N14" s="22">
        <v>5937.8628529899997</v>
      </c>
      <c r="O14" s="22">
        <v>5937.8628529899997</v>
      </c>
      <c r="P14" s="22">
        <v>5937.8628529899997</v>
      </c>
      <c r="Q14" s="22">
        <v>5937.8628529899997</v>
      </c>
      <c r="R14" s="22">
        <v>5937.8628529899997</v>
      </c>
      <c r="S14" s="22">
        <v>5937.8628529899997</v>
      </c>
      <c r="T14" s="22">
        <v>5937.8628529899997</v>
      </c>
      <c r="U14" s="22">
        <v>5937.8628529899997</v>
      </c>
      <c r="V14" s="22">
        <v>5937.8628529899997</v>
      </c>
      <c r="W14" s="22">
        <v>5937.8628529899997</v>
      </c>
      <c r="X14" s="22">
        <v>5937.8628529899997</v>
      </c>
      <c r="Y14" s="22">
        <v>5937.8628529899997</v>
      </c>
      <c r="Z14" s="22">
        <v>5937.8628529899997</v>
      </c>
      <c r="AA14" s="22">
        <v>5937.8628529899997</v>
      </c>
      <c r="AB14" s="22">
        <v>5937.8628529899997</v>
      </c>
      <c r="AC14" s="22">
        <v>5937.8628529899997</v>
      </c>
      <c r="AD14" s="22">
        <v>5937.8628529899997</v>
      </c>
      <c r="AE14" s="22">
        <v>5937.8628529899997</v>
      </c>
      <c r="AF14" s="22">
        <v>5937.8628529899997</v>
      </c>
      <c r="AG14" s="22">
        <v>5937.8628529899997</v>
      </c>
      <c r="AH14" s="22">
        <v>5937.8628529899997</v>
      </c>
      <c r="AI14" s="22">
        <v>5937.8628529899997</v>
      </c>
      <c r="AJ14" s="22">
        <v>5937.8628529899997</v>
      </c>
      <c r="AK14" s="22">
        <v>5937.8628529899997</v>
      </c>
      <c r="AL14" s="22">
        <v>5937.8628529899997</v>
      </c>
      <c r="AM14" s="22">
        <v>5937.8628529899997</v>
      </c>
    </row>
    <row r="15" spans="1:39" x14ac:dyDescent="0.2">
      <c r="A15" s="22" t="s">
        <v>16</v>
      </c>
      <c r="B15" s="22" t="s">
        <v>201</v>
      </c>
      <c r="C15" s="22">
        <v>5404.5923246599996</v>
      </c>
      <c r="D15" s="22">
        <v>5404.5923246599996</v>
      </c>
      <c r="E15" s="22">
        <v>5323.5234397900995</v>
      </c>
      <c r="F15" s="22">
        <v>5242.4545549201994</v>
      </c>
      <c r="G15" s="22">
        <v>5161.3856700502993</v>
      </c>
      <c r="H15" s="22">
        <v>5080.3167851803992</v>
      </c>
      <c r="I15" s="22">
        <v>4999.2479003105</v>
      </c>
      <c r="J15" s="22">
        <v>4918.179015440599</v>
      </c>
      <c r="K15" s="22">
        <v>4837.1101305706998</v>
      </c>
      <c r="L15" s="22">
        <v>4756.0412457007997</v>
      </c>
      <c r="M15" s="22">
        <v>4674.9723608308996</v>
      </c>
      <c r="N15" s="22">
        <v>4593.9034759609995</v>
      </c>
      <c r="O15" s="22">
        <v>4512.8345910910994</v>
      </c>
      <c r="P15" s="22">
        <v>4431.7657062211993</v>
      </c>
      <c r="Q15" s="22">
        <v>4350.6968213512991</v>
      </c>
      <c r="R15" s="22">
        <v>4269.627936481399</v>
      </c>
      <c r="S15" s="22">
        <v>4188.5590516114989</v>
      </c>
      <c r="T15" s="22">
        <v>4107.4901667415998</v>
      </c>
      <c r="U15" s="22">
        <v>4026.4212818716992</v>
      </c>
      <c r="V15" s="22">
        <v>3945.3523970017995</v>
      </c>
      <c r="W15" s="22">
        <v>3864.2835121318994</v>
      </c>
      <c r="X15" s="22">
        <v>3783.2146272619993</v>
      </c>
      <c r="Y15" s="22">
        <v>3764.1184010482011</v>
      </c>
      <c r="Z15" s="22">
        <v>3745.022174834402</v>
      </c>
      <c r="AA15" s="22">
        <v>3725.9259486206038</v>
      </c>
      <c r="AB15" s="22">
        <v>3706.8297224068046</v>
      </c>
      <c r="AC15" s="22">
        <v>3687.7334961930064</v>
      </c>
      <c r="AD15" s="22">
        <v>3668.6372699792073</v>
      </c>
      <c r="AE15" s="22">
        <v>3649.5410437654091</v>
      </c>
      <c r="AF15" s="22">
        <v>3630.44481755161</v>
      </c>
      <c r="AG15" s="22">
        <v>3611.3485913378117</v>
      </c>
      <c r="AH15" s="22">
        <v>3592.2523651240131</v>
      </c>
      <c r="AI15" s="22">
        <v>3573.1561389102144</v>
      </c>
      <c r="AJ15" s="22">
        <v>3554.0599126964157</v>
      </c>
      <c r="AK15" s="22">
        <v>3534.963686482617</v>
      </c>
      <c r="AL15" s="22">
        <v>3515.8674602688188</v>
      </c>
      <c r="AM15" s="22">
        <v>3496.7712340550197</v>
      </c>
    </row>
    <row r="16" spans="1:39" x14ac:dyDescent="0.2">
      <c r="A16" s="22" t="s">
        <v>16</v>
      </c>
      <c r="B16" s="22" t="s">
        <v>202</v>
      </c>
      <c r="C16" s="22">
        <v>5404.5923246599996</v>
      </c>
      <c r="D16" s="22">
        <v>5404.5923246599996</v>
      </c>
      <c r="E16" s="22">
        <v>5404.5923246599996</v>
      </c>
      <c r="F16" s="22">
        <v>5404.5923246599996</v>
      </c>
      <c r="G16" s="22">
        <v>5404.5923246599996</v>
      </c>
      <c r="H16" s="22">
        <v>5404.5923246599996</v>
      </c>
      <c r="I16" s="22">
        <v>5404.5923246599996</v>
      </c>
      <c r="J16" s="22">
        <v>5404.5923246599996</v>
      </c>
      <c r="K16" s="22">
        <v>5404.5923246599996</v>
      </c>
      <c r="L16" s="22">
        <v>5404.5923246599996</v>
      </c>
      <c r="M16" s="22">
        <v>5404.5923246599996</v>
      </c>
      <c r="N16" s="22">
        <v>5404.5923246599996</v>
      </c>
      <c r="O16" s="22">
        <v>5404.5923246599996</v>
      </c>
      <c r="P16" s="22">
        <v>5404.5923246599996</v>
      </c>
      <c r="Q16" s="22">
        <v>5404.5923246599996</v>
      </c>
      <c r="R16" s="22">
        <v>5404.5923246599996</v>
      </c>
      <c r="S16" s="22">
        <v>5404.5923246599996</v>
      </c>
      <c r="T16" s="22">
        <v>5404.5923246599996</v>
      </c>
      <c r="U16" s="22">
        <v>5404.5923246599996</v>
      </c>
      <c r="V16" s="22">
        <v>5404.5923246599996</v>
      </c>
      <c r="W16" s="22">
        <v>5404.5923246599996</v>
      </c>
      <c r="X16" s="22">
        <v>5404.5923246599996</v>
      </c>
      <c r="Y16" s="22">
        <v>5404.5923246599996</v>
      </c>
      <c r="Z16" s="22">
        <v>5404.5923246599996</v>
      </c>
      <c r="AA16" s="22">
        <v>5404.5923246599996</v>
      </c>
      <c r="AB16" s="22">
        <v>5404.5923246599996</v>
      </c>
      <c r="AC16" s="22">
        <v>5404.5923246599996</v>
      </c>
      <c r="AD16" s="22">
        <v>5404.5923246599996</v>
      </c>
      <c r="AE16" s="22">
        <v>5404.5923246599996</v>
      </c>
      <c r="AF16" s="22">
        <v>5404.5923246599996</v>
      </c>
      <c r="AG16" s="22">
        <v>5404.5923246599996</v>
      </c>
      <c r="AH16" s="22">
        <v>5404.5923246599996</v>
      </c>
      <c r="AI16" s="22">
        <v>5404.5923246599996</v>
      </c>
      <c r="AJ16" s="22">
        <v>5404.5923246599996</v>
      </c>
      <c r="AK16" s="22">
        <v>5404.5923246599996</v>
      </c>
      <c r="AL16" s="22">
        <v>5404.5923246599996</v>
      </c>
      <c r="AM16" s="22">
        <v>5404.5923246599996</v>
      </c>
    </row>
    <row r="17" spans="1:39" x14ac:dyDescent="0.2">
      <c r="A17" s="22" t="s">
        <v>16</v>
      </c>
      <c r="B17" s="22" t="s">
        <v>203</v>
      </c>
      <c r="C17" s="22">
        <v>5404.5923246599996</v>
      </c>
      <c r="D17" s="22">
        <v>5404.5923246599996</v>
      </c>
      <c r="E17" s="22">
        <v>5404.5923246599996</v>
      </c>
      <c r="F17" s="22">
        <v>5404.5923246599996</v>
      </c>
      <c r="G17" s="22">
        <v>5404.5923246599996</v>
      </c>
      <c r="H17" s="22">
        <v>5404.5923246599996</v>
      </c>
      <c r="I17" s="22">
        <v>5404.5923246599996</v>
      </c>
      <c r="J17" s="22">
        <v>5404.5923246599996</v>
      </c>
      <c r="K17" s="22">
        <v>5404.5923246599996</v>
      </c>
      <c r="L17" s="22">
        <v>5404.5923246599996</v>
      </c>
      <c r="M17" s="22">
        <v>5404.5923246599996</v>
      </c>
      <c r="N17" s="22">
        <v>5404.5923246599996</v>
      </c>
      <c r="O17" s="22">
        <v>5404.5923246599996</v>
      </c>
      <c r="P17" s="22">
        <v>5404.5923246599996</v>
      </c>
      <c r="Q17" s="22">
        <v>5404.5923246599996</v>
      </c>
      <c r="R17" s="22">
        <v>5404.5923246599996</v>
      </c>
      <c r="S17" s="22">
        <v>5404.5923246599996</v>
      </c>
      <c r="T17" s="22">
        <v>5404.5923246599996</v>
      </c>
      <c r="U17" s="22">
        <v>5404.5923246599996</v>
      </c>
      <c r="V17" s="22">
        <v>5404.5923246599996</v>
      </c>
      <c r="W17" s="22">
        <v>5404.5923246599996</v>
      </c>
      <c r="X17" s="22">
        <v>5404.5923246599996</v>
      </c>
      <c r="Y17" s="22">
        <v>5404.5923246599996</v>
      </c>
      <c r="Z17" s="22">
        <v>5404.5923246599996</v>
      </c>
      <c r="AA17" s="22">
        <v>5404.5923246599996</v>
      </c>
      <c r="AB17" s="22">
        <v>5404.5923246599996</v>
      </c>
      <c r="AC17" s="22">
        <v>5404.5923246599996</v>
      </c>
      <c r="AD17" s="22">
        <v>5404.5923246599996</v>
      </c>
      <c r="AE17" s="22">
        <v>5404.5923246599996</v>
      </c>
      <c r="AF17" s="22">
        <v>5404.5923246599996</v>
      </c>
      <c r="AG17" s="22">
        <v>5404.5923246599996</v>
      </c>
      <c r="AH17" s="22">
        <v>5404.5923246599996</v>
      </c>
      <c r="AI17" s="22">
        <v>5404.5923246599996</v>
      </c>
      <c r="AJ17" s="22">
        <v>5404.5923246599996</v>
      </c>
      <c r="AK17" s="22">
        <v>5404.5923246599996</v>
      </c>
      <c r="AL17" s="22">
        <v>5404.5923246599996</v>
      </c>
      <c r="AM17" s="22">
        <v>5404.5923246599996</v>
      </c>
    </row>
    <row r="18" spans="1:39" x14ac:dyDescent="0.2">
      <c r="A18" s="22" t="s">
        <v>16</v>
      </c>
      <c r="B18" s="22" t="s">
        <v>204</v>
      </c>
      <c r="C18" s="22">
        <v>3976.7149884099999</v>
      </c>
      <c r="D18" s="22">
        <v>3976.7149884099999</v>
      </c>
      <c r="E18" s="22">
        <v>3927.0060510548751</v>
      </c>
      <c r="F18" s="22">
        <v>3877.2971136997498</v>
      </c>
      <c r="G18" s="22">
        <v>3827.588176344625</v>
      </c>
      <c r="H18" s="22">
        <v>3777.8792389894998</v>
      </c>
      <c r="I18" s="22">
        <v>3728.1703016343749</v>
      </c>
      <c r="J18" s="22">
        <v>3678.4613642792501</v>
      </c>
      <c r="K18" s="22">
        <v>3628.7524269241248</v>
      </c>
      <c r="L18" s="22">
        <v>3579.043489569</v>
      </c>
      <c r="M18" s="22">
        <v>3529.3345522138748</v>
      </c>
      <c r="N18" s="22">
        <v>3479.6256148587499</v>
      </c>
      <c r="O18" s="22">
        <v>3429.9166775036251</v>
      </c>
      <c r="P18" s="22">
        <v>3380.2077401484999</v>
      </c>
      <c r="Q18" s="22">
        <v>3330.498802793375</v>
      </c>
      <c r="R18" s="22">
        <v>3280.7898654382498</v>
      </c>
      <c r="S18" s="22">
        <v>3231.0809280831249</v>
      </c>
      <c r="T18" s="22">
        <v>3181.3719907280001</v>
      </c>
      <c r="U18" s="22">
        <v>3131.6630533728749</v>
      </c>
      <c r="V18" s="22">
        <v>3081.95411601775</v>
      </c>
      <c r="W18" s="22">
        <v>3032.2451786626248</v>
      </c>
      <c r="X18" s="22">
        <v>2982.5362413074999</v>
      </c>
      <c r="Y18" s="22">
        <v>2962.1224377003286</v>
      </c>
      <c r="Z18" s="22">
        <v>2941.7086340931573</v>
      </c>
      <c r="AA18" s="22">
        <v>2921.294830485986</v>
      </c>
      <c r="AB18" s="22">
        <v>2900.8810268788147</v>
      </c>
      <c r="AC18" s="22">
        <v>2880.4672232716434</v>
      </c>
      <c r="AD18" s="22">
        <v>2860.0534196644721</v>
      </c>
      <c r="AE18" s="22">
        <v>2839.6396160573004</v>
      </c>
      <c r="AF18" s="22">
        <v>2819.2258124501291</v>
      </c>
      <c r="AG18" s="22">
        <v>2798.8120088429578</v>
      </c>
      <c r="AH18" s="22">
        <v>2778.3982052357865</v>
      </c>
      <c r="AI18" s="22">
        <v>2757.9844016286152</v>
      </c>
      <c r="AJ18" s="22">
        <v>2737.5705980214439</v>
      </c>
      <c r="AK18" s="22">
        <v>2717.1567944142726</v>
      </c>
      <c r="AL18" s="22">
        <v>2696.7429908071013</v>
      </c>
      <c r="AM18" s="22">
        <v>2676.3291871999299</v>
      </c>
    </row>
    <row r="19" spans="1:39" x14ac:dyDescent="0.2">
      <c r="A19" s="22" t="s">
        <v>16</v>
      </c>
      <c r="B19" s="22" t="s">
        <v>205</v>
      </c>
      <c r="C19" s="22">
        <v>3976.7149884099999</v>
      </c>
      <c r="D19" s="22">
        <v>3976.7149884099999</v>
      </c>
      <c r="E19" s="22">
        <v>3976.7149884099999</v>
      </c>
      <c r="F19" s="22">
        <v>3976.7149884099999</v>
      </c>
      <c r="G19" s="22">
        <v>3976.7149884099999</v>
      </c>
      <c r="H19" s="22">
        <v>3976.7149884099999</v>
      </c>
      <c r="I19" s="22">
        <v>3976.7149884099999</v>
      </c>
      <c r="J19" s="22">
        <v>3976.7149884099999</v>
      </c>
      <c r="K19" s="22">
        <v>3976.7149884099999</v>
      </c>
      <c r="L19" s="22">
        <v>3976.7149884099999</v>
      </c>
      <c r="M19" s="22">
        <v>3976.7149884099999</v>
      </c>
      <c r="N19" s="22">
        <v>3976.7149884099999</v>
      </c>
      <c r="O19" s="22">
        <v>3976.7149884099999</v>
      </c>
      <c r="P19" s="22">
        <v>3976.7149884099999</v>
      </c>
      <c r="Q19" s="22">
        <v>3976.7149884099999</v>
      </c>
      <c r="R19" s="22">
        <v>3976.7149884099999</v>
      </c>
      <c r="S19" s="22">
        <v>3976.7149884099999</v>
      </c>
      <c r="T19" s="22">
        <v>3976.7149884099999</v>
      </c>
      <c r="U19" s="22">
        <v>3976.7149884099999</v>
      </c>
      <c r="V19" s="22">
        <v>3976.7149884099999</v>
      </c>
      <c r="W19" s="22">
        <v>3976.7149884099999</v>
      </c>
      <c r="X19" s="22">
        <v>3976.7149884099999</v>
      </c>
      <c r="Y19" s="22">
        <v>3976.7149884099999</v>
      </c>
      <c r="Z19" s="22">
        <v>3976.7149884099999</v>
      </c>
      <c r="AA19" s="22">
        <v>3976.7149884099999</v>
      </c>
      <c r="AB19" s="22">
        <v>3976.7149884099999</v>
      </c>
      <c r="AC19" s="22">
        <v>3976.7149884099999</v>
      </c>
      <c r="AD19" s="22">
        <v>3976.7149884099999</v>
      </c>
      <c r="AE19" s="22">
        <v>3976.7149884099999</v>
      </c>
      <c r="AF19" s="22">
        <v>3976.7149884099999</v>
      </c>
      <c r="AG19" s="22">
        <v>3976.7149884099999</v>
      </c>
      <c r="AH19" s="22">
        <v>3976.7149884099999</v>
      </c>
      <c r="AI19" s="22">
        <v>3976.7149884099999</v>
      </c>
      <c r="AJ19" s="22">
        <v>3976.7149884099999</v>
      </c>
      <c r="AK19" s="22">
        <v>3976.7149884099999</v>
      </c>
      <c r="AL19" s="22">
        <v>3976.7149884099999</v>
      </c>
      <c r="AM19" s="22">
        <v>3976.7149884099999</v>
      </c>
    </row>
    <row r="20" spans="1:39" x14ac:dyDescent="0.2">
      <c r="A20" s="22" t="s">
        <v>16</v>
      </c>
      <c r="B20" s="22" t="s">
        <v>206</v>
      </c>
      <c r="C20" s="22">
        <v>3976.7149884099999</v>
      </c>
      <c r="D20" s="22">
        <v>3976.7149884099999</v>
      </c>
      <c r="E20" s="22">
        <v>3976.7149884099999</v>
      </c>
      <c r="F20" s="22">
        <v>3976.7149884099999</v>
      </c>
      <c r="G20" s="22">
        <v>3976.7149884099999</v>
      </c>
      <c r="H20" s="22">
        <v>3976.7149884099999</v>
      </c>
      <c r="I20" s="22">
        <v>3976.7149884099999</v>
      </c>
      <c r="J20" s="22">
        <v>3976.7149884099999</v>
      </c>
      <c r="K20" s="22">
        <v>3976.7149884099999</v>
      </c>
      <c r="L20" s="22">
        <v>3976.7149884099999</v>
      </c>
      <c r="M20" s="22">
        <v>3976.7149884099999</v>
      </c>
      <c r="N20" s="22">
        <v>3976.7149884099999</v>
      </c>
      <c r="O20" s="22">
        <v>3976.7149884099999</v>
      </c>
      <c r="P20" s="22">
        <v>3976.7149884099999</v>
      </c>
      <c r="Q20" s="22">
        <v>3976.7149884099999</v>
      </c>
      <c r="R20" s="22">
        <v>3976.7149884099999</v>
      </c>
      <c r="S20" s="22">
        <v>3976.7149884099999</v>
      </c>
      <c r="T20" s="22">
        <v>3976.7149884099999</v>
      </c>
      <c r="U20" s="22">
        <v>3976.7149884099999</v>
      </c>
      <c r="V20" s="22">
        <v>3976.7149884099999</v>
      </c>
      <c r="W20" s="22">
        <v>3976.7149884099999</v>
      </c>
      <c r="X20" s="22">
        <v>3976.7149884099999</v>
      </c>
      <c r="Y20" s="22">
        <v>3976.7149884099999</v>
      </c>
      <c r="Z20" s="22">
        <v>3976.7149884099999</v>
      </c>
      <c r="AA20" s="22">
        <v>3976.7149884099999</v>
      </c>
      <c r="AB20" s="22">
        <v>3976.7149884099999</v>
      </c>
      <c r="AC20" s="22">
        <v>3976.7149884099999</v>
      </c>
      <c r="AD20" s="22">
        <v>3976.7149884099999</v>
      </c>
      <c r="AE20" s="22">
        <v>3976.7149884099999</v>
      </c>
      <c r="AF20" s="22">
        <v>3976.7149884099999</v>
      </c>
      <c r="AG20" s="22">
        <v>3976.7149884099999</v>
      </c>
      <c r="AH20" s="22">
        <v>3976.7149884099999</v>
      </c>
      <c r="AI20" s="22">
        <v>3976.7149884099999</v>
      </c>
      <c r="AJ20" s="22">
        <v>3976.7149884099999</v>
      </c>
      <c r="AK20" s="22">
        <v>3976.7149884099999</v>
      </c>
      <c r="AL20" s="22">
        <v>3976.7149884099999</v>
      </c>
      <c r="AM20" s="22">
        <v>3976.7149884099999</v>
      </c>
    </row>
    <row r="21" spans="1:39" x14ac:dyDescent="0.2">
      <c r="A21" s="22" t="s">
        <v>16</v>
      </c>
      <c r="B21" s="22" t="s">
        <v>207</v>
      </c>
      <c r="C21" s="22">
        <v>3749.3454306399999</v>
      </c>
      <c r="D21" s="22">
        <v>3749.3454306399999</v>
      </c>
      <c r="E21" s="22">
        <v>3702.4786127570001</v>
      </c>
      <c r="F21" s="22">
        <v>3655.6117948739998</v>
      </c>
      <c r="G21" s="22">
        <v>3608.7449769909999</v>
      </c>
      <c r="H21" s="22">
        <v>3561.8781591079996</v>
      </c>
      <c r="I21" s="22">
        <v>3515.0113412249998</v>
      </c>
      <c r="J21" s="22">
        <v>3468.144523342</v>
      </c>
      <c r="K21" s="22">
        <v>3421.2777054589997</v>
      </c>
      <c r="L21" s="22">
        <v>3374.4108875759998</v>
      </c>
      <c r="M21" s="22">
        <v>3327.5440696929995</v>
      </c>
      <c r="N21" s="22">
        <v>3280.6772518099997</v>
      </c>
      <c r="O21" s="22">
        <v>3233.8104339270003</v>
      </c>
      <c r="P21" s="22">
        <v>3186.943616044</v>
      </c>
      <c r="Q21" s="22">
        <v>3140.0767981610002</v>
      </c>
      <c r="R21" s="22">
        <v>3093.2099802779999</v>
      </c>
      <c r="S21" s="22">
        <v>3046.343162395</v>
      </c>
      <c r="T21" s="22">
        <v>2999.4763445120002</v>
      </c>
      <c r="U21" s="22">
        <v>2952.6095266289999</v>
      </c>
      <c r="V21" s="22">
        <v>2905.7427087460001</v>
      </c>
      <c r="W21" s="22">
        <v>2858.8758908629998</v>
      </c>
      <c r="X21" s="22">
        <v>2812.0090729799999</v>
      </c>
      <c r="Y21" s="22">
        <v>2792.7624331027146</v>
      </c>
      <c r="Z21" s="22">
        <v>2773.5157932254292</v>
      </c>
      <c r="AA21" s="22">
        <v>2754.2691533481438</v>
      </c>
      <c r="AB21" s="22">
        <v>2735.0225134708589</v>
      </c>
      <c r="AC21" s="22">
        <v>2715.7758735935736</v>
      </c>
      <c r="AD21" s="22">
        <v>2696.5292337162882</v>
      </c>
      <c r="AE21" s="22">
        <v>2677.2825938390024</v>
      </c>
      <c r="AF21" s="22">
        <v>2658.035953961717</v>
      </c>
      <c r="AG21" s="22">
        <v>2638.7893140844317</v>
      </c>
      <c r="AH21" s="22">
        <v>2619.5426742071468</v>
      </c>
      <c r="AI21" s="22">
        <v>2600.2960343298614</v>
      </c>
      <c r="AJ21" s="22">
        <v>2581.0493944525761</v>
      </c>
      <c r="AK21" s="22">
        <v>2561.8027545752907</v>
      </c>
      <c r="AL21" s="22">
        <v>2542.5561146980053</v>
      </c>
      <c r="AM21" s="22">
        <v>2523.30947482072</v>
      </c>
    </row>
    <row r="22" spans="1:39" x14ac:dyDescent="0.2">
      <c r="A22" s="22" t="s">
        <v>16</v>
      </c>
      <c r="B22" s="22" t="s">
        <v>208</v>
      </c>
      <c r="C22" s="22">
        <v>3749.3454306399999</v>
      </c>
      <c r="D22" s="22">
        <v>3749.3454306399999</v>
      </c>
      <c r="E22" s="22">
        <v>3749.3454306399999</v>
      </c>
      <c r="F22" s="22">
        <v>3749.3454306399999</v>
      </c>
      <c r="G22" s="22">
        <v>3749.3454306399999</v>
      </c>
      <c r="H22" s="22">
        <v>3749.3454306399999</v>
      </c>
      <c r="I22" s="22">
        <v>3749.3454306399999</v>
      </c>
      <c r="J22" s="22">
        <v>3749.3454306399999</v>
      </c>
      <c r="K22" s="22">
        <v>3749.3454306399999</v>
      </c>
      <c r="L22" s="22">
        <v>3749.3454306399999</v>
      </c>
      <c r="M22" s="22">
        <v>3749.3454306399999</v>
      </c>
      <c r="N22" s="22">
        <v>3749.3454306399999</v>
      </c>
      <c r="O22" s="22">
        <v>3749.3454306399999</v>
      </c>
      <c r="P22" s="22">
        <v>3749.3454306399999</v>
      </c>
      <c r="Q22" s="22">
        <v>3749.3454306399999</v>
      </c>
      <c r="R22" s="22">
        <v>3749.3454306399999</v>
      </c>
      <c r="S22" s="22">
        <v>3749.3454306399999</v>
      </c>
      <c r="T22" s="22">
        <v>3749.3454306399999</v>
      </c>
      <c r="U22" s="22">
        <v>3749.3454306399999</v>
      </c>
      <c r="V22" s="22">
        <v>3749.3454306399999</v>
      </c>
      <c r="W22" s="22">
        <v>3749.3454306399999</v>
      </c>
      <c r="X22" s="22">
        <v>3749.3454306399999</v>
      </c>
      <c r="Y22" s="22">
        <v>3749.3454306399999</v>
      </c>
      <c r="Z22" s="22">
        <v>3749.3454306399999</v>
      </c>
      <c r="AA22" s="22">
        <v>3749.3454306399999</v>
      </c>
      <c r="AB22" s="22">
        <v>3749.3454306399999</v>
      </c>
      <c r="AC22" s="22">
        <v>3749.3454306399999</v>
      </c>
      <c r="AD22" s="22">
        <v>3749.3454306399999</v>
      </c>
      <c r="AE22" s="22">
        <v>3749.3454306399999</v>
      </c>
      <c r="AF22" s="22">
        <v>3749.3454306399999</v>
      </c>
      <c r="AG22" s="22">
        <v>3749.3454306399999</v>
      </c>
      <c r="AH22" s="22">
        <v>3749.3454306399999</v>
      </c>
      <c r="AI22" s="22">
        <v>3749.3454306399999</v>
      </c>
      <c r="AJ22" s="22">
        <v>3749.3454306399999</v>
      </c>
      <c r="AK22" s="22">
        <v>3749.3454306399999</v>
      </c>
      <c r="AL22" s="22">
        <v>3749.3454306399999</v>
      </c>
      <c r="AM22" s="22">
        <v>3749.3454306399999</v>
      </c>
    </row>
    <row r="23" spans="1:39" x14ac:dyDescent="0.2">
      <c r="A23" s="22" t="s">
        <v>16</v>
      </c>
      <c r="B23" s="22" t="s">
        <v>209</v>
      </c>
      <c r="C23" s="22">
        <v>3749.3454306399999</v>
      </c>
      <c r="D23" s="22">
        <v>3749.3454306399999</v>
      </c>
      <c r="E23" s="22">
        <v>3749.3454306399999</v>
      </c>
      <c r="F23" s="22">
        <v>3749.3454306399999</v>
      </c>
      <c r="G23" s="22">
        <v>3749.3454306399999</v>
      </c>
      <c r="H23" s="22">
        <v>3749.3454306399999</v>
      </c>
      <c r="I23" s="22">
        <v>3749.3454306399999</v>
      </c>
      <c r="J23" s="22">
        <v>3749.3454306399999</v>
      </c>
      <c r="K23" s="22">
        <v>3749.3454306399999</v>
      </c>
      <c r="L23" s="22">
        <v>3749.3454306399999</v>
      </c>
      <c r="M23" s="22">
        <v>3749.3454306399999</v>
      </c>
      <c r="N23" s="22">
        <v>3749.3454306399999</v>
      </c>
      <c r="O23" s="22">
        <v>3749.3454306399999</v>
      </c>
      <c r="P23" s="22">
        <v>3749.3454306399999</v>
      </c>
      <c r="Q23" s="22">
        <v>3749.3454306399999</v>
      </c>
      <c r="R23" s="22">
        <v>3749.3454306399999</v>
      </c>
      <c r="S23" s="22">
        <v>3749.3454306399999</v>
      </c>
      <c r="T23" s="22">
        <v>3749.3454306399999</v>
      </c>
      <c r="U23" s="22">
        <v>3749.3454306399999</v>
      </c>
      <c r="V23" s="22">
        <v>3749.3454306399999</v>
      </c>
      <c r="W23" s="22">
        <v>3749.3454306399999</v>
      </c>
      <c r="X23" s="22">
        <v>3749.3454306399999</v>
      </c>
      <c r="Y23" s="22">
        <v>3749.3454306399999</v>
      </c>
      <c r="Z23" s="22">
        <v>3749.3454306399999</v>
      </c>
      <c r="AA23" s="22">
        <v>3749.3454306399999</v>
      </c>
      <c r="AB23" s="22">
        <v>3749.3454306399999</v>
      </c>
      <c r="AC23" s="22">
        <v>3749.3454306399999</v>
      </c>
      <c r="AD23" s="22">
        <v>3749.3454306399999</v>
      </c>
      <c r="AE23" s="22">
        <v>3749.3454306399999</v>
      </c>
      <c r="AF23" s="22">
        <v>3749.3454306399999</v>
      </c>
      <c r="AG23" s="22">
        <v>3749.3454306399999</v>
      </c>
      <c r="AH23" s="22">
        <v>3749.3454306399999</v>
      </c>
      <c r="AI23" s="22">
        <v>3749.3454306399999</v>
      </c>
      <c r="AJ23" s="22">
        <v>3749.3454306399999</v>
      </c>
      <c r="AK23" s="22">
        <v>3749.3454306399999</v>
      </c>
      <c r="AL23" s="22">
        <v>3749.3454306399999</v>
      </c>
      <c r="AM23" s="22">
        <v>3749.3454306399999</v>
      </c>
    </row>
    <row r="24" spans="1:39" x14ac:dyDescent="0.2">
      <c r="A24" s="22" t="s">
        <v>16</v>
      </c>
      <c r="B24" s="22" t="s">
        <v>210</v>
      </c>
      <c r="C24" s="22">
        <v>6997.72266167</v>
      </c>
      <c r="D24" s="22">
        <v>6997.72266167</v>
      </c>
      <c r="E24" s="22">
        <v>6892.7568217449498</v>
      </c>
      <c r="F24" s="22">
        <v>6787.7909818198996</v>
      </c>
      <c r="G24" s="22">
        <v>6682.8251418948494</v>
      </c>
      <c r="H24" s="22">
        <v>6577.8593019697992</v>
      </c>
      <c r="I24" s="22">
        <v>6472.8934620447499</v>
      </c>
      <c r="J24" s="22">
        <v>6367.9276221196997</v>
      </c>
      <c r="K24" s="22">
        <v>6262.9617821946504</v>
      </c>
      <c r="L24" s="22">
        <v>6157.9959422696002</v>
      </c>
      <c r="M24" s="22">
        <v>6053.03010234455</v>
      </c>
      <c r="N24" s="22">
        <v>5948.0642624194998</v>
      </c>
      <c r="O24" s="22">
        <v>5843.0984224944496</v>
      </c>
      <c r="P24" s="22">
        <v>5738.1325825693993</v>
      </c>
      <c r="Q24" s="22">
        <v>5633.1667426443491</v>
      </c>
      <c r="R24" s="22">
        <v>5528.2009027192998</v>
      </c>
      <c r="S24" s="22">
        <v>5423.2350627942496</v>
      </c>
      <c r="T24" s="22">
        <v>5318.2692228692003</v>
      </c>
      <c r="U24" s="22">
        <v>5213.3033829441492</v>
      </c>
      <c r="V24" s="22">
        <v>5108.3375430190999</v>
      </c>
      <c r="W24" s="22">
        <v>5003.3717030940497</v>
      </c>
      <c r="X24" s="22">
        <v>4898.4058631689995</v>
      </c>
      <c r="Y24" s="22">
        <v>4873.6805764310993</v>
      </c>
      <c r="Z24" s="22">
        <v>4848.9552896931982</v>
      </c>
      <c r="AA24" s="22">
        <v>4824.230002955298</v>
      </c>
      <c r="AB24" s="22">
        <v>4799.5047162173969</v>
      </c>
      <c r="AC24" s="22">
        <v>4774.7794294794967</v>
      </c>
      <c r="AD24" s="22">
        <v>4750.0541427415956</v>
      </c>
      <c r="AE24" s="22">
        <v>4725.3288560036954</v>
      </c>
      <c r="AF24" s="22">
        <v>4700.6035692657942</v>
      </c>
      <c r="AG24" s="22">
        <v>4675.878282527894</v>
      </c>
      <c r="AH24" s="22">
        <v>4651.1529957899929</v>
      </c>
      <c r="AI24" s="22">
        <v>4626.4277090520927</v>
      </c>
      <c r="AJ24" s="22">
        <v>4601.7024223141916</v>
      </c>
      <c r="AK24" s="22">
        <v>4576.9771355762914</v>
      </c>
      <c r="AL24" s="22">
        <v>4552.2518488383912</v>
      </c>
      <c r="AM24" s="22">
        <v>4527.5265621004901</v>
      </c>
    </row>
    <row r="25" spans="1:39" x14ac:dyDescent="0.2">
      <c r="A25" s="22" t="s">
        <v>16</v>
      </c>
      <c r="B25" s="22" t="s">
        <v>211</v>
      </c>
      <c r="C25" s="22">
        <v>6997.72266167</v>
      </c>
      <c r="D25" s="22">
        <v>6988.7607482344256</v>
      </c>
      <c r="E25" s="22">
        <v>6979.7988347988521</v>
      </c>
      <c r="F25" s="22">
        <v>6961.943830530081</v>
      </c>
      <c r="G25" s="22">
        <v>6944.0888262613098</v>
      </c>
      <c r="H25" s="22">
        <v>6926.3251422732747</v>
      </c>
      <c r="I25" s="22">
        <v>6908.5614582852386</v>
      </c>
      <c r="J25" s="22">
        <v>6890.8887097031911</v>
      </c>
      <c r="K25" s="22">
        <v>6873.2159611211428</v>
      </c>
      <c r="L25" s="22">
        <v>6855.6335881272707</v>
      </c>
      <c r="M25" s="22">
        <v>6838.0512151333987</v>
      </c>
      <c r="N25" s="22">
        <v>6820.5587978643416</v>
      </c>
      <c r="O25" s="22">
        <v>6803.0663805952863</v>
      </c>
      <c r="P25" s="22">
        <v>6785.6634641990731</v>
      </c>
      <c r="Q25" s="22">
        <v>6768.260547802859</v>
      </c>
      <c r="R25" s="22">
        <v>6750.9466774275152</v>
      </c>
      <c r="S25" s="22">
        <v>6733.6328070521713</v>
      </c>
      <c r="T25" s="22">
        <v>6716.407527845724</v>
      </c>
      <c r="U25" s="22">
        <v>6699.1822486392775</v>
      </c>
      <c r="V25" s="22">
        <v>6682.0450707611399</v>
      </c>
      <c r="W25" s="22">
        <v>6664.9078928830031</v>
      </c>
      <c r="X25" s="22">
        <v>6647.8583964698182</v>
      </c>
      <c r="Y25" s="22">
        <v>6630.8089000566324</v>
      </c>
      <c r="Z25" s="22">
        <v>6613.8466302564239</v>
      </c>
      <c r="AA25" s="22">
        <v>6596.8843604562153</v>
      </c>
      <c r="AB25" s="22">
        <v>6580.0088974056252</v>
      </c>
      <c r="AC25" s="22">
        <v>6563.1334343550352</v>
      </c>
      <c r="AD25" s="22">
        <v>6546.3442882134759</v>
      </c>
      <c r="AE25" s="22">
        <v>6529.5551420719175</v>
      </c>
      <c r="AF25" s="22">
        <v>6512.8518929760312</v>
      </c>
      <c r="AG25" s="22">
        <v>6496.1486438801448</v>
      </c>
      <c r="AH25" s="22">
        <v>6479.5308719665709</v>
      </c>
      <c r="AI25" s="22">
        <v>6462.913100052996</v>
      </c>
      <c r="AJ25" s="22">
        <v>6446.3803154811485</v>
      </c>
      <c r="AK25" s="22">
        <v>6429.8475309093001</v>
      </c>
      <c r="AL25" s="22">
        <v>6413.3993488044316</v>
      </c>
      <c r="AM25" s="22">
        <v>6396.9511666995631</v>
      </c>
    </row>
    <row r="26" spans="1:39" x14ac:dyDescent="0.2">
      <c r="A26" s="22" t="s">
        <v>16</v>
      </c>
      <c r="B26" s="22" t="s">
        <v>212</v>
      </c>
      <c r="C26" s="22">
        <v>6997.72266167</v>
      </c>
      <c r="D26" s="22">
        <v>6997.72266167</v>
      </c>
      <c r="E26" s="22">
        <v>6997.72266167</v>
      </c>
      <c r="F26" s="22">
        <v>6997.72266167</v>
      </c>
      <c r="G26" s="22">
        <v>6997.72266167</v>
      </c>
      <c r="H26" s="22">
        <v>6997.72266167</v>
      </c>
      <c r="I26" s="22">
        <v>6997.72266167</v>
      </c>
      <c r="J26" s="22">
        <v>6997.72266167</v>
      </c>
      <c r="K26" s="22">
        <v>6997.72266167</v>
      </c>
      <c r="L26" s="22">
        <v>6997.72266167</v>
      </c>
      <c r="M26" s="22">
        <v>6997.72266167</v>
      </c>
      <c r="N26" s="22">
        <v>6997.72266167</v>
      </c>
      <c r="O26" s="22">
        <v>6997.72266167</v>
      </c>
      <c r="P26" s="22">
        <v>6997.72266167</v>
      </c>
      <c r="Q26" s="22">
        <v>6997.72266167</v>
      </c>
      <c r="R26" s="22">
        <v>6997.72266167</v>
      </c>
      <c r="S26" s="22">
        <v>6997.72266167</v>
      </c>
      <c r="T26" s="22">
        <v>6997.72266167</v>
      </c>
      <c r="U26" s="22">
        <v>6997.72266167</v>
      </c>
      <c r="V26" s="22">
        <v>6997.72266167</v>
      </c>
      <c r="W26" s="22">
        <v>6997.72266167</v>
      </c>
      <c r="X26" s="22">
        <v>6997.72266167</v>
      </c>
      <c r="Y26" s="22">
        <v>6997.72266167</v>
      </c>
      <c r="Z26" s="22">
        <v>6997.72266167</v>
      </c>
      <c r="AA26" s="22">
        <v>6997.72266167</v>
      </c>
      <c r="AB26" s="22">
        <v>6997.72266167</v>
      </c>
      <c r="AC26" s="22">
        <v>6997.72266167</v>
      </c>
      <c r="AD26" s="22">
        <v>6997.72266167</v>
      </c>
      <c r="AE26" s="22">
        <v>6997.72266167</v>
      </c>
      <c r="AF26" s="22">
        <v>6997.72266167</v>
      </c>
      <c r="AG26" s="22">
        <v>6997.72266167</v>
      </c>
      <c r="AH26" s="22">
        <v>6997.72266167</v>
      </c>
      <c r="AI26" s="22">
        <v>6997.72266167</v>
      </c>
      <c r="AJ26" s="22">
        <v>6997.72266167</v>
      </c>
      <c r="AK26" s="22">
        <v>6997.72266167</v>
      </c>
      <c r="AL26" s="22">
        <v>6997.72266167</v>
      </c>
      <c r="AM26" s="22">
        <v>6997.72266167</v>
      </c>
    </row>
    <row r="27" spans="1:39" x14ac:dyDescent="0.2">
      <c r="A27" s="22" t="s">
        <v>16</v>
      </c>
      <c r="B27" s="22" t="s">
        <v>213</v>
      </c>
      <c r="C27" s="22">
        <v>6247.0408507000002</v>
      </c>
      <c r="D27" s="22">
        <v>6247.0408507000002</v>
      </c>
      <c r="E27" s="22">
        <v>6153.3352379395001</v>
      </c>
      <c r="F27" s="22">
        <v>6059.629625179</v>
      </c>
      <c r="G27" s="22">
        <v>5965.9240124184998</v>
      </c>
      <c r="H27" s="22">
        <v>5872.2183996579997</v>
      </c>
      <c r="I27" s="22">
        <v>5778.5127868975005</v>
      </c>
      <c r="J27" s="22">
        <v>5684.8071741369995</v>
      </c>
      <c r="K27" s="22">
        <v>5591.1015613765003</v>
      </c>
      <c r="L27" s="22">
        <v>5497.3959486160002</v>
      </c>
      <c r="M27" s="22">
        <v>5403.6903358555001</v>
      </c>
      <c r="N27" s="22">
        <v>5309.9847230949999</v>
      </c>
      <c r="O27" s="22">
        <v>5216.2791103344998</v>
      </c>
      <c r="P27" s="22">
        <v>5122.5734975739997</v>
      </c>
      <c r="Q27" s="22">
        <v>5028.8678848134996</v>
      </c>
      <c r="R27" s="22">
        <v>4935.1622720529995</v>
      </c>
      <c r="S27" s="22">
        <v>4841.4566592924994</v>
      </c>
      <c r="T27" s="22">
        <v>4747.7510465320001</v>
      </c>
      <c r="U27" s="22">
        <v>4654.0454337714991</v>
      </c>
      <c r="V27" s="22">
        <v>4560.3398210109999</v>
      </c>
      <c r="W27" s="22">
        <v>4466.6342082504998</v>
      </c>
      <c r="X27" s="22">
        <v>4372.9285954899997</v>
      </c>
      <c r="Y27" s="22">
        <v>4350.855717817527</v>
      </c>
      <c r="Z27" s="22">
        <v>4328.7828401450533</v>
      </c>
      <c r="AA27" s="22">
        <v>4306.7099624725806</v>
      </c>
      <c r="AB27" s="22">
        <v>4284.6370848001061</v>
      </c>
      <c r="AC27" s="22">
        <v>4262.5642071276334</v>
      </c>
      <c r="AD27" s="22">
        <v>4240.4913294551598</v>
      </c>
      <c r="AE27" s="22">
        <v>4218.418451782687</v>
      </c>
      <c r="AF27" s="22">
        <v>4196.3455741102134</v>
      </c>
      <c r="AG27" s="22">
        <v>4174.2726964377398</v>
      </c>
      <c r="AH27" s="22">
        <v>4152.1998187652662</v>
      </c>
      <c r="AI27" s="22">
        <v>4130.1269410927935</v>
      </c>
      <c r="AJ27" s="22">
        <v>4108.0540634203198</v>
      </c>
      <c r="AK27" s="22">
        <v>4085.9811857478471</v>
      </c>
      <c r="AL27" s="22">
        <v>4063.908308075374</v>
      </c>
      <c r="AM27" s="22">
        <v>4041.8354304029003</v>
      </c>
    </row>
    <row r="28" spans="1:39" x14ac:dyDescent="0.2">
      <c r="A28" s="22" t="s">
        <v>16</v>
      </c>
      <c r="B28" s="22" t="s">
        <v>214</v>
      </c>
      <c r="C28" s="22">
        <v>6247.0408507000002</v>
      </c>
      <c r="D28" s="22">
        <v>6239.0403279529173</v>
      </c>
      <c r="E28" s="22">
        <v>6231.0398052058345</v>
      </c>
      <c r="F28" s="22">
        <v>6215.100199358435</v>
      </c>
      <c r="G28" s="22">
        <v>6199.1605935110356</v>
      </c>
      <c r="H28" s="22">
        <v>6183.3025115467381</v>
      </c>
      <c r="I28" s="22">
        <v>6167.4444295824405</v>
      </c>
      <c r="J28" s="22">
        <v>6151.6675279139981</v>
      </c>
      <c r="K28" s="22">
        <v>6135.8906262455548</v>
      </c>
      <c r="L28" s="22">
        <v>6120.1944051096989</v>
      </c>
      <c r="M28" s="22">
        <v>6104.4981839738421</v>
      </c>
      <c r="N28" s="22">
        <v>6088.8822685481218</v>
      </c>
      <c r="O28" s="22">
        <v>6073.2663531224016</v>
      </c>
      <c r="P28" s="22">
        <v>6057.7303373491623</v>
      </c>
      <c r="Q28" s="22">
        <v>6042.194321575922</v>
      </c>
      <c r="R28" s="22">
        <v>6026.7377993975078</v>
      </c>
      <c r="S28" s="22">
        <v>6011.2812772190928</v>
      </c>
      <c r="T28" s="22">
        <v>5995.9038425778481</v>
      </c>
      <c r="U28" s="22">
        <v>5980.5264079366034</v>
      </c>
      <c r="V28" s="22">
        <v>5965.2276235396685</v>
      </c>
      <c r="W28" s="22">
        <v>5949.9288391427335</v>
      </c>
      <c r="X28" s="22">
        <v>5934.7083301676594</v>
      </c>
      <c r="Y28" s="22">
        <v>5919.4878211925834</v>
      </c>
      <c r="Z28" s="22">
        <v>5904.3451815817116</v>
      </c>
      <c r="AA28" s="22">
        <v>5889.2025419708407</v>
      </c>
      <c r="AB28" s="22">
        <v>5874.1373969017222</v>
      </c>
      <c r="AC28" s="22">
        <v>5859.0722518326047</v>
      </c>
      <c r="AD28" s="22">
        <v>5844.084164012379</v>
      </c>
      <c r="AE28" s="22">
        <v>5829.0960761921542</v>
      </c>
      <c r="AF28" s="22">
        <v>5814.1846707983714</v>
      </c>
      <c r="AG28" s="22">
        <v>5799.2732654045894</v>
      </c>
      <c r="AH28" s="22">
        <v>5784.4381676147977</v>
      </c>
      <c r="AI28" s="22">
        <v>5769.6030698250061</v>
      </c>
      <c r="AJ28" s="22">
        <v>5754.8438423463467</v>
      </c>
      <c r="AK28" s="22">
        <v>5740.0846148676874</v>
      </c>
      <c r="AL28" s="22">
        <v>5725.4009141129127</v>
      </c>
      <c r="AM28" s="22">
        <v>5710.717213358138</v>
      </c>
    </row>
    <row r="29" spans="1:39" x14ac:dyDescent="0.2">
      <c r="A29" s="22" t="s">
        <v>16</v>
      </c>
      <c r="B29" s="22" t="s">
        <v>215</v>
      </c>
      <c r="C29" s="22">
        <v>6247.0408507000002</v>
      </c>
      <c r="D29" s="22">
        <v>6247.0408507000002</v>
      </c>
      <c r="E29" s="22">
        <v>6247.0408507000002</v>
      </c>
      <c r="F29" s="22">
        <v>6247.0408507000002</v>
      </c>
      <c r="G29" s="22">
        <v>6247.0408507000002</v>
      </c>
      <c r="H29" s="22">
        <v>6247.0408507000002</v>
      </c>
      <c r="I29" s="22">
        <v>6247.0408507000002</v>
      </c>
      <c r="J29" s="22">
        <v>6247.0408507000002</v>
      </c>
      <c r="K29" s="22">
        <v>6247.0408507000002</v>
      </c>
      <c r="L29" s="22">
        <v>6247.0408507000002</v>
      </c>
      <c r="M29" s="22">
        <v>6247.0408507000002</v>
      </c>
      <c r="N29" s="22">
        <v>6247.0408507000002</v>
      </c>
      <c r="O29" s="22">
        <v>6247.0408507000002</v>
      </c>
      <c r="P29" s="22">
        <v>6247.0408507000002</v>
      </c>
      <c r="Q29" s="22">
        <v>6247.0408507000002</v>
      </c>
      <c r="R29" s="22">
        <v>6247.0408507000002</v>
      </c>
      <c r="S29" s="22">
        <v>6247.0408507000002</v>
      </c>
      <c r="T29" s="22">
        <v>6247.0408507000002</v>
      </c>
      <c r="U29" s="22">
        <v>6247.0408507000002</v>
      </c>
      <c r="V29" s="22">
        <v>6247.0408507000002</v>
      </c>
      <c r="W29" s="22">
        <v>6247.0408507000002</v>
      </c>
      <c r="X29" s="22">
        <v>6247.0408507000002</v>
      </c>
      <c r="Y29" s="22">
        <v>6247.0408507000002</v>
      </c>
      <c r="Z29" s="22">
        <v>6247.0408507000002</v>
      </c>
      <c r="AA29" s="22">
        <v>6247.0408507000002</v>
      </c>
      <c r="AB29" s="22">
        <v>6247.0408507000002</v>
      </c>
      <c r="AC29" s="22">
        <v>6247.0408507000002</v>
      </c>
      <c r="AD29" s="22">
        <v>6247.0408507000002</v>
      </c>
      <c r="AE29" s="22">
        <v>6247.0408507000002</v>
      </c>
      <c r="AF29" s="22">
        <v>6247.0408507000002</v>
      </c>
      <c r="AG29" s="22">
        <v>6247.0408507000002</v>
      </c>
      <c r="AH29" s="22">
        <v>6247.0408507000002</v>
      </c>
      <c r="AI29" s="22">
        <v>6247.0408507000002</v>
      </c>
      <c r="AJ29" s="22">
        <v>6247.0408507000002</v>
      </c>
      <c r="AK29" s="22">
        <v>6247.0408507000002</v>
      </c>
      <c r="AL29" s="22">
        <v>6247.0408507000002</v>
      </c>
      <c r="AM29" s="22">
        <v>6247.0408507000002</v>
      </c>
    </row>
    <row r="30" spans="1:39" x14ac:dyDescent="0.2">
      <c r="A30" s="22" t="s">
        <v>16</v>
      </c>
      <c r="B30" s="22" t="s">
        <v>216</v>
      </c>
      <c r="C30" s="22">
        <v>6118.6170122000003</v>
      </c>
      <c r="D30" s="22">
        <v>6118.6170122000003</v>
      </c>
      <c r="E30" s="22">
        <v>6026.8377570170005</v>
      </c>
      <c r="F30" s="22">
        <v>5935.0585018339998</v>
      </c>
      <c r="G30" s="22">
        <v>5843.279246651</v>
      </c>
      <c r="H30" s="22">
        <v>5751.4999914680002</v>
      </c>
      <c r="I30" s="22">
        <v>5659.7207362850004</v>
      </c>
      <c r="J30" s="22">
        <v>5567.9414811019997</v>
      </c>
      <c r="K30" s="22">
        <v>5476.1622259190008</v>
      </c>
      <c r="L30" s="22">
        <v>5384.3829707360001</v>
      </c>
      <c r="M30" s="22">
        <v>5292.6037155530003</v>
      </c>
      <c r="N30" s="22">
        <v>5200.8244603700005</v>
      </c>
      <c r="O30" s="22">
        <v>5109.0452051869997</v>
      </c>
      <c r="P30" s="22">
        <v>5017.2659500039999</v>
      </c>
      <c r="Q30" s="22">
        <v>4925.4866948210001</v>
      </c>
      <c r="R30" s="22">
        <v>4833.7074396379994</v>
      </c>
      <c r="S30" s="22">
        <v>4741.9281844549996</v>
      </c>
      <c r="T30" s="22">
        <v>4650.1489292720007</v>
      </c>
      <c r="U30" s="22">
        <v>4558.3696740889991</v>
      </c>
      <c r="V30" s="22">
        <v>4466.5904189060002</v>
      </c>
      <c r="W30" s="22">
        <v>4374.8111637230004</v>
      </c>
      <c r="X30" s="22">
        <v>4283.0319085399997</v>
      </c>
      <c r="Y30" s="22">
        <v>4261.4127950968932</v>
      </c>
      <c r="Z30" s="22">
        <v>4239.7936816537867</v>
      </c>
      <c r="AA30" s="22">
        <v>4218.1745682106803</v>
      </c>
      <c r="AB30" s="22">
        <v>4196.5554547675729</v>
      </c>
      <c r="AC30" s="22">
        <v>4174.9363413244673</v>
      </c>
      <c r="AD30" s="22">
        <v>4153.3172278813599</v>
      </c>
      <c r="AE30" s="22">
        <v>4131.6981144382535</v>
      </c>
      <c r="AF30" s="22">
        <v>4110.079000995147</v>
      </c>
      <c r="AG30" s="22">
        <v>4088.4598875520405</v>
      </c>
      <c r="AH30" s="22">
        <v>4066.8407741089331</v>
      </c>
      <c r="AI30" s="22">
        <v>4045.2216606658271</v>
      </c>
      <c r="AJ30" s="22">
        <v>4023.6025472227202</v>
      </c>
      <c r="AK30" s="22">
        <v>4001.9834337796137</v>
      </c>
      <c r="AL30" s="22">
        <v>3980.3643203365073</v>
      </c>
      <c r="AM30" s="22">
        <v>3958.7452068934003</v>
      </c>
    </row>
    <row r="31" spans="1:39" x14ac:dyDescent="0.2">
      <c r="A31" s="22" t="s">
        <v>16</v>
      </c>
      <c r="B31" s="22" t="s">
        <v>217</v>
      </c>
      <c r="C31" s="22">
        <v>6118.6170122000003</v>
      </c>
      <c r="D31" s="22">
        <v>6110.780960578646</v>
      </c>
      <c r="E31" s="22">
        <v>6102.9449089572918</v>
      </c>
      <c r="F31" s="22">
        <v>6087.3329823128979</v>
      </c>
      <c r="G31" s="22">
        <v>6071.7210556685031</v>
      </c>
      <c r="H31" s="22">
        <v>6056.1889769761192</v>
      </c>
      <c r="I31" s="22">
        <v>6040.6568982837343</v>
      </c>
      <c r="J31" s="22">
        <v>6025.204331019424</v>
      </c>
      <c r="K31" s="22">
        <v>6009.7517637551118</v>
      </c>
      <c r="L31" s="22">
        <v>5994.3782184295142</v>
      </c>
      <c r="M31" s="22">
        <v>5979.0046731039147</v>
      </c>
      <c r="N31" s="22">
        <v>5963.7097826000081</v>
      </c>
      <c r="O31" s="22">
        <v>5948.4148920961015</v>
      </c>
      <c r="P31" s="22">
        <v>5933.1982587037819</v>
      </c>
      <c r="Q31" s="22">
        <v>5917.9816253114604</v>
      </c>
      <c r="R31" s="22">
        <v>5902.84285132062</v>
      </c>
      <c r="S31" s="22">
        <v>5887.7040773297795</v>
      </c>
      <c r="T31" s="22">
        <v>5872.642765030314</v>
      </c>
      <c r="U31" s="22">
        <v>5857.5814527308476</v>
      </c>
      <c r="V31" s="22">
        <v>5842.5971738195649</v>
      </c>
      <c r="W31" s="22">
        <v>5827.6128949082831</v>
      </c>
      <c r="X31" s="22">
        <v>5812.7052822681635</v>
      </c>
      <c r="Y31" s="22">
        <v>5797.7976696280439</v>
      </c>
      <c r="Z31" s="22">
        <v>5782.9663255489813</v>
      </c>
      <c r="AA31" s="22">
        <v>5768.1349814699197</v>
      </c>
      <c r="AB31" s="22">
        <v>5753.3795388348926</v>
      </c>
      <c r="AC31" s="22">
        <v>5738.6240961998674</v>
      </c>
      <c r="AD31" s="22">
        <v>5723.9441267056864</v>
      </c>
      <c r="AE31" s="22">
        <v>5709.2641572115053</v>
      </c>
      <c r="AF31" s="22">
        <v>5694.6592937411497</v>
      </c>
      <c r="AG31" s="22">
        <v>5680.054430270794</v>
      </c>
      <c r="AH31" s="22">
        <v>5665.5243057072421</v>
      </c>
      <c r="AI31" s="22">
        <v>5650.9941811436902</v>
      </c>
      <c r="AJ31" s="22">
        <v>5636.5383671837517</v>
      </c>
      <c r="AK31" s="22">
        <v>5622.0825532238132</v>
      </c>
      <c r="AL31" s="22">
        <v>5607.7007133435518</v>
      </c>
      <c r="AM31" s="22">
        <v>5593.3188734632904</v>
      </c>
    </row>
    <row r="32" spans="1:39" x14ac:dyDescent="0.2">
      <c r="A32" s="22" t="s">
        <v>16</v>
      </c>
      <c r="B32" s="22" t="s">
        <v>218</v>
      </c>
      <c r="C32" s="22">
        <v>6118.6170122000003</v>
      </c>
      <c r="D32" s="22">
        <v>6118.6170122000003</v>
      </c>
      <c r="E32" s="22">
        <v>6118.6170122000003</v>
      </c>
      <c r="F32" s="22">
        <v>6118.6170122000003</v>
      </c>
      <c r="G32" s="22">
        <v>6118.6170122000003</v>
      </c>
      <c r="H32" s="22">
        <v>6118.6170122000003</v>
      </c>
      <c r="I32" s="22">
        <v>6118.6170122000003</v>
      </c>
      <c r="J32" s="22">
        <v>6118.6170122000003</v>
      </c>
      <c r="K32" s="22">
        <v>6118.6170122000003</v>
      </c>
      <c r="L32" s="22">
        <v>6118.6170122000003</v>
      </c>
      <c r="M32" s="22">
        <v>6118.6170122000003</v>
      </c>
      <c r="N32" s="22">
        <v>6118.6170122000003</v>
      </c>
      <c r="O32" s="22">
        <v>6118.6170122000003</v>
      </c>
      <c r="P32" s="22">
        <v>6118.6170122000003</v>
      </c>
      <c r="Q32" s="22">
        <v>6118.6170122000003</v>
      </c>
      <c r="R32" s="22">
        <v>6118.6170122000003</v>
      </c>
      <c r="S32" s="22">
        <v>6118.6170122000003</v>
      </c>
      <c r="T32" s="22">
        <v>6118.6170122000003</v>
      </c>
      <c r="U32" s="22">
        <v>6118.6170122000003</v>
      </c>
      <c r="V32" s="22">
        <v>6118.6170122000003</v>
      </c>
      <c r="W32" s="22">
        <v>6118.6170122000003</v>
      </c>
      <c r="X32" s="22">
        <v>6118.6170122000003</v>
      </c>
      <c r="Y32" s="22">
        <v>6118.6170122000003</v>
      </c>
      <c r="Z32" s="22">
        <v>6118.6170122000003</v>
      </c>
      <c r="AA32" s="22">
        <v>6118.6170122000003</v>
      </c>
      <c r="AB32" s="22">
        <v>6118.6170122000003</v>
      </c>
      <c r="AC32" s="22">
        <v>6118.6170122000003</v>
      </c>
      <c r="AD32" s="22">
        <v>6118.6170122000003</v>
      </c>
      <c r="AE32" s="22">
        <v>6118.6170122000003</v>
      </c>
      <c r="AF32" s="22">
        <v>6118.6170122000003</v>
      </c>
      <c r="AG32" s="22">
        <v>6118.6170122000003</v>
      </c>
      <c r="AH32" s="22">
        <v>6118.6170122000003</v>
      </c>
      <c r="AI32" s="22">
        <v>6118.6170122000003</v>
      </c>
      <c r="AJ32" s="22">
        <v>6118.6170122000003</v>
      </c>
      <c r="AK32" s="22">
        <v>6118.6170122000003</v>
      </c>
      <c r="AL32" s="22">
        <v>6118.6170122000003</v>
      </c>
      <c r="AM32" s="22">
        <v>6118.6170122000003</v>
      </c>
    </row>
    <row r="33" spans="1:39" x14ac:dyDescent="0.2">
      <c r="A33" s="22" t="s">
        <v>16</v>
      </c>
      <c r="B33" s="22" t="s">
        <v>219</v>
      </c>
      <c r="C33" s="22">
        <v>5508.1456035900001</v>
      </c>
      <c r="D33" s="22">
        <v>5508.1456035900001</v>
      </c>
      <c r="E33" s="22">
        <v>5425.52341953615</v>
      </c>
      <c r="F33" s="22">
        <v>5342.9012354822999</v>
      </c>
      <c r="G33" s="22">
        <v>5260.2790514284497</v>
      </c>
      <c r="H33" s="22">
        <v>5177.6568673745996</v>
      </c>
      <c r="I33" s="22">
        <v>5095.0346833207504</v>
      </c>
      <c r="J33" s="22">
        <v>5012.4124992668994</v>
      </c>
      <c r="K33" s="22">
        <v>4929.7903152130502</v>
      </c>
      <c r="L33" s="22">
        <v>4847.1681311592001</v>
      </c>
      <c r="M33" s="22">
        <v>4764.54594710535</v>
      </c>
      <c r="N33" s="22">
        <v>4681.9237630514999</v>
      </c>
      <c r="O33" s="22">
        <v>4599.3015789976498</v>
      </c>
      <c r="P33" s="22">
        <v>4516.6793949437997</v>
      </c>
      <c r="Q33" s="22">
        <v>4434.0572108899496</v>
      </c>
      <c r="R33" s="22">
        <v>4351.4350268360995</v>
      </c>
      <c r="S33" s="22">
        <v>4268.8128427822494</v>
      </c>
      <c r="T33" s="22">
        <v>4186.1906587284002</v>
      </c>
      <c r="U33" s="22">
        <v>4103.5684746745492</v>
      </c>
      <c r="V33" s="22">
        <v>4020.9462906207</v>
      </c>
      <c r="W33" s="22">
        <v>3938.3241065668499</v>
      </c>
      <c r="X33" s="22">
        <v>3855.7019225129998</v>
      </c>
      <c r="Y33" s="22">
        <v>3836.239808046982</v>
      </c>
      <c r="Z33" s="22">
        <v>3816.7776935809638</v>
      </c>
      <c r="AA33" s="22">
        <v>3797.3155791149461</v>
      </c>
      <c r="AB33" s="22">
        <v>3777.8534646489279</v>
      </c>
      <c r="AC33" s="22">
        <v>3758.3913501829102</v>
      </c>
      <c r="AD33" s="22">
        <v>3738.929235716892</v>
      </c>
      <c r="AE33" s="22">
        <v>3719.4671212508742</v>
      </c>
      <c r="AF33" s="22">
        <v>3700.0050067848561</v>
      </c>
      <c r="AG33" s="22">
        <v>3680.5428923188383</v>
      </c>
      <c r="AH33" s="22">
        <v>3661.0807778528197</v>
      </c>
      <c r="AI33" s="22">
        <v>3641.6186633868019</v>
      </c>
      <c r="AJ33" s="22">
        <v>3622.1565489207837</v>
      </c>
      <c r="AK33" s="22">
        <v>3602.694434454766</v>
      </c>
      <c r="AL33" s="22">
        <v>3583.2323199887483</v>
      </c>
      <c r="AM33" s="22">
        <v>3563.7702055227301</v>
      </c>
    </row>
    <row r="34" spans="1:39" x14ac:dyDescent="0.2">
      <c r="A34" s="22" t="s">
        <v>16</v>
      </c>
      <c r="B34" s="22" t="s">
        <v>220</v>
      </c>
      <c r="C34" s="22">
        <v>5508.1456035900001</v>
      </c>
      <c r="D34" s="22">
        <v>5501.091376596939</v>
      </c>
      <c r="E34" s="22">
        <v>5494.037149603877</v>
      </c>
      <c r="F34" s="22">
        <v>5479.9828682297648</v>
      </c>
      <c r="G34" s="22">
        <v>5465.9285868556526</v>
      </c>
      <c r="H34" s="22">
        <v>5451.9461867816681</v>
      </c>
      <c r="I34" s="22">
        <v>5437.9637867076826</v>
      </c>
      <c r="J34" s="22">
        <v>5424.0529649858163</v>
      </c>
      <c r="K34" s="22">
        <v>5410.142143263949</v>
      </c>
      <c r="L34" s="22">
        <v>5396.3024592425527</v>
      </c>
      <c r="M34" s="22">
        <v>5382.4627752211563</v>
      </c>
      <c r="N34" s="22">
        <v>5368.693898411494</v>
      </c>
      <c r="O34" s="22">
        <v>5354.9250216018327</v>
      </c>
      <c r="P34" s="22">
        <v>5341.2265939744411</v>
      </c>
      <c r="Q34" s="22">
        <v>5327.5281663470487</v>
      </c>
      <c r="R34" s="22">
        <v>5313.8998298724619</v>
      </c>
      <c r="S34" s="22">
        <v>5300.2714933978759</v>
      </c>
      <c r="T34" s="22">
        <v>5286.7128900466305</v>
      </c>
      <c r="U34" s="22">
        <v>5273.154286695386</v>
      </c>
      <c r="V34" s="22">
        <v>5259.6650308972894</v>
      </c>
      <c r="W34" s="22">
        <v>5246.1757750991937</v>
      </c>
      <c r="X34" s="22">
        <v>5232.7555363655119</v>
      </c>
      <c r="Y34" s="22">
        <v>5219.3352976318283</v>
      </c>
      <c r="Z34" s="22">
        <v>5205.9837179330943</v>
      </c>
      <c r="AA34" s="22">
        <v>5192.6321382343604</v>
      </c>
      <c r="AB34" s="22">
        <v>5179.3488870818392</v>
      </c>
      <c r="AC34" s="22">
        <v>5166.065635929318</v>
      </c>
      <c r="AD34" s="22">
        <v>5152.8503277528162</v>
      </c>
      <c r="AE34" s="22">
        <v>5139.6350195763143</v>
      </c>
      <c r="AF34" s="22">
        <v>5126.4873238870978</v>
      </c>
      <c r="AG34" s="22">
        <v>5113.3396281978812</v>
      </c>
      <c r="AH34" s="22">
        <v>5100.2592145072113</v>
      </c>
      <c r="AI34" s="22">
        <v>5087.1788008165413</v>
      </c>
      <c r="AJ34" s="22">
        <v>5074.1652835542282</v>
      </c>
      <c r="AK34" s="22">
        <v>5061.151766291915</v>
      </c>
      <c r="AL34" s="22">
        <v>5048.2048425099483</v>
      </c>
      <c r="AM34" s="22">
        <v>5035.2579187279816</v>
      </c>
    </row>
    <row r="35" spans="1:39" x14ac:dyDescent="0.2">
      <c r="A35" s="22" t="s">
        <v>16</v>
      </c>
      <c r="B35" s="22" t="s">
        <v>221</v>
      </c>
      <c r="C35" s="22">
        <v>5508.1456035900001</v>
      </c>
      <c r="D35" s="22">
        <v>5508.1456035900001</v>
      </c>
      <c r="E35" s="22">
        <v>5508.1456035900001</v>
      </c>
      <c r="F35" s="22">
        <v>5508.1456035900001</v>
      </c>
      <c r="G35" s="22">
        <v>5508.1456035900001</v>
      </c>
      <c r="H35" s="22">
        <v>5508.1456035900001</v>
      </c>
      <c r="I35" s="22">
        <v>5508.1456035900001</v>
      </c>
      <c r="J35" s="22">
        <v>5508.1456035900001</v>
      </c>
      <c r="K35" s="22">
        <v>5508.1456035900001</v>
      </c>
      <c r="L35" s="22">
        <v>5508.1456035900001</v>
      </c>
      <c r="M35" s="22">
        <v>5508.1456035900001</v>
      </c>
      <c r="N35" s="22">
        <v>5508.1456035900001</v>
      </c>
      <c r="O35" s="22">
        <v>5508.1456035900001</v>
      </c>
      <c r="P35" s="22">
        <v>5508.1456035900001</v>
      </c>
      <c r="Q35" s="22">
        <v>5508.1456035900001</v>
      </c>
      <c r="R35" s="22">
        <v>5508.1456035900001</v>
      </c>
      <c r="S35" s="22">
        <v>5508.1456035900001</v>
      </c>
      <c r="T35" s="22">
        <v>5508.1456035900001</v>
      </c>
      <c r="U35" s="22">
        <v>5508.1456035900001</v>
      </c>
      <c r="V35" s="22">
        <v>5508.1456035900001</v>
      </c>
      <c r="W35" s="22">
        <v>5508.1456035900001</v>
      </c>
      <c r="X35" s="22">
        <v>5508.1456035900001</v>
      </c>
      <c r="Y35" s="22">
        <v>5508.1456035900001</v>
      </c>
      <c r="Z35" s="22">
        <v>5508.1456035900001</v>
      </c>
      <c r="AA35" s="22">
        <v>5508.1456035900001</v>
      </c>
      <c r="AB35" s="22">
        <v>5508.1456035900001</v>
      </c>
      <c r="AC35" s="22">
        <v>5508.1456035900001</v>
      </c>
      <c r="AD35" s="22">
        <v>5508.1456035900001</v>
      </c>
      <c r="AE35" s="22">
        <v>5508.1456035900001</v>
      </c>
      <c r="AF35" s="22">
        <v>5508.1456035900001</v>
      </c>
      <c r="AG35" s="22">
        <v>5508.1456035900001</v>
      </c>
      <c r="AH35" s="22">
        <v>5508.1456035900001</v>
      </c>
      <c r="AI35" s="22">
        <v>5508.1456035900001</v>
      </c>
      <c r="AJ35" s="22">
        <v>5508.1456035900001</v>
      </c>
      <c r="AK35" s="22">
        <v>5508.1456035900001</v>
      </c>
      <c r="AL35" s="22">
        <v>5508.1456035900001</v>
      </c>
      <c r="AM35" s="22">
        <v>5508.1456035900001</v>
      </c>
    </row>
    <row r="36" spans="1:39" x14ac:dyDescent="0.2">
      <c r="A36" t="s">
        <v>15</v>
      </c>
      <c r="B36" s="22" t="s">
        <v>222</v>
      </c>
      <c r="C36" s="22">
        <v>5486.0752926746272</v>
      </c>
      <c r="D36" s="22">
        <v>5486.0752926746272</v>
      </c>
      <c r="E36" s="22">
        <v>5486.0752926746272</v>
      </c>
      <c r="F36" s="22">
        <v>5486.0752926746272</v>
      </c>
      <c r="G36" s="22">
        <v>5486.0752926746272</v>
      </c>
      <c r="H36" s="22">
        <v>5486.0752926746272</v>
      </c>
      <c r="I36" s="22">
        <v>5486.0752926746272</v>
      </c>
      <c r="J36" s="22">
        <v>5486.0752926746272</v>
      </c>
      <c r="K36" s="22">
        <v>5486.0752926746272</v>
      </c>
      <c r="L36" s="22">
        <v>5456.941915280695</v>
      </c>
      <c r="M36" s="22">
        <v>5427.8146075422128</v>
      </c>
      <c r="N36" s="22">
        <v>5398.6820007496799</v>
      </c>
      <c r="O36" s="22">
        <v>5369.554129275567</v>
      </c>
      <c r="P36" s="22">
        <v>5340.4236280942096</v>
      </c>
      <c r="Q36" s="22">
        <v>5311.2919735167416</v>
      </c>
      <c r="R36" s="22">
        <v>5282.1649602154803</v>
      </c>
      <c r="S36" s="22">
        <v>5253.033366304574</v>
      </c>
      <c r="T36" s="22">
        <v>5223.8993712422762</v>
      </c>
      <c r="U36" s="22">
        <v>5194.7715493250989</v>
      </c>
      <c r="V36" s="22">
        <v>5165.6423864073486</v>
      </c>
      <c r="W36" s="22">
        <v>5136.5121041657794</v>
      </c>
      <c r="X36" s="22">
        <v>5107.3811547755313</v>
      </c>
      <c r="Y36" s="22">
        <v>5078.2492803038613</v>
      </c>
      <c r="Z36" s="22">
        <v>5049.1202056943148</v>
      </c>
      <c r="AA36" s="22">
        <v>5019.9890377112424</v>
      </c>
      <c r="AB36" s="22">
        <v>4990.8610303601599</v>
      </c>
      <c r="AC36" s="22">
        <v>4961.7269185916175</v>
      </c>
      <c r="AD36" s="22">
        <v>4932.5962738203216</v>
      </c>
      <c r="AE36" s="22">
        <v>4903.4656290490257</v>
      </c>
      <c r="AF36" s="22">
        <v>4874.3349842777297</v>
      </c>
      <c r="AG36" s="22">
        <v>4845.2043395064338</v>
      </c>
      <c r="AH36" s="22">
        <v>4816.0736947351379</v>
      </c>
      <c r="AI36" s="22">
        <v>4786.943049963842</v>
      </c>
      <c r="AJ36" s="22">
        <v>4757.8124051925461</v>
      </c>
      <c r="AK36" s="22">
        <v>4728.6817604212501</v>
      </c>
      <c r="AL36" s="22">
        <v>4699.5511156499542</v>
      </c>
      <c r="AM36" s="22">
        <v>4670.4204708786583</v>
      </c>
    </row>
    <row r="37" spans="1:39" x14ac:dyDescent="0.2">
      <c r="A37" t="s">
        <v>18</v>
      </c>
      <c r="B37" s="22" t="s">
        <v>223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 x14ac:dyDescent="0.2">
      <c r="A38" s="22" t="s">
        <v>18</v>
      </c>
      <c r="B38" s="22" t="s">
        <v>224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 x14ac:dyDescent="0.2">
      <c r="A39" s="22" t="s">
        <v>18</v>
      </c>
      <c r="B39" s="22" t="s">
        <v>225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 x14ac:dyDescent="0.2">
      <c r="A40" s="22" t="s">
        <v>18</v>
      </c>
      <c r="B40" s="22" t="s">
        <v>226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 x14ac:dyDescent="0.2">
      <c r="A41" s="22" t="s">
        <v>18</v>
      </c>
      <c r="B41" s="22" t="s">
        <v>227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 x14ac:dyDescent="0.2">
      <c r="A42" s="22" t="s">
        <v>18</v>
      </c>
      <c r="B42" s="22" t="s">
        <v>228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 x14ac:dyDescent="0.2">
      <c r="A43" s="22" t="s">
        <v>18</v>
      </c>
      <c r="B43" s="22" t="s">
        <v>229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 x14ac:dyDescent="0.2">
      <c r="A44" s="22" t="s">
        <v>18</v>
      </c>
      <c r="B44" s="22" t="s">
        <v>230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 x14ac:dyDescent="0.2">
      <c r="A45" s="22" t="s">
        <v>18</v>
      </c>
      <c r="B45" s="22" t="s">
        <v>231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 x14ac:dyDescent="0.2">
      <c r="A46" s="22" t="s">
        <v>18</v>
      </c>
      <c r="B46" s="22" t="s">
        <v>232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 x14ac:dyDescent="0.2">
      <c r="A47" s="22" t="s">
        <v>18</v>
      </c>
      <c r="B47" s="22" t="s">
        <v>233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 x14ac:dyDescent="0.2">
      <c r="A48" s="22" t="s">
        <v>18</v>
      </c>
      <c r="B48" s="22" t="s">
        <v>234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 x14ac:dyDescent="0.2">
      <c r="A49" s="22" t="s">
        <v>18</v>
      </c>
      <c r="B49" s="22" t="s">
        <v>235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 x14ac:dyDescent="0.2">
      <c r="A50" s="22" t="s">
        <v>18</v>
      </c>
      <c r="B50" s="22" t="s">
        <v>236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 x14ac:dyDescent="0.2">
      <c r="A51" s="22" t="s">
        <v>18</v>
      </c>
      <c r="B51" s="22" t="s">
        <v>237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 x14ac:dyDescent="0.2">
      <c r="A52" s="22" t="s">
        <v>18</v>
      </c>
      <c r="B52" s="22" t="s">
        <v>238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 x14ac:dyDescent="0.2">
      <c r="A53" s="22" t="s">
        <v>18</v>
      </c>
      <c r="B53" s="22" t="s">
        <v>239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 x14ac:dyDescent="0.2">
      <c r="A54" s="22" t="s">
        <v>18</v>
      </c>
      <c r="B54" s="22" t="s">
        <v>240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 x14ac:dyDescent="0.2">
      <c r="A55" t="s">
        <v>19</v>
      </c>
      <c r="B55" s="22" t="s">
        <v>241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 x14ac:dyDescent="0.2">
      <c r="A56" s="22" t="s">
        <v>19</v>
      </c>
      <c r="B56" s="22" t="s">
        <v>242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 x14ac:dyDescent="0.2">
      <c r="A57" s="22" t="s">
        <v>19</v>
      </c>
      <c r="B57" s="22" t="s">
        <v>243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 x14ac:dyDescent="0.2">
      <c r="A58" s="22" t="s">
        <v>19</v>
      </c>
      <c r="B58" s="22" t="s">
        <v>244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 x14ac:dyDescent="0.2">
      <c r="A59" s="22" t="s">
        <v>19</v>
      </c>
      <c r="B59" s="22" t="s">
        <v>245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 x14ac:dyDescent="0.2">
      <c r="A60" s="22" t="s">
        <v>19</v>
      </c>
      <c r="B60" s="22" t="s">
        <v>246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 x14ac:dyDescent="0.2">
      <c r="A61" s="22" t="s">
        <v>19</v>
      </c>
      <c r="B61" s="22" t="s">
        <v>247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 x14ac:dyDescent="0.2">
      <c r="A62" s="22" t="s">
        <v>19</v>
      </c>
      <c r="B62" s="22" t="s">
        <v>248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 x14ac:dyDescent="0.2">
      <c r="A63" s="22" t="s">
        <v>19</v>
      </c>
      <c r="B63" s="22" t="s">
        <v>249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 x14ac:dyDescent="0.2">
      <c r="A64" t="s">
        <v>33</v>
      </c>
      <c r="B64" s="22" t="s">
        <v>250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 x14ac:dyDescent="0.2">
      <c r="A65" s="22" t="s">
        <v>33</v>
      </c>
      <c r="B65" s="22" t="s">
        <v>251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 x14ac:dyDescent="0.2">
      <c r="A66" s="22" t="s">
        <v>33</v>
      </c>
      <c r="B66" s="22" t="s">
        <v>252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 x14ac:dyDescent="0.2">
      <c r="A67" s="22" t="s">
        <v>33</v>
      </c>
      <c r="B67" s="22" t="s">
        <v>253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 x14ac:dyDescent="0.2">
      <c r="A68" s="22" t="s">
        <v>33</v>
      </c>
      <c r="B68" s="22" t="s">
        <v>254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 x14ac:dyDescent="0.2">
      <c r="A69" s="22" t="s">
        <v>33</v>
      </c>
      <c r="B69" s="22" t="s">
        <v>255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 x14ac:dyDescent="0.2">
      <c r="A70" s="22" t="s">
        <v>33</v>
      </c>
      <c r="B70" s="22" t="s">
        <v>256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 x14ac:dyDescent="0.2">
      <c r="A71" s="22" t="s">
        <v>33</v>
      </c>
      <c r="B71" s="22" t="s">
        <v>257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 x14ac:dyDescent="0.2">
      <c r="A72" s="22" t="s">
        <v>33</v>
      </c>
      <c r="B72" s="22" t="s">
        <v>258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 x14ac:dyDescent="0.2">
      <c r="A73" s="22" t="s">
        <v>33</v>
      </c>
      <c r="B73" s="22" t="s">
        <v>259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 x14ac:dyDescent="0.2">
      <c r="A74" s="22" t="s">
        <v>33</v>
      </c>
      <c r="B74" s="22" t="s">
        <v>260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 x14ac:dyDescent="0.2">
      <c r="A75" s="22" t="s">
        <v>33</v>
      </c>
      <c r="B75" s="22" t="s">
        <v>261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 x14ac:dyDescent="0.2">
      <c r="A76" s="22" t="s">
        <v>33</v>
      </c>
      <c r="B76" s="22" t="s">
        <v>262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 x14ac:dyDescent="0.2">
      <c r="A77" s="22" t="s">
        <v>33</v>
      </c>
      <c r="B77" s="22" t="s">
        <v>263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 x14ac:dyDescent="0.2">
      <c r="A78" s="22" t="s">
        <v>33</v>
      </c>
      <c r="B78" s="22" t="s">
        <v>264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 x14ac:dyDescent="0.2">
      <c r="A79" s="22" t="s">
        <v>33</v>
      </c>
      <c r="B79" s="22" t="s">
        <v>265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 x14ac:dyDescent="0.2">
      <c r="A80" s="22" t="s">
        <v>33</v>
      </c>
      <c r="B80" s="22" t="s">
        <v>266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 x14ac:dyDescent="0.2">
      <c r="A81" s="22" t="s">
        <v>33</v>
      </c>
      <c r="B81" s="22" t="s">
        <v>267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 x14ac:dyDescent="0.2">
      <c r="A82" t="s">
        <v>35</v>
      </c>
      <c r="B82" s="22" t="s">
        <v>268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 x14ac:dyDescent="0.2">
      <c r="A83" s="22" t="s">
        <v>35</v>
      </c>
      <c r="B83" s="22" t="s">
        <v>269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 x14ac:dyDescent="0.2">
      <c r="A84" s="22" t="s">
        <v>35</v>
      </c>
      <c r="B84" s="22" t="s">
        <v>270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 x14ac:dyDescent="0.2">
      <c r="A85" t="s">
        <v>138</v>
      </c>
      <c r="B85" s="22" t="s">
        <v>152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 x14ac:dyDescent="0.2">
      <c r="A86" s="22" t="s">
        <v>138</v>
      </c>
      <c r="B86" s="22" t="s">
        <v>153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 x14ac:dyDescent="0.2">
      <c r="A87" s="22" t="s">
        <v>138</v>
      </c>
      <c r="B87" s="22" t="s">
        <v>154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 x14ac:dyDescent="0.2">
      <c r="A88" s="22" t="s">
        <v>138</v>
      </c>
      <c r="B88" s="22" t="s">
        <v>155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 x14ac:dyDescent="0.2">
      <c r="A89" s="22" t="s">
        <v>138</v>
      </c>
      <c r="B89" s="22" t="s">
        <v>156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 x14ac:dyDescent="0.2">
      <c r="A90" s="22" t="s">
        <v>138</v>
      </c>
      <c r="B90" s="22" t="s">
        <v>157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 x14ac:dyDescent="0.2">
      <c r="A91" s="22" t="s">
        <v>138</v>
      </c>
      <c r="B91" s="22" t="s">
        <v>158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 x14ac:dyDescent="0.2">
      <c r="A92" s="22" t="s">
        <v>138</v>
      </c>
      <c r="B92" s="22" t="s">
        <v>159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 x14ac:dyDescent="0.2">
      <c r="A93" s="22" t="s">
        <v>138</v>
      </c>
      <c r="B93" s="22" t="s">
        <v>160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 x14ac:dyDescent="0.2">
      <c r="A94" s="22" t="s">
        <v>138</v>
      </c>
      <c r="B94" s="22" t="s">
        <v>161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 x14ac:dyDescent="0.2">
      <c r="A95" s="22" t="s">
        <v>138</v>
      </c>
      <c r="B95" s="22" t="s">
        <v>162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 x14ac:dyDescent="0.2">
      <c r="A96" s="22" t="s">
        <v>138</v>
      </c>
      <c r="B96" s="22" t="s">
        <v>163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 x14ac:dyDescent="0.2">
      <c r="A97" s="22" t="s">
        <v>138</v>
      </c>
      <c r="B97" s="22" t="s">
        <v>164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 x14ac:dyDescent="0.2">
      <c r="A98" s="22" t="s">
        <v>138</v>
      </c>
      <c r="B98" s="22" t="s">
        <v>165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 x14ac:dyDescent="0.2">
      <c r="A99" s="22" t="s">
        <v>138</v>
      </c>
      <c r="B99" s="22" t="s">
        <v>166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 x14ac:dyDescent="0.2">
      <c r="A100" s="22" t="s">
        <v>138</v>
      </c>
      <c r="B100" s="22" t="s">
        <v>167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 x14ac:dyDescent="0.2">
      <c r="A101" s="22" t="s">
        <v>138</v>
      </c>
      <c r="B101" s="22" t="s">
        <v>168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 x14ac:dyDescent="0.2">
      <c r="A102" s="22" t="s">
        <v>138</v>
      </c>
      <c r="B102" s="22" t="s">
        <v>169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 x14ac:dyDescent="0.2">
      <c r="A103" s="22" t="s">
        <v>138</v>
      </c>
      <c r="B103" s="22" t="s">
        <v>170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 x14ac:dyDescent="0.2">
      <c r="A104" s="22" t="s">
        <v>138</v>
      </c>
      <c r="B104" s="22" t="s">
        <v>171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 x14ac:dyDescent="0.2">
      <c r="A105" s="22" t="s">
        <v>138</v>
      </c>
      <c r="B105" s="22" t="s">
        <v>172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 x14ac:dyDescent="0.2">
      <c r="A106" s="22" t="s">
        <v>138</v>
      </c>
      <c r="B106" s="22" t="s">
        <v>173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 x14ac:dyDescent="0.2">
      <c r="A107" s="22" t="s">
        <v>138</v>
      </c>
      <c r="B107" s="22" t="s">
        <v>174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 x14ac:dyDescent="0.2">
      <c r="A108" s="22" t="s">
        <v>138</v>
      </c>
      <c r="B108" s="22" t="s">
        <v>175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 x14ac:dyDescent="0.2">
      <c r="A109" s="22" t="s">
        <v>138</v>
      </c>
      <c r="B109" s="22" t="s">
        <v>176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 x14ac:dyDescent="0.2">
      <c r="A110" s="22" t="s">
        <v>138</v>
      </c>
      <c r="B110" s="22" t="s">
        <v>177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 x14ac:dyDescent="0.2">
      <c r="A111" s="22" t="s">
        <v>138</v>
      </c>
      <c r="B111" s="22" t="s">
        <v>178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 x14ac:dyDescent="0.2">
      <c r="A112" s="22" t="s">
        <v>138</v>
      </c>
      <c r="B112" s="22" t="s">
        <v>179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 x14ac:dyDescent="0.2">
      <c r="A113" s="22" t="s">
        <v>138</v>
      </c>
      <c r="B113" s="22" t="s">
        <v>180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 x14ac:dyDescent="0.2">
      <c r="A114" s="22" t="s">
        <v>138</v>
      </c>
      <c r="B114" s="22" t="s">
        <v>181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 x14ac:dyDescent="0.2">
      <c r="A117" s="22"/>
      <c r="B117" s="22">
        <v>2014</v>
      </c>
      <c r="C117" s="46">
        <v>2015</v>
      </c>
      <c r="D117" s="46">
        <v>2016</v>
      </c>
      <c r="E117" s="46">
        <v>2017</v>
      </c>
      <c r="F117" s="46">
        <v>2018</v>
      </c>
      <c r="G117" s="46">
        <v>2019</v>
      </c>
      <c r="H117" s="46">
        <v>2020</v>
      </c>
      <c r="I117" s="46">
        <v>2021</v>
      </c>
      <c r="J117" s="46">
        <v>2022</v>
      </c>
      <c r="K117" s="46">
        <v>2023</v>
      </c>
      <c r="L117" s="46">
        <v>2024</v>
      </c>
      <c r="M117" s="46">
        <v>2025</v>
      </c>
      <c r="N117" s="46">
        <v>2026</v>
      </c>
      <c r="O117" s="46">
        <v>2027</v>
      </c>
      <c r="P117" s="46">
        <v>2028</v>
      </c>
      <c r="Q117" s="46">
        <v>2029</v>
      </c>
      <c r="R117" s="46">
        <v>2030</v>
      </c>
      <c r="S117" s="46">
        <v>2031</v>
      </c>
      <c r="T117" s="46">
        <v>2032</v>
      </c>
      <c r="U117" s="46">
        <v>2033</v>
      </c>
      <c r="V117" s="46">
        <v>2034</v>
      </c>
      <c r="W117" s="46">
        <v>2035</v>
      </c>
      <c r="X117" s="46">
        <v>2036</v>
      </c>
      <c r="Y117" s="46">
        <v>2037</v>
      </c>
      <c r="Z117" s="46">
        <v>2038</v>
      </c>
      <c r="AA117" s="46">
        <v>2039</v>
      </c>
      <c r="AB117" s="46">
        <v>2040</v>
      </c>
      <c r="AC117" s="46">
        <v>2041</v>
      </c>
      <c r="AD117" s="46">
        <v>2042</v>
      </c>
      <c r="AE117" s="46">
        <v>2043</v>
      </c>
      <c r="AF117" s="46">
        <v>2044</v>
      </c>
      <c r="AG117" s="46">
        <v>2045</v>
      </c>
      <c r="AH117" s="46">
        <v>2046</v>
      </c>
      <c r="AI117" s="46">
        <v>2047</v>
      </c>
      <c r="AJ117" s="46">
        <v>2048</v>
      </c>
      <c r="AK117" s="46">
        <v>2049</v>
      </c>
      <c r="AL117" s="46">
        <v>2050</v>
      </c>
    </row>
    <row r="118" spans="1:39" x14ac:dyDescent="0.2">
      <c r="A118" s="22" t="s">
        <v>14</v>
      </c>
      <c r="B118" s="22">
        <f>AVERAGEIF($A$3:$A$114,$A118,C$3:C$114)/AVERAGEIF($A$3:$A$114,$A118,$C$3:$C$114)</f>
        <v>1</v>
      </c>
      <c r="C118" s="22">
        <f t="shared" ref="C118:AL126" si="0">AVERAGEIF($A$3:$A$114,$A118,D$3:D$114)/AVERAGEIF($A$3:$A$114,$A118,$C$3:$C$114)</f>
        <v>1</v>
      </c>
      <c r="D118" s="22">
        <f t="shared" si="0"/>
        <v>1</v>
      </c>
      <c r="E118" s="22">
        <f t="shared" si="0"/>
        <v>1</v>
      </c>
      <c r="F118" s="22">
        <f t="shared" si="0"/>
        <v>0.9870305754846449</v>
      </c>
      <c r="G118" s="22">
        <f t="shared" si="0"/>
        <v>0.97196315993757809</v>
      </c>
      <c r="H118" s="22">
        <f t="shared" si="0"/>
        <v>0.95577440260610869</v>
      </c>
      <c r="I118" s="22">
        <f t="shared" si="0"/>
        <v>0.95013074428804678</v>
      </c>
      <c r="J118" s="22">
        <f t="shared" si="0"/>
        <v>0.94528925277479114</v>
      </c>
      <c r="K118" s="22">
        <f t="shared" si="0"/>
        <v>0.94044793236853008</v>
      </c>
      <c r="L118" s="22">
        <f t="shared" si="0"/>
        <v>0.93455441989281318</v>
      </c>
      <c r="M118" s="22">
        <f t="shared" si="0"/>
        <v>0.9294748344424093</v>
      </c>
      <c r="N118" s="22">
        <f t="shared" si="0"/>
        <v>0.92339530735159259</v>
      </c>
      <c r="O118" s="22">
        <f t="shared" si="0"/>
        <v>0.91593586191427245</v>
      </c>
      <c r="P118" s="22">
        <f t="shared" si="0"/>
        <v>0.91088677206295787</v>
      </c>
      <c r="Q118" s="22">
        <f t="shared" si="0"/>
        <v>0.90479828005217688</v>
      </c>
      <c r="R118" s="22">
        <f t="shared" si="0"/>
        <v>0.89806074103044686</v>
      </c>
      <c r="S118" s="22">
        <f t="shared" si="0"/>
        <v>0.89201998891483936</v>
      </c>
      <c r="T118" s="22">
        <f t="shared" si="0"/>
        <v>0.88688039767587123</v>
      </c>
      <c r="U118" s="22">
        <f t="shared" si="0"/>
        <v>0.8805465787765393</v>
      </c>
      <c r="V118" s="22">
        <f t="shared" si="0"/>
        <v>0.87495527890286851</v>
      </c>
      <c r="W118" s="22">
        <f t="shared" si="0"/>
        <v>0.86961524026459214</v>
      </c>
      <c r="X118" s="22">
        <f t="shared" si="0"/>
        <v>0.86446017629301963</v>
      </c>
      <c r="Y118" s="22">
        <f t="shared" si="0"/>
        <v>0.85841879945254185</v>
      </c>
      <c r="Z118" s="22">
        <f t="shared" si="0"/>
        <v>0.85340016353923465</v>
      </c>
      <c r="AA118" s="22">
        <f t="shared" si="0"/>
        <v>0.84780005393533642</v>
      </c>
      <c r="AB118" s="22">
        <f t="shared" si="0"/>
        <v>0.84251217953750401</v>
      </c>
      <c r="AC118" s="22">
        <f t="shared" si="0"/>
        <v>0.83695732338820972</v>
      </c>
      <c r="AD118" s="22">
        <f t="shared" si="0"/>
        <v>0.83140246723891542</v>
      </c>
      <c r="AE118" s="22">
        <f t="shared" si="0"/>
        <v>0.82584761108962101</v>
      </c>
      <c r="AF118" s="22">
        <f t="shared" si="0"/>
        <v>0.82029275494032672</v>
      </c>
      <c r="AG118" s="22">
        <f t="shared" si="0"/>
        <v>0.81473789879103242</v>
      </c>
      <c r="AH118" s="22">
        <f t="shared" si="0"/>
        <v>0.80918304264173802</v>
      </c>
      <c r="AI118" s="22">
        <f t="shared" si="0"/>
        <v>0.80362818649244372</v>
      </c>
      <c r="AJ118" s="22">
        <f t="shared" si="0"/>
        <v>0.79807333034314942</v>
      </c>
      <c r="AK118" s="22">
        <f t="shared" si="0"/>
        <v>0.79251847419385513</v>
      </c>
      <c r="AL118" s="22">
        <f t="shared" si="0"/>
        <v>0.78696361804456072</v>
      </c>
    </row>
    <row r="119" spans="1:39" x14ac:dyDescent="0.2">
      <c r="A119" s="22" t="s">
        <v>32</v>
      </c>
      <c r="B119" s="22">
        <f t="shared" ref="B119:Q126" si="1">AVERAGEIF($A$3:$A$114,$A119,C$3:C$114)/AVERAGEIF($A$3:$A$114,$A119,$C$3:$C$114)</f>
        <v>1</v>
      </c>
      <c r="C119" s="22">
        <f t="shared" si="1"/>
        <v>1</v>
      </c>
      <c r="D119" s="22">
        <f t="shared" si="1"/>
        <v>1</v>
      </c>
      <c r="E119" s="22">
        <f t="shared" si="1"/>
        <v>0.98784262086501395</v>
      </c>
      <c r="F119" s="22">
        <f t="shared" si="1"/>
        <v>0.98509647542332057</v>
      </c>
      <c r="G119" s="22">
        <f t="shared" si="1"/>
        <v>0.98158537067433405</v>
      </c>
      <c r="H119" s="22">
        <f t="shared" si="1"/>
        <v>0.9756026996855014</v>
      </c>
      <c r="I119" s="22">
        <f t="shared" si="1"/>
        <v>0.97273118486900834</v>
      </c>
      <c r="J119" s="22">
        <f t="shared" si="1"/>
        <v>0.96980698077283733</v>
      </c>
      <c r="K119" s="22">
        <f t="shared" si="1"/>
        <v>0.96693506213768765</v>
      </c>
      <c r="L119" s="22">
        <f t="shared" si="1"/>
        <v>0.96406446214731112</v>
      </c>
      <c r="M119" s="22">
        <f t="shared" si="1"/>
        <v>0.96106629083872919</v>
      </c>
      <c r="N119" s="22">
        <f t="shared" si="1"/>
        <v>0.95250222520282879</v>
      </c>
      <c r="O119" s="22">
        <f t="shared" si="1"/>
        <v>0.94590281955516775</v>
      </c>
      <c r="P119" s="22">
        <f t="shared" si="1"/>
        <v>0.93978388296870563</v>
      </c>
      <c r="Q119" s="22">
        <f t="shared" si="1"/>
        <v>0.93543208992746663</v>
      </c>
      <c r="R119" s="22">
        <f t="shared" si="0"/>
        <v>0.93080651479316845</v>
      </c>
      <c r="S119" s="22">
        <f t="shared" si="0"/>
        <v>0.92661106847301333</v>
      </c>
      <c r="T119" s="22">
        <f t="shared" si="0"/>
        <v>0.92327284240655727</v>
      </c>
      <c r="U119" s="22">
        <f t="shared" si="0"/>
        <v>0.92030570427829594</v>
      </c>
      <c r="V119" s="22">
        <f t="shared" si="0"/>
        <v>0.91729548130556826</v>
      </c>
      <c r="W119" s="22">
        <f t="shared" si="0"/>
        <v>0.91391816900549139</v>
      </c>
      <c r="X119" s="22">
        <f t="shared" si="0"/>
        <v>0.91051797707149129</v>
      </c>
      <c r="Y119" s="22">
        <f t="shared" si="0"/>
        <v>0.90758459492519605</v>
      </c>
      <c r="Z119" s="22">
        <f t="shared" si="0"/>
        <v>0.90400428867410954</v>
      </c>
      <c r="AA119" s="22">
        <f t="shared" si="0"/>
        <v>0.90106655472843411</v>
      </c>
      <c r="AB119" s="22">
        <f t="shared" si="0"/>
        <v>0.89770138280555922</v>
      </c>
      <c r="AC119" s="22">
        <f t="shared" si="0"/>
        <v>0.89439086960679826</v>
      </c>
      <c r="AD119" s="22">
        <f t="shared" si="0"/>
        <v>0.8910803564080374</v>
      </c>
      <c r="AE119" s="22">
        <f t="shared" si="0"/>
        <v>0.88776984320927643</v>
      </c>
      <c r="AF119" s="22">
        <f t="shared" si="0"/>
        <v>0.88445933001051547</v>
      </c>
      <c r="AG119" s="22">
        <f t="shared" si="0"/>
        <v>0.88114881681175461</v>
      </c>
      <c r="AH119" s="22">
        <f t="shared" si="0"/>
        <v>0.87783830361299364</v>
      </c>
      <c r="AI119" s="22">
        <f t="shared" si="0"/>
        <v>0.87452779041423268</v>
      </c>
      <c r="AJ119" s="22">
        <f t="shared" si="0"/>
        <v>0.87121727721547182</v>
      </c>
      <c r="AK119" s="22">
        <f t="shared" si="0"/>
        <v>0.86790676401671085</v>
      </c>
      <c r="AL119" s="22">
        <f t="shared" si="0"/>
        <v>0.86459625081794989</v>
      </c>
    </row>
    <row r="120" spans="1:39" x14ac:dyDescent="0.2">
      <c r="A120" s="22" t="s">
        <v>15</v>
      </c>
      <c r="B120" s="22">
        <f t="shared" si="1"/>
        <v>1</v>
      </c>
      <c r="C120" s="22">
        <f t="shared" si="0"/>
        <v>1</v>
      </c>
      <c r="D120" s="22">
        <f t="shared" si="0"/>
        <v>1</v>
      </c>
      <c r="E120" s="22">
        <f t="shared" si="0"/>
        <v>1</v>
      </c>
      <c r="F120" s="22">
        <f t="shared" si="0"/>
        <v>1</v>
      </c>
      <c r="G120" s="22">
        <f t="shared" si="0"/>
        <v>1</v>
      </c>
      <c r="H120" s="22">
        <f t="shared" si="0"/>
        <v>1</v>
      </c>
      <c r="I120" s="22">
        <f t="shared" si="0"/>
        <v>1</v>
      </c>
      <c r="J120" s="22">
        <f t="shared" si="0"/>
        <v>1</v>
      </c>
      <c r="K120" s="22">
        <f t="shared" si="0"/>
        <v>0.99468957755048804</v>
      </c>
      <c r="L120" s="22">
        <f t="shared" si="0"/>
        <v>0.98938026147577518</v>
      </c>
      <c r="M120" s="22">
        <f t="shared" si="0"/>
        <v>0.98406997949123287</v>
      </c>
      <c r="N120" s="22">
        <f t="shared" si="0"/>
        <v>0.97876056065897477</v>
      </c>
      <c r="O120" s="22">
        <f t="shared" si="0"/>
        <v>0.97345066248454493</v>
      </c>
      <c r="P120" s="22">
        <f t="shared" si="0"/>
        <v>0.96814055406945143</v>
      </c>
      <c r="Q120" s="22">
        <f t="shared" si="0"/>
        <v>0.96283129166465842</v>
      </c>
      <c r="R120" s="22">
        <f t="shared" si="0"/>
        <v>0.95752119430784588</v>
      </c>
      <c r="S120" s="22">
        <f t="shared" si="0"/>
        <v>0.9522106592699473</v>
      </c>
      <c r="T120" s="22">
        <f t="shared" si="0"/>
        <v>0.94690124947091114</v>
      </c>
      <c r="U120" s="22">
        <f t="shared" si="0"/>
        <v>0.94159159523473146</v>
      </c>
      <c r="V120" s="22">
        <f t="shared" si="0"/>
        <v>0.93628173696857431</v>
      </c>
      <c r="W120" s="22">
        <f t="shared" si="0"/>
        <v>0.93097175709477531</v>
      </c>
      <c r="X120" s="22">
        <f t="shared" si="0"/>
        <v>0.92566160859743896</v>
      </c>
      <c r="Y120" s="22">
        <f t="shared" si="0"/>
        <v>0.92035197045804973</v>
      </c>
      <c r="Z120" s="22">
        <f t="shared" si="0"/>
        <v>0.91504195073922256</v>
      </c>
      <c r="AA120" s="22">
        <f t="shared" si="0"/>
        <v>0.90973250713935505</v>
      </c>
      <c r="AB120" s="22">
        <f t="shared" si="0"/>
        <v>0.9044219508282807</v>
      </c>
      <c r="AC120" s="22">
        <f t="shared" si="0"/>
        <v>0.89911202648032418</v>
      </c>
      <c r="AD120" s="22">
        <f t="shared" si="0"/>
        <v>0.89380210213236755</v>
      </c>
      <c r="AE120" s="22">
        <f t="shared" si="0"/>
        <v>0.88849217778441103</v>
      </c>
      <c r="AF120" s="22">
        <f t="shared" si="0"/>
        <v>0.88318225343645451</v>
      </c>
      <c r="AG120" s="22">
        <f t="shared" si="0"/>
        <v>0.87787232908849788</v>
      </c>
      <c r="AH120" s="22">
        <f t="shared" si="0"/>
        <v>0.87256240474054136</v>
      </c>
      <c r="AI120" s="22">
        <f t="shared" si="0"/>
        <v>0.86725248039258485</v>
      </c>
      <c r="AJ120" s="22">
        <f t="shared" si="0"/>
        <v>0.86194255604462822</v>
      </c>
      <c r="AK120" s="22">
        <f t="shared" si="0"/>
        <v>0.8566326316966717</v>
      </c>
      <c r="AL120" s="22">
        <f t="shared" si="0"/>
        <v>0.85132270734871507</v>
      </c>
    </row>
    <row r="121" spans="1:39" x14ac:dyDescent="0.2">
      <c r="A121" s="22" t="s">
        <v>16</v>
      </c>
      <c r="B121" s="22">
        <f t="shared" si="1"/>
        <v>1</v>
      </c>
      <c r="C121" s="22">
        <f t="shared" si="0"/>
        <v>0.99975836227772585</v>
      </c>
      <c r="D121" s="22">
        <f t="shared" si="0"/>
        <v>0.99466325112733922</v>
      </c>
      <c r="E121" s="22">
        <f t="shared" si="0"/>
        <v>0.98932835790046247</v>
      </c>
      <c r="F121" s="22">
        <f t="shared" si="0"/>
        <v>0.98399346467358528</v>
      </c>
      <c r="G121" s="22">
        <f t="shared" si="0"/>
        <v>0.97866103369149471</v>
      </c>
      <c r="H121" s="22">
        <f t="shared" si="0"/>
        <v>0.97332860270940413</v>
      </c>
      <c r="I121" s="22">
        <f t="shared" si="0"/>
        <v>0.96799862359482336</v>
      </c>
      <c r="J121" s="22">
        <f t="shared" si="0"/>
        <v>0.96266864448024259</v>
      </c>
      <c r="K121" s="22">
        <f t="shared" si="0"/>
        <v>0.95734110213895041</v>
      </c>
      <c r="L121" s="22">
        <f t="shared" si="0"/>
        <v>0.95201355979765845</v>
      </c>
      <c r="M121" s="22">
        <f t="shared" si="0"/>
        <v>0.94668844290898935</v>
      </c>
      <c r="N121" s="22">
        <f t="shared" si="0"/>
        <v>0.94136332602032036</v>
      </c>
      <c r="O121" s="22">
        <f t="shared" si="0"/>
        <v>0.93604062232021989</v>
      </c>
      <c r="P121" s="22">
        <f t="shared" si="0"/>
        <v>0.93071791862011943</v>
      </c>
      <c r="Q121" s="22">
        <f t="shared" si="0"/>
        <v>0.92539761584453317</v>
      </c>
      <c r="R121" s="22">
        <f t="shared" si="0"/>
        <v>0.92007731306894658</v>
      </c>
      <c r="S121" s="22">
        <f t="shared" si="0"/>
        <v>0.91475939895381986</v>
      </c>
      <c r="T121" s="22">
        <f t="shared" si="0"/>
        <v>0.90944148483869325</v>
      </c>
      <c r="U121" s="22">
        <f t="shared" si="0"/>
        <v>0.90412594617658282</v>
      </c>
      <c r="V121" s="22">
        <f t="shared" si="0"/>
        <v>0.89881040751447216</v>
      </c>
      <c r="W121" s="22">
        <f t="shared" si="0"/>
        <v>0.89349723298471229</v>
      </c>
      <c r="X121" s="22">
        <f t="shared" si="0"/>
        <v>0.89176597709927896</v>
      </c>
      <c r="Y121" s="22">
        <f t="shared" si="0"/>
        <v>0.89003707308214175</v>
      </c>
      <c r="Z121" s="22">
        <f t="shared" si="0"/>
        <v>0.88830816906500465</v>
      </c>
      <c r="AA121" s="22">
        <f t="shared" si="0"/>
        <v>0.88658160559549781</v>
      </c>
      <c r="AB121" s="22">
        <f t="shared" si="0"/>
        <v>0.88485504212599109</v>
      </c>
      <c r="AC121" s="22">
        <f t="shared" si="0"/>
        <v>0.88313080599667149</v>
      </c>
      <c r="AD121" s="22">
        <f t="shared" si="0"/>
        <v>0.88140656986735166</v>
      </c>
      <c r="AE121" s="22">
        <f t="shared" si="0"/>
        <v>0.87968464975755345</v>
      </c>
      <c r="AF121" s="22">
        <f t="shared" si="0"/>
        <v>0.87796272964775512</v>
      </c>
      <c r="AG121" s="22">
        <f t="shared" si="0"/>
        <v>0.87624311423681278</v>
      </c>
      <c r="AH121" s="22">
        <f t="shared" si="0"/>
        <v>0.87452349882587044</v>
      </c>
      <c r="AI121" s="22">
        <f t="shared" si="0"/>
        <v>0.87280617490634038</v>
      </c>
      <c r="AJ121" s="22">
        <f t="shared" si="0"/>
        <v>0.87108885098681033</v>
      </c>
      <c r="AK121" s="22">
        <f t="shared" si="0"/>
        <v>0.86937380818141585</v>
      </c>
      <c r="AL121" s="22">
        <f t="shared" si="0"/>
        <v>0.86765876537602138</v>
      </c>
    </row>
    <row r="122" spans="1:39" s="22" customFormat="1" x14ac:dyDescent="0.2">
      <c r="A122" s="22" t="s">
        <v>18</v>
      </c>
      <c r="B122" s="22">
        <f t="shared" si="1"/>
        <v>1</v>
      </c>
      <c r="C122" s="22">
        <f t="shared" si="1"/>
        <v>0.96497236941597719</v>
      </c>
      <c r="D122" s="22">
        <f t="shared" si="1"/>
        <v>0.92994473883195394</v>
      </c>
      <c r="E122" s="22">
        <f t="shared" si="1"/>
        <v>0.89491710824793125</v>
      </c>
      <c r="F122" s="22">
        <f t="shared" si="1"/>
        <v>0.85988947766390789</v>
      </c>
      <c r="G122" s="22">
        <f t="shared" si="1"/>
        <v>0.82486184707988508</v>
      </c>
      <c r="H122" s="22">
        <f t="shared" si="1"/>
        <v>0.78983421649586227</v>
      </c>
      <c r="I122" s="22">
        <f t="shared" si="1"/>
        <v>0.76580053976024598</v>
      </c>
      <c r="J122" s="22">
        <f t="shared" si="1"/>
        <v>0.74176686302462991</v>
      </c>
      <c r="K122" s="22">
        <f t="shared" si="1"/>
        <v>0.71773318628901372</v>
      </c>
      <c r="L122" s="22">
        <f t="shared" si="1"/>
        <v>0.69369950955339765</v>
      </c>
      <c r="M122" s="22">
        <f t="shared" si="1"/>
        <v>0.66966583281778169</v>
      </c>
      <c r="N122" s="22">
        <f t="shared" si="1"/>
        <v>0.65897513101564398</v>
      </c>
      <c r="O122" s="22">
        <f t="shared" si="1"/>
        <v>0.64850185957511186</v>
      </c>
      <c r="P122" s="22">
        <f t="shared" si="1"/>
        <v>0.63821492360193133</v>
      </c>
      <c r="Q122" s="22">
        <f t="shared" si="1"/>
        <v>0.62808943694272124</v>
      </c>
      <c r="R122" s="22">
        <f t="shared" ref="R122:AL122" si="2">AVERAGEIF($A$3:$A$114,$A122,S$3:S$114)/AVERAGEIF($A$3:$A$114,$A122,$C$3:$C$114)</f>
        <v>0.61810517238374219</v>
      </c>
      <c r="S122" s="22">
        <f t="shared" si="2"/>
        <v>0.61625669224777646</v>
      </c>
      <c r="T122" s="22">
        <f t="shared" si="2"/>
        <v>0.61451888038342806</v>
      </c>
      <c r="U122" s="22">
        <f t="shared" si="2"/>
        <v>0.61288003565428051</v>
      </c>
      <c r="V122" s="22">
        <f t="shared" si="2"/>
        <v>0.61133020883791445</v>
      </c>
      <c r="W122" s="22">
        <f t="shared" si="2"/>
        <v>0.60986086923803184</v>
      </c>
      <c r="X122" s="22">
        <f t="shared" si="2"/>
        <v>0.60846464704969916</v>
      </c>
      <c r="Y122" s="22">
        <f t="shared" si="2"/>
        <v>0.60713513172190292</v>
      </c>
      <c r="Z122" s="22">
        <f t="shared" si="2"/>
        <v>0.60586671231967049</v>
      </c>
      <c r="AA122" s="22">
        <f t="shared" si="2"/>
        <v>0.60465444980437721</v>
      </c>
      <c r="AB122" s="22">
        <f t="shared" si="2"/>
        <v>0.60349397386576353</v>
      </c>
      <c r="AC122" s="22">
        <f t="shared" si="2"/>
        <v>0.60238139884803166</v>
      </c>
      <c r="AD122" s="22">
        <f t="shared" si="2"/>
        <v>0.60131325467780461</v>
      </c>
      <c r="AE122" s="22">
        <f t="shared" si="2"/>
        <v>0.60028642968973167</v>
      </c>
      <c r="AF122" s="22">
        <f t="shared" si="2"/>
        <v>0.59929812296980634</v>
      </c>
      <c r="AG122" s="22">
        <f t="shared" si="2"/>
        <v>0.59834580437465956</v>
      </c>
      <c r="AH122" s="22">
        <f t="shared" si="2"/>
        <v>0.59742718078760748</v>
      </c>
      <c r="AI122" s="22">
        <f t="shared" si="2"/>
        <v>0.59654016747812078</v>
      </c>
      <c r="AJ122" s="22">
        <f t="shared" si="2"/>
        <v>0.59568286366438972</v>
      </c>
      <c r="AK122" s="22">
        <f t="shared" si="2"/>
        <v>0.59485353155917164</v>
      </c>
      <c r="AL122" s="22">
        <f t="shared" si="2"/>
        <v>0.59405057831873509</v>
      </c>
    </row>
    <row r="123" spans="1:39" x14ac:dyDescent="0.2">
      <c r="A123" s="22" t="s">
        <v>19</v>
      </c>
      <c r="B123" s="22">
        <f t="shared" si="1"/>
        <v>1</v>
      </c>
      <c r="C123" s="22">
        <f t="shared" si="0"/>
        <v>0.9994202980262763</v>
      </c>
      <c r="D123" s="22">
        <f t="shared" si="0"/>
        <v>0.99884059605255282</v>
      </c>
      <c r="E123" s="22">
        <f t="shared" si="0"/>
        <v>0.98675475194860518</v>
      </c>
      <c r="F123" s="22">
        <f t="shared" si="0"/>
        <v>0.98358464751328278</v>
      </c>
      <c r="G123" s="22">
        <f t="shared" si="0"/>
        <v>0.98562604733167414</v>
      </c>
      <c r="H123" s="22">
        <f t="shared" si="0"/>
        <v>0.98285993505783587</v>
      </c>
      <c r="I123" s="22">
        <f t="shared" si="0"/>
        <v>0.98009318249973776</v>
      </c>
      <c r="J123" s="22">
        <f t="shared" si="0"/>
        <v>0.97732654454537804</v>
      </c>
      <c r="K123" s="22">
        <f t="shared" si="0"/>
        <v>0.97455931968907639</v>
      </c>
      <c r="L123" s="22">
        <f t="shared" si="0"/>
        <v>0.97179327505957969</v>
      </c>
      <c r="M123" s="22">
        <f t="shared" si="0"/>
        <v>0.96902614007728072</v>
      </c>
      <c r="N123" s="22">
        <f t="shared" si="0"/>
        <v>0.96626006878283632</v>
      </c>
      <c r="O123" s="22">
        <f t="shared" si="0"/>
        <v>0.96349328195002915</v>
      </c>
      <c r="P123" s="22">
        <f t="shared" si="0"/>
        <v>0.96072642557421206</v>
      </c>
      <c r="Q123" s="22">
        <f t="shared" si="0"/>
        <v>0.95796042653159685</v>
      </c>
      <c r="R123" s="22">
        <f t="shared" si="0"/>
        <v>0.95519359247351554</v>
      </c>
      <c r="S123" s="22">
        <f t="shared" si="0"/>
        <v>0.95242626846514111</v>
      </c>
      <c r="T123" s="22">
        <f t="shared" si="0"/>
        <v>0.94966005467358527</v>
      </c>
      <c r="U123" s="22">
        <f t="shared" si="0"/>
        <v>0.94689375508730433</v>
      </c>
      <c r="V123" s="22">
        <f t="shared" si="0"/>
        <v>0.94412703541043885</v>
      </c>
      <c r="W123" s="22">
        <f t="shared" si="0"/>
        <v>0.941360278508663</v>
      </c>
      <c r="X123" s="22">
        <f t="shared" si="0"/>
        <v>0.93859330731358748</v>
      </c>
      <c r="Y123" s="22">
        <f t="shared" si="0"/>
        <v>0.93582694613766992</v>
      </c>
      <c r="Z123" s="22">
        <f t="shared" si="0"/>
        <v>0.93306015247559482</v>
      </c>
      <c r="AA123" s="22">
        <f t="shared" si="0"/>
        <v>0.93029387070539327</v>
      </c>
      <c r="AB123" s="22">
        <f t="shared" si="0"/>
        <v>0.92752662311018252</v>
      </c>
      <c r="AC123" s="22">
        <f t="shared" si="0"/>
        <v>0.92475992617384939</v>
      </c>
      <c r="AD123" s="22">
        <f t="shared" si="0"/>
        <v>0.92199322923751603</v>
      </c>
      <c r="AE123" s="22">
        <f t="shared" si="0"/>
        <v>0.91922653230118279</v>
      </c>
      <c r="AF123" s="22">
        <f t="shared" si="0"/>
        <v>0.91645983536484943</v>
      </c>
      <c r="AG123" s="22">
        <f t="shared" si="0"/>
        <v>0.91369313842851629</v>
      </c>
      <c r="AH123" s="22">
        <f t="shared" si="0"/>
        <v>0.91092644149218283</v>
      </c>
      <c r="AI123" s="22">
        <f t="shared" si="0"/>
        <v>0.90815974455584969</v>
      </c>
      <c r="AJ123" s="22">
        <f t="shared" si="0"/>
        <v>0.90539304761951622</v>
      </c>
      <c r="AK123" s="22">
        <f t="shared" si="0"/>
        <v>0.90262635068318298</v>
      </c>
      <c r="AL123" s="22">
        <f t="shared" si="0"/>
        <v>0.89985965374684962</v>
      </c>
    </row>
    <row r="124" spans="1:39" x14ac:dyDescent="0.2">
      <c r="A124" s="22" t="s">
        <v>33</v>
      </c>
      <c r="B124" s="22">
        <f t="shared" si="1"/>
        <v>1</v>
      </c>
      <c r="C124" s="22">
        <f t="shared" si="0"/>
        <v>1</v>
      </c>
      <c r="D124" s="22">
        <f t="shared" si="0"/>
        <v>0.99833333333333341</v>
      </c>
      <c r="E124" s="22">
        <f t="shared" si="0"/>
        <v>0.99666666666666659</v>
      </c>
      <c r="F124" s="22">
        <f t="shared" si="0"/>
        <v>0.99500000000000022</v>
      </c>
      <c r="G124" s="22">
        <f t="shared" si="0"/>
        <v>0.99333333333333351</v>
      </c>
      <c r="H124" s="22">
        <f t="shared" si="0"/>
        <v>0.9916666666666667</v>
      </c>
      <c r="I124" s="22">
        <f t="shared" si="0"/>
        <v>0.98999999999999988</v>
      </c>
      <c r="J124" s="22">
        <f t="shared" si="0"/>
        <v>0.98833333333333329</v>
      </c>
      <c r="K124" s="22">
        <f t="shared" si="0"/>
        <v>0.98666666666666669</v>
      </c>
      <c r="L124" s="22">
        <f t="shared" si="0"/>
        <v>0.98500000000000021</v>
      </c>
      <c r="M124" s="22">
        <f t="shared" si="0"/>
        <v>0.98333333333333339</v>
      </c>
      <c r="N124" s="22">
        <f t="shared" si="0"/>
        <v>0.98166666666666658</v>
      </c>
      <c r="O124" s="22">
        <f t="shared" si="0"/>
        <v>0.98</v>
      </c>
      <c r="P124" s="22">
        <f t="shared" si="0"/>
        <v>0.97833333333333317</v>
      </c>
      <c r="Q124" s="22">
        <f t="shared" si="0"/>
        <v>0.9766666666666669</v>
      </c>
      <c r="R124" s="22">
        <f t="shared" si="0"/>
        <v>0.97500000000000009</v>
      </c>
      <c r="S124" s="22">
        <f t="shared" si="0"/>
        <v>0.97333333333333327</v>
      </c>
      <c r="T124" s="22">
        <f t="shared" si="0"/>
        <v>0.97166666666666668</v>
      </c>
      <c r="U124" s="22">
        <f t="shared" si="0"/>
        <v>0.9700000000000002</v>
      </c>
      <c r="V124" s="22">
        <f t="shared" si="0"/>
        <v>0.96833333333333349</v>
      </c>
      <c r="W124" s="22">
        <f t="shared" si="0"/>
        <v>0.96666666666666679</v>
      </c>
      <c r="X124" s="22">
        <f t="shared" si="0"/>
        <v>0.96499999999999997</v>
      </c>
      <c r="Y124" s="22">
        <f t="shared" si="0"/>
        <v>0.96333333333333326</v>
      </c>
      <c r="Z124" s="22">
        <f t="shared" si="0"/>
        <v>0.96166666666666645</v>
      </c>
      <c r="AA124" s="22">
        <f t="shared" si="0"/>
        <v>0.96</v>
      </c>
      <c r="AB124" s="22">
        <f t="shared" si="0"/>
        <v>0.95833333333333348</v>
      </c>
      <c r="AC124" s="22">
        <f t="shared" si="0"/>
        <v>0.95666666666666667</v>
      </c>
      <c r="AD124" s="22">
        <f t="shared" si="0"/>
        <v>0.95499999999999985</v>
      </c>
      <c r="AE124" s="22">
        <f t="shared" si="0"/>
        <v>0.95333333333333348</v>
      </c>
      <c r="AF124" s="22">
        <f t="shared" si="0"/>
        <v>0.95166666666666677</v>
      </c>
      <c r="AG124" s="22">
        <f t="shared" si="0"/>
        <v>0.95000000000000007</v>
      </c>
      <c r="AH124" s="22">
        <f t="shared" si="0"/>
        <v>0.94833333333333336</v>
      </c>
      <c r="AI124" s="22">
        <f t="shared" si="0"/>
        <v>0.94666666666666655</v>
      </c>
      <c r="AJ124" s="22">
        <f t="shared" si="0"/>
        <v>0.94499999999999995</v>
      </c>
      <c r="AK124" s="22">
        <f t="shared" si="0"/>
        <v>0.94333333333333347</v>
      </c>
      <c r="AL124" s="22">
        <f t="shared" si="0"/>
        <v>0.94166666666666676</v>
      </c>
    </row>
    <row r="125" spans="1:39" x14ac:dyDescent="0.2">
      <c r="A125" s="22" t="s">
        <v>35</v>
      </c>
      <c r="B125" s="22">
        <f t="shared" si="1"/>
        <v>1</v>
      </c>
      <c r="C125" s="22">
        <f t="shared" si="0"/>
        <v>1</v>
      </c>
      <c r="D125" s="22">
        <f t="shared" si="0"/>
        <v>1</v>
      </c>
      <c r="E125" s="22">
        <f t="shared" si="0"/>
        <v>0.98784262086501429</v>
      </c>
      <c r="F125" s="22">
        <f t="shared" si="0"/>
        <v>0.98489353959225689</v>
      </c>
      <c r="G125" s="22">
        <f t="shared" si="0"/>
        <v>0.98117839808861018</v>
      </c>
      <c r="H125" s="22">
        <f t="shared" si="0"/>
        <v>0.97450304399704124</v>
      </c>
      <c r="I125" s="22">
        <f t="shared" si="0"/>
        <v>0.97155373684736068</v>
      </c>
      <c r="J125" s="22">
        <f t="shared" si="0"/>
        <v>0.96854137057101275</v>
      </c>
      <c r="K125" s="22">
        <f t="shared" si="0"/>
        <v>0.965591688343586</v>
      </c>
      <c r="L125" s="22">
        <f t="shared" si="0"/>
        <v>0.96264313773781296</v>
      </c>
      <c r="M125" s="22">
        <f t="shared" si="0"/>
        <v>0.95954239873099112</v>
      </c>
      <c r="N125" s="22">
        <f t="shared" si="0"/>
        <v>0.94977571667545302</v>
      </c>
      <c r="O125" s="22">
        <f t="shared" si="0"/>
        <v>0.94236193980926752</v>
      </c>
      <c r="P125" s="22">
        <f t="shared" si="0"/>
        <v>0.93552368428253307</v>
      </c>
      <c r="Q125" s="22">
        <f t="shared" si="0"/>
        <v>0.93080143317111752</v>
      </c>
      <c r="R125" s="22">
        <f t="shared" si="0"/>
        <v>0.92575159638002535</v>
      </c>
      <c r="S125" s="22">
        <f t="shared" si="0"/>
        <v>0.92121680710068066</v>
      </c>
      <c r="T125" s="22">
        <f t="shared" si="0"/>
        <v>0.91770861536360671</v>
      </c>
      <c r="U125" s="22">
        <f t="shared" si="0"/>
        <v>0.91464462761923138</v>
      </c>
      <c r="V125" s="22">
        <f t="shared" si="0"/>
        <v>0.9115291790665917</v>
      </c>
      <c r="W125" s="22">
        <f t="shared" si="0"/>
        <v>0.90797411815458273</v>
      </c>
      <c r="X125" s="22">
        <f t="shared" si="0"/>
        <v>0.90439167427766165</v>
      </c>
      <c r="Y125" s="22">
        <f t="shared" si="0"/>
        <v>0.90136818845070221</v>
      </c>
      <c r="Z125" s="22">
        <f t="shared" si="0"/>
        <v>0.89757017115882343</v>
      </c>
      <c r="AA125" s="22">
        <f t="shared" si="0"/>
        <v>0.89454135403134671</v>
      </c>
      <c r="AB125" s="22">
        <f t="shared" si="0"/>
        <v>0.89100100271177984</v>
      </c>
      <c r="AC125" s="22">
        <f t="shared" si="0"/>
        <v>0.88752594334495527</v>
      </c>
      <c r="AD125" s="22">
        <f t="shared" si="0"/>
        <v>0.8840508839781307</v>
      </c>
      <c r="AE125" s="22">
        <f t="shared" si="0"/>
        <v>0.88057582461130612</v>
      </c>
      <c r="AF125" s="22">
        <f t="shared" si="0"/>
        <v>0.87710076524448155</v>
      </c>
      <c r="AG125" s="22">
        <f t="shared" si="0"/>
        <v>0.87362570587765698</v>
      </c>
      <c r="AH125" s="22">
        <f t="shared" si="0"/>
        <v>0.8701506465108324</v>
      </c>
      <c r="AI125" s="22">
        <f t="shared" si="0"/>
        <v>0.86667558714400783</v>
      </c>
      <c r="AJ125" s="22">
        <f t="shared" si="0"/>
        <v>0.86320052777718326</v>
      </c>
      <c r="AK125" s="22">
        <f t="shared" si="0"/>
        <v>0.85972546841035868</v>
      </c>
      <c r="AL125" s="22">
        <f t="shared" si="0"/>
        <v>0.85625040904353411</v>
      </c>
    </row>
    <row r="126" spans="1:39" x14ac:dyDescent="0.2">
      <c r="A126" s="22" t="s">
        <v>138</v>
      </c>
      <c r="B126" s="22">
        <f t="shared" si="1"/>
        <v>1</v>
      </c>
      <c r="C126" s="22">
        <f t="shared" si="0"/>
        <v>0.97333975499872172</v>
      </c>
      <c r="D126" s="22">
        <f t="shared" si="0"/>
        <v>0.94664632744672939</v>
      </c>
      <c r="E126" s="22">
        <f t="shared" si="0"/>
        <v>0.92889450783243677</v>
      </c>
      <c r="F126" s="22">
        <f t="shared" si="0"/>
        <v>0.91114268821814404</v>
      </c>
      <c r="G126" s="22">
        <f t="shared" si="0"/>
        <v>0.89339086860385097</v>
      </c>
      <c r="H126" s="22">
        <f t="shared" si="0"/>
        <v>0.87563904898955813</v>
      </c>
      <c r="I126" s="22">
        <f t="shared" si="0"/>
        <v>0.85381551678584688</v>
      </c>
      <c r="J126" s="22">
        <f t="shared" si="0"/>
        <v>0.83199198458213519</v>
      </c>
      <c r="K126" s="22">
        <f t="shared" si="0"/>
        <v>0.81016845237842372</v>
      </c>
      <c r="L126" s="22">
        <f t="shared" si="0"/>
        <v>0.8054919811919139</v>
      </c>
      <c r="M126" s="22">
        <f t="shared" si="0"/>
        <v>0.8008155100054043</v>
      </c>
      <c r="N126" s="22">
        <f t="shared" si="0"/>
        <v>0.7961390388188947</v>
      </c>
      <c r="O126" s="22">
        <f t="shared" si="0"/>
        <v>0.79146256763238487</v>
      </c>
      <c r="P126" s="22">
        <f t="shared" si="0"/>
        <v>0.78678609644587549</v>
      </c>
      <c r="Q126" s="22">
        <f t="shared" si="0"/>
        <v>0.78210962525936578</v>
      </c>
      <c r="R126" s="22">
        <f t="shared" si="0"/>
        <v>0.77743315407285607</v>
      </c>
      <c r="S126" s="22">
        <f t="shared" si="0"/>
        <v>0.77514168319146626</v>
      </c>
      <c r="T126" s="22">
        <f t="shared" si="0"/>
        <v>0.77285021231007678</v>
      </c>
      <c r="U126" s="22">
        <f t="shared" ref="U126:AL126" si="3">AVERAGEIF($A$3:$A$114,$A126,V$3:V$114)/AVERAGEIF($A$3:$A$114,$A126,$C$3:$C$114)</f>
        <v>0.77055874142868708</v>
      </c>
      <c r="V126" s="22">
        <f t="shared" si="3"/>
        <v>0.76826727054729749</v>
      </c>
      <c r="W126" s="22">
        <f t="shared" si="3"/>
        <v>0.76597579966590745</v>
      </c>
      <c r="X126" s="22">
        <f t="shared" si="3"/>
        <v>0.76368432878451797</v>
      </c>
      <c r="Y126" s="22">
        <f t="shared" si="3"/>
        <v>0.76139285790312827</v>
      </c>
      <c r="Z126" s="22">
        <f t="shared" si="3"/>
        <v>0.75910138702173857</v>
      </c>
      <c r="AA126" s="22">
        <f t="shared" si="3"/>
        <v>0.75680991614034876</v>
      </c>
      <c r="AB126" s="22">
        <f t="shared" si="3"/>
        <v>0.75451844525895895</v>
      </c>
      <c r="AC126" s="22">
        <f t="shared" si="3"/>
        <v>0.7523011966698071</v>
      </c>
      <c r="AD126" s="22">
        <f t="shared" si="3"/>
        <v>0.75008394808065515</v>
      </c>
      <c r="AE126" s="22">
        <f t="shared" si="3"/>
        <v>0.7478666994915032</v>
      </c>
      <c r="AF126" s="22">
        <f t="shared" si="3"/>
        <v>0.74564945090235135</v>
      </c>
      <c r="AG126" s="22">
        <f t="shared" si="3"/>
        <v>0.74343220231319929</v>
      </c>
      <c r="AH126" s="22">
        <f t="shared" si="3"/>
        <v>0.741214953724047</v>
      </c>
      <c r="AI126" s="22">
        <f t="shared" si="3"/>
        <v>0.73899770513489516</v>
      </c>
      <c r="AJ126" s="22">
        <f t="shared" si="3"/>
        <v>0.73678045654574331</v>
      </c>
      <c r="AK126" s="22">
        <f t="shared" si="3"/>
        <v>0.73456320795659136</v>
      </c>
      <c r="AL126" s="22">
        <f t="shared" si="3"/>
        <v>0.7323459593674394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808D-E03E-4084-B499-EDD4740A6954}">
  <sheetPr>
    <pageSetUpPr fitToPage="1"/>
  </sheetPr>
  <dimension ref="B2:H29"/>
  <sheetViews>
    <sheetView zoomScaleNormal="100" workbookViewId="0">
      <selection activeCell="B32" sqref="B32"/>
    </sheetView>
  </sheetViews>
  <sheetFormatPr baseColWidth="10" defaultColWidth="9.1640625" defaultRowHeight="14.25" customHeight="1" x14ac:dyDescent="0.2"/>
  <cols>
    <col min="1" max="1" width="18" style="50" bestFit="1" customWidth="1"/>
    <col min="2" max="2" width="27.5" style="50" customWidth="1"/>
    <col min="3" max="3" width="14.83203125" style="50" bestFit="1" customWidth="1"/>
    <col min="4" max="4" width="16.1640625" style="50" bestFit="1" customWidth="1"/>
    <col min="5" max="8" width="13.83203125" style="50" bestFit="1" customWidth="1"/>
    <col min="9" max="16384" width="9.1640625" style="50"/>
  </cols>
  <sheetData>
    <row r="2" spans="2:8" ht="14.25" customHeight="1" x14ac:dyDescent="0.2">
      <c r="B2" s="50" t="s">
        <v>361</v>
      </c>
    </row>
    <row r="4" spans="2:8" ht="14.25" customHeight="1" x14ac:dyDescent="0.2">
      <c r="B4" s="70" t="s">
        <v>328</v>
      </c>
      <c r="C4" s="69"/>
      <c r="D4" s="69"/>
      <c r="E4" s="69"/>
      <c r="F4" s="69"/>
      <c r="G4" s="69"/>
      <c r="H4" s="68"/>
    </row>
    <row r="5" spans="2:8" ht="14.25" customHeight="1" x14ac:dyDescent="0.2">
      <c r="B5" s="67"/>
      <c r="C5" s="66" t="s">
        <v>327</v>
      </c>
      <c r="D5" s="66" t="s">
        <v>326</v>
      </c>
      <c r="E5" s="66" t="s">
        <v>325</v>
      </c>
      <c r="F5" s="66" t="s">
        <v>324</v>
      </c>
      <c r="G5" s="66" t="s">
        <v>323</v>
      </c>
      <c r="H5" s="66" t="s">
        <v>322</v>
      </c>
    </row>
    <row r="6" spans="2:8" ht="14.25" customHeight="1" x14ac:dyDescent="0.2">
      <c r="B6" s="57" t="s">
        <v>321</v>
      </c>
      <c r="C6" s="56" t="s">
        <v>320</v>
      </c>
      <c r="D6" s="65">
        <v>455</v>
      </c>
      <c r="E6" s="65">
        <v>47.5</v>
      </c>
      <c r="F6" s="65" t="s">
        <v>319</v>
      </c>
      <c r="G6" s="65">
        <v>50</v>
      </c>
      <c r="H6" s="65">
        <v>15</v>
      </c>
    </row>
    <row r="7" spans="2:8" ht="14.25" customHeight="1" x14ac:dyDescent="0.2">
      <c r="B7" s="57" t="s">
        <v>318</v>
      </c>
      <c r="C7" s="56" t="s">
        <v>317</v>
      </c>
      <c r="D7" s="64" t="s">
        <v>316</v>
      </c>
      <c r="E7" s="64" t="s">
        <v>315</v>
      </c>
      <c r="F7" s="64" t="s">
        <v>314</v>
      </c>
      <c r="G7" s="64" t="s">
        <v>313</v>
      </c>
      <c r="H7" s="64" t="s">
        <v>312</v>
      </c>
    </row>
    <row r="8" spans="2:8" ht="14.25" customHeight="1" x14ac:dyDescent="0.2">
      <c r="B8" s="57" t="s">
        <v>311</v>
      </c>
      <c r="C8" s="56" t="s">
        <v>310</v>
      </c>
      <c r="D8" s="63">
        <v>6.7</v>
      </c>
      <c r="E8" s="63">
        <v>9.6</v>
      </c>
      <c r="F8" s="62" t="s">
        <v>309</v>
      </c>
      <c r="G8" s="60" t="s">
        <v>305</v>
      </c>
      <c r="H8" s="60" t="s">
        <v>305</v>
      </c>
    </row>
    <row r="9" spans="2:8" ht="14.25" customHeight="1" x14ac:dyDescent="0.2">
      <c r="B9" s="57" t="s">
        <v>308</v>
      </c>
      <c r="C9" s="56" t="s">
        <v>307</v>
      </c>
      <c r="D9" s="61">
        <v>0.375</v>
      </c>
      <c r="E9" s="61">
        <v>0.53759999999999997</v>
      </c>
      <c r="F9" s="61" t="s">
        <v>306</v>
      </c>
      <c r="G9" s="60" t="s">
        <v>305</v>
      </c>
      <c r="H9" s="60" t="s">
        <v>305</v>
      </c>
    </row>
    <row r="10" spans="2:8" ht="14.25" customHeight="1" x14ac:dyDescent="0.2">
      <c r="B10" s="59" t="s">
        <v>304</v>
      </c>
      <c r="C10" s="56" t="s">
        <v>303</v>
      </c>
      <c r="D10" s="58" t="s">
        <v>302</v>
      </c>
      <c r="E10" s="58" t="s">
        <v>301</v>
      </c>
      <c r="F10" s="58">
        <v>225</v>
      </c>
      <c r="G10" s="58">
        <v>2000</v>
      </c>
      <c r="H10" s="58" t="s">
        <v>300</v>
      </c>
    </row>
    <row r="11" spans="2:8" ht="14.25" customHeight="1" x14ac:dyDescent="0.2">
      <c r="B11" s="57" t="s">
        <v>299</v>
      </c>
      <c r="C11" s="56" t="s">
        <v>298</v>
      </c>
      <c r="D11" s="58">
        <v>27</v>
      </c>
      <c r="E11" s="58">
        <v>18</v>
      </c>
      <c r="F11" s="58">
        <v>22</v>
      </c>
      <c r="G11" s="58">
        <v>62</v>
      </c>
      <c r="H11" s="58">
        <v>46</v>
      </c>
    </row>
    <row r="12" spans="2:8" ht="14.25" customHeight="1" x14ac:dyDescent="0.2">
      <c r="B12" s="57" t="s">
        <v>297</v>
      </c>
      <c r="C12" s="56" t="s">
        <v>296</v>
      </c>
      <c r="D12" s="58">
        <v>8</v>
      </c>
      <c r="E12" s="58">
        <v>4</v>
      </c>
      <c r="F12" s="58">
        <v>4</v>
      </c>
      <c r="G12" s="58">
        <v>0</v>
      </c>
      <c r="H12" s="58">
        <v>0</v>
      </c>
    </row>
    <row r="13" spans="2:8" ht="14.25" customHeight="1" x14ac:dyDescent="0.2">
      <c r="B13" s="57" t="s">
        <v>295</v>
      </c>
      <c r="C13" s="56" t="s">
        <v>294</v>
      </c>
      <c r="D13" s="85" t="s">
        <v>293</v>
      </c>
      <c r="E13" s="86"/>
      <c r="F13" s="87"/>
      <c r="G13" s="55"/>
      <c r="H13" s="54"/>
    </row>
    <row r="15" spans="2:8" ht="15" x14ac:dyDescent="0.2">
      <c r="B15" s="53" t="s">
        <v>292</v>
      </c>
    </row>
    <row r="16" spans="2:8" ht="15" x14ac:dyDescent="0.2">
      <c r="B16" s="53" t="s">
        <v>291</v>
      </c>
    </row>
    <row r="17" spans="2:5" ht="17" x14ac:dyDescent="0.25">
      <c r="B17" s="53" t="s">
        <v>290</v>
      </c>
    </row>
    <row r="18" spans="2:5" ht="15" x14ac:dyDescent="0.2">
      <c r="B18" s="53" t="s">
        <v>289</v>
      </c>
    </row>
    <row r="20" spans="2:5" ht="14.25" customHeight="1" x14ac:dyDescent="0.2">
      <c r="B20" s="50" t="s">
        <v>329</v>
      </c>
    </row>
    <row r="21" spans="2:5" ht="14.25" customHeight="1" x14ac:dyDescent="0.2">
      <c r="B21" s="72">
        <v>0.97</v>
      </c>
    </row>
    <row r="22" spans="2:5" ht="14.25" customHeight="1" x14ac:dyDescent="0.2">
      <c r="B22" s="71" t="s">
        <v>330</v>
      </c>
    </row>
    <row r="23" spans="2:5" ht="14.25" customHeight="1" x14ac:dyDescent="0.2">
      <c r="B23" s="50" t="s">
        <v>331</v>
      </c>
    </row>
    <row r="25" spans="2:5" ht="14.25" customHeight="1" x14ac:dyDescent="0.2">
      <c r="D25" s="52"/>
      <c r="E25" s="52"/>
    </row>
    <row r="28" spans="2:5" ht="14.25" customHeight="1" x14ac:dyDescent="0.2">
      <c r="B28" s="51"/>
    </row>
    <row r="29" spans="2:5" ht="14.25" customHeight="1" x14ac:dyDescent="0.2">
      <c r="B29" s="51"/>
    </row>
  </sheetData>
  <mergeCells count="1">
    <mergeCell ref="D13:F13"/>
  </mergeCells>
  <pageMargins left="0.25" right="0.25" top="0.75" bottom="0.75" header="0.3" footer="0.3"/>
  <pageSetup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28ED-571B-414B-9FF1-BF51035C510F}">
  <dimension ref="A1:G25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5.1640625" style="22" customWidth="1"/>
    <col min="2" max="2" width="31.83203125" style="22" customWidth="1"/>
    <col min="3" max="3" width="24.83203125" style="22" customWidth="1"/>
    <col min="4" max="4" width="18.5" style="22" customWidth="1"/>
    <col min="5" max="16384" width="8.83203125" style="22"/>
  </cols>
  <sheetData>
    <row r="1" spans="1:7" x14ac:dyDescent="0.2">
      <c r="A1" s="1" t="s">
        <v>330</v>
      </c>
      <c r="B1" s="22" t="s">
        <v>332</v>
      </c>
    </row>
    <row r="2" spans="1:7" x14ac:dyDescent="0.2">
      <c r="A2" s="22" t="s">
        <v>333</v>
      </c>
      <c r="B2" s="22" t="s">
        <v>334</v>
      </c>
      <c r="C2" s="22" t="s">
        <v>335</v>
      </c>
      <c r="D2" s="22" t="s">
        <v>336</v>
      </c>
      <c r="E2" s="22" t="s">
        <v>337</v>
      </c>
      <c r="F2" s="22" t="s">
        <v>338</v>
      </c>
      <c r="G2" s="22" t="s">
        <v>339</v>
      </c>
    </row>
    <row r="3" spans="1:7" x14ac:dyDescent="0.2">
      <c r="A3" s="22" t="s">
        <v>340</v>
      </c>
      <c r="B3" s="22">
        <v>900</v>
      </c>
      <c r="C3" s="22">
        <v>1500</v>
      </c>
      <c r="D3" s="22">
        <v>1000</v>
      </c>
      <c r="E3" s="22">
        <v>40</v>
      </c>
      <c r="F3" s="22">
        <v>950</v>
      </c>
      <c r="G3" s="22">
        <v>900</v>
      </c>
    </row>
    <row r="4" spans="1:7" x14ac:dyDescent="0.2">
      <c r="A4" s="22" t="s">
        <v>341</v>
      </c>
      <c r="B4" s="22">
        <v>1100</v>
      </c>
      <c r="C4" s="22">
        <v>1800</v>
      </c>
      <c r="D4" s="22">
        <v>1300</v>
      </c>
      <c r="E4" s="22">
        <v>50</v>
      </c>
      <c r="F4" s="22">
        <v>1200</v>
      </c>
      <c r="G4" s="22">
        <v>1100</v>
      </c>
    </row>
    <row r="5" spans="1:7" x14ac:dyDescent="0.2">
      <c r="A5" s="22" t="s">
        <v>342</v>
      </c>
      <c r="B5" s="22">
        <v>850</v>
      </c>
      <c r="C5" s="22">
        <v>1950</v>
      </c>
      <c r="D5" s="22">
        <v>1150</v>
      </c>
      <c r="E5" s="22">
        <v>250</v>
      </c>
      <c r="F5" s="22">
        <v>1050</v>
      </c>
      <c r="G5" s="22">
        <v>1000</v>
      </c>
    </row>
    <row r="7" spans="1:7" x14ac:dyDescent="0.2">
      <c r="A7" s="22" t="s">
        <v>343</v>
      </c>
      <c r="B7" s="22">
        <v>1.0249999999999999</v>
      </c>
      <c r="C7" s="22" t="s">
        <v>344</v>
      </c>
    </row>
    <row r="8" spans="1:7" x14ac:dyDescent="0.2">
      <c r="A8" s="22" t="s">
        <v>345</v>
      </c>
      <c r="B8" s="22">
        <v>1.0896999999999999</v>
      </c>
      <c r="C8" s="22" t="s">
        <v>346</v>
      </c>
    </row>
    <row r="10" spans="1:7" x14ac:dyDescent="0.2">
      <c r="A10" s="1" t="s">
        <v>347</v>
      </c>
    </row>
    <row r="11" spans="1:7" x14ac:dyDescent="0.2">
      <c r="A11" s="22" t="s">
        <v>333</v>
      </c>
      <c r="B11" s="22" t="s">
        <v>334</v>
      </c>
      <c r="C11" s="22" t="s">
        <v>335</v>
      </c>
      <c r="D11" s="22" t="s">
        <v>336</v>
      </c>
      <c r="E11" s="22" t="s">
        <v>337</v>
      </c>
      <c r="F11" s="22" t="s">
        <v>338</v>
      </c>
      <c r="G11" s="22" t="s">
        <v>339</v>
      </c>
    </row>
    <row r="12" spans="1:7" x14ac:dyDescent="0.2">
      <c r="A12" s="22" t="s">
        <v>340</v>
      </c>
      <c r="B12" s="22">
        <f>900*$B$7*$B$8</f>
        <v>1005.2482499999998</v>
      </c>
      <c r="C12" s="22">
        <f>1500*B7*B8</f>
        <v>1675.4137499999995</v>
      </c>
      <c r="D12" s="22">
        <f>1000*B7*B8</f>
        <v>1116.9424999999999</v>
      </c>
      <c r="E12" s="22">
        <f>40*B7*B8</f>
        <v>44.677699999999994</v>
      </c>
      <c r="F12" s="22">
        <f>950*B7*B8</f>
        <v>1061.0953749999999</v>
      </c>
      <c r="G12" s="22">
        <f>900*B7*B8</f>
        <v>1005.2482499999998</v>
      </c>
    </row>
    <row r="13" spans="1:7" x14ac:dyDescent="0.2">
      <c r="A13" s="22" t="s">
        <v>341</v>
      </c>
      <c r="B13" s="22">
        <f>1100*B7*B8</f>
        <v>1228.6367499999999</v>
      </c>
      <c r="C13" s="22">
        <f>1800*B7*B8</f>
        <v>2010.4964999999995</v>
      </c>
      <c r="D13" s="22">
        <f>1300*B7*B8</f>
        <v>1452.0252499999997</v>
      </c>
      <c r="E13" s="22">
        <f>50*B7*B8</f>
        <v>55.847124999999984</v>
      </c>
      <c r="F13" s="22">
        <f>1200*B7*B8</f>
        <v>1340.3309999999999</v>
      </c>
      <c r="G13" s="22">
        <f>1100*B7*B8</f>
        <v>1228.6367499999999</v>
      </c>
    </row>
    <row r="14" spans="1:7" x14ac:dyDescent="0.2">
      <c r="A14" s="22" t="s">
        <v>342</v>
      </c>
      <c r="B14" s="22">
        <f>850*B7*B8</f>
        <v>949.40112499999975</v>
      </c>
      <c r="C14" s="22">
        <f>1950*B7*B8</f>
        <v>2178.0378749999995</v>
      </c>
      <c r="D14" s="22">
        <f>1150*B7*B8</f>
        <v>1284.4838749999999</v>
      </c>
      <c r="E14" s="22">
        <f>250*B7*B8</f>
        <v>279.23562499999997</v>
      </c>
      <c r="F14" s="22">
        <f>1050*B7*B8</f>
        <v>1172.7896249999999</v>
      </c>
      <c r="G14" s="22">
        <f>1000*B7*B8</f>
        <v>1116.9424999999999</v>
      </c>
    </row>
    <row r="15" spans="1:7" x14ac:dyDescent="0.2">
      <c r="A15" s="1" t="s">
        <v>352</v>
      </c>
    </row>
    <row r="16" spans="1:7" x14ac:dyDescent="0.2">
      <c r="A16" s="22" t="s">
        <v>351</v>
      </c>
      <c r="B16" s="22">
        <f>STDEV(D12:D14)</f>
        <v>167.54137499999905</v>
      </c>
      <c r="C16" s="22" t="s">
        <v>336</v>
      </c>
      <c r="D16" s="22">
        <f>AVERAGE(D12:D14)</f>
        <v>1284.4838749999999</v>
      </c>
    </row>
    <row r="17" spans="1:2" x14ac:dyDescent="0.2">
      <c r="A17" s="22" t="s">
        <v>348</v>
      </c>
      <c r="B17" s="22">
        <f>B16/AVERAGE(D12:D14)</f>
        <v>0.13043478260869493</v>
      </c>
    </row>
    <row r="18" spans="1:2" x14ac:dyDescent="0.2">
      <c r="A18" s="1" t="s">
        <v>299</v>
      </c>
    </row>
    <row r="19" spans="1:2" x14ac:dyDescent="0.2">
      <c r="A19" s="22" t="s">
        <v>336</v>
      </c>
      <c r="B19" s="22">
        <f>AVERAGE(E12:E13)</f>
        <v>50.262412499999989</v>
      </c>
    </row>
    <row r="24" spans="1:2" x14ac:dyDescent="0.2">
      <c r="A24" s="1" t="s">
        <v>349</v>
      </c>
    </row>
    <row r="25" spans="1:2" x14ac:dyDescent="0.2">
      <c r="A25" s="22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2.5" customWidth="1"/>
    <col min="2" max="2" width="18.5" customWidth="1"/>
  </cols>
  <sheetData>
    <row r="1" spans="1:2" s="19" customFormat="1" x14ac:dyDescent="0.2">
      <c r="A1" s="1" t="s">
        <v>84</v>
      </c>
    </row>
    <row r="2" spans="1:2" s="19" customFormat="1" x14ac:dyDescent="0.2">
      <c r="A2" s="13" t="s">
        <v>3</v>
      </c>
      <c r="B2" s="13" t="s">
        <v>25</v>
      </c>
    </row>
    <row r="3" spans="1:2" s="19" customFormat="1" x14ac:dyDescent="0.2">
      <c r="A3" s="17">
        <v>2016</v>
      </c>
      <c r="B3" s="19">
        <v>1590</v>
      </c>
    </row>
    <row r="4" spans="1:2" s="19" customFormat="1" x14ac:dyDescent="0.2"/>
    <row r="5" spans="1:2" x14ac:dyDescent="0.2">
      <c r="A5" s="1" t="s">
        <v>83</v>
      </c>
    </row>
    <row r="6" spans="1:2" s="19" customFormat="1" x14ac:dyDescent="0.2">
      <c r="A6" s="13" t="s">
        <v>3</v>
      </c>
      <c r="B6" s="13" t="s">
        <v>25</v>
      </c>
    </row>
    <row r="7" spans="1:2" x14ac:dyDescent="0.2">
      <c r="A7" s="17" t="s">
        <v>272</v>
      </c>
      <c r="B7" s="16">
        <v>1.06</v>
      </c>
    </row>
    <row r="10" spans="1:2" x14ac:dyDescent="0.2">
      <c r="B10" s="18"/>
    </row>
    <row r="11" spans="1:2" x14ac:dyDescent="0.2">
      <c r="B1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N48"/>
  <sheetViews>
    <sheetView topLeftCell="E1" workbookViewId="0">
      <selection activeCell="M3" sqref="M3"/>
    </sheetView>
  </sheetViews>
  <sheetFormatPr baseColWidth="10" defaultColWidth="8.83203125" defaultRowHeight="15" x14ac:dyDescent="0.2"/>
  <cols>
    <col min="2" max="2" width="17.1640625" customWidth="1"/>
    <col min="3" max="3" width="31" customWidth="1"/>
    <col min="4" max="5" width="17.1640625" customWidth="1"/>
    <col min="6" max="6" width="23.1640625" customWidth="1"/>
    <col min="7" max="7" width="17.1640625" customWidth="1"/>
    <col min="8" max="8" width="22.5" customWidth="1"/>
    <col min="9" max="9" width="17.1640625" customWidth="1"/>
    <col min="10" max="10" width="22.5" customWidth="1"/>
    <col min="11" max="11" width="20.83203125" customWidth="1"/>
    <col min="12" max="12" width="28.1640625" customWidth="1"/>
    <col min="13" max="13" width="19.1640625" bestFit="1" customWidth="1"/>
    <col min="14" max="14" width="22.1640625" bestFit="1" customWidth="1"/>
  </cols>
  <sheetData>
    <row r="1" spans="1:14" x14ac:dyDescent="0.2">
      <c r="A1" s="13" t="s">
        <v>3</v>
      </c>
      <c r="B1" s="13" t="s">
        <v>140</v>
      </c>
      <c r="C1" s="13" t="s">
        <v>36</v>
      </c>
      <c r="D1" s="13" t="s">
        <v>356</v>
      </c>
      <c r="E1" s="13" t="s">
        <v>6</v>
      </c>
      <c r="F1" s="13" t="s">
        <v>150</v>
      </c>
      <c r="G1" s="13" t="s">
        <v>9</v>
      </c>
      <c r="H1" s="13" t="s">
        <v>10</v>
      </c>
      <c r="I1" s="13" t="s">
        <v>7</v>
      </c>
      <c r="J1" s="13" t="s">
        <v>37</v>
      </c>
      <c r="K1" s="13" t="s">
        <v>38</v>
      </c>
      <c r="L1" s="13" t="s">
        <v>39</v>
      </c>
      <c r="M1" s="13" t="s">
        <v>282</v>
      </c>
      <c r="N1" s="13" t="s">
        <v>355</v>
      </c>
    </row>
    <row r="2" spans="1:14" x14ac:dyDescent="0.2">
      <c r="A2" s="1">
        <v>2017</v>
      </c>
      <c r="B2" s="4">
        <f>('EIA Costs'!$D$4*INDEX('Cost Improvement and Off Wnd'!$B$118:$AL$126,MATCH("coal",'Cost Improvement and Off Wnd'!$A$118:$A$126,0),MATCH('CCaMC-BCCpUC'!$A2,'Cost Improvement and Off Wnd'!$B$117:$AL$117,0))*1000*About!$A$69)*(USD_to_CAN)</f>
        <v>6604392.7095626313</v>
      </c>
      <c r="C2" s="4">
        <f>('EIA Costs'!$D$6*INDEX('Cost Improvement and Off Wnd'!$B$118:$AL$126,MATCH("natural gas nonpeaker",'Cost Improvement and Off Wnd'!$A$118:$A$126,0),MATCH('CCaMC-BCCpUC'!$A2,'Cost Improvement and Off Wnd'!$B$117:$AL$117,0))*1000*About!$A$69)*(USD_to_CAN)</f>
        <v>1022028.6989671219</v>
      </c>
      <c r="D2" s="4">
        <f>Cogen!D16*1000</f>
        <v>1284483.875</v>
      </c>
      <c r="E2" s="4">
        <f>('EIA Costs'!$D$17*INDEX('Cost Improvement and Off Wnd'!$B$118:$AL$126,MATCH("hydro",'Cost Improvement and Off Wnd'!$A$118:$A$126,0),MATCH('CCaMC-BCCpUC'!$A2,'Cost Improvement and Off Wnd'!$B$117:$AL$117,0))*1000*About!$A$69)*(USD_to_CAN)</f>
        <v>2668115.1182747921</v>
      </c>
      <c r="F2" s="4">
        <f>('Start Year Wind and Solar'!B3*10^3*About!$A$73)*(USD_to_CAN)</f>
        <v>1589666.7265889787</v>
      </c>
      <c r="G2" s="4">
        <f>('Start Year Wind and Solar'!B7*10^6/About!$C$25*About!$A$73)*(USD_to_CAN)</f>
        <v>1233734.3628940464</v>
      </c>
      <c r="H2" s="4">
        <f>('EIA Costs'!$D$20*INDEX('Cost Improvement and Off Wnd'!$B$118:$AL$126,MATCH("solar thermal",'Cost Improvement and Off Wnd'!$A$118:$A$126,0),MATCH('CCaMC-BCCpUC'!$A2,'Cost Improvement and Off Wnd'!$B$117:$AL$117,0))*1000*About!$A$69)*(USD_to_CAN)</f>
        <v>3688982.758906587</v>
      </c>
      <c r="I2" s="4">
        <f>('EIA Costs'!$D$14*INDEX('Cost Improvement and Off Wnd'!$B$118:$AL$126,MATCH("biomass",'Cost Improvement and Off Wnd'!$A$118:$A$126,0),MATCH('CCaMC-BCCpUC'!$A2,'Cost Improvement and Off Wnd'!$B$117:$AL$117,0))*1000*About!$A$69)*(USD_to_CAN)</f>
        <v>3673043.0131127825</v>
      </c>
      <c r="J2" s="4">
        <f>('EIA Costs'!$D$15*INDEX('Cost Improvement and Off Wnd'!$B$118:$AL$126,MATCH("geothermal",'Cost Improvement and Off Wnd'!$A$118:$A$126,0),MATCH('CCaMC-BCCpUC'!$A2,'Cost Improvement and Off Wnd'!$B$117:$AL$117,0))*1000*About!$A$69)*(USD_to_CAN)</f>
        <v>2482079.7148027248</v>
      </c>
      <c r="K2" s="4">
        <f>('EIA Costs'!$D$9*INDEX('Cost Improvement and Off Wnd'!$B$118:$AL$126,MATCH("natural gas peaker",'Cost Improvement and Off Wnd'!$A$118:$A$126,0),MATCH('CCaMC-BCCpUC'!$A2,'Cost Improvement and Off Wnd'!$B$117:$AL$117,0))*1000*About!$A$69)*(USD_to_CAN)</f>
        <v>674317.85349748167</v>
      </c>
      <c r="L2" s="4">
        <f>('EIA Costs'!$D$9*INDEX('Cost Improvement and Off Wnd'!$B$118:$AL$126,MATCH("natural gas peaker",'Cost Improvement and Off Wnd'!$A$118:$A$126,0),MATCH('CCaMC-BCCpUC'!$A2,'Cost Improvement and Off Wnd'!$B$117:$AL$117,0))*1000*About!$A$69)*(USD_to_CAN)</f>
        <v>674317.85349748167</v>
      </c>
      <c r="M2" s="4">
        <f>'AB Gen and Cap Costs'!$F$10*'AB Gen and Cap Costs'!$B$21*1000</f>
        <v>218250</v>
      </c>
      <c r="N2" s="4">
        <f>F2</f>
        <v>1589666.7265889787</v>
      </c>
    </row>
    <row r="3" spans="1:14" x14ac:dyDescent="0.2">
      <c r="A3" s="1">
        <v>2018</v>
      </c>
      <c r="B3" s="4">
        <f>('EIA Costs'!$D$4*INDEX('Cost Improvement and Off Wnd'!$B$118:$AL$126,MATCH("coal",'Cost Improvement and Off Wnd'!$A$118:$A$126,0),MATCH('CCaMC-BCCpUC'!$A3,'Cost Improvement and Off Wnd'!$B$117:$AL$117,0))*1000*About!$A$69)*(USD_to_CAN)</f>
        <v>6518737.5368461963</v>
      </c>
      <c r="C3" s="4">
        <f>('EIA Costs'!$D$6*INDEX('Cost Improvement and Off Wnd'!$B$118:$AL$126,MATCH("natural gas nonpeaker",'Cost Improvement and Off Wnd'!$A$118:$A$126,0),MATCH('CCaMC-BCCpUC'!$A3,'Cost Improvement and Off Wnd'!$B$117:$AL$117,0))*1000*About!$A$69)*(USD_to_CAN)</f>
        <v>1019187.5182024261</v>
      </c>
      <c r="D3" s="4">
        <f>D2*C3/C2</f>
        <v>1280913.0840017628</v>
      </c>
      <c r="E3" s="4">
        <f>('EIA Costs'!$D$17*INDEX('Cost Improvement and Off Wnd'!$B$118:$AL$126,MATCH("hydro",'Cost Improvement and Off Wnd'!$A$118:$A$126,0),MATCH('CCaMC-BCCpUC'!$A3,'Cost Improvement and Off Wnd'!$B$117:$AL$117,0))*1000*About!$A$69)*(USD_to_CAN)</f>
        <v>2653727.4691597698</v>
      </c>
      <c r="F3" s="4">
        <v>0</v>
      </c>
      <c r="G3" s="4">
        <v>0</v>
      </c>
      <c r="H3" s="4">
        <f>('EIA Costs'!$D$20*INDEX('Cost Improvement and Off Wnd'!$B$118:$AL$126,MATCH("solar thermal",'Cost Improvement and Off Wnd'!$A$118:$A$126,0),MATCH('CCaMC-BCCpUC'!$A3,'Cost Improvement and Off Wnd'!$B$117:$AL$117,0))*1000*About!$A$69)*(USD_to_CAN)</f>
        <v>3544593.6036218135</v>
      </c>
      <c r="I3" s="4">
        <f>('EIA Costs'!$D$14*INDEX('Cost Improvement and Off Wnd'!$B$118:$AL$126,MATCH("biomass",'Cost Improvement and Off Wnd'!$A$118:$A$126,0),MATCH('CCaMC-BCCpUC'!$A3,'Cost Improvement and Off Wnd'!$B$117:$AL$117,0))*1000*About!$A$69)*(USD_to_CAN)</f>
        <v>3661242.7862337083</v>
      </c>
      <c r="J3" s="4">
        <f>('EIA Costs'!$D$15*INDEX('Cost Improvement and Off Wnd'!$B$118:$AL$126,MATCH("geothermal",'Cost Improvement and Off Wnd'!$A$118:$A$126,0),MATCH('CCaMC-BCCpUC'!$A3,'Cost Improvement and Off Wnd'!$B$117:$AL$117,0))*1000*About!$A$69)*(USD_to_CAN)</f>
        <v>2477929.0798281389</v>
      </c>
      <c r="K3" s="4">
        <f>('EIA Costs'!$D$9*INDEX('Cost Improvement and Off Wnd'!$B$118:$AL$126,MATCH("natural gas peaker",'Cost Improvement and Off Wnd'!$A$118:$A$126,0),MATCH('CCaMC-BCCpUC'!$A3,'Cost Improvement and Off Wnd'!$B$117:$AL$117,0))*1000*About!$A$69)*(USD_to_CAN)</f>
        <v>672304.76142022957</v>
      </c>
      <c r="L3" s="4">
        <f>('EIA Costs'!$D$9*INDEX('Cost Improvement and Off Wnd'!$B$118:$AL$126,MATCH("natural gas peaker",'Cost Improvement and Off Wnd'!$A$118:$A$126,0),MATCH('CCaMC-BCCpUC'!$A3,'Cost Improvement and Off Wnd'!$B$117:$AL$117,0))*1000*About!$A$69)*(USD_to_CAN)</f>
        <v>672304.76142022957</v>
      </c>
      <c r="M3" s="4">
        <f>'AB Gen and Cap Costs'!$F$10*'AB Gen and Cap Costs'!$B$21*1000</f>
        <v>218250</v>
      </c>
      <c r="N3" s="4">
        <f t="shared" ref="N3:N35" si="0">F3</f>
        <v>0</v>
      </c>
    </row>
    <row r="4" spans="1:14" x14ac:dyDescent="0.2">
      <c r="A4" s="1">
        <v>2019</v>
      </c>
      <c r="B4" s="4">
        <f>('EIA Costs'!$D$4*INDEX('Cost Improvement and Off Wnd'!$B$118:$AL$126,MATCH("coal",'Cost Improvement and Off Wnd'!$A$118:$A$126,0),MATCH('CCaMC-BCCpUC'!$A4,'Cost Improvement and Off Wnd'!$B$117:$AL$117,0))*1000*About!$A$69)*(USD_to_CAN)</f>
        <v>6419226.4074551985</v>
      </c>
      <c r="C4" s="4">
        <f>('EIA Costs'!$D$6*INDEX('Cost Improvement and Off Wnd'!$B$118:$AL$126,MATCH("natural gas nonpeaker",'Cost Improvement and Off Wnd'!$A$118:$A$126,0),MATCH('CCaMC-BCCpUC'!$A4,'Cost Improvement and Off Wnd'!$B$117:$AL$117,0))*1000*About!$A$69)*(USD_to_CAN)</f>
        <v>1015554.9053319652</v>
      </c>
      <c r="D4" s="4">
        <f t="shared" ref="D4:D35" si="1">D3*C4/C3</f>
        <v>1276347.6225221192</v>
      </c>
      <c r="E4" s="4">
        <f>('EIA Costs'!$D$17*INDEX('Cost Improvement and Off Wnd'!$B$118:$AL$126,MATCH("hydro",'Cost Improvement and Off Wnd'!$A$118:$A$126,0),MATCH('CCaMC-BCCpUC'!$A4,'Cost Improvement and Off Wnd'!$B$117:$AL$117,0))*1000*About!$A$69)*(USD_to_CAN)</f>
        <v>2639346.4604614382</v>
      </c>
      <c r="F4" s="4">
        <v>0</v>
      </c>
      <c r="G4" s="4">
        <v>0</v>
      </c>
      <c r="H4" s="4">
        <f>('EIA Costs'!$D$20*INDEX('Cost Improvement and Off Wnd'!$B$118:$AL$126,MATCH("solar thermal",'Cost Improvement and Off Wnd'!$A$118:$A$126,0),MATCH('CCaMC-BCCpUC'!$A4,'Cost Improvement and Off Wnd'!$B$117:$AL$117,0))*1000*About!$A$69)*(USD_to_CAN)</f>
        <v>3400204.4483370418</v>
      </c>
      <c r="I4" s="4">
        <f>('EIA Costs'!$D$14*INDEX('Cost Improvement and Off Wnd'!$B$118:$AL$126,MATCH("biomass",'Cost Improvement and Off Wnd'!$A$118:$A$126,0),MATCH('CCaMC-BCCpUC'!$A4,'Cost Improvement and Off Wnd'!$B$117:$AL$117,0))*1000*About!$A$69)*(USD_to_CAN)</f>
        <v>3668841.5835286845</v>
      </c>
      <c r="J4" s="4">
        <f>('EIA Costs'!$D$15*INDEX('Cost Improvement and Off Wnd'!$B$118:$AL$126,MATCH("geothermal",'Cost Improvement and Off Wnd'!$A$118:$A$126,0),MATCH('CCaMC-BCCpUC'!$A4,'Cost Improvement and Off Wnd'!$B$117:$AL$117,0))*1000*About!$A$69)*(USD_to_CAN)</f>
        <v>2473778.4448535526</v>
      </c>
      <c r="K4" s="4">
        <f>('EIA Costs'!$D$9*INDEX('Cost Improvement and Off Wnd'!$B$118:$AL$126,MATCH("natural gas peaker",'Cost Improvement and Off Wnd'!$A$118:$A$126,0),MATCH('CCaMC-BCCpUC'!$A4,'Cost Improvement and Off Wnd'!$B$117:$AL$117,0))*1000*About!$A$69)*(USD_to_CAN)</f>
        <v>669768.74384894408</v>
      </c>
      <c r="L4" s="4">
        <f>('EIA Costs'!$D$9*INDEX('Cost Improvement and Off Wnd'!$B$118:$AL$126,MATCH("natural gas peaker",'Cost Improvement and Off Wnd'!$A$118:$A$126,0),MATCH('CCaMC-BCCpUC'!$A4,'Cost Improvement and Off Wnd'!$B$117:$AL$117,0))*1000*About!$A$69)*(USD_to_CAN)</f>
        <v>669768.74384894408</v>
      </c>
      <c r="M4" s="4">
        <f>'AB Gen and Cap Costs'!$F$10*'AB Gen and Cap Costs'!$B$21*1000</f>
        <v>218250</v>
      </c>
      <c r="N4" s="4">
        <f t="shared" si="0"/>
        <v>0</v>
      </c>
    </row>
    <row r="5" spans="1:14" x14ac:dyDescent="0.2">
      <c r="A5" s="1">
        <v>2020</v>
      </c>
      <c r="B5" s="4">
        <f>('EIA Costs'!$D$4*INDEX('Cost Improvement and Off Wnd'!$B$118:$AL$126,MATCH("coal",'Cost Improvement and Off Wnd'!$A$118:$A$126,0),MATCH('CCaMC-BCCpUC'!$A5,'Cost Improvement and Off Wnd'!$B$117:$AL$117,0))*1000*About!$A$69)*(USD_to_CAN)</f>
        <v>6312309.4965583626</v>
      </c>
      <c r="C5" s="4">
        <f>('EIA Costs'!$D$6*INDEX('Cost Improvement and Off Wnd'!$B$118:$AL$126,MATCH("natural gas nonpeaker",'Cost Improvement and Off Wnd'!$A$118:$A$126,0),MATCH('CCaMC-BCCpUC'!$A5,'Cost Improvement and Off Wnd'!$B$117:$AL$117,0))*1000*About!$A$69)*(USD_to_CAN)</f>
        <v>1009365.1932078713</v>
      </c>
      <c r="D5" s="4">
        <f t="shared" si="1"/>
        <v>1268568.4031887231</v>
      </c>
      <c r="E5" s="4">
        <f>('EIA Costs'!$D$17*INDEX('Cost Improvement and Off Wnd'!$B$118:$AL$126,MATCH("hydro",'Cost Improvement and Off Wnd'!$A$118:$A$126,0),MATCH('CCaMC-BCCpUC'!$A5,'Cost Improvement and Off Wnd'!$B$117:$AL$117,0))*1000*About!$A$69)*(USD_to_CAN)</f>
        <v>2624965.4517631065</v>
      </c>
      <c r="F5" s="4">
        <v>0</v>
      </c>
      <c r="G5" s="4">
        <v>0</v>
      </c>
      <c r="H5" s="4">
        <f>('EIA Costs'!$D$20*INDEX('Cost Improvement and Off Wnd'!$B$118:$AL$126,MATCH("solar thermal",'Cost Improvement and Off Wnd'!$A$118:$A$126,0),MATCH('CCaMC-BCCpUC'!$A5,'Cost Improvement and Off Wnd'!$B$117:$AL$117,0))*1000*About!$A$69)*(USD_to_CAN)</f>
        <v>3255815.2930522705</v>
      </c>
      <c r="I5" s="4">
        <f>('EIA Costs'!$D$14*INDEX('Cost Improvement and Off Wnd'!$B$118:$AL$126,MATCH("biomass",'Cost Improvement and Off Wnd'!$A$118:$A$126,0),MATCH('CCaMC-BCCpUC'!$A5,'Cost Improvement and Off Wnd'!$B$117:$AL$117,0))*1000*About!$A$69)*(USD_to_CAN)</f>
        <v>3658545.1554234801</v>
      </c>
      <c r="J5" s="4">
        <f>('EIA Costs'!$D$15*INDEX('Cost Improvement and Off Wnd'!$B$118:$AL$126,MATCH("geothermal",'Cost Improvement and Off Wnd'!$A$118:$A$126,0),MATCH('CCaMC-BCCpUC'!$A5,'Cost Improvement and Off Wnd'!$B$117:$AL$117,0))*1000*About!$A$69)*(USD_to_CAN)</f>
        <v>2469627.8098789658</v>
      </c>
      <c r="K5" s="4">
        <f>('EIA Costs'!$D$9*INDEX('Cost Improvement and Off Wnd'!$B$118:$AL$126,MATCH("natural gas peaker",'Cost Improvement and Off Wnd'!$A$118:$A$126,0),MATCH('CCaMC-BCCpUC'!$A5,'Cost Improvement and Off Wnd'!$B$117:$AL$117,0))*1000*About!$A$69)*(USD_to_CAN)</f>
        <v>665212.03577896755</v>
      </c>
      <c r="L5" s="4">
        <f>('EIA Costs'!$D$9*INDEX('Cost Improvement and Off Wnd'!$B$118:$AL$126,MATCH("natural gas peaker",'Cost Improvement and Off Wnd'!$A$118:$A$126,0),MATCH('CCaMC-BCCpUC'!$A5,'Cost Improvement and Off Wnd'!$B$117:$AL$117,0))*1000*About!$A$69)*(USD_to_CAN)</f>
        <v>665212.03577896755</v>
      </c>
      <c r="M5" s="4">
        <f>'AB Gen and Cap Costs'!$F$10*'AB Gen and Cap Costs'!$B$21*1000</f>
        <v>218250</v>
      </c>
      <c r="N5" s="4">
        <f t="shared" si="0"/>
        <v>0</v>
      </c>
    </row>
    <row r="6" spans="1:14" x14ac:dyDescent="0.2">
      <c r="A6" s="1">
        <v>2021</v>
      </c>
      <c r="B6" s="4">
        <f>('EIA Costs'!$D$4*INDEX('Cost Improvement and Off Wnd'!$B$118:$AL$126,MATCH("coal",'Cost Improvement and Off Wnd'!$A$118:$A$126,0),MATCH('CCaMC-BCCpUC'!$A6,'Cost Improvement and Off Wnd'!$B$117:$AL$117,0))*1000*About!$A$69)*(USD_to_CAN)</f>
        <v>6275036.5607072925</v>
      </c>
      <c r="C6" s="4">
        <f>('EIA Costs'!$D$6*INDEX('Cost Improvement and Off Wnd'!$B$118:$AL$126,MATCH("natural gas nonpeaker",'Cost Improvement and Off Wnd'!$A$118:$A$126,0),MATCH('CCaMC-BCCpUC'!$A6,'Cost Improvement and Off Wnd'!$B$117:$AL$117,0))*1000*About!$A$69)*(USD_to_CAN)</f>
        <v>1006394.3044347229</v>
      </c>
      <c r="D6" s="4">
        <f t="shared" si="1"/>
        <v>1264834.5953931259</v>
      </c>
      <c r="E6" s="4">
        <f>('EIA Costs'!$D$17*INDEX('Cost Improvement and Off Wnd'!$B$118:$AL$126,MATCH("hydro",'Cost Improvement and Off Wnd'!$A$118:$A$126,0),MATCH('CCaMC-BCCpUC'!$A6,'Cost Improvement and Off Wnd'!$B$117:$AL$117,0))*1000*About!$A$69)*(USD_to_CAN)</f>
        <v>2610591.0554950349</v>
      </c>
      <c r="F6" s="4">
        <v>0</v>
      </c>
      <c r="G6" s="4">
        <v>0</v>
      </c>
      <c r="H6" s="4">
        <f>('EIA Costs'!$D$20*INDEX('Cost Improvement and Off Wnd'!$B$118:$AL$126,MATCH("solar thermal",'Cost Improvement and Off Wnd'!$A$118:$A$126,0),MATCH('CCaMC-BCCpUC'!$A6,'Cost Improvement and Off Wnd'!$B$117:$AL$117,0))*1000*About!$A$69)*(USD_to_CAN)</f>
        <v>3156744.8670947189</v>
      </c>
      <c r="I6" s="4">
        <f>('EIA Costs'!$D$14*INDEX('Cost Improvement and Off Wnd'!$B$118:$AL$126,MATCH("biomass",'Cost Improvement and Off Wnd'!$A$118:$A$126,0),MATCH('CCaMC-BCCpUC'!$A6,'Cost Improvement and Off Wnd'!$B$117:$AL$117,0))*1000*About!$A$69)*(USD_to_CAN)</f>
        <v>3648246.343958457</v>
      </c>
      <c r="J6" s="4">
        <f>('EIA Costs'!$D$15*INDEX('Cost Improvement and Off Wnd'!$B$118:$AL$126,MATCH("geothermal",'Cost Improvement and Off Wnd'!$A$118:$A$126,0),MATCH('CCaMC-BCCpUC'!$A6,'Cost Improvement and Off Wnd'!$B$117:$AL$117,0))*1000*About!$A$69)*(USD_to_CAN)</f>
        <v>2465477.1749043781</v>
      </c>
      <c r="K6" s="4">
        <f>('EIA Costs'!$D$9*INDEX('Cost Improvement and Off Wnd'!$B$118:$AL$126,MATCH("natural gas peaker",'Cost Improvement and Off Wnd'!$A$118:$A$126,0),MATCH('CCaMC-BCCpUC'!$A6,'Cost Improvement and Off Wnd'!$B$117:$AL$117,0))*1000*About!$A$69)*(USD_to_CAN)</f>
        <v>663198.7895143592</v>
      </c>
      <c r="L6" s="4">
        <f>('EIA Costs'!$D$9*INDEX('Cost Improvement and Off Wnd'!$B$118:$AL$126,MATCH("natural gas peaker",'Cost Improvement and Off Wnd'!$A$118:$A$126,0),MATCH('CCaMC-BCCpUC'!$A6,'Cost Improvement and Off Wnd'!$B$117:$AL$117,0))*1000*About!$A$69)*(USD_to_CAN)</f>
        <v>663198.7895143592</v>
      </c>
      <c r="M6" s="4">
        <f>'AB Gen and Cap Costs'!$F$10*'AB Gen and Cap Costs'!$B$21*1000</f>
        <v>218250</v>
      </c>
      <c r="N6" s="4">
        <f t="shared" si="0"/>
        <v>0</v>
      </c>
    </row>
    <row r="7" spans="1:14" x14ac:dyDescent="0.2">
      <c r="A7" s="1">
        <v>2022</v>
      </c>
      <c r="B7" s="4">
        <f>('EIA Costs'!$D$4*INDEX('Cost Improvement and Off Wnd'!$B$118:$AL$126,MATCH("coal",'Cost Improvement and Off Wnd'!$A$118:$A$126,0),MATCH('CCaMC-BCCpUC'!$A7,'Cost Improvement and Off Wnd'!$B$117:$AL$117,0))*1000*About!$A$69)*(USD_to_CAN)</f>
        <v>6243061.4494537376</v>
      </c>
      <c r="C7" s="4">
        <f>('EIA Costs'!$D$6*INDEX('Cost Improvement and Off Wnd'!$B$118:$AL$126,MATCH("natural gas nonpeaker",'Cost Improvement and Off Wnd'!$A$118:$A$126,0),MATCH('CCaMC-BCCpUC'!$A7,'Cost Improvement and Off Wnd'!$B$117:$AL$117,0))*1000*About!$A$69)*(USD_to_CAN)</f>
        <v>1003368.902974208</v>
      </c>
      <c r="D7" s="4">
        <f t="shared" si="1"/>
        <v>1261032.2761477269</v>
      </c>
      <c r="E7" s="4">
        <f>('EIA Costs'!$D$17*INDEX('Cost Improvement and Off Wnd'!$B$118:$AL$126,MATCH("hydro",'Cost Improvement and Off Wnd'!$A$118:$A$126,0),MATCH('CCaMC-BCCpUC'!$A7,'Cost Improvement and Off Wnd'!$B$117:$AL$117,0))*1000*About!$A$69)*(USD_to_CAN)</f>
        <v>2596216.6592269633</v>
      </c>
      <c r="F7" s="4">
        <v>0</v>
      </c>
      <c r="G7" s="4">
        <v>0</v>
      </c>
      <c r="H7" s="4">
        <f>('EIA Costs'!$D$20*INDEX('Cost Improvement and Off Wnd'!$B$118:$AL$126,MATCH("solar thermal",'Cost Improvement and Off Wnd'!$A$118:$A$126,0),MATCH('CCaMC-BCCpUC'!$A7,'Cost Improvement and Off Wnd'!$B$117:$AL$117,0))*1000*About!$A$69)*(USD_to_CAN)</f>
        <v>3057674.4411371681</v>
      </c>
      <c r="I7" s="4">
        <f>('EIA Costs'!$D$14*INDEX('Cost Improvement and Off Wnd'!$B$118:$AL$126,MATCH("biomass",'Cost Improvement and Off Wnd'!$A$118:$A$126,0),MATCH('CCaMC-BCCpUC'!$A7,'Cost Improvement and Off Wnd'!$B$117:$AL$117,0))*1000*About!$A$69)*(USD_to_CAN)</f>
        <v>3637947.9590882491</v>
      </c>
      <c r="J7" s="4">
        <f>('EIA Costs'!$D$15*INDEX('Cost Improvement and Off Wnd'!$B$118:$AL$126,MATCH("geothermal",'Cost Improvement and Off Wnd'!$A$118:$A$126,0),MATCH('CCaMC-BCCpUC'!$A7,'Cost Improvement and Off Wnd'!$B$117:$AL$117,0))*1000*About!$A$69)*(USD_to_CAN)</f>
        <v>2461326.5399297923</v>
      </c>
      <c r="K7" s="4">
        <f>('EIA Costs'!$D$9*INDEX('Cost Improvement and Off Wnd'!$B$118:$AL$126,MATCH("natural gas peaker",'Cost Improvement and Off Wnd'!$A$118:$A$126,0),MATCH('CCaMC-BCCpUC'!$A7,'Cost Improvement and Off Wnd'!$B$117:$AL$117,0))*1000*About!$A$69)*(USD_to_CAN)</f>
        <v>661142.498037852</v>
      </c>
      <c r="L7" s="4">
        <f>('EIA Costs'!$D$9*INDEX('Cost Improvement and Off Wnd'!$B$118:$AL$126,MATCH("natural gas peaker",'Cost Improvement and Off Wnd'!$A$118:$A$126,0),MATCH('CCaMC-BCCpUC'!$A7,'Cost Improvement and Off Wnd'!$B$117:$AL$117,0))*1000*About!$A$69)*(USD_to_CAN)</f>
        <v>661142.498037852</v>
      </c>
      <c r="M7" s="4">
        <f>'AB Gen and Cap Costs'!$F$10*'AB Gen and Cap Costs'!$B$21*1000</f>
        <v>218250</v>
      </c>
      <c r="N7" s="4">
        <f t="shared" si="0"/>
        <v>0</v>
      </c>
    </row>
    <row r="8" spans="1:14" x14ac:dyDescent="0.2">
      <c r="A8" s="1">
        <v>2023</v>
      </c>
      <c r="B8" s="4">
        <f>('EIA Costs'!$D$4*INDEX('Cost Improvement and Off Wnd'!$B$118:$AL$126,MATCH("coal",'Cost Improvement and Off Wnd'!$A$118:$A$126,0),MATCH('CCaMC-BCCpUC'!$A8,'Cost Improvement and Off Wnd'!$B$117:$AL$117,0))*1000*About!$A$69)*(USD_to_CAN)</f>
        <v>6211087.4682579711</v>
      </c>
      <c r="C8" s="4">
        <f>('EIA Costs'!$D$6*INDEX('Cost Improvement and Off Wnd'!$B$118:$AL$126,MATCH("natural gas nonpeaker",'Cost Improvement and Off Wnd'!$A$118:$A$126,0),MATCH('CCaMC-BCCpUC'!$A8,'Cost Improvement and Off Wnd'!$B$117:$AL$117,0))*1000*About!$A$69)*(USD_to_CAN)</f>
        <v>1000397.5964075292</v>
      </c>
      <c r="D8" s="4">
        <f t="shared" si="1"/>
        <v>1257297.9432699541</v>
      </c>
      <c r="E8" s="4">
        <f>('EIA Costs'!$D$17*INDEX('Cost Improvement and Off Wnd'!$B$118:$AL$126,MATCH("hydro",'Cost Improvement and Off Wnd'!$A$118:$A$126,0),MATCH('CCaMC-BCCpUC'!$A8,'Cost Improvement and Off Wnd'!$B$117:$AL$117,0))*1000*About!$A$69)*(USD_to_CAN)</f>
        <v>2581848.8346816157</v>
      </c>
      <c r="F8" s="4">
        <v>0</v>
      </c>
      <c r="G8" s="4">
        <v>0</v>
      </c>
      <c r="H8" s="4">
        <f>('EIA Costs'!$D$20*INDEX('Cost Improvement and Off Wnd'!$B$118:$AL$126,MATCH("solar thermal",'Cost Improvement and Off Wnd'!$A$118:$A$126,0),MATCH('CCaMC-BCCpUC'!$A8,'Cost Improvement and Off Wnd'!$B$117:$AL$117,0))*1000*About!$A$69)*(USD_to_CAN)</f>
        <v>2958604.0151796173</v>
      </c>
      <c r="I8" s="4">
        <f>('EIA Costs'!$D$14*INDEX('Cost Improvement and Off Wnd'!$B$118:$AL$126,MATCH("biomass",'Cost Improvement and Off Wnd'!$A$118:$A$126,0),MATCH('CCaMC-BCCpUC'!$A8,'Cost Improvement and Off Wnd'!$B$117:$AL$117,0))*1000*About!$A$69)*(USD_to_CAN)</f>
        <v>3627647.3895657016</v>
      </c>
      <c r="J8" s="4">
        <f>('EIA Costs'!$D$15*INDEX('Cost Improvement and Off Wnd'!$B$118:$AL$126,MATCH("geothermal",'Cost Improvement and Off Wnd'!$A$118:$A$126,0),MATCH('CCaMC-BCCpUC'!$A8,'Cost Improvement and Off Wnd'!$B$117:$AL$117,0))*1000*About!$A$69)*(USD_to_CAN)</f>
        <v>2457175.904955206</v>
      </c>
      <c r="K8" s="4">
        <f>('EIA Costs'!$D$9*INDEX('Cost Improvement and Off Wnd'!$B$118:$AL$126,MATCH("natural gas peaker",'Cost Improvement and Off Wnd'!$A$118:$A$126,0),MATCH('CCaMC-BCCpUC'!$A8,'Cost Improvement and Off Wnd'!$B$117:$AL$117,0))*1000*About!$A$69)*(USD_to_CAN)</f>
        <v>659128.99573891668</v>
      </c>
      <c r="L8" s="4">
        <f>('EIA Costs'!$D$9*INDEX('Cost Improvement and Off Wnd'!$B$118:$AL$126,MATCH("natural gas peaker",'Cost Improvement and Off Wnd'!$A$118:$A$126,0),MATCH('CCaMC-BCCpUC'!$A8,'Cost Improvement and Off Wnd'!$B$117:$AL$117,0))*1000*About!$A$69)*(USD_to_CAN)</f>
        <v>659128.99573891668</v>
      </c>
      <c r="M8" s="4">
        <f>'AB Gen and Cap Costs'!$F$10*'AB Gen and Cap Costs'!$B$21*1000</f>
        <v>218250</v>
      </c>
      <c r="N8" s="4">
        <f t="shared" si="0"/>
        <v>0</v>
      </c>
    </row>
    <row r="9" spans="1:14" x14ac:dyDescent="0.2">
      <c r="A9" s="1">
        <v>2024</v>
      </c>
      <c r="B9" s="4">
        <f>('EIA Costs'!$D$4*INDEX('Cost Improvement and Off Wnd'!$B$118:$AL$126,MATCH("coal",'Cost Improvement and Off Wnd'!$A$118:$A$126,0),MATCH('CCaMC-BCCpUC'!$A9,'Cost Improvement and Off Wnd'!$B$117:$AL$117,0))*1000*About!$A$69)*(USD_to_CAN)</f>
        <v>6172164.3974296302</v>
      </c>
      <c r="C9" s="4">
        <f>('EIA Costs'!$D$6*INDEX('Cost Improvement and Off Wnd'!$B$118:$AL$126,MATCH("natural gas nonpeaker",'Cost Improvement and Off Wnd'!$A$118:$A$126,0),MATCH('CCaMC-BCCpUC'!$A9,'Cost Improvement and Off Wnd'!$B$117:$AL$117,0))*1000*About!$A$69)*(USD_to_CAN)</f>
        <v>997427.65411970741</v>
      </c>
      <c r="D9" s="4">
        <f t="shared" si="1"/>
        <v>1253565.3250154539</v>
      </c>
      <c r="E9" s="4">
        <f>('EIA Costs'!$D$17*INDEX('Cost Improvement and Off Wnd'!$B$118:$AL$126,MATCH("hydro",'Cost Improvement and Off Wnd'!$A$118:$A$126,0),MATCH('CCaMC-BCCpUC'!$A9,'Cost Improvement and Off Wnd'!$B$117:$AL$117,0))*1000*About!$A$69)*(USD_to_CAN)</f>
        <v>2567481.0101362681</v>
      </c>
      <c r="F9" s="4">
        <v>0</v>
      </c>
      <c r="G9" s="4">
        <v>0</v>
      </c>
      <c r="H9" s="4">
        <f>('EIA Costs'!$D$20*INDEX('Cost Improvement and Off Wnd'!$B$118:$AL$126,MATCH("solar thermal",'Cost Improvement and Off Wnd'!$A$118:$A$126,0),MATCH('CCaMC-BCCpUC'!$A9,'Cost Improvement and Off Wnd'!$B$117:$AL$117,0))*1000*About!$A$69)*(USD_to_CAN)</f>
        <v>2859533.5892220661</v>
      </c>
      <c r="I9" s="4">
        <f>('EIA Costs'!$D$14*INDEX('Cost Improvement and Off Wnd'!$B$118:$AL$126,MATCH("biomass",'Cost Improvement and Off Wnd'!$A$118:$A$126,0),MATCH('CCaMC-BCCpUC'!$A9,'Cost Improvement and Off Wnd'!$B$117:$AL$117,0))*1000*About!$A$69)*(USD_to_CAN)</f>
        <v>3617351.21325617</v>
      </c>
      <c r="J9" s="4">
        <f>('EIA Costs'!$D$15*INDEX('Cost Improvement and Off Wnd'!$B$118:$AL$126,MATCH("geothermal",'Cost Improvement and Off Wnd'!$A$118:$A$126,0),MATCH('CCaMC-BCCpUC'!$A9,'Cost Improvement and Off Wnd'!$B$117:$AL$117,0))*1000*About!$A$69)*(USD_to_CAN)</f>
        <v>2453025.2699806197</v>
      </c>
      <c r="K9" s="4">
        <f>('EIA Costs'!$D$9*INDEX('Cost Improvement and Off Wnd'!$B$118:$AL$126,MATCH("natural gas peaker",'Cost Improvement and Off Wnd'!$A$118:$A$126,0),MATCH('CCaMC-BCCpUC'!$A9,'Cost Improvement and Off Wnd'!$B$117:$AL$117,0))*1000*About!$A$69)*(USD_to_CAN)</f>
        <v>657116.26590380142</v>
      </c>
      <c r="L9" s="4">
        <f>('EIA Costs'!$D$9*INDEX('Cost Improvement and Off Wnd'!$B$118:$AL$126,MATCH("natural gas peaker",'Cost Improvement and Off Wnd'!$A$118:$A$126,0),MATCH('CCaMC-BCCpUC'!$A9,'Cost Improvement and Off Wnd'!$B$117:$AL$117,0))*1000*About!$A$69)*(USD_to_CAN)</f>
        <v>657116.26590380142</v>
      </c>
      <c r="M9" s="4">
        <f>'AB Gen and Cap Costs'!$F$10*'AB Gen and Cap Costs'!$B$21*1000</f>
        <v>218250</v>
      </c>
      <c r="N9" s="4">
        <f t="shared" si="0"/>
        <v>0</v>
      </c>
    </row>
    <row r="10" spans="1:14" x14ac:dyDescent="0.2">
      <c r="A10" s="1">
        <v>2025</v>
      </c>
      <c r="B10" s="4">
        <f>('EIA Costs'!$D$4*INDEX('Cost Improvement and Off Wnd'!$B$118:$AL$126,MATCH("coal",'Cost Improvement and Off Wnd'!$A$118:$A$126,0),MATCH('CCaMC-BCCpUC'!$A10,'Cost Improvement and Off Wnd'!$B$117:$AL$117,0))*1000*About!$A$69)*(USD_to_CAN)</f>
        <v>6138616.820313381</v>
      </c>
      <c r="C10" s="4">
        <f>('EIA Costs'!$D$6*INDEX('Cost Improvement and Off Wnd'!$B$118:$AL$126,MATCH("natural gas nonpeaker",'Cost Improvement and Off Wnd'!$A$118:$A$126,0),MATCH('CCaMC-BCCpUC'!$A10,'Cost Improvement and Off Wnd'!$B$117:$AL$117,0))*1000*About!$A$69)*(USD_to_CAN)</f>
        <v>994325.72567779908</v>
      </c>
      <c r="D10" s="4">
        <f t="shared" si="1"/>
        <v>1249666.8267941596</v>
      </c>
      <c r="E10" s="4">
        <f>('EIA Costs'!$D$17*INDEX('Cost Improvement and Off Wnd'!$B$118:$AL$126,MATCH("hydro",'Cost Improvement and Off Wnd'!$A$118:$A$126,0),MATCH('CCaMC-BCCpUC'!$A10,'Cost Improvement and Off Wnd'!$B$117:$AL$117,0))*1000*About!$A$69)*(USD_to_CAN)</f>
        <v>2553119.7267829943</v>
      </c>
      <c r="F10" s="4">
        <v>0</v>
      </c>
      <c r="G10" s="4">
        <v>0</v>
      </c>
      <c r="H10" s="4">
        <f>('EIA Costs'!$D$20*INDEX('Cost Improvement and Off Wnd'!$B$118:$AL$126,MATCH("solar thermal",'Cost Improvement and Off Wnd'!$A$118:$A$126,0),MATCH('CCaMC-BCCpUC'!$A10,'Cost Improvement and Off Wnd'!$B$117:$AL$117,0))*1000*About!$A$69)*(USD_to_CAN)</f>
        <v>2760463.1632645163</v>
      </c>
      <c r="I10" s="4">
        <f>('EIA Costs'!$D$14*INDEX('Cost Improvement and Off Wnd'!$B$118:$AL$126,MATCH("biomass",'Cost Improvement and Off Wnd'!$A$118:$A$126,0),MATCH('CCaMC-BCCpUC'!$A10,'Cost Improvement and Off Wnd'!$B$117:$AL$117,0))*1000*About!$A$69)*(USD_to_CAN)</f>
        <v>3607050.9782757941</v>
      </c>
      <c r="J10" s="4">
        <f>('EIA Costs'!$D$15*INDEX('Cost Improvement and Off Wnd'!$B$118:$AL$126,MATCH("geothermal",'Cost Improvement and Off Wnd'!$A$118:$A$126,0),MATCH('CCaMC-BCCpUC'!$A10,'Cost Improvement and Off Wnd'!$B$117:$AL$117,0))*1000*About!$A$69)*(USD_to_CAN)</f>
        <v>2448874.6350060333</v>
      </c>
      <c r="K10" s="4">
        <f>('EIA Costs'!$D$9*INDEX('Cost Improvement and Off Wnd'!$B$118:$AL$126,MATCH("natural gas peaker",'Cost Improvement and Off Wnd'!$A$118:$A$126,0),MATCH('CCaMC-BCCpUC'!$A10,'Cost Improvement and Off Wnd'!$B$117:$AL$117,0))*1000*About!$A$69)*(USD_to_CAN)</f>
        <v>654999.64972712228</v>
      </c>
      <c r="L10" s="4">
        <f>('EIA Costs'!$D$9*INDEX('Cost Improvement and Off Wnd'!$B$118:$AL$126,MATCH("natural gas peaker",'Cost Improvement and Off Wnd'!$A$118:$A$126,0),MATCH('CCaMC-BCCpUC'!$A10,'Cost Improvement and Off Wnd'!$B$117:$AL$117,0))*1000*About!$A$69)*(USD_to_CAN)</f>
        <v>654999.64972712228</v>
      </c>
      <c r="M10" s="4">
        <f>'AB Gen and Cap Costs'!$F$10*'AB Gen and Cap Costs'!$B$21*1000</f>
        <v>218250</v>
      </c>
      <c r="N10" s="4">
        <f t="shared" si="0"/>
        <v>0</v>
      </c>
    </row>
    <row r="11" spans="1:14" x14ac:dyDescent="0.2">
      <c r="A11" s="1">
        <v>2026</v>
      </c>
      <c r="B11" s="4">
        <f>('EIA Costs'!$D$4*INDEX('Cost Improvement and Off Wnd'!$B$118:$AL$126,MATCH("coal",'Cost Improvement and Off Wnd'!$A$118:$A$126,0),MATCH('CCaMC-BCCpUC'!$A11,'Cost Improvement and Off Wnd'!$B$117:$AL$117,0))*1000*About!$A$69)*(USD_to_CAN)</f>
        <v>6098465.2359172041</v>
      </c>
      <c r="C11" s="4">
        <f>('EIA Costs'!$D$6*INDEX('Cost Improvement and Off Wnd'!$B$118:$AL$126,MATCH("natural gas nonpeaker",'Cost Improvement and Off Wnd'!$A$118:$A$126,0),MATCH('CCaMC-BCCpUC'!$A11,'Cost Improvement and Off Wnd'!$B$117:$AL$117,0))*1000*About!$A$69)*(USD_to_CAN)</f>
        <v>985465.28508245002</v>
      </c>
      <c r="D11" s="4">
        <f t="shared" si="1"/>
        <v>1238531.040605745</v>
      </c>
      <c r="E11" s="4">
        <f>('EIA Costs'!$D$17*INDEX('Cost Improvement and Off Wnd'!$B$118:$AL$126,MATCH("hydro",'Cost Improvement and Off Wnd'!$A$118:$A$126,0),MATCH('CCaMC-BCCpUC'!$A11,'Cost Improvement and Off Wnd'!$B$117:$AL$117,0))*1000*About!$A$69)*(USD_to_CAN)</f>
        <v>2538758.4434297192</v>
      </c>
      <c r="F11" s="4">
        <v>0</v>
      </c>
      <c r="G11" s="4">
        <v>0</v>
      </c>
      <c r="H11" s="4">
        <f>('EIA Costs'!$D$20*INDEX('Cost Improvement and Off Wnd'!$B$118:$AL$126,MATCH("solar thermal",'Cost Improvement and Off Wnd'!$A$118:$A$126,0),MATCH('CCaMC-BCCpUC'!$A11,'Cost Improvement and Off Wnd'!$B$117:$AL$117,0))*1000*About!$A$69)*(USD_to_CAN)</f>
        <v>2716394.4844279829</v>
      </c>
      <c r="I11" s="4">
        <f>('EIA Costs'!$D$14*INDEX('Cost Improvement and Off Wnd'!$B$118:$AL$126,MATCH("biomass",'Cost Improvement and Off Wnd'!$A$118:$A$126,0),MATCH('CCaMC-BCCpUC'!$A11,'Cost Improvement and Off Wnd'!$B$117:$AL$117,0))*1000*About!$A$69)*(USD_to_CAN)</f>
        <v>3596754.7027100902</v>
      </c>
      <c r="J11" s="4">
        <f>('EIA Costs'!$D$15*INDEX('Cost Improvement and Off Wnd'!$B$118:$AL$126,MATCH("geothermal",'Cost Improvement and Off Wnd'!$A$118:$A$126,0),MATCH('CCaMC-BCCpUC'!$A11,'Cost Improvement and Off Wnd'!$B$117:$AL$117,0))*1000*About!$A$69)*(USD_to_CAN)</f>
        <v>2444724.0000314466</v>
      </c>
      <c r="K11" s="4">
        <f>('EIA Costs'!$D$9*INDEX('Cost Improvement and Off Wnd'!$B$118:$AL$126,MATCH("natural gas peaker",'Cost Improvement and Off Wnd'!$A$118:$A$126,0),MATCH('CCaMC-BCCpUC'!$A11,'Cost Improvement and Off Wnd'!$B$117:$AL$117,0))*1000*About!$A$69)*(USD_to_CAN)</f>
        <v>648332.74961532524</v>
      </c>
      <c r="L11" s="4">
        <f>('EIA Costs'!$D$9*INDEX('Cost Improvement and Off Wnd'!$B$118:$AL$126,MATCH("natural gas peaker",'Cost Improvement and Off Wnd'!$A$118:$A$126,0),MATCH('CCaMC-BCCpUC'!$A11,'Cost Improvement and Off Wnd'!$B$117:$AL$117,0))*1000*About!$A$69)*(USD_to_CAN)</f>
        <v>648332.74961532524</v>
      </c>
      <c r="M11" s="4">
        <f>'AB Gen and Cap Costs'!$F$10*'AB Gen and Cap Costs'!$B$21*1000</f>
        <v>218250</v>
      </c>
      <c r="N11" s="4">
        <f t="shared" si="0"/>
        <v>0</v>
      </c>
    </row>
    <row r="12" spans="1:14" x14ac:dyDescent="0.2">
      <c r="A12" s="1">
        <v>2027</v>
      </c>
      <c r="B12" s="4">
        <f>('EIA Costs'!$D$4*INDEX('Cost Improvement and Off Wnd'!$B$118:$AL$126,MATCH("coal",'Cost Improvement and Off Wnd'!$A$118:$A$126,0),MATCH('CCaMC-BCCpUC'!$A12,'Cost Improvement and Off Wnd'!$B$117:$AL$117,0))*1000*About!$A$69)*(USD_to_CAN)</f>
        <v>6049200.1288535865</v>
      </c>
      <c r="C12" s="4">
        <f>('EIA Costs'!$D$6*INDEX('Cost Improvement and Off Wnd'!$B$118:$AL$126,MATCH("natural gas nonpeaker",'Cost Improvement and Off Wnd'!$A$118:$A$126,0),MATCH('CCaMC-BCCpUC'!$A12,'Cost Improvement and Off Wnd'!$B$117:$AL$117,0))*1000*About!$A$69)*(USD_to_CAN)</f>
        <v>978637.49508273415</v>
      </c>
      <c r="D12" s="4">
        <f t="shared" si="1"/>
        <v>1229949.8861182197</v>
      </c>
      <c r="E12" s="4">
        <f>('EIA Costs'!$D$17*INDEX('Cost Improvement and Off Wnd'!$B$118:$AL$126,MATCH("hydro",'Cost Improvement and Off Wnd'!$A$118:$A$126,0),MATCH('CCaMC-BCCpUC'!$A12,'Cost Improvement and Off Wnd'!$B$117:$AL$117,0))*1000*About!$A$69)*(USD_to_CAN)</f>
        <v>2524403.6681936458</v>
      </c>
      <c r="F12" s="4">
        <v>0</v>
      </c>
      <c r="G12" s="4">
        <v>0</v>
      </c>
      <c r="H12" s="4">
        <f>('EIA Costs'!$D$20*INDEX('Cost Improvement and Off Wnd'!$B$118:$AL$126,MATCH("solar thermal",'Cost Improvement and Off Wnd'!$A$118:$A$126,0),MATCH('CCaMC-BCCpUC'!$A12,'Cost Improvement and Off Wnd'!$B$117:$AL$117,0))*1000*About!$A$69)*(USD_to_CAN)</f>
        <v>2673222.0862054108</v>
      </c>
      <c r="I12" s="4">
        <f>('EIA Costs'!$D$14*INDEX('Cost Improvement and Off Wnd'!$B$118:$AL$126,MATCH("biomass",'Cost Improvement and Off Wnd'!$A$118:$A$126,0),MATCH('CCaMC-BCCpUC'!$A12,'Cost Improvement and Off Wnd'!$B$117:$AL$117,0))*1000*About!$A$69)*(USD_to_CAN)</f>
        <v>3586455.7636627262</v>
      </c>
      <c r="J12" s="4">
        <f>('EIA Costs'!$D$15*INDEX('Cost Improvement and Off Wnd'!$B$118:$AL$126,MATCH("geothermal",'Cost Improvement and Off Wnd'!$A$118:$A$126,0),MATCH('CCaMC-BCCpUC'!$A12,'Cost Improvement and Off Wnd'!$B$117:$AL$117,0))*1000*About!$A$69)*(USD_to_CAN)</f>
        <v>2440573.3650568603</v>
      </c>
      <c r="K12" s="4">
        <f>('EIA Costs'!$D$9*INDEX('Cost Improvement and Off Wnd'!$B$118:$AL$126,MATCH("natural gas peaker",'Cost Improvement and Off Wnd'!$A$118:$A$126,0),MATCH('CCaMC-BCCpUC'!$A12,'Cost Improvement and Off Wnd'!$B$117:$AL$117,0))*1000*About!$A$69)*(USD_to_CAN)</f>
        <v>643271.98184005148</v>
      </c>
      <c r="L12" s="4">
        <f>('EIA Costs'!$D$9*INDEX('Cost Improvement and Off Wnd'!$B$118:$AL$126,MATCH("natural gas peaker",'Cost Improvement and Off Wnd'!$A$118:$A$126,0),MATCH('CCaMC-BCCpUC'!$A12,'Cost Improvement and Off Wnd'!$B$117:$AL$117,0))*1000*About!$A$69)*(USD_to_CAN)</f>
        <v>643271.98184005148</v>
      </c>
      <c r="M12" s="4">
        <f>'AB Gen and Cap Costs'!$F$10*'AB Gen and Cap Costs'!$B$21*1000</f>
        <v>218250</v>
      </c>
      <c r="N12" s="4">
        <f t="shared" si="0"/>
        <v>0</v>
      </c>
    </row>
    <row r="13" spans="1:14" x14ac:dyDescent="0.2">
      <c r="A13" s="1">
        <v>2028</v>
      </c>
      <c r="B13" s="4">
        <f>('EIA Costs'!$D$4*INDEX('Cost Improvement and Off Wnd'!$B$118:$AL$126,MATCH("coal",'Cost Improvement and Off Wnd'!$A$118:$A$126,0),MATCH('CCaMC-BCCpUC'!$A13,'Cost Improvement and Off Wnd'!$B$117:$AL$117,0))*1000*About!$A$69)*(USD_to_CAN)</f>
        <v>6015853.9566496387</v>
      </c>
      <c r="C13" s="4">
        <f>('EIA Costs'!$D$6*INDEX('Cost Improvement and Off Wnd'!$B$118:$AL$126,MATCH("natural gas nonpeaker",'Cost Improvement and Off Wnd'!$A$118:$A$126,0),MATCH('CCaMC-BCCpUC'!$A13,'Cost Improvement and Off Wnd'!$B$117:$AL$117,0))*1000*About!$A$69)*(USD_to_CAN)</f>
        <v>972306.80164388649</v>
      </c>
      <c r="D13" s="4">
        <f t="shared" si="1"/>
        <v>1221993.4817158913</v>
      </c>
      <c r="E13" s="4">
        <f>('EIA Costs'!$D$17*INDEX('Cost Improvement and Off Wnd'!$B$118:$AL$126,MATCH("hydro",'Cost Improvement and Off Wnd'!$A$118:$A$126,0),MATCH('CCaMC-BCCpUC'!$A13,'Cost Improvement and Off Wnd'!$B$117:$AL$117,0))*1000*About!$A$69)*(USD_to_CAN)</f>
        <v>2510048.8929575714</v>
      </c>
      <c r="F13" s="4">
        <v>0</v>
      </c>
      <c r="G13" s="4">
        <v>0</v>
      </c>
      <c r="H13" s="4">
        <f>('EIA Costs'!$D$20*INDEX('Cost Improvement and Off Wnd'!$B$118:$AL$126,MATCH("solar thermal",'Cost Improvement and Off Wnd'!$A$118:$A$126,0),MATCH('CCaMC-BCCpUC'!$A13,'Cost Improvement and Off Wnd'!$B$117:$AL$117,0))*1000*About!$A$69)*(USD_to_CAN)</f>
        <v>2630817.7907714639</v>
      </c>
      <c r="I13" s="4">
        <f>('EIA Costs'!$D$14*INDEX('Cost Improvement and Off Wnd'!$B$118:$AL$126,MATCH("biomass",'Cost Improvement and Off Wnd'!$A$118:$A$126,0),MATCH('CCaMC-BCCpUC'!$A13,'Cost Improvement and Off Wnd'!$B$117:$AL$117,0))*1000*About!$A$69)*(USD_to_CAN)</f>
        <v>3576156.5657521901</v>
      </c>
      <c r="J13" s="4">
        <f>('EIA Costs'!$D$15*INDEX('Cost Improvement and Off Wnd'!$B$118:$AL$126,MATCH("geothermal",'Cost Improvement and Off Wnd'!$A$118:$A$126,0),MATCH('CCaMC-BCCpUC'!$A13,'Cost Improvement and Off Wnd'!$B$117:$AL$117,0))*1000*About!$A$69)*(USD_to_CAN)</f>
        <v>2436422.730082273</v>
      </c>
      <c r="K13" s="4">
        <f>('EIA Costs'!$D$9*INDEX('Cost Improvement and Off Wnd'!$B$118:$AL$126,MATCH("natural gas peaker",'Cost Improvement and Off Wnd'!$A$118:$A$126,0),MATCH('CCaMC-BCCpUC'!$A13,'Cost Improvement and Off Wnd'!$B$117:$AL$117,0))*1000*About!$A$69)*(USD_to_CAN)</f>
        <v>638604.0745326943</v>
      </c>
      <c r="L13" s="4">
        <f>('EIA Costs'!$D$9*INDEX('Cost Improvement and Off Wnd'!$B$118:$AL$126,MATCH("natural gas peaker",'Cost Improvement and Off Wnd'!$A$118:$A$126,0),MATCH('CCaMC-BCCpUC'!$A13,'Cost Improvement and Off Wnd'!$B$117:$AL$117,0))*1000*About!$A$69)*(USD_to_CAN)</f>
        <v>638604.0745326943</v>
      </c>
      <c r="M13" s="4">
        <f>'AB Gen and Cap Costs'!$F$10*'AB Gen and Cap Costs'!$B$21*1000</f>
        <v>218250</v>
      </c>
      <c r="N13" s="4">
        <f t="shared" si="0"/>
        <v>0</v>
      </c>
    </row>
    <row r="14" spans="1:14" x14ac:dyDescent="0.2">
      <c r="A14" s="1">
        <v>2029</v>
      </c>
      <c r="B14" s="4">
        <f>('EIA Costs'!$D$4*INDEX('Cost Improvement and Off Wnd'!$B$118:$AL$126,MATCH("coal",'Cost Improvement and Off Wnd'!$A$118:$A$126,0),MATCH('CCaMC-BCCpUC'!$A14,'Cost Improvement and Off Wnd'!$B$117:$AL$117,0))*1000*About!$A$69)*(USD_to_CAN)</f>
        <v>5975643.1644014055</v>
      </c>
      <c r="C14" s="4">
        <f>('EIA Costs'!$D$6*INDEX('Cost Improvement and Off Wnd'!$B$118:$AL$126,MATCH("natural gas nonpeaker",'Cost Improvement and Off Wnd'!$A$118:$A$126,0),MATCH('CCaMC-BCCpUC'!$A14,'Cost Improvement and Off Wnd'!$B$117:$AL$117,0))*1000*About!$A$69)*(USD_to_CAN)</f>
        <v>967804.40694439784</v>
      </c>
      <c r="D14" s="4">
        <f t="shared" si="1"/>
        <v>1216334.8799601644</v>
      </c>
      <c r="E14" s="4">
        <f>('EIA Costs'!$D$17*INDEX('Cost Improvement and Off Wnd'!$B$118:$AL$126,MATCH("hydro",'Cost Improvement and Off Wnd'!$A$118:$A$126,0),MATCH('CCaMC-BCCpUC'!$A14,'Cost Improvement and Off Wnd'!$B$117:$AL$117,0))*1000*About!$A$69)*(USD_to_CAN)</f>
        <v>2495700.5927638263</v>
      </c>
      <c r="F14" s="4">
        <v>0</v>
      </c>
      <c r="G14" s="4">
        <v>0</v>
      </c>
      <c r="H14" s="4">
        <f>('EIA Costs'!$D$20*INDEX('Cost Improvement and Off Wnd'!$B$118:$AL$126,MATCH("solar thermal",'Cost Improvement and Off Wnd'!$A$118:$A$126,0),MATCH('CCaMC-BCCpUC'!$A14,'Cost Improvement and Off Wnd'!$B$117:$AL$117,0))*1000*About!$A$69)*(USD_to_CAN)</f>
        <v>2589079.0136633874</v>
      </c>
      <c r="I14" s="4">
        <f>('EIA Costs'!$D$14*INDEX('Cost Improvement and Off Wnd'!$B$118:$AL$126,MATCH("biomass",'Cost Improvement and Off Wnd'!$A$118:$A$126,0),MATCH('CCaMC-BCCpUC'!$A14,'Cost Improvement and Off Wnd'!$B$117:$AL$117,0))*1000*About!$A$69)*(USD_to_CAN)</f>
        <v>3565860.5591328228</v>
      </c>
      <c r="J14" s="4">
        <f>('EIA Costs'!$D$15*INDEX('Cost Improvement and Off Wnd'!$B$118:$AL$126,MATCH("geothermal",'Cost Improvement and Off Wnd'!$A$118:$A$126,0),MATCH('CCaMC-BCCpUC'!$A14,'Cost Improvement and Off Wnd'!$B$117:$AL$117,0))*1000*About!$A$69)*(USD_to_CAN)</f>
        <v>2432272.0951076876</v>
      </c>
      <c r="K14" s="4">
        <f>('EIA Costs'!$D$9*INDEX('Cost Improvement and Off Wnd'!$B$118:$AL$126,MATCH("natural gas peaker",'Cost Improvement and Off Wnd'!$A$118:$A$126,0),MATCH('CCaMC-BCCpUC'!$A14,'Cost Improvement and Off Wnd'!$B$117:$AL$117,0))*1000*About!$A$69)*(USD_to_CAN)</f>
        <v>635380.58714121324</v>
      </c>
      <c r="L14" s="4">
        <f>('EIA Costs'!$D$9*INDEX('Cost Improvement and Off Wnd'!$B$118:$AL$126,MATCH("natural gas peaker",'Cost Improvement and Off Wnd'!$A$118:$A$126,0),MATCH('CCaMC-BCCpUC'!$A14,'Cost Improvement and Off Wnd'!$B$117:$AL$117,0))*1000*About!$A$69)*(USD_to_CAN)</f>
        <v>635380.58714121324</v>
      </c>
      <c r="M14" s="4">
        <f>'AB Gen and Cap Costs'!$F$10*'AB Gen and Cap Costs'!$B$21*1000</f>
        <v>218250</v>
      </c>
      <c r="N14" s="4">
        <f t="shared" si="0"/>
        <v>0</v>
      </c>
    </row>
    <row r="15" spans="1:14" x14ac:dyDescent="0.2">
      <c r="A15" s="1">
        <v>2030</v>
      </c>
      <c r="B15" s="4">
        <f>('EIA Costs'!$D$4*INDEX('Cost Improvement and Off Wnd'!$B$118:$AL$126,MATCH("coal",'Cost Improvement and Off Wnd'!$A$118:$A$126,0),MATCH('CCaMC-BCCpUC'!$A15,'Cost Improvement and Off Wnd'!$B$117:$AL$117,0))*1000*About!$A$69)*(USD_to_CAN)</f>
        <v>5931145.8108058982</v>
      </c>
      <c r="C15" s="4">
        <f>('EIA Costs'!$D$6*INDEX('Cost Improvement and Off Wnd'!$B$118:$AL$126,MATCH("natural gas nonpeaker",'Cost Improvement and Off Wnd'!$A$118:$A$126,0),MATCH('CCaMC-BCCpUC'!$A15,'Cost Improvement and Off Wnd'!$B$117:$AL$117,0))*1000*About!$A$69)*(USD_to_CAN)</f>
        <v>963018.75542802387</v>
      </c>
      <c r="D15" s="4">
        <f t="shared" si="1"/>
        <v>1210320.2815341477</v>
      </c>
      <c r="E15" s="4">
        <f>('EIA Costs'!$D$17*INDEX('Cost Improvement and Off Wnd'!$B$118:$AL$126,MATCH("hydro",'Cost Improvement and Off Wnd'!$A$118:$A$126,0),MATCH('CCaMC-BCCpUC'!$A15,'Cost Improvement and Off Wnd'!$B$117:$AL$117,0))*1000*About!$A$69)*(USD_to_CAN)</f>
        <v>2481352.2925700801</v>
      </c>
      <c r="F15" s="4">
        <v>0</v>
      </c>
      <c r="G15" s="4">
        <v>0</v>
      </c>
      <c r="H15" s="4">
        <f>('EIA Costs'!$D$20*INDEX('Cost Improvement and Off Wnd'!$B$118:$AL$126,MATCH("solar thermal",'Cost Improvement and Off Wnd'!$A$118:$A$126,0),MATCH('CCaMC-BCCpUC'!$A15,'Cost Improvement and Off Wnd'!$B$117:$AL$117,0))*1000*About!$A$69)*(USD_to_CAN)</f>
        <v>2547922.3752675196</v>
      </c>
      <c r="I15" s="4">
        <f>('EIA Costs'!$D$14*INDEX('Cost Improvement and Off Wnd'!$B$118:$AL$126,MATCH("biomass",'Cost Improvement and Off Wnd'!$A$118:$A$126,0),MATCH('CCaMC-BCCpUC'!$A15,'Cost Improvement and Off Wnd'!$B$117:$AL$117,0))*1000*About!$A$69)*(USD_to_CAN)</f>
        <v>3555561.4442966296</v>
      </c>
      <c r="J15" s="4">
        <f>('EIA Costs'!$D$15*INDEX('Cost Improvement and Off Wnd'!$B$118:$AL$126,MATCH("geothermal",'Cost Improvement and Off Wnd'!$A$118:$A$126,0),MATCH('CCaMC-BCCpUC'!$A15,'Cost Improvement and Off Wnd'!$B$117:$AL$117,0))*1000*About!$A$69)*(USD_to_CAN)</f>
        <v>2428121.4601331009</v>
      </c>
      <c r="K15" s="4">
        <f>('EIA Costs'!$D$9*INDEX('Cost Improvement and Off Wnd'!$B$118:$AL$126,MATCH("natural gas peaker",'Cost Improvement and Off Wnd'!$A$118:$A$126,0),MATCH('CCaMC-BCCpUC'!$A15,'Cost Improvement and Off Wnd'!$B$117:$AL$117,0))*1000*About!$A$69)*(USD_to_CAN)</f>
        <v>631933.48429956823</v>
      </c>
      <c r="L15" s="4">
        <f>('EIA Costs'!$D$9*INDEX('Cost Improvement and Off Wnd'!$B$118:$AL$126,MATCH("natural gas peaker",'Cost Improvement and Off Wnd'!$A$118:$A$126,0),MATCH('CCaMC-BCCpUC'!$A15,'Cost Improvement and Off Wnd'!$B$117:$AL$117,0))*1000*About!$A$69)*(USD_to_CAN)</f>
        <v>631933.48429956823</v>
      </c>
      <c r="M15" s="4">
        <f>'AB Gen and Cap Costs'!$F$10*'AB Gen and Cap Costs'!$B$21*1000</f>
        <v>218250</v>
      </c>
      <c r="N15" s="4">
        <f t="shared" si="0"/>
        <v>0</v>
      </c>
    </row>
    <row r="16" spans="1:14" x14ac:dyDescent="0.2">
      <c r="A16" s="1">
        <v>2031</v>
      </c>
      <c r="B16" s="4">
        <f>('EIA Costs'!$D$4*INDEX('Cost Improvement and Off Wnd'!$B$118:$AL$126,MATCH("coal",'Cost Improvement and Off Wnd'!$A$118:$A$126,0),MATCH('CCaMC-BCCpUC'!$A16,'Cost Improvement and Off Wnd'!$B$117:$AL$117,0))*1000*About!$A$69)*(USD_to_CAN)</f>
        <v>5891250.3115733042</v>
      </c>
      <c r="C16" s="4">
        <f>('EIA Costs'!$D$6*INDEX('Cost Improvement and Off Wnd'!$B$118:$AL$126,MATCH("natural gas nonpeaker",'Cost Improvement and Off Wnd'!$A$118:$A$126,0),MATCH('CCaMC-BCCpUC'!$A16,'Cost Improvement and Off Wnd'!$B$117:$AL$117,0))*1000*About!$A$69)*(USD_to_CAN)</f>
        <v>958678.11811029026</v>
      </c>
      <c r="D16" s="4">
        <f t="shared" si="1"/>
        <v>1204864.9761718942</v>
      </c>
      <c r="E16" s="4">
        <f>('EIA Costs'!$D$17*INDEX('Cost Improvement and Off Wnd'!$B$118:$AL$126,MATCH("hydro",'Cost Improvement and Off Wnd'!$A$118:$A$126,0),MATCH('CCaMC-BCCpUC'!$A16,'Cost Improvement and Off Wnd'!$B$117:$AL$117,0))*1000*About!$A$69)*(USD_to_CAN)</f>
        <v>2467010.4343437897</v>
      </c>
      <c r="F16" s="4">
        <v>0</v>
      </c>
      <c r="G16" s="4">
        <v>0</v>
      </c>
      <c r="H16" s="4">
        <f>('EIA Costs'!$D$20*INDEX('Cost Improvement and Off Wnd'!$B$118:$AL$126,MATCH("solar thermal",'Cost Improvement and Off Wnd'!$A$118:$A$126,0),MATCH('CCaMC-BCCpUC'!$A16,'Cost Improvement and Off Wnd'!$B$117:$AL$117,0))*1000*About!$A$69)*(USD_to_CAN)</f>
        <v>2540302.6624595826</v>
      </c>
      <c r="I16" s="4">
        <f>('EIA Costs'!$D$14*INDEX('Cost Improvement and Off Wnd'!$B$118:$AL$126,MATCH("biomass",'Cost Improvement and Off Wnd'!$A$118:$A$126,0),MATCH('CCaMC-BCCpUC'!$A16,'Cost Improvement and Off Wnd'!$B$117:$AL$117,0))*1000*About!$A$69)*(USD_to_CAN)</f>
        <v>3545260.5056957193</v>
      </c>
      <c r="J16" s="4">
        <f>('EIA Costs'!$D$15*INDEX('Cost Improvement and Off Wnd'!$B$118:$AL$126,MATCH("geothermal",'Cost Improvement and Off Wnd'!$A$118:$A$126,0),MATCH('CCaMC-BCCpUC'!$A16,'Cost Improvement and Off Wnd'!$B$117:$AL$117,0))*1000*About!$A$69)*(USD_to_CAN)</f>
        <v>2423970.8251585141</v>
      </c>
      <c r="K16" s="4">
        <f>('EIA Costs'!$D$9*INDEX('Cost Improvement and Off Wnd'!$B$118:$AL$126,MATCH("natural gas peaker",'Cost Improvement and Off Wnd'!$A$118:$A$126,0),MATCH('CCaMC-BCCpUC'!$A16,'Cost Improvement and Off Wnd'!$B$117:$AL$117,0))*1000*About!$A$69)*(USD_to_CAN)</f>
        <v>628837.96148214454</v>
      </c>
      <c r="L16" s="4">
        <f>('EIA Costs'!$D$9*INDEX('Cost Improvement and Off Wnd'!$B$118:$AL$126,MATCH("natural gas peaker",'Cost Improvement and Off Wnd'!$A$118:$A$126,0),MATCH('CCaMC-BCCpUC'!$A16,'Cost Improvement and Off Wnd'!$B$117:$AL$117,0))*1000*About!$A$69)*(USD_to_CAN)</f>
        <v>628837.96148214454</v>
      </c>
      <c r="M16" s="4">
        <f>'AB Gen and Cap Costs'!$F$10*'AB Gen and Cap Costs'!$B$21*1000</f>
        <v>218250</v>
      </c>
      <c r="N16" s="4">
        <f t="shared" si="0"/>
        <v>0</v>
      </c>
    </row>
    <row r="17" spans="1:14" x14ac:dyDescent="0.2">
      <c r="A17" s="1">
        <v>2032</v>
      </c>
      <c r="B17" s="4">
        <f>('EIA Costs'!$D$4*INDEX('Cost Improvement and Off Wnd'!$B$118:$AL$126,MATCH("coal",'Cost Improvement and Off Wnd'!$A$118:$A$126,0),MATCH('CCaMC-BCCpUC'!$A17,'Cost Improvement and Off Wnd'!$B$117:$AL$117,0))*1000*About!$A$69)*(USD_to_CAN)</f>
        <v>5857306.4326645313</v>
      </c>
      <c r="C17" s="4">
        <f>('EIA Costs'!$D$6*INDEX('Cost Improvement and Off Wnd'!$B$118:$AL$126,MATCH("natural gas nonpeaker",'Cost Improvement and Off Wnd'!$A$118:$A$126,0),MATCH('CCaMC-BCCpUC'!$A17,'Cost Improvement and Off Wnd'!$B$117:$AL$117,0))*1000*About!$A$69)*(USD_to_CAN)</f>
        <v>955224.36670141632</v>
      </c>
      <c r="D17" s="4">
        <f t="shared" si="1"/>
        <v>1200524.3074632362</v>
      </c>
      <c r="E17" s="4">
        <f>('EIA Costs'!$D$17*INDEX('Cost Improvement and Off Wnd'!$B$118:$AL$126,MATCH("hydro",'Cost Improvement and Off Wnd'!$A$118:$A$126,0),MATCH('CCaMC-BCCpUC'!$A17,'Cost Improvement and Off Wnd'!$B$117:$AL$117,0))*1000*About!$A$69)*(USD_to_CAN)</f>
        <v>2452668.5761175007</v>
      </c>
      <c r="F17" s="4">
        <v>0</v>
      </c>
      <c r="G17" s="4">
        <v>0</v>
      </c>
      <c r="H17" s="4">
        <f>('EIA Costs'!$D$20*INDEX('Cost Improvement and Off Wnd'!$B$118:$AL$126,MATCH("solar thermal",'Cost Improvement and Off Wnd'!$A$118:$A$126,0),MATCH('CCaMC-BCCpUC'!$A17,'Cost Improvement and Off Wnd'!$B$117:$AL$117,0))*1000*About!$A$69)*(USD_to_CAN)</f>
        <v>2533139.1408923659</v>
      </c>
      <c r="I17" s="4">
        <f>('EIA Costs'!$D$14*INDEX('Cost Improvement and Off Wnd'!$B$118:$AL$126,MATCH("biomass",'Cost Improvement and Off Wnd'!$A$118:$A$126,0),MATCH('CCaMC-BCCpUC'!$A17,'Cost Improvement and Off Wnd'!$B$117:$AL$117,0))*1000*About!$A$69)*(USD_to_CAN)</f>
        <v>3534963.6997064035</v>
      </c>
      <c r="J17" s="4">
        <f>('EIA Costs'!$D$15*INDEX('Cost Improvement and Off Wnd'!$B$118:$AL$126,MATCH("geothermal",'Cost Improvement and Off Wnd'!$A$118:$A$126,0),MATCH('CCaMC-BCCpUC'!$A17,'Cost Improvement and Off Wnd'!$B$117:$AL$117,0))*1000*About!$A$69)*(USD_to_CAN)</f>
        <v>2419820.1901839278</v>
      </c>
      <c r="K17" s="4">
        <f>('EIA Costs'!$D$9*INDEX('Cost Improvement and Off Wnd'!$B$118:$AL$126,MATCH("natural gas peaker",'Cost Improvement and Off Wnd'!$A$118:$A$126,0),MATCH('CCaMC-BCCpUC'!$A17,'Cost Improvement and Off Wnd'!$B$117:$AL$117,0))*1000*About!$A$69)*(USD_to_CAN)</f>
        <v>626443.21127413108</v>
      </c>
      <c r="L17" s="4">
        <f>('EIA Costs'!$D$9*INDEX('Cost Improvement and Off Wnd'!$B$118:$AL$126,MATCH("natural gas peaker",'Cost Improvement and Off Wnd'!$A$118:$A$126,0),MATCH('CCaMC-BCCpUC'!$A17,'Cost Improvement and Off Wnd'!$B$117:$AL$117,0))*1000*About!$A$69)*(USD_to_CAN)</f>
        <v>626443.21127413108</v>
      </c>
      <c r="M17" s="4">
        <f>'AB Gen and Cap Costs'!$F$10*'AB Gen and Cap Costs'!$B$21*1000</f>
        <v>218250</v>
      </c>
      <c r="N17" s="4">
        <f t="shared" si="0"/>
        <v>0</v>
      </c>
    </row>
    <row r="18" spans="1:14" x14ac:dyDescent="0.2">
      <c r="A18" s="1">
        <v>2033</v>
      </c>
      <c r="B18" s="4">
        <f>('EIA Costs'!$D$4*INDEX('Cost Improvement and Off Wnd'!$B$118:$AL$126,MATCH("coal",'Cost Improvement and Off Wnd'!$A$118:$A$126,0),MATCH('CCaMC-BCCpUC'!$A18,'Cost Improvement and Off Wnd'!$B$117:$AL$117,0))*1000*About!$A$69)*(USD_to_CAN)</f>
        <v>5815475.4053020934</v>
      </c>
      <c r="C18" s="4">
        <f>('EIA Costs'!$D$6*INDEX('Cost Improvement and Off Wnd'!$B$118:$AL$126,MATCH("natural gas nonpeaker",'Cost Improvement and Off Wnd'!$A$118:$A$126,0),MATCH('CCaMC-BCCpUC'!$A18,'Cost Improvement and Off Wnd'!$B$117:$AL$117,0))*1000*About!$A$69)*(USD_to_CAN)</f>
        <v>952154.54539908445</v>
      </c>
      <c r="D18" s="4">
        <f t="shared" si="1"/>
        <v>1196666.1614386071</v>
      </c>
      <c r="E18" s="4">
        <f>('EIA Costs'!$D$17*INDEX('Cost Improvement and Off Wnd'!$B$118:$AL$126,MATCH("hydro",'Cost Improvement and Off Wnd'!$A$118:$A$126,0),MATCH('CCaMC-BCCpUC'!$A18,'Cost Improvement and Off Wnd'!$B$117:$AL$117,0))*1000*About!$A$69)*(USD_to_CAN)</f>
        <v>2438333.1242395733</v>
      </c>
      <c r="F18" s="4">
        <v>0</v>
      </c>
      <c r="G18" s="4">
        <v>0</v>
      </c>
      <c r="H18" s="4">
        <f>('EIA Costs'!$D$20*INDEX('Cost Improvement and Off Wnd'!$B$118:$AL$126,MATCH("solar thermal",'Cost Improvement and Off Wnd'!$A$118:$A$126,0),MATCH('CCaMC-BCCpUC'!$A18,'Cost Improvement and Off Wnd'!$B$117:$AL$117,0))*1000*About!$A$69)*(USD_to_CAN)</f>
        <v>2526383.5767237623</v>
      </c>
      <c r="I18" s="4">
        <f>('EIA Costs'!$D$14*INDEX('Cost Improvement and Off Wnd'!$B$118:$AL$126,MATCH("biomass",'Cost Improvement and Off Wnd'!$A$118:$A$126,0),MATCH('CCaMC-BCCpUC'!$A18,'Cost Improvement and Off Wnd'!$B$117:$AL$117,0))*1000*About!$A$69)*(USD_to_CAN)</f>
        <v>3524666.5743593997</v>
      </c>
      <c r="J18" s="4">
        <f>('EIA Costs'!$D$15*INDEX('Cost Improvement and Off Wnd'!$B$118:$AL$126,MATCH("geothermal",'Cost Improvement and Off Wnd'!$A$118:$A$126,0),MATCH('CCaMC-BCCpUC'!$A18,'Cost Improvement and Off Wnd'!$B$117:$AL$117,0))*1000*About!$A$69)*(USD_to_CAN)</f>
        <v>2415669.5552093415</v>
      </c>
      <c r="K18" s="4">
        <f>('EIA Costs'!$D$9*INDEX('Cost Improvement and Off Wnd'!$B$118:$AL$126,MATCH("natural gas peaker",'Cost Improvement and Off Wnd'!$A$118:$A$126,0),MATCH('CCaMC-BCCpUC'!$A18,'Cost Improvement and Off Wnd'!$B$117:$AL$117,0))*1000*About!$A$69)*(USD_to_CAN)</f>
        <v>624351.68212233088</v>
      </c>
      <c r="L18" s="4">
        <f>('EIA Costs'!$D$9*INDEX('Cost Improvement and Off Wnd'!$B$118:$AL$126,MATCH("natural gas peaker",'Cost Improvement and Off Wnd'!$A$118:$A$126,0),MATCH('CCaMC-BCCpUC'!$A18,'Cost Improvement and Off Wnd'!$B$117:$AL$117,0))*1000*About!$A$69)*(USD_to_CAN)</f>
        <v>624351.68212233088</v>
      </c>
      <c r="M18" s="4">
        <f>'AB Gen and Cap Costs'!$F$10*'AB Gen and Cap Costs'!$B$21*1000</f>
        <v>218250</v>
      </c>
      <c r="N18" s="4">
        <f t="shared" si="0"/>
        <v>0</v>
      </c>
    </row>
    <row r="19" spans="1:14" x14ac:dyDescent="0.2">
      <c r="A19" s="1">
        <v>2034</v>
      </c>
      <c r="B19" s="4">
        <f>('EIA Costs'!$D$4*INDEX('Cost Improvement and Off Wnd'!$B$118:$AL$126,MATCH("coal",'Cost Improvement and Off Wnd'!$A$118:$A$126,0),MATCH('CCaMC-BCCpUC'!$A19,'Cost Improvement and Off Wnd'!$B$117:$AL$117,0))*1000*About!$A$69)*(USD_to_CAN)</f>
        <v>5778548.2651794432</v>
      </c>
      <c r="C19" s="4">
        <f>('EIA Costs'!$D$6*INDEX('Cost Improvement and Off Wnd'!$B$118:$AL$126,MATCH("natural gas nonpeaker",'Cost Improvement and Off Wnd'!$A$118:$A$126,0),MATCH('CCaMC-BCCpUC'!$A19,'Cost Improvement and Off Wnd'!$B$117:$AL$117,0))*1000*About!$A$69)*(USD_to_CAN)</f>
        <v>949040.14822342538</v>
      </c>
      <c r="D19" s="4">
        <f t="shared" si="1"/>
        <v>1192751.99253462</v>
      </c>
      <c r="E19" s="4">
        <f>('EIA Costs'!$D$17*INDEX('Cost Improvement and Off Wnd'!$B$118:$AL$126,MATCH("hydro",'Cost Improvement and Off Wnd'!$A$118:$A$126,0),MATCH('CCaMC-BCCpUC'!$A19,'Cost Improvement and Off Wnd'!$B$117:$AL$117,0))*1000*About!$A$69)*(USD_to_CAN)</f>
        <v>2423997.6723616458</v>
      </c>
      <c r="F19" s="4">
        <v>0</v>
      </c>
      <c r="G19" s="4">
        <v>0</v>
      </c>
      <c r="H19" s="4">
        <f>('EIA Costs'!$D$20*INDEX('Cost Improvement and Off Wnd'!$B$118:$AL$126,MATCH("solar thermal",'Cost Improvement and Off Wnd'!$A$118:$A$126,0),MATCH('CCaMC-BCCpUC'!$A19,'Cost Improvement and Off Wnd'!$B$117:$AL$117,0))*1000*About!$A$69)*(USD_to_CAN)</f>
        <v>2519994.9577643387</v>
      </c>
      <c r="I19" s="4">
        <f>('EIA Costs'!$D$14*INDEX('Cost Improvement and Off Wnd'!$B$118:$AL$126,MATCH("biomass",'Cost Improvement and Off Wnd'!$A$118:$A$126,0),MATCH('CCaMC-BCCpUC'!$A19,'Cost Improvement and Off Wnd'!$B$117:$AL$117,0))*1000*About!$A$69)*(USD_to_CAN)</f>
        <v>3514367.8852897156</v>
      </c>
      <c r="J19" s="4">
        <f>('EIA Costs'!$D$15*INDEX('Cost Improvement and Off Wnd'!$B$118:$AL$126,MATCH("geothermal",'Cost Improvement and Off Wnd'!$A$118:$A$126,0),MATCH('CCaMC-BCCpUC'!$A19,'Cost Improvement and Off Wnd'!$B$117:$AL$117,0))*1000*About!$A$69)*(USD_to_CAN)</f>
        <v>2411518.9202347547</v>
      </c>
      <c r="K19" s="4">
        <f>('EIA Costs'!$D$9*INDEX('Cost Improvement and Off Wnd'!$B$118:$AL$126,MATCH("natural gas peaker",'Cost Improvement and Off Wnd'!$A$118:$A$126,0),MATCH('CCaMC-BCCpUC'!$A19,'Cost Improvement and Off Wnd'!$B$117:$AL$117,0))*1000*About!$A$69)*(USD_to_CAN)</f>
        <v>622225.02496427251</v>
      </c>
      <c r="L19" s="4">
        <f>('EIA Costs'!$D$9*INDEX('Cost Improvement and Off Wnd'!$B$118:$AL$126,MATCH("natural gas peaker",'Cost Improvement and Off Wnd'!$A$118:$A$126,0),MATCH('CCaMC-BCCpUC'!$A19,'Cost Improvement and Off Wnd'!$B$117:$AL$117,0))*1000*About!$A$69)*(USD_to_CAN)</f>
        <v>622225.02496427251</v>
      </c>
      <c r="M19" s="4">
        <f>'AB Gen and Cap Costs'!$F$10*'AB Gen and Cap Costs'!$B$21*1000</f>
        <v>218250</v>
      </c>
      <c r="N19" s="4">
        <f t="shared" si="0"/>
        <v>0</v>
      </c>
    </row>
    <row r="20" spans="1:14" x14ac:dyDescent="0.2">
      <c r="A20" s="1">
        <v>2035</v>
      </c>
      <c r="B20" s="4">
        <f>('EIA Costs'!$D$4*INDEX('Cost Improvement and Off Wnd'!$B$118:$AL$126,MATCH("coal",'Cost Improvement and Off Wnd'!$A$118:$A$126,0),MATCH('CCaMC-BCCpUC'!$A20,'Cost Improvement and Off Wnd'!$B$117:$AL$117,0))*1000*About!$A$69)*(USD_to_CAN)</f>
        <v>5743280.5529280286</v>
      </c>
      <c r="C20" s="4">
        <f>('EIA Costs'!$D$6*INDEX('Cost Improvement and Off Wnd'!$B$118:$AL$126,MATCH("natural gas nonpeaker",'Cost Improvement and Off Wnd'!$A$118:$A$126,0),MATCH('CCaMC-BCCpUC'!$A20,'Cost Improvement and Off Wnd'!$B$117:$AL$117,0))*1000*About!$A$69)*(USD_to_CAN)</f>
        <v>945545.95793122007</v>
      </c>
      <c r="D20" s="4">
        <f t="shared" si="1"/>
        <v>1188360.5003083693</v>
      </c>
      <c r="E20" s="4">
        <f>('EIA Costs'!$D$17*INDEX('Cost Improvement and Off Wnd'!$B$118:$AL$126,MATCH("hydro",'Cost Improvement and Off Wnd'!$A$118:$A$126,0),MATCH('CCaMC-BCCpUC'!$A20,'Cost Improvement and Off Wnd'!$B$117:$AL$117,0))*1000*About!$A$69)*(USD_to_CAN)</f>
        <v>2409668.5963014285</v>
      </c>
      <c r="F20" s="4">
        <v>0</v>
      </c>
      <c r="G20" s="4">
        <v>0</v>
      </c>
      <c r="H20" s="4">
        <f>('EIA Costs'!$D$20*INDEX('Cost Improvement and Off Wnd'!$B$118:$AL$126,MATCH("solar thermal",'Cost Improvement and Off Wnd'!$A$118:$A$126,0),MATCH('CCaMC-BCCpUC'!$A20,'Cost Improvement and Off Wnd'!$B$117:$AL$117,0))*1000*About!$A$69)*(USD_to_CAN)</f>
        <v>2513938.1192024327</v>
      </c>
      <c r="I20" s="4">
        <f>('EIA Costs'!$D$14*INDEX('Cost Improvement and Off Wnd'!$B$118:$AL$126,MATCH("biomass",'Cost Improvement and Off Wnd'!$A$118:$A$126,0),MATCH('CCaMC-BCCpUC'!$A20,'Cost Improvement and Off Wnd'!$B$117:$AL$117,0))*1000*About!$A$69)*(USD_to_CAN)</f>
        <v>3504069.057656019</v>
      </c>
      <c r="J20" s="4">
        <f>('EIA Costs'!$D$15*INDEX('Cost Improvement and Off Wnd'!$B$118:$AL$126,MATCH("geothermal",'Cost Improvement and Off Wnd'!$A$118:$A$126,0),MATCH('CCaMC-BCCpUC'!$A20,'Cost Improvement and Off Wnd'!$B$117:$AL$117,0))*1000*About!$A$69)*(USD_to_CAN)</f>
        <v>2407368.2852601679</v>
      </c>
      <c r="K20" s="4">
        <f>('EIA Costs'!$D$9*INDEX('Cost Improvement and Off Wnd'!$B$118:$AL$126,MATCH("natural gas peaker",'Cost Improvement and Off Wnd'!$A$118:$A$126,0),MATCH('CCaMC-BCCpUC'!$A20,'Cost Improvement and Off Wnd'!$B$117:$AL$117,0))*1000*About!$A$69)*(USD_to_CAN)</f>
        <v>619798.28107551462</v>
      </c>
      <c r="L20" s="4">
        <f>('EIA Costs'!$D$9*INDEX('Cost Improvement and Off Wnd'!$B$118:$AL$126,MATCH("natural gas peaker",'Cost Improvement and Off Wnd'!$A$118:$A$126,0),MATCH('CCaMC-BCCpUC'!$A20,'Cost Improvement and Off Wnd'!$B$117:$AL$117,0))*1000*About!$A$69)*(USD_to_CAN)</f>
        <v>619798.28107551462</v>
      </c>
      <c r="M20" s="4">
        <f>'AB Gen and Cap Costs'!$F$10*'AB Gen and Cap Costs'!$B$21*1000</f>
        <v>218250</v>
      </c>
      <c r="N20" s="4">
        <f t="shared" si="0"/>
        <v>0</v>
      </c>
    </row>
    <row r="21" spans="1:14" x14ac:dyDescent="0.2">
      <c r="A21" s="1">
        <v>2036</v>
      </c>
      <c r="B21" s="4">
        <f>('EIA Costs'!$D$4*INDEX('Cost Improvement and Off Wnd'!$B$118:$AL$126,MATCH("coal",'Cost Improvement and Off Wnd'!$A$118:$A$126,0),MATCH('CCaMC-BCCpUC'!$A21,'Cost Improvement and Off Wnd'!$B$117:$AL$117,0))*1000*About!$A$69)*(USD_to_CAN)</f>
        <v>5709234.4860168453</v>
      </c>
      <c r="C21" s="4">
        <f>('EIA Costs'!$D$6*INDEX('Cost Improvement and Off Wnd'!$B$118:$AL$126,MATCH("natural gas nonpeaker",'Cost Improvement and Off Wnd'!$A$118:$A$126,0),MATCH('CCaMC-BCCpUC'!$A21,'Cost Improvement and Off Wnd'!$B$117:$AL$117,0))*1000*About!$A$69)*(USD_to_CAN)</f>
        <v>942028.09621403518</v>
      </c>
      <c r="D21" s="4">
        <f t="shared" si="1"/>
        <v>1183939.2578767522</v>
      </c>
      <c r="E21" s="4">
        <f>('EIA Costs'!$D$17*INDEX('Cost Improvement and Off Wnd'!$B$118:$AL$126,MATCH("hydro",'Cost Improvement and Off Wnd'!$A$118:$A$126,0),MATCH('CCaMC-BCCpUC'!$A21,'Cost Improvement and Off Wnd'!$B$117:$AL$117,0))*1000*About!$A$69)*(USD_to_CAN)</f>
        <v>2404999.5802314463</v>
      </c>
      <c r="F21" s="4">
        <v>0</v>
      </c>
      <c r="G21" s="4">
        <v>0</v>
      </c>
      <c r="H21" s="4">
        <f>('EIA Costs'!$D$20*INDEX('Cost Improvement and Off Wnd'!$B$118:$AL$126,MATCH("solar thermal",'Cost Improvement and Off Wnd'!$A$118:$A$126,0),MATCH('CCaMC-BCCpUC'!$A21,'Cost Improvement and Off Wnd'!$B$117:$AL$117,0))*1000*About!$A$69)*(USD_to_CAN)</f>
        <v>2508182.6815949809</v>
      </c>
      <c r="I21" s="4">
        <f>('EIA Costs'!$D$14*INDEX('Cost Improvement and Off Wnd'!$B$118:$AL$126,MATCH("biomass",'Cost Improvement and Off Wnd'!$A$118:$A$126,0),MATCH('CCaMC-BCCpUC'!$A21,'Cost Improvement and Off Wnd'!$B$117:$AL$117,0))*1000*About!$A$69)*(USD_to_CAN)</f>
        <v>3493769.4323484274</v>
      </c>
      <c r="J21" s="4">
        <f>('EIA Costs'!$D$15*INDEX('Cost Improvement and Off Wnd'!$B$118:$AL$126,MATCH("geothermal",'Cost Improvement and Off Wnd'!$A$118:$A$126,0),MATCH('CCaMC-BCCpUC'!$A21,'Cost Improvement and Off Wnd'!$B$117:$AL$117,0))*1000*About!$A$69)*(USD_to_CAN)</f>
        <v>2403217.6502855811</v>
      </c>
      <c r="K21" s="4">
        <f>('EIA Costs'!$D$9*INDEX('Cost Improvement and Off Wnd'!$B$118:$AL$126,MATCH("natural gas peaker",'Cost Improvement and Off Wnd'!$A$118:$A$126,0),MATCH('CCaMC-BCCpUC'!$A21,'Cost Improvement and Off Wnd'!$B$117:$AL$117,0))*1000*About!$A$69)*(USD_to_CAN)</f>
        <v>617352.84511806886</v>
      </c>
      <c r="L21" s="4">
        <f>('EIA Costs'!$D$9*INDEX('Cost Improvement and Off Wnd'!$B$118:$AL$126,MATCH("natural gas peaker",'Cost Improvement and Off Wnd'!$A$118:$A$126,0),MATCH('CCaMC-BCCpUC'!$A21,'Cost Improvement and Off Wnd'!$B$117:$AL$117,0))*1000*About!$A$69)*(USD_to_CAN)</f>
        <v>617352.84511806886</v>
      </c>
      <c r="M21" s="4">
        <f>'AB Gen and Cap Costs'!$F$10*'AB Gen and Cap Costs'!$B$21*1000</f>
        <v>218250</v>
      </c>
      <c r="N21" s="4">
        <f t="shared" si="0"/>
        <v>0</v>
      </c>
    </row>
    <row r="22" spans="1:14" x14ac:dyDescent="0.2">
      <c r="A22" s="1">
        <v>2037</v>
      </c>
      <c r="B22" s="4">
        <f>('EIA Costs'!$D$4*INDEX('Cost Improvement and Off Wnd'!$B$118:$AL$126,MATCH("coal",'Cost Improvement and Off Wnd'!$A$118:$A$126,0),MATCH('CCaMC-BCCpUC'!$A22,'Cost Improvement and Off Wnd'!$B$117:$AL$117,0))*1000*About!$A$69)*(USD_to_CAN)</f>
        <v>5669334.8608558737</v>
      </c>
      <c r="C22" s="4">
        <f>('EIA Costs'!$D$6*INDEX('Cost Improvement and Off Wnd'!$B$118:$AL$126,MATCH("natural gas nonpeaker",'Cost Improvement and Off Wnd'!$A$118:$A$126,0),MATCH('CCaMC-BCCpUC'!$A22,'Cost Improvement and Off Wnd'!$B$117:$AL$117,0))*1000*About!$A$69)*(USD_to_CAN)</f>
        <v>938993.19908039412</v>
      </c>
      <c r="D22" s="4">
        <f t="shared" si="1"/>
        <v>1180125.0044860351</v>
      </c>
      <c r="E22" s="4">
        <f>('EIA Costs'!$D$17*INDEX('Cost Improvement and Off Wnd'!$B$118:$AL$126,MATCH("hydro",'Cost Improvement and Off Wnd'!$A$118:$A$126,0),MATCH('CCaMC-BCCpUC'!$A22,'Cost Improvement and Off Wnd'!$B$117:$AL$117,0))*1000*About!$A$69)*(USD_to_CAN)</f>
        <v>2400336.9069043021</v>
      </c>
      <c r="F22" s="4">
        <v>0</v>
      </c>
      <c r="G22" s="4">
        <v>0</v>
      </c>
      <c r="H22" s="4">
        <f>('EIA Costs'!$D$20*INDEX('Cost Improvement and Off Wnd'!$B$118:$AL$126,MATCH("solar thermal",'Cost Improvement and Off Wnd'!$A$118:$A$126,0),MATCH('CCaMC-BCCpUC'!$A22,'Cost Improvement and Off Wnd'!$B$117:$AL$117,0))*1000*About!$A$69)*(USD_to_CAN)</f>
        <v>2502702.2196876826</v>
      </c>
      <c r="I22" s="4">
        <f>('EIA Costs'!$D$14*INDEX('Cost Improvement and Off Wnd'!$B$118:$AL$126,MATCH("biomass",'Cost Improvement and Off Wnd'!$A$118:$A$126,0),MATCH('CCaMC-BCCpUC'!$A22,'Cost Improvement and Off Wnd'!$B$117:$AL$117,0))*1000*About!$A$69)*(USD_to_CAN)</f>
        <v>3483472.0777434604</v>
      </c>
      <c r="J22" s="4">
        <f>('EIA Costs'!$D$15*INDEX('Cost Improvement and Off Wnd'!$B$118:$AL$126,MATCH("geothermal",'Cost Improvement and Off Wnd'!$A$118:$A$126,0),MATCH('CCaMC-BCCpUC'!$A22,'Cost Improvement and Off Wnd'!$B$117:$AL$117,0))*1000*About!$A$69)*(USD_to_CAN)</f>
        <v>2399067.0153109948</v>
      </c>
      <c r="K22" s="4">
        <f>('EIA Costs'!$D$9*INDEX('Cost Improvement and Off Wnd'!$B$118:$AL$126,MATCH("natural gas peaker",'Cost Improvement and Off Wnd'!$A$118:$A$126,0),MATCH('CCaMC-BCCpUC'!$A22,'Cost Improvement and Off Wnd'!$B$117:$AL$117,0))*1000*About!$A$69)*(USD_to_CAN)</f>
        <v>615288.96325080341</v>
      </c>
      <c r="L22" s="4">
        <f>('EIA Costs'!$D$9*INDEX('Cost Improvement and Off Wnd'!$B$118:$AL$126,MATCH("natural gas peaker",'Cost Improvement and Off Wnd'!$A$118:$A$126,0),MATCH('CCaMC-BCCpUC'!$A22,'Cost Improvement and Off Wnd'!$B$117:$AL$117,0))*1000*About!$A$69)*(USD_to_CAN)</f>
        <v>615288.96325080341</v>
      </c>
      <c r="M22" s="4">
        <f>'AB Gen and Cap Costs'!$F$10*'AB Gen and Cap Costs'!$B$21*1000</f>
        <v>218250</v>
      </c>
      <c r="N22" s="4">
        <f t="shared" si="0"/>
        <v>0</v>
      </c>
    </row>
    <row r="23" spans="1:14" x14ac:dyDescent="0.2">
      <c r="A23" s="1">
        <v>2038</v>
      </c>
      <c r="B23" s="4">
        <f>('EIA Costs'!$D$4*INDEX('Cost Improvement and Off Wnd'!$B$118:$AL$126,MATCH("coal",'Cost Improvement and Off Wnd'!$A$118:$A$126,0),MATCH('CCaMC-BCCpUC'!$A23,'Cost Improvement and Off Wnd'!$B$117:$AL$117,0))*1000*About!$A$69)*(USD_to_CAN)</f>
        <v>5636189.8184180791</v>
      </c>
      <c r="C23" s="4">
        <f>('EIA Costs'!$D$6*INDEX('Cost Improvement and Off Wnd'!$B$118:$AL$126,MATCH("natural gas nonpeaker",'Cost Improvement and Off Wnd'!$A$118:$A$126,0),MATCH('CCaMC-BCCpUC'!$A23,'Cost Improvement and Off Wnd'!$B$117:$AL$117,0))*1000*About!$A$69)*(USD_to_CAN)</f>
        <v>935288.98986486392</v>
      </c>
      <c r="D23" s="4">
        <f t="shared" si="1"/>
        <v>1175469.5608455741</v>
      </c>
      <c r="E23" s="4">
        <f>('EIA Costs'!$D$17*INDEX('Cost Improvement and Off Wnd'!$B$118:$AL$126,MATCH("hydro",'Cost Improvement and Off Wnd'!$A$118:$A$126,0),MATCH('CCaMC-BCCpUC'!$A23,'Cost Improvement and Off Wnd'!$B$117:$AL$117,0))*1000*About!$A$69)*(USD_to_CAN)</f>
        <v>2395674.2335771583</v>
      </c>
      <c r="F23" s="4">
        <v>0</v>
      </c>
      <c r="G23" s="4">
        <v>0</v>
      </c>
      <c r="H23" s="4">
        <f>('EIA Costs'!$D$20*INDEX('Cost Improvement and Off Wnd'!$B$118:$AL$126,MATCH("solar thermal",'Cost Improvement and Off Wnd'!$A$118:$A$126,0),MATCH('CCaMC-BCCpUC'!$A23,'Cost Improvement and Off Wnd'!$B$117:$AL$117,0))*1000*About!$A$69)*(USD_to_CAN)</f>
        <v>2497473.6043636785</v>
      </c>
      <c r="I23" s="4">
        <f>('EIA Costs'!$D$14*INDEX('Cost Improvement and Off Wnd'!$B$118:$AL$126,MATCH("biomass",'Cost Improvement and Off Wnd'!$A$118:$A$126,0),MATCH('CCaMC-BCCpUC'!$A23,'Cost Improvement and Off Wnd'!$B$117:$AL$117,0))*1000*About!$A$69)*(USD_to_CAN)</f>
        <v>3473173.1132751969</v>
      </c>
      <c r="J23" s="4">
        <f>('EIA Costs'!$D$15*INDEX('Cost Improvement and Off Wnd'!$B$118:$AL$126,MATCH("geothermal",'Cost Improvement and Off Wnd'!$A$118:$A$126,0),MATCH('CCaMC-BCCpUC'!$A23,'Cost Improvement and Off Wnd'!$B$117:$AL$117,0))*1000*About!$A$69)*(USD_to_CAN)</f>
        <v>2394916.380336408</v>
      </c>
      <c r="K23" s="4">
        <f>('EIA Costs'!$D$9*INDEX('Cost Improvement and Off Wnd'!$B$118:$AL$126,MATCH("natural gas peaker",'Cost Improvement and Off Wnd'!$A$118:$A$126,0),MATCH('CCaMC-BCCpUC'!$A23,'Cost Improvement and Off Wnd'!$B$117:$AL$117,0))*1000*About!$A$69)*(USD_to_CAN)</f>
        <v>612696.37328382744</v>
      </c>
      <c r="L23" s="4">
        <f>('EIA Costs'!$D$9*INDEX('Cost Improvement and Off Wnd'!$B$118:$AL$126,MATCH("natural gas peaker",'Cost Improvement and Off Wnd'!$A$118:$A$126,0),MATCH('CCaMC-BCCpUC'!$A23,'Cost Improvement and Off Wnd'!$B$117:$AL$117,0))*1000*About!$A$69)*(USD_to_CAN)</f>
        <v>612696.37328382744</v>
      </c>
      <c r="M23" s="4">
        <f>'AB Gen and Cap Costs'!$F$10*'AB Gen and Cap Costs'!$B$21*1000</f>
        <v>218250</v>
      </c>
      <c r="N23" s="4">
        <f t="shared" si="0"/>
        <v>0</v>
      </c>
    </row>
    <row r="24" spans="1:14" x14ac:dyDescent="0.2">
      <c r="A24" s="1">
        <v>2039</v>
      </c>
      <c r="B24" s="4">
        <f>('EIA Costs'!$D$4*INDEX('Cost Improvement and Off Wnd'!$B$118:$AL$126,MATCH("coal",'Cost Improvement and Off Wnd'!$A$118:$A$126,0),MATCH('CCaMC-BCCpUC'!$A24,'Cost Improvement and Off Wnd'!$B$117:$AL$117,0))*1000*About!$A$69)*(USD_to_CAN)</f>
        <v>5599204.4953773422</v>
      </c>
      <c r="C24" s="4">
        <f>('EIA Costs'!$D$6*INDEX('Cost Improvement and Off Wnd'!$B$118:$AL$126,MATCH("natural gas nonpeaker",'Cost Improvement and Off Wnd'!$A$118:$A$126,0),MATCH('CCaMC-BCCpUC'!$A24,'Cost Improvement and Off Wnd'!$B$117:$AL$117,0))*1000*About!$A$69)*(USD_to_CAN)</f>
        <v>932249.59032996523</v>
      </c>
      <c r="D24" s="4">
        <f t="shared" si="1"/>
        <v>1171649.6488448589</v>
      </c>
      <c r="E24" s="4">
        <f>('EIA Costs'!$D$17*INDEX('Cost Improvement and Off Wnd'!$B$118:$AL$126,MATCH("hydro",'Cost Improvement and Off Wnd'!$A$118:$A$126,0),MATCH('CCaMC-BCCpUC'!$A24,'Cost Improvement and Off Wnd'!$B$117:$AL$117,0))*1000*About!$A$69)*(USD_to_CAN)</f>
        <v>2391017.8724622009</v>
      </c>
      <c r="F24" s="4">
        <v>0</v>
      </c>
      <c r="G24" s="4">
        <v>0</v>
      </c>
      <c r="H24" s="4">
        <f>('EIA Costs'!$D$20*INDEX('Cost Improvement and Off Wnd'!$B$118:$AL$126,MATCH("solar thermal",'Cost Improvement and Off Wnd'!$A$118:$A$126,0),MATCH('CCaMC-BCCpUC'!$A24,'Cost Improvement and Off Wnd'!$B$117:$AL$117,0))*1000*About!$A$69)*(USD_to_CAN)</f>
        <v>2492476.4761637938</v>
      </c>
      <c r="I24" s="4">
        <f>('EIA Costs'!$D$14*INDEX('Cost Improvement and Off Wnd'!$B$118:$AL$126,MATCH("biomass",'Cost Improvement and Off Wnd'!$A$118:$A$126,0),MATCH('CCaMC-BCCpUC'!$A24,'Cost Improvement and Off Wnd'!$B$117:$AL$117,0))*1000*About!$A$69)*(USD_to_CAN)</f>
        <v>3462876.0542458124</v>
      </c>
      <c r="J24" s="4">
        <f>('EIA Costs'!$D$15*INDEX('Cost Improvement and Off Wnd'!$B$118:$AL$126,MATCH("geothermal",'Cost Improvement and Off Wnd'!$A$118:$A$126,0),MATCH('CCaMC-BCCpUC'!$A24,'Cost Improvement and Off Wnd'!$B$117:$AL$117,0))*1000*About!$A$69)*(USD_to_CAN)</f>
        <v>2390765.7453618222</v>
      </c>
      <c r="K24" s="4">
        <f>('EIA Costs'!$D$9*INDEX('Cost Improvement and Off Wnd'!$B$118:$AL$126,MATCH("natural gas peaker",'Cost Improvement and Off Wnd'!$A$118:$A$126,0),MATCH('CCaMC-BCCpUC'!$A24,'Cost Improvement and Off Wnd'!$B$117:$AL$117,0))*1000*About!$A$69)*(USD_to_CAN)</f>
        <v>610628.85218188493</v>
      </c>
      <c r="L24" s="4">
        <f>('EIA Costs'!$D$9*INDEX('Cost Improvement and Off Wnd'!$B$118:$AL$126,MATCH("natural gas peaker",'Cost Improvement and Off Wnd'!$A$118:$A$126,0),MATCH('CCaMC-BCCpUC'!$A24,'Cost Improvement and Off Wnd'!$B$117:$AL$117,0))*1000*About!$A$69)*(USD_to_CAN)</f>
        <v>610628.85218188493</v>
      </c>
      <c r="M24" s="4">
        <f>'AB Gen and Cap Costs'!$F$10*'AB Gen and Cap Costs'!$B$21*1000</f>
        <v>218250</v>
      </c>
      <c r="N24" s="4">
        <f t="shared" si="0"/>
        <v>0</v>
      </c>
    </row>
    <row r="25" spans="1:14" x14ac:dyDescent="0.2">
      <c r="A25" s="1">
        <v>2040</v>
      </c>
      <c r="B25" s="4">
        <f>('EIA Costs'!$D$4*INDEX('Cost Improvement and Off Wnd'!$B$118:$AL$126,MATCH("coal",'Cost Improvement and Off Wnd'!$A$118:$A$126,0),MATCH('CCaMC-BCCpUC'!$A25,'Cost Improvement and Off Wnd'!$B$117:$AL$117,0))*1000*About!$A$69)*(USD_to_CAN)</f>
        <v>5564281.2962552141</v>
      </c>
      <c r="C25" s="4">
        <f>('EIA Costs'!$D$6*INDEX('Cost Improvement and Off Wnd'!$B$118:$AL$126,MATCH("natural gas nonpeaker",'Cost Improvement and Off Wnd'!$A$118:$A$126,0),MATCH('CCaMC-BCCpUC'!$A25,'Cost Improvement and Off Wnd'!$B$117:$AL$117,0))*1000*About!$A$69)*(USD_to_CAN)</f>
        <v>928767.96055464249</v>
      </c>
      <c r="D25" s="4">
        <f t="shared" si="1"/>
        <v>1167273.9426541801</v>
      </c>
      <c r="E25" s="4">
        <f>('EIA Costs'!$D$17*INDEX('Cost Improvement and Off Wnd'!$B$118:$AL$126,MATCH("hydro",'Cost Improvement and Off Wnd'!$A$118:$A$126,0),MATCH('CCaMC-BCCpUC'!$A25,'Cost Improvement and Off Wnd'!$B$117:$AL$117,0))*1000*About!$A$69)*(USD_to_CAN)</f>
        <v>2386361.511347244</v>
      </c>
      <c r="F25" s="4">
        <v>0</v>
      </c>
      <c r="G25" s="4">
        <v>0</v>
      </c>
      <c r="H25" s="4">
        <f>('EIA Costs'!$D$20*INDEX('Cost Improvement and Off Wnd'!$B$118:$AL$126,MATCH("solar thermal",'Cost Improvement and Off Wnd'!$A$118:$A$126,0),MATCH('CCaMC-BCCpUC'!$A25,'Cost Improvement and Off Wnd'!$B$117:$AL$117,0))*1000*About!$A$69)*(USD_to_CAN)</f>
        <v>2487692.8200126076</v>
      </c>
      <c r="I25" s="4">
        <f>('EIA Costs'!$D$14*INDEX('Cost Improvement and Off Wnd'!$B$118:$AL$126,MATCH("biomass",'Cost Improvement and Off Wnd'!$A$118:$A$126,0),MATCH('CCaMC-BCCpUC'!$A25,'Cost Improvement and Off Wnd'!$B$117:$AL$117,0))*1000*About!$A$69)*(USD_to_CAN)</f>
        <v>3452575.4000811679</v>
      </c>
      <c r="J25" s="4">
        <f>('EIA Costs'!$D$15*INDEX('Cost Improvement and Off Wnd'!$B$118:$AL$126,MATCH("geothermal",'Cost Improvement and Off Wnd'!$A$118:$A$126,0),MATCH('CCaMC-BCCpUC'!$A25,'Cost Improvement and Off Wnd'!$B$117:$AL$117,0))*1000*About!$A$69)*(USD_to_CAN)</f>
        <v>2386615.1103872359</v>
      </c>
      <c r="K25" s="4">
        <f>('EIA Costs'!$D$9*INDEX('Cost Improvement and Off Wnd'!$B$118:$AL$126,MATCH("natural gas peaker",'Cost Improvement and Off Wnd'!$A$118:$A$126,0),MATCH('CCaMC-BCCpUC'!$A25,'Cost Improvement and Off Wnd'!$B$117:$AL$117,0))*1000*About!$A$69)*(USD_to_CAN)</f>
        <v>608212.14930633293</v>
      </c>
      <c r="L25" s="4">
        <f>('EIA Costs'!$D$9*INDEX('Cost Improvement and Off Wnd'!$B$118:$AL$126,MATCH("natural gas peaker",'Cost Improvement and Off Wnd'!$A$118:$A$126,0),MATCH('CCaMC-BCCpUC'!$A25,'Cost Improvement and Off Wnd'!$B$117:$AL$117,0))*1000*About!$A$69)*(USD_to_CAN)</f>
        <v>608212.14930633293</v>
      </c>
      <c r="M25" s="4">
        <f>'AB Gen and Cap Costs'!$F$10*'AB Gen and Cap Costs'!$B$21*1000</f>
        <v>218250</v>
      </c>
      <c r="N25" s="4">
        <f t="shared" si="0"/>
        <v>0</v>
      </c>
    </row>
    <row r="26" spans="1:14" x14ac:dyDescent="0.2">
      <c r="A26" s="1">
        <v>2041</v>
      </c>
      <c r="B26" s="4">
        <f>('EIA Costs'!$D$4*INDEX('Cost Improvement and Off Wnd'!$B$118:$AL$126,MATCH("coal",'Cost Improvement and Off Wnd'!$A$118:$A$126,0),MATCH('CCaMC-BCCpUC'!$A26,'Cost Improvement and Off Wnd'!$B$117:$AL$117,0))*1000*About!$A$69)*(USD_to_CAN)</f>
        <v>5527594.8448001463</v>
      </c>
      <c r="C26" s="4">
        <f>('EIA Costs'!$D$6*INDEX('Cost Improvement and Off Wnd'!$B$118:$AL$126,MATCH("natural gas nonpeaker",'Cost Improvement and Off Wnd'!$A$118:$A$126,0),MATCH('CCaMC-BCCpUC'!$A26,'Cost Improvement and Off Wnd'!$B$117:$AL$117,0))*1000*About!$A$69)*(USD_to_CAN)</f>
        <v>925342.88106730429</v>
      </c>
      <c r="D26" s="4">
        <f t="shared" si="1"/>
        <v>1162969.3087661834</v>
      </c>
      <c r="E26" s="4">
        <f>('EIA Costs'!$D$17*INDEX('Cost Improvement and Off Wnd'!$B$118:$AL$126,MATCH("hydro",'Cost Improvement and Off Wnd'!$A$118:$A$126,0),MATCH('CCaMC-BCCpUC'!$A26,'Cost Improvement and Off Wnd'!$B$117:$AL$117,0))*1000*About!$A$69)*(USD_to_CAN)</f>
        <v>2381711.4268253813</v>
      </c>
      <c r="F26" s="4">
        <v>0</v>
      </c>
      <c r="G26" s="4">
        <v>0</v>
      </c>
      <c r="H26" s="4">
        <f>('EIA Costs'!$D$20*INDEX('Cost Improvement and Off Wnd'!$B$118:$AL$126,MATCH("solar thermal",'Cost Improvement and Off Wnd'!$A$118:$A$126,0),MATCH('CCaMC-BCCpUC'!$A26,'Cost Improvement and Off Wnd'!$B$117:$AL$117,0))*1000*About!$A$69)*(USD_to_CAN)</f>
        <v>2483106.618653201</v>
      </c>
      <c r="I26" s="4">
        <f>('EIA Costs'!$D$14*INDEX('Cost Improvement and Off Wnd'!$B$118:$AL$126,MATCH("biomass",'Cost Improvement and Off Wnd'!$A$118:$A$126,0),MATCH('CCaMC-BCCpUC'!$A26,'Cost Improvement and Off Wnd'!$B$117:$AL$117,0))*1000*About!$A$69)*(USD_to_CAN)</f>
        <v>3442276.7956596231</v>
      </c>
      <c r="J26" s="4">
        <f>('EIA Costs'!$D$15*INDEX('Cost Improvement and Off Wnd'!$B$118:$AL$126,MATCH("geothermal",'Cost Improvement and Off Wnd'!$A$118:$A$126,0),MATCH('CCaMC-BCCpUC'!$A26,'Cost Improvement and Off Wnd'!$B$117:$AL$117,0))*1000*About!$A$69)*(USD_to_CAN)</f>
        <v>2382464.4754126491</v>
      </c>
      <c r="K26" s="4">
        <f>('EIA Costs'!$D$9*INDEX('Cost Improvement and Off Wnd'!$B$118:$AL$126,MATCH("natural gas peaker",'Cost Improvement and Off Wnd'!$A$118:$A$126,0),MATCH('CCaMC-BCCpUC'!$A26,'Cost Improvement and Off Wnd'!$B$117:$AL$117,0))*1000*About!$A$69)*(USD_to_CAN)</f>
        <v>605840.01580700953</v>
      </c>
      <c r="L26" s="4">
        <f>('EIA Costs'!$D$9*INDEX('Cost Improvement and Off Wnd'!$B$118:$AL$126,MATCH("natural gas peaker",'Cost Improvement and Off Wnd'!$A$118:$A$126,0),MATCH('CCaMC-BCCpUC'!$A26,'Cost Improvement and Off Wnd'!$B$117:$AL$117,0))*1000*About!$A$69)*(USD_to_CAN)</f>
        <v>605840.01580700953</v>
      </c>
      <c r="M26" s="4">
        <f>'AB Gen and Cap Costs'!$F$10*'AB Gen and Cap Costs'!$B$21*1000</f>
        <v>218250</v>
      </c>
      <c r="N26" s="4">
        <f t="shared" si="0"/>
        <v>0</v>
      </c>
    </row>
    <row r="27" spans="1:14" x14ac:dyDescent="0.2">
      <c r="A27" s="1">
        <v>2042</v>
      </c>
      <c r="B27" s="4">
        <f>('EIA Costs'!$D$4*INDEX('Cost Improvement and Off Wnd'!$B$118:$AL$126,MATCH("coal",'Cost Improvement and Off Wnd'!$A$118:$A$126,0),MATCH('CCaMC-BCCpUC'!$A27,'Cost Improvement and Off Wnd'!$B$117:$AL$117,0))*1000*About!$A$69)*(USD_to_CAN)</f>
        <v>5490908.3933450775</v>
      </c>
      <c r="C27" s="4">
        <f>('EIA Costs'!$D$6*INDEX('Cost Improvement and Off Wnd'!$B$118:$AL$126,MATCH("natural gas nonpeaker",'Cost Improvement and Off Wnd'!$A$118:$A$126,0),MATCH('CCaMC-BCCpUC'!$A27,'Cost Improvement and Off Wnd'!$B$117:$AL$117,0))*1000*About!$A$69)*(USD_to_CAN)</f>
        <v>921917.80157996633</v>
      </c>
      <c r="D27" s="4">
        <f t="shared" si="1"/>
        <v>1158664.6748781868</v>
      </c>
      <c r="E27" s="4">
        <f>('EIA Costs'!$D$17*INDEX('Cost Improvement and Off Wnd'!$B$118:$AL$126,MATCH("hydro",'Cost Improvement and Off Wnd'!$A$118:$A$126,0),MATCH('CCaMC-BCCpUC'!$A27,'Cost Improvement and Off Wnd'!$B$117:$AL$117,0))*1000*About!$A$69)*(USD_to_CAN)</f>
        <v>2377061.3423035168</v>
      </c>
      <c r="F27" s="4">
        <v>0</v>
      </c>
      <c r="G27" s="4">
        <v>0</v>
      </c>
      <c r="H27" s="4">
        <f>('EIA Costs'!$D$20*INDEX('Cost Improvement and Off Wnd'!$B$118:$AL$126,MATCH("solar thermal",'Cost Improvement and Off Wnd'!$A$118:$A$126,0),MATCH('CCaMC-BCCpUC'!$A27,'Cost Improvement and Off Wnd'!$B$117:$AL$117,0))*1000*About!$A$69)*(USD_to_CAN)</f>
        <v>2478703.5679218224</v>
      </c>
      <c r="I27" s="4">
        <f>('EIA Costs'!$D$14*INDEX('Cost Improvement and Off Wnd'!$B$118:$AL$126,MATCH("biomass",'Cost Improvement and Off Wnd'!$A$118:$A$126,0),MATCH('CCaMC-BCCpUC'!$A27,'Cost Improvement and Off Wnd'!$B$117:$AL$117,0))*1000*About!$A$69)*(USD_to_CAN)</f>
        <v>3431978.191238076</v>
      </c>
      <c r="J27" s="4">
        <f>('EIA Costs'!$D$15*INDEX('Cost Improvement and Off Wnd'!$B$118:$AL$126,MATCH("geothermal",'Cost Improvement and Off Wnd'!$A$118:$A$126,0),MATCH('CCaMC-BCCpUC'!$A27,'Cost Improvement and Off Wnd'!$B$117:$AL$117,0))*1000*About!$A$69)*(USD_to_CAN)</f>
        <v>2378313.8404380623</v>
      </c>
      <c r="K27" s="4">
        <f>('EIA Costs'!$D$9*INDEX('Cost Improvement and Off Wnd'!$B$118:$AL$126,MATCH("natural gas peaker",'Cost Improvement and Off Wnd'!$A$118:$A$126,0),MATCH('CCaMC-BCCpUC'!$A27,'Cost Improvement and Off Wnd'!$B$117:$AL$117,0))*1000*About!$A$69)*(USD_to_CAN)</f>
        <v>603467.88230768603</v>
      </c>
      <c r="L27" s="4">
        <f>('EIA Costs'!$D$9*INDEX('Cost Improvement and Off Wnd'!$B$118:$AL$126,MATCH("natural gas peaker",'Cost Improvement and Off Wnd'!$A$118:$A$126,0),MATCH('CCaMC-BCCpUC'!$A27,'Cost Improvement and Off Wnd'!$B$117:$AL$117,0))*1000*About!$A$69)*(USD_to_CAN)</f>
        <v>603467.88230768603</v>
      </c>
      <c r="M27" s="4">
        <f>'AB Gen and Cap Costs'!$F$10*'AB Gen and Cap Costs'!$B$21*1000</f>
        <v>218250</v>
      </c>
      <c r="N27" s="4">
        <f t="shared" si="0"/>
        <v>0</v>
      </c>
    </row>
    <row r="28" spans="1:14" x14ac:dyDescent="0.2">
      <c r="A28" s="1">
        <v>2043</v>
      </c>
      <c r="B28" s="4">
        <f>('EIA Costs'!$D$4*INDEX('Cost Improvement and Off Wnd'!$B$118:$AL$126,MATCH("coal",'Cost Improvement and Off Wnd'!$A$118:$A$126,0),MATCH('CCaMC-BCCpUC'!$A28,'Cost Improvement and Off Wnd'!$B$117:$AL$117,0))*1000*About!$A$69)*(USD_to_CAN)</f>
        <v>5454221.9418900087</v>
      </c>
      <c r="C28" s="4">
        <f>('EIA Costs'!$D$6*INDEX('Cost Improvement and Off Wnd'!$B$118:$AL$126,MATCH("natural gas nonpeaker",'Cost Improvement and Off Wnd'!$A$118:$A$126,0),MATCH('CCaMC-BCCpUC'!$A28,'Cost Improvement and Off Wnd'!$B$117:$AL$117,0))*1000*About!$A$69)*(USD_to_CAN)</f>
        <v>918492.72209262801</v>
      </c>
      <c r="D28" s="4">
        <f t="shared" si="1"/>
        <v>1154360.0409901896</v>
      </c>
      <c r="E28" s="4">
        <f>('EIA Costs'!$D$17*INDEX('Cost Improvement and Off Wnd'!$B$118:$AL$126,MATCH("hydro",'Cost Improvement and Off Wnd'!$A$118:$A$126,0),MATCH('CCaMC-BCCpUC'!$A28,'Cost Improvement and Off Wnd'!$B$117:$AL$117,0))*1000*About!$A$69)*(USD_to_CAN)</f>
        <v>2372417.5038440963</v>
      </c>
      <c r="F28" s="4">
        <v>0</v>
      </c>
      <c r="G28" s="4">
        <v>0</v>
      </c>
      <c r="H28" s="4">
        <f>('EIA Costs'!$D$20*INDEX('Cost Improvement and Off Wnd'!$B$118:$AL$126,MATCH("solar thermal",'Cost Improvement and Off Wnd'!$A$118:$A$126,0),MATCH('CCaMC-BCCpUC'!$A28,'Cost Improvement and Off Wnd'!$B$117:$AL$117,0))*1000*About!$A$69)*(USD_to_CAN)</f>
        <v>2474470.8410664471</v>
      </c>
      <c r="I28" s="4">
        <f>('EIA Costs'!$D$14*INDEX('Cost Improvement and Off Wnd'!$B$118:$AL$126,MATCH("biomass",'Cost Improvement and Off Wnd'!$A$118:$A$126,0),MATCH('CCaMC-BCCpUC'!$A28,'Cost Improvement and Off Wnd'!$B$117:$AL$117,0))*1000*About!$A$69)*(USD_to_CAN)</f>
        <v>3421679.5868165302</v>
      </c>
      <c r="J28" s="4">
        <f>('EIA Costs'!$D$15*INDEX('Cost Improvement and Off Wnd'!$B$118:$AL$126,MATCH("geothermal",'Cost Improvement and Off Wnd'!$A$118:$A$126,0),MATCH('CCaMC-BCCpUC'!$A28,'Cost Improvement and Off Wnd'!$B$117:$AL$117,0))*1000*About!$A$69)*(USD_to_CAN)</f>
        <v>2374163.205463476</v>
      </c>
      <c r="K28" s="4">
        <f>('EIA Costs'!$D$9*INDEX('Cost Improvement and Off Wnd'!$B$118:$AL$126,MATCH("natural gas peaker",'Cost Improvement and Off Wnd'!$A$118:$A$126,0),MATCH('CCaMC-BCCpUC'!$A28,'Cost Improvement and Off Wnd'!$B$117:$AL$117,0))*1000*About!$A$69)*(USD_to_CAN)</f>
        <v>601095.74880836229</v>
      </c>
      <c r="L28" s="4">
        <f>('EIA Costs'!$D$9*INDEX('Cost Improvement and Off Wnd'!$B$118:$AL$126,MATCH("natural gas peaker",'Cost Improvement and Off Wnd'!$A$118:$A$126,0),MATCH('CCaMC-BCCpUC'!$A28,'Cost Improvement and Off Wnd'!$B$117:$AL$117,0))*1000*About!$A$69)*(USD_to_CAN)</f>
        <v>601095.74880836229</v>
      </c>
      <c r="M28" s="4">
        <f>'AB Gen and Cap Costs'!$F$10*'AB Gen and Cap Costs'!$B$21*1000</f>
        <v>218250</v>
      </c>
      <c r="N28" s="4">
        <f t="shared" si="0"/>
        <v>0</v>
      </c>
    </row>
    <row r="29" spans="1:14" x14ac:dyDescent="0.2">
      <c r="A29" s="1">
        <v>2044</v>
      </c>
      <c r="B29" s="4">
        <f>('EIA Costs'!$D$4*INDEX('Cost Improvement and Off Wnd'!$B$118:$AL$126,MATCH("coal",'Cost Improvement and Off Wnd'!$A$118:$A$126,0),MATCH('CCaMC-BCCpUC'!$A29,'Cost Improvement and Off Wnd'!$B$117:$AL$117,0))*1000*About!$A$69)*(USD_to_CAN)</f>
        <v>5417535.49043494</v>
      </c>
      <c r="C29" s="4">
        <f>('EIA Costs'!$D$6*INDEX('Cost Improvement and Off Wnd'!$B$118:$AL$126,MATCH("natural gas nonpeaker",'Cost Improvement and Off Wnd'!$A$118:$A$126,0),MATCH('CCaMC-BCCpUC'!$A29,'Cost Improvement and Off Wnd'!$B$117:$AL$117,0))*1000*About!$A$69)*(USD_to_CAN)</f>
        <v>915067.6426052897</v>
      </c>
      <c r="D29" s="4">
        <f t="shared" si="1"/>
        <v>1150055.4071021928</v>
      </c>
      <c r="E29" s="4">
        <f>('EIA Costs'!$D$17*INDEX('Cost Improvement and Off Wnd'!$B$118:$AL$126,MATCH("hydro",'Cost Improvement and Off Wnd'!$A$118:$A$126,0),MATCH('CCaMC-BCCpUC'!$A29,'Cost Improvement and Off Wnd'!$B$117:$AL$117,0))*1000*About!$A$69)*(USD_to_CAN)</f>
        <v>2367773.6653846749</v>
      </c>
      <c r="F29" s="4">
        <v>0</v>
      </c>
      <c r="G29" s="4">
        <v>0</v>
      </c>
      <c r="H29" s="4">
        <f>('EIA Costs'!$D$20*INDEX('Cost Improvement and Off Wnd'!$B$118:$AL$126,MATCH("solar thermal",'Cost Improvement and Off Wnd'!$A$118:$A$126,0),MATCH('CCaMC-BCCpUC'!$A29,'Cost Improvement and Off Wnd'!$B$117:$AL$117,0))*1000*About!$A$69)*(USD_to_CAN)</f>
        <v>2470396.8922987743</v>
      </c>
      <c r="I29" s="4">
        <f>('EIA Costs'!$D$14*INDEX('Cost Improvement and Off Wnd'!$B$118:$AL$126,MATCH("biomass",'Cost Improvement and Off Wnd'!$A$118:$A$126,0),MATCH('CCaMC-BCCpUC'!$A29,'Cost Improvement and Off Wnd'!$B$117:$AL$117,0))*1000*About!$A$69)*(USD_to_CAN)</f>
        <v>3411380.982394984</v>
      </c>
      <c r="J29" s="4">
        <f>('EIA Costs'!$D$15*INDEX('Cost Improvement and Off Wnd'!$B$118:$AL$126,MATCH("geothermal",'Cost Improvement and Off Wnd'!$A$118:$A$126,0),MATCH('CCaMC-BCCpUC'!$A29,'Cost Improvement and Off Wnd'!$B$117:$AL$117,0))*1000*About!$A$69)*(USD_to_CAN)</f>
        <v>2370012.5704888902</v>
      </c>
      <c r="K29" s="4">
        <f>('EIA Costs'!$D$9*INDEX('Cost Improvement and Off Wnd'!$B$118:$AL$126,MATCH("natural gas peaker",'Cost Improvement and Off Wnd'!$A$118:$A$126,0),MATCH('CCaMC-BCCpUC'!$A29,'Cost Improvement and Off Wnd'!$B$117:$AL$117,0))*1000*About!$A$69)*(USD_to_CAN)</f>
        <v>598723.6153090389</v>
      </c>
      <c r="L29" s="4">
        <f>('EIA Costs'!$D$9*INDEX('Cost Improvement and Off Wnd'!$B$118:$AL$126,MATCH("natural gas peaker",'Cost Improvement and Off Wnd'!$A$118:$A$126,0),MATCH('CCaMC-BCCpUC'!$A29,'Cost Improvement and Off Wnd'!$B$117:$AL$117,0))*1000*About!$A$69)*(USD_to_CAN)</f>
        <v>598723.6153090389</v>
      </c>
      <c r="M29" s="4">
        <f>'AB Gen and Cap Costs'!$F$10*'AB Gen and Cap Costs'!$B$21*1000</f>
        <v>218250</v>
      </c>
      <c r="N29" s="4">
        <f t="shared" si="0"/>
        <v>0</v>
      </c>
    </row>
    <row r="30" spans="1:14" x14ac:dyDescent="0.2">
      <c r="A30" s="1">
        <v>2045</v>
      </c>
      <c r="B30" s="4">
        <f>('EIA Costs'!$D$4*INDEX('Cost Improvement and Off Wnd'!$B$118:$AL$126,MATCH("coal",'Cost Improvement and Off Wnd'!$A$118:$A$126,0),MATCH('CCaMC-BCCpUC'!$A30,'Cost Improvement and Off Wnd'!$B$117:$AL$117,0))*1000*About!$A$69)*(USD_to_CAN)</f>
        <v>5380849.0389798712</v>
      </c>
      <c r="C30" s="4">
        <f>('EIA Costs'!$D$6*INDEX('Cost Improvement and Off Wnd'!$B$118:$AL$126,MATCH("natural gas nonpeaker",'Cost Improvement and Off Wnd'!$A$118:$A$126,0),MATCH('CCaMC-BCCpUC'!$A30,'Cost Improvement and Off Wnd'!$B$117:$AL$117,0))*1000*About!$A$69)*(USD_to_CAN)</f>
        <v>911642.56311795185</v>
      </c>
      <c r="D30" s="4">
        <f t="shared" si="1"/>
        <v>1145750.7732141963</v>
      </c>
      <c r="E30" s="4">
        <f>('EIA Costs'!$D$17*INDEX('Cost Improvement and Off Wnd'!$B$118:$AL$126,MATCH("hydro",'Cost Improvement and Off Wnd'!$A$118:$A$126,0),MATCH('CCaMC-BCCpUC'!$A30,'Cost Improvement and Off Wnd'!$B$117:$AL$117,0))*1000*About!$A$69)*(USD_to_CAN)</f>
        <v>2363136.0424570451</v>
      </c>
      <c r="F30" s="4">
        <v>0</v>
      </c>
      <c r="G30" s="4">
        <v>0</v>
      </c>
      <c r="H30" s="4">
        <f>('EIA Costs'!$D$20*INDEX('Cost Improvement and Off Wnd'!$B$118:$AL$126,MATCH("solar thermal",'Cost Improvement and Off Wnd'!$A$118:$A$126,0),MATCH('CCaMC-BCCpUC'!$A30,'Cost Improvement and Off Wnd'!$B$117:$AL$117,0))*1000*About!$A$69)*(USD_to_CAN)</f>
        <v>2466471.2919877465</v>
      </c>
      <c r="I30" s="4">
        <f>('EIA Costs'!$D$14*INDEX('Cost Improvement and Off Wnd'!$B$118:$AL$126,MATCH("biomass",'Cost Improvement and Off Wnd'!$A$118:$A$126,0),MATCH('CCaMC-BCCpUC'!$A30,'Cost Improvement and Off Wnd'!$B$117:$AL$117,0))*1000*About!$A$69)*(USD_to_CAN)</f>
        <v>3401082.3779734387</v>
      </c>
      <c r="J30" s="4">
        <f>('EIA Costs'!$D$15*INDEX('Cost Improvement and Off Wnd'!$B$118:$AL$126,MATCH("geothermal",'Cost Improvement and Off Wnd'!$A$118:$A$126,0),MATCH('CCaMC-BCCpUC'!$A30,'Cost Improvement and Off Wnd'!$B$117:$AL$117,0))*1000*About!$A$69)*(USD_to_CAN)</f>
        <v>2365861.9355143039</v>
      </c>
      <c r="K30" s="4">
        <f>('EIA Costs'!$D$9*INDEX('Cost Improvement and Off Wnd'!$B$118:$AL$126,MATCH("natural gas peaker",'Cost Improvement and Off Wnd'!$A$118:$A$126,0),MATCH('CCaMC-BCCpUC'!$A30,'Cost Improvement and Off Wnd'!$B$117:$AL$117,0))*1000*About!$A$69)*(USD_to_CAN)</f>
        <v>596351.48180971527</v>
      </c>
      <c r="L30" s="4">
        <f>('EIA Costs'!$D$9*INDEX('Cost Improvement and Off Wnd'!$B$118:$AL$126,MATCH("natural gas peaker",'Cost Improvement and Off Wnd'!$A$118:$A$126,0),MATCH('CCaMC-BCCpUC'!$A30,'Cost Improvement and Off Wnd'!$B$117:$AL$117,0))*1000*About!$A$69)*(USD_to_CAN)</f>
        <v>596351.48180971527</v>
      </c>
      <c r="M30" s="4">
        <f>'AB Gen and Cap Costs'!$F$10*'AB Gen and Cap Costs'!$B$21*1000</f>
        <v>218250</v>
      </c>
      <c r="N30" s="4">
        <f t="shared" si="0"/>
        <v>0</v>
      </c>
    </row>
    <row r="31" spans="1:14" x14ac:dyDescent="0.2">
      <c r="A31" s="1">
        <v>2046</v>
      </c>
      <c r="B31" s="4">
        <f>('EIA Costs'!$D$4*INDEX('Cost Improvement and Off Wnd'!$B$118:$AL$126,MATCH("coal",'Cost Improvement and Off Wnd'!$A$118:$A$126,0),MATCH('CCaMC-BCCpUC'!$A31,'Cost Improvement and Off Wnd'!$B$117:$AL$117,0))*1000*About!$A$69)*(USD_to_CAN)</f>
        <v>5344162.5875248024</v>
      </c>
      <c r="C31" s="4">
        <f>('EIA Costs'!$D$6*INDEX('Cost Improvement and Off Wnd'!$B$118:$AL$126,MATCH("natural gas nonpeaker",'Cost Improvement and Off Wnd'!$A$118:$A$126,0),MATCH('CCaMC-BCCpUC'!$A31,'Cost Improvement and Off Wnd'!$B$117:$AL$117,0))*1000*About!$A$69)*(USD_to_CAN)</f>
        <v>908217.48363061354</v>
      </c>
      <c r="D31" s="4">
        <f t="shared" si="1"/>
        <v>1141446.1393261994</v>
      </c>
      <c r="E31" s="4">
        <f>('EIA Costs'!$D$17*INDEX('Cost Improvement and Off Wnd'!$B$118:$AL$126,MATCH("hydro",'Cost Improvement and Off Wnd'!$A$118:$A$126,0),MATCH('CCaMC-BCCpUC'!$A31,'Cost Improvement and Off Wnd'!$B$117:$AL$117,0))*1000*About!$A$69)*(USD_to_CAN)</f>
        <v>2358498.4195294152</v>
      </c>
      <c r="F31" s="4">
        <v>0</v>
      </c>
      <c r="G31" s="4">
        <v>0</v>
      </c>
      <c r="H31" s="4">
        <f>('EIA Costs'!$D$20*INDEX('Cost Improvement and Off Wnd'!$B$118:$AL$126,MATCH("solar thermal",'Cost Improvement and Off Wnd'!$A$118:$A$126,0),MATCH('CCaMC-BCCpUC'!$A31,'Cost Improvement and Off Wnd'!$B$117:$AL$117,0))*1000*About!$A$69)*(USD_to_CAN)</f>
        <v>2462684.5875619091</v>
      </c>
      <c r="I31" s="4">
        <f>('EIA Costs'!$D$14*INDEX('Cost Improvement and Off Wnd'!$B$118:$AL$126,MATCH("biomass",'Cost Improvement and Off Wnd'!$A$118:$A$126,0),MATCH('CCaMC-BCCpUC'!$A31,'Cost Improvement and Off Wnd'!$B$117:$AL$117,0))*1000*About!$A$69)*(USD_to_CAN)</f>
        <v>3390783.7735518916</v>
      </c>
      <c r="J31" s="4">
        <f>('EIA Costs'!$D$15*INDEX('Cost Improvement and Off Wnd'!$B$118:$AL$126,MATCH("geothermal",'Cost Improvement and Off Wnd'!$A$118:$A$126,0),MATCH('CCaMC-BCCpUC'!$A31,'Cost Improvement and Off Wnd'!$B$117:$AL$117,0))*1000*About!$A$69)*(USD_to_CAN)</f>
        <v>2361711.3005397161</v>
      </c>
      <c r="K31" s="4">
        <f>('EIA Costs'!$D$9*INDEX('Cost Improvement and Off Wnd'!$B$118:$AL$126,MATCH("natural gas peaker",'Cost Improvement and Off Wnd'!$A$118:$A$126,0),MATCH('CCaMC-BCCpUC'!$A31,'Cost Improvement and Off Wnd'!$B$117:$AL$117,0))*1000*About!$A$69)*(USD_to_CAN)</f>
        <v>593979.34831039177</v>
      </c>
      <c r="L31" s="4">
        <f>('EIA Costs'!$D$9*INDEX('Cost Improvement and Off Wnd'!$B$118:$AL$126,MATCH("natural gas peaker",'Cost Improvement and Off Wnd'!$A$118:$A$126,0),MATCH('CCaMC-BCCpUC'!$A31,'Cost Improvement and Off Wnd'!$B$117:$AL$117,0))*1000*About!$A$69)*(USD_to_CAN)</f>
        <v>593979.34831039177</v>
      </c>
      <c r="M31" s="4">
        <f>'AB Gen and Cap Costs'!$F$10*'AB Gen and Cap Costs'!$B$21*1000</f>
        <v>218250</v>
      </c>
      <c r="N31" s="4">
        <f t="shared" si="0"/>
        <v>0</v>
      </c>
    </row>
    <row r="32" spans="1:14" x14ac:dyDescent="0.2">
      <c r="A32" s="1">
        <v>2047</v>
      </c>
      <c r="B32" s="4">
        <f>('EIA Costs'!$D$4*INDEX('Cost Improvement and Off Wnd'!$B$118:$AL$126,MATCH("coal",'Cost Improvement and Off Wnd'!$A$118:$A$126,0),MATCH('CCaMC-BCCpUC'!$A32,'Cost Improvement and Off Wnd'!$B$117:$AL$117,0))*1000*About!$A$69)*(USD_to_CAN)</f>
        <v>5307476.1360697346</v>
      </c>
      <c r="C32" s="4">
        <f>('EIA Costs'!$D$6*INDEX('Cost Improvement and Off Wnd'!$B$118:$AL$126,MATCH("natural gas nonpeaker",'Cost Improvement and Off Wnd'!$A$118:$A$126,0),MATCH('CCaMC-BCCpUC'!$A32,'Cost Improvement and Off Wnd'!$B$117:$AL$117,0))*1000*About!$A$69)*(USD_to_CAN)</f>
        <v>904792.40414327534</v>
      </c>
      <c r="D32" s="4">
        <f t="shared" si="1"/>
        <v>1137141.5054382025</v>
      </c>
      <c r="E32" s="4">
        <f>('EIA Costs'!$D$17*INDEX('Cost Improvement and Off Wnd'!$B$118:$AL$126,MATCH("hydro",'Cost Improvement and Off Wnd'!$A$118:$A$126,0),MATCH('CCaMC-BCCpUC'!$A32,'Cost Improvement and Off Wnd'!$B$117:$AL$117,0))*1000*About!$A$69)*(USD_to_CAN)</f>
        <v>2353866.9765144815</v>
      </c>
      <c r="F32" s="4">
        <v>0</v>
      </c>
      <c r="G32" s="4">
        <v>0</v>
      </c>
      <c r="H32" s="4">
        <f>('EIA Costs'!$D$20*INDEX('Cost Improvement and Off Wnd'!$B$118:$AL$126,MATCH("solar thermal",'Cost Improvement and Off Wnd'!$A$118:$A$126,0),MATCH('CCaMC-BCCpUC'!$A32,'Cost Improvement and Off Wnd'!$B$117:$AL$117,0))*1000*About!$A$69)*(USD_to_CAN)</f>
        <v>2459028.1854488421</v>
      </c>
      <c r="I32" s="4">
        <f>('EIA Costs'!$D$14*INDEX('Cost Improvement and Off Wnd'!$B$118:$AL$126,MATCH("biomass",'Cost Improvement and Off Wnd'!$A$118:$A$126,0),MATCH('CCaMC-BCCpUC'!$A32,'Cost Improvement and Off Wnd'!$B$117:$AL$117,0))*1000*About!$A$69)*(USD_to_CAN)</f>
        <v>3380485.1691303463</v>
      </c>
      <c r="J32" s="4">
        <f>('EIA Costs'!$D$15*INDEX('Cost Improvement and Off Wnd'!$B$118:$AL$126,MATCH("geothermal",'Cost Improvement and Off Wnd'!$A$118:$A$126,0),MATCH('CCaMC-BCCpUC'!$A32,'Cost Improvement and Off Wnd'!$B$117:$AL$117,0))*1000*About!$A$69)*(USD_to_CAN)</f>
        <v>2357560.6655651294</v>
      </c>
      <c r="K32" s="4">
        <f>('EIA Costs'!$D$9*INDEX('Cost Improvement and Off Wnd'!$B$118:$AL$126,MATCH("natural gas peaker",'Cost Improvement and Off Wnd'!$A$118:$A$126,0),MATCH('CCaMC-BCCpUC'!$A32,'Cost Improvement and Off Wnd'!$B$117:$AL$117,0))*1000*About!$A$69)*(USD_to_CAN)</f>
        <v>591607.21481106826</v>
      </c>
      <c r="L32" s="4">
        <f>('EIA Costs'!$D$9*INDEX('Cost Improvement and Off Wnd'!$B$118:$AL$126,MATCH("natural gas peaker",'Cost Improvement and Off Wnd'!$A$118:$A$126,0),MATCH('CCaMC-BCCpUC'!$A32,'Cost Improvement and Off Wnd'!$B$117:$AL$117,0))*1000*About!$A$69)*(USD_to_CAN)</f>
        <v>591607.21481106826</v>
      </c>
      <c r="M32" s="4">
        <f>'AB Gen and Cap Costs'!$F$10*'AB Gen and Cap Costs'!$B$21*1000</f>
        <v>218250</v>
      </c>
      <c r="N32" s="4">
        <f t="shared" si="0"/>
        <v>0</v>
      </c>
    </row>
    <row r="33" spans="1:14" x14ac:dyDescent="0.2">
      <c r="A33" s="1">
        <v>2048</v>
      </c>
      <c r="B33" s="4">
        <f>('EIA Costs'!$D$4*INDEX('Cost Improvement and Off Wnd'!$B$118:$AL$126,MATCH("coal",'Cost Improvement and Off Wnd'!$A$118:$A$126,0),MATCH('CCaMC-BCCpUC'!$A33,'Cost Improvement and Off Wnd'!$B$117:$AL$117,0))*1000*About!$A$69)*(USD_to_CAN)</f>
        <v>5270789.6846146658</v>
      </c>
      <c r="C33" s="4">
        <f>('EIA Costs'!$D$6*INDEX('Cost Improvement and Off Wnd'!$B$118:$AL$126,MATCH("natural gas nonpeaker",'Cost Improvement and Off Wnd'!$A$118:$A$126,0),MATCH('CCaMC-BCCpUC'!$A33,'Cost Improvement and Off Wnd'!$B$117:$AL$117,0))*1000*About!$A$69)*(USD_to_CAN)</f>
        <v>901367.32465593738</v>
      </c>
      <c r="D33" s="4">
        <f t="shared" si="1"/>
        <v>1132836.8715502061</v>
      </c>
      <c r="E33" s="4">
        <f>('EIA Costs'!$D$17*INDEX('Cost Improvement and Off Wnd'!$B$118:$AL$126,MATCH("hydro",'Cost Improvement and Off Wnd'!$A$118:$A$126,0),MATCH('CCaMC-BCCpUC'!$A33,'Cost Improvement and Off Wnd'!$B$117:$AL$117,0))*1000*About!$A$69)*(USD_to_CAN)</f>
        <v>2349235.5334995496</v>
      </c>
      <c r="F33" s="4">
        <v>0</v>
      </c>
      <c r="G33" s="4">
        <v>0</v>
      </c>
      <c r="H33" s="4">
        <f>('EIA Costs'!$D$20*INDEX('Cost Improvement and Off Wnd'!$B$118:$AL$126,MATCH("solar thermal",'Cost Improvement and Off Wnd'!$A$118:$A$126,0),MATCH('CCaMC-BCCpUC'!$A33,'Cost Improvement and Off Wnd'!$B$117:$AL$117,0))*1000*About!$A$69)*(USD_to_CAN)</f>
        <v>2455494.2503403826</v>
      </c>
      <c r="I33" s="4">
        <f>('EIA Costs'!$D$14*INDEX('Cost Improvement and Off Wnd'!$B$118:$AL$126,MATCH("biomass",'Cost Improvement and Off Wnd'!$A$118:$A$126,0),MATCH('CCaMC-BCCpUC'!$A33,'Cost Improvement and Off Wnd'!$B$117:$AL$117,0))*1000*About!$A$69)*(USD_to_CAN)</f>
        <v>3370186.5647087996</v>
      </c>
      <c r="J33" s="4">
        <f>('EIA Costs'!$D$15*INDEX('Cost Improvement and Off Wnd'!$B$118:$AL$126,MATCH("geothermal",'Cost Improvement and Off Wnd'!$A$118:$A$126,0),MATCH('CCaMC-BCCpUC'!$A33,'Cost Improvement and Off Wnd'!$B$117:$AL$117,0))*1000*About!$A$69)*(USD_to_CAN)</f>
        <v>2353410.0305905431</v>
      </c>
      <c r="K33" s="4">
        <f>('EIA Costs'!$D$9*INDEX('Cost Improvement and Off Wnd'!$B$118:$AL$126,MATCH("natural gas peaker",'Cost Improvement and Off Wnd'!$A$118:$A$126,0),MATCH('CCaMC-BCCpUC'!$A33,'Cost Improvement and Off Wnd'!$B$117:$AL$117,0))*1000*About!$A$69)*(USD_to_CAN)</f>
        <v>589235.08131174475</v>
      </c>
      <c r="L33" s="4">
        <f>('EIA Costs'!$D$9*INDEX('Cost Improvement and Off Wnd'!$B$118:$AL$126,MATCH("natural gas peaker",'Cost Improvement and Off Wnd'!$A$118:$A$126,0),MATCH('CCaMC-BCCpUC'!$A33,'Cost Improvement and Off Wnd'!$B$117:$AL$117,0))*1000*About!$A$69)*(USD_to_CAN)</f>
        <v>589235.08131174475</v>
      </c>
      <c r="M33" s="4">
        <f>'AB Gen and Cap Costs'!$F$10*'AB Gen and Cap Costs'!$B$21*1000</f>
        <v>218250</v>
      </c>
      <c r="N33" s="4">
        <f t="shared" si="0"/>
        <v>0</v>
      </c>
    </row>
    <row r="34" spans="1:14" x14ac:dyDescent="0.2">
      <c r="A34" s="1">
        <v>2049</v>
      </c>
      <c r="B34" s="4">
        <f>('EIA Costs'!$D$4*INDEX('Cost Improvement and Off Wnd'!$B$118:$AL$126,MATCH("coal",'Cost Improvement and Off Wnd'!$A$118:$A$126,0),MATCH('CCaMC-BCCpUC'!$A34,'Cost Improvement and Off Wnd'!$B$117:$AL$117,0))*1000*About!$A$69)*(USD_to_CAN)</f>
        <v>5234103.233159597</v>
      </c>
      <c r="C34" s="4">
        <f>('EIA Costs'!$D$6*INDEX('Cost Improvement and Off Wnd'!$B$118:$AL$126,MATCH("natural gas nonpeaker",'Cost Improvement and Off Wnd'!$A$118:$A$126,0),MATCH('CCaMC-BCCpUC'!$A34,'Cost Improvement and Off Wnd'!$B$117:$AL$117,0))*1000*About!$A$69)*(USD_to_CAN)</f>
        <v>897942.24516859907</v>
      </c>
      <c r="D34" s="4">
        <f t="shared" si="1"/>
        <v>1128532.2376622092</v>
      </c>
      <c r="E34" s="4">
        <f>('EIA Costs'!$D$17*INDEX('Cost Improvement and Off Wnd'!$B$118:$AL$126,MATCH("hydro",'Cost Improvement and Off Wnd'!$A$118:$A$126,0),MATCH('CCaMC-BCCpUC'!$A34,'Cost Improvement and Off Wnd'!$B$117:$AL$117,0))*1000*About!$A$69)*(USD_to_CAN)</f>
        <v>2344610.2424108833</v>
      </c>
      <c r="F34" s="4">
        <v>0</v>
      </c>
      <c r="G34" s="4">
        <v>0</v>
      </c>
      <c r="H34" s="4">
        <f>('EIA Costs'!$D$20*INDEX('Cost Improvement and Off Wnd'!$B$118:$AL$126,MATCH("solar thermal",'Cost Improvement and Off Wnd'!$A$118:$A$126,0),MATCH('CCaMC-BCCpUC'!$A34,'Cost Improvement and Off Wnd'!$B$117:$AL$117,0))*1000*About!$A$69)*(USD_to_CAN)</f>
        <v>2452075.6188164558</v>
      </c>
      <c r="I34" s="4">
        <f>('EIA Costs'!$D$14*INDEX('Cost Improvement and Off Wnd'!$B$118:$AL$126,MATCH("biomass",'Cost Improvement and Off Wnd'!$A$118:$A$126,0),MATCH('CCaMC-BCCpUC'!$A34,'Cost Improvement and Off Wnd'!$B$117:$AL$117,0))*1000*About!$A$69)*(USD_to_CAN)</f>
        <v>3359887.9602872529</v>
      </c>
      <c r="J34" s="4">
        <f>('EIA Costs'!$D$15*INDEX('Cost Improvement and Off Wnd'!$B$118:$AL$126,MATCH("geothermal",'Cost Improvement and Off Wnd'!$A$118:$A$126,0),MATCH('CCaMC-BCCpUC'!$A34,'Cost Improvement and Off Wnd'!$B$117:$AL$117,0))*1000*About!$A$69)*(USD_to_CAN)</f>
        <v>2349259.3956159572</v>
      </c>
      <c r="K34" s="4">
        <f>('EIA Costs'!$D$9*INDEX('Cost Improvement and Off Wnd'!$B$118:$AL$126,MATCH("natural gas peaker",'Cost Improvement and Off Wnd'!$A$118:$A$126,0),MATCH('CCaMC-BCCpUC'!$A34,'Cost Improvement and Off Wnd'!$B$117:$AL$117,0))*1000*About!$A$69)*(USD_to_CAN)</f>
        <v>586862.94781242101</v>
      </c>
      <c r="L34" s="4">
        <f>('EIA Costs'!$D$9*INDEX('Cost Improvement and Off Wnd'!$B$118:$AL$126,MATCH("natural gas peaker",'Cost Improvement and Off Wnd'!$A$118:$A$126,0),MATCH('CCaMC-BCCpUC'!$A34,'Cost Improvement and Off Wnd'!$B$117:$AL$117,0))*1000*About!$A$69)*(USD_to_CAN)</f>
        <v>586862.94781242101</v>
      </c>
      <c r="M34" s="4">
        <f>'AB Gen and Cap Costs'!$F$10*'AB Gen and Cap Costs'!$B$21*1000</f>
        <v>218250</v>
      </c>
      <c r="N34" s="4">
        <f t="shared" si="0"/>
        <v>0</v>
      </c>
    </row>
    <row r="35" spans="1:14" x14ac:dyDescent="0.2">
      <c r="A35" s="1">
        <v>2050</v>
      </c>
      <c r="B35" s="4">
        <f>('EIA Costs'!$D$4*INDEX('Cost Improvement and Off Wnd'!$B$118:$AL$126,MATCH("coal",'Cost Improvement and Off Wnd'!$A$118:$A$126,0),MATCH('CCaMC-BCCpUC'!$A35,'Cost Improvement and Off Wnd'!$B$117:$AL$117,0))*1000*About!$A$69)*(USD_to_CAN)</f>
        <v>5197416.7817045283</v>
      </c>
      <c r="C35" s="4">
        <f>('EIA Costs'!$D$6*INDEX('Cost Improvement and Off Wnd'!$B$118:$AL$126,MATCH("natural gas nonpeaker",'Cost Improvement and Off Wnd'!$A$118:$A$126,0),MATCH('CCaMC-BCCpUC'!$A35,'Cost Improvement and Off Wnd'!$B$117:$AL$117,0))*1000*About!$A$69)*(USD_to_CAN)</f>
        <v>894517.16568126087</v>
      </c>
      <c r="D35" s="4">
        <f t="shared" si="1"/>
        <v>1124227.6037742123</v>
      </c>
      <c r="E35" s="4">
        <f>('EIA Costs'!$D$17*INDEX('Cost Improvement and Off Wnd'!$B$118:$AL$126,MATCH("hydro",'Cost Improvement and Off Wnd'!$A$118:$A$126,0),MATCH('CCaMC-BCCpUC'!$A35,'Cost Improvement and Off Wnd'!$B$117:$AL$117,0))*1000*About!$A$69)*(USD_to_CAN)</f>
        <v>2339984.9513222175</v>
      </c>
      <c r="F35" s="4">
        <v>0</v>
      </c>
      <c r="G35" s="4">
        <v>0</v>
      </c>
      <c r="H35" s="4">
        <f>('EIA Costs'!$D$20*INDEX('Cost Improvement and Off Wnd'!$B$118:$AL$126,MATCH("solar thermal",'Cost Improvement and Off Wnd'!$A$118:$A$126,0),MATCH('CCaMC-BCCpUC'!$A35,'Cost Improvement and Off Wnd'!$B$117:$AL$117,0))*1000*About!$A$69)*(USD_to_CAN)</f>
        <v>2448765.7249359181</v>
      </c>
      <c r="I35" s="4">
        <f>('EIA Costs'!$D$14*INDEX('Cost Improvement and Off Wnd'!$B$118:$AL$126,MATCH("biomass",'Cost Improvement and Off Wnd'!$A$118:$A$126,0),MATCH('CCaMC-BCCpUC'!$A35,'Cost Improvement and Off Wnd'!$B$117:$AL$117,0))*1000*About!$A$69)*(USD_to_CAN)</f>
        <v>3349589.3558657072</v>
      </c>
      <c r="J35" s="4">
        <f>('EIA Costs'!$D$15*INDEX('Cost Improvement and Off Wnd'!$B$118:$AL$126,MATCH("geothermal",'Cost Improvement and Off Wnd'!$A$118:$A$126,0),MATCH('CCaMC-BCCpUC'!$A35,'Cost Improvement and Off Wnd'!$B$117:$AL$117,0))*1000*About!$A$69)*(USD_to_CAN)</f>
        <v>2345108.7606413709</v>
      </c>
      <c r="K35" s="4">
        <f>('EIA Costs'!$D$9*INDEX('Cost Improvement and Off Wnd'!$B$118:$AL$126,MATCH("natural gas peaker",'Cost Improvement and Off Wnd'!$A$118:$A$126,0),MATCH('CCaMC-BCCpUC'!$A35,'Cost Improvement and Off Wnd'!$B$117:$AL$117,0))*1000*About!$A$69)*(USD_to_CAN)</f>
        <v>584490.81431309762</v>
      </c>
      <c r="L35" s="4">
        <f>('EIA Costs'!$D$9*INDEX('Cost Improvement and Off Wnd'!$B$118:$AL$126,MATCH("natural gas peaker",'Cost Improvement and Off Wnd'!$A$118:$A$126,0),MATCH('CCaMC-BCCpUC'!$A35,'Cost Improvement and Off Wnd'!$B$117:$AL$117,0))*1000*About!$A$69)*(USD_to_CAN)</f>
        <v>584490.81431309762</v>
      </c>
      <c r="M35" s="4">
        <f>'AB Gen and Cap Costs'!$F$10*'AB Gen and Cap Costs'!$B$21*1000</f>
        <v>218250</v>
      </c>
      <c r="N35" s="4">
        <f t="shared" si="0"/>
        <v>0</v>
      </c>
    </row>
    <row r="36" spans="1:14" x14ac:dyDescent="0.2">
      <c r="B36" s="12"/>
    </row>
    <row r="37" spans="1:14" x14ac:dyDescent="0.2">
      <c r="B37" s="12"/>
    </row>
    <row r="38" spans="1:14" x14ac:dyDescent="0.2">
      <c r="B38" s="16"/>
    </row>
    <row r="39" spans="1:14" x14ac:dyDescent="0.2">
      <c r="B39" s="12"/>
    </row>
    <row r="40" spans="1:14" x14ac:dyDescent="0.2">
      <c r="B40" s="12"/>
    </row>
    <row r="41" spans="1:14" x14ac:dyDescent="0.2">
      <c r="B41" s="12"/>
    </row>
    <row r="42" spans="1:14" x14ac:dyDescent="0.2">
      <c r="B42" s="12"/>
    </row>
    <row r="43" spans="1:14" x14ac:dyDescent="0.2">
      <c r="B43" s="12"/>
    </row>
    <row r="44" spans="1:14" x14ac:dyDescent="0.2">
      <c r="B44" s="12"/>
    </row>
    <row r="45" spans="1:14" x14ac:dyDescent="0.2">
      <c r="B45" s="12"/>
    </row>
    <row r="46" spans="1:14" x14ac:dyDescent="0.2">
      <c r="B46" s="12"/>
    </row>
    <row r="47" spans="1:14" x14ac:dyDescent="0.2">
      <c r="B47" s="12"/>
    </row>
    <row r="48" spans="1:14" x14ac:dyDescent="0.2">
      <c r="B4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D14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3.1640625" customWidth="1"/>
    <col min="2" max="2" width="23.1640625" customWidth="1"/>
    <col min="3" max="3" width="28.5" customWidth="1"/>
    <col min="4" max="4" width="23.1640625" customWidth="1"/>
  </cols>
  <sheetData>
    <row r="1" spans="1:4" x14ac:dyDescent="0.2">
      <c r="A1" s="5" t="s">
        <v>20</v>
      </c>
      <c r="B1" s="17" t="s">
        <v>92</v>
      </c>
      <c r="C1" s="17" t="s">
        <v>95</v>
      </c>
      <c r="D1" s="17" t="s">
        <v>93</v>
      </c>
    </row>
    <row r="2" spans="1:4" x14ac:dyDescent="0.2">
      <c r="A2" t="s">
        <v>137</v>
      </c>
      <c r="B2" s="4">
        <f>('EIA Costs'!F2*1000)*(USD_to_CAN)</f>
        <v>32116.978020172843</v>
      </c>
      <c r="C2">
        <v>0</v>
      </c>
      <c r="D2" s="4">
        <f>('EIA Costs'!F4*1000)*(USD_to_CAN)</f>
        <v>75035.815143407672</v>
      </c>
    </row>
    <row r="3" spans="1:4" x14ac:dyDescent="0.2">
      <c r="A3" t="s">
        <v>32</v>
      </c>
      <c r="B3" s="4">
        <f>('AB Gen and Cap Costs'!D11)*1000*'AB Gen and Cap Costs'!B21</f>
        <v>26190</v>
      </c>
      <c r="C3">
        <v>0</v>
      </c>
      <c r="D3" s="4">
        <f>('EIA Costs'!F6*1000)*(USD_to_CAN)</f>
        <v>15831.732425861839</v>
      </c>
    </row>
    <row r="4" spans="1:4" x14ac:dyDescent="0.2">
      <c r="A4" t="s">
        <v>357</v>
      </c>
      <c r="B4" s="4">
        <f>Cogen!B19*1000</f>
        <v>50262.412499999991</v>
      </c>
      <c r="C4" s="22">
        <v>0</v>
      </c>
      <c r="D4" s="4">
        <f>B4*D3/B3</f>
        <v>30383.393118682445</v>
      </c>
    </row>
    <row r="5" spans="1:4" x14ac:dyDescent="0.2">
      <c r="A5" t="s">
        <v>16</v>
      </c>
      <c r="B5" s="4">
        <f>('EIA Costs'!F17*1000)*(USD_to_CAN)</f>
        <v>15615.282959102009</v>
      </c>
      <c r="C5" s="22">
        <v>0</v>
      </c>
      <c r="D5" s="4">
        <f>('EIA Costs'!F17*1000)*(USD_to_CAN)</f>
        <v>15615.282959102009</v>
      </c>
    </row>
    <row r="6" spans="1:4" x14ac:dyDescent="0.2">
      <c r="A6" t="s">
        <v>139</v>
      </c>
      <c r="B6" s="4">
        <f>'AB Gen and Cap Costs'!G11*1000*'AB Gen and Cap Costs'!B21</f>
        <v>60140</v>
      </c>
      <c r="C6" s="22">
        <v>0</v>
      </c>
      <c r="D6" s="4">
        <f>('EIA Costs'!F18*1000)*(USD_to_CAN)</f>
        <v>40744.035338171772</v>
      </c>
    </row>
    <row r="7" spans="1:4" x14ac:dyDescent="0.2">
      <c r="A7" t="s">
        <v>17</v>
      </c>
      <c r="B7" s="4">
        <f>'AB Gen and Cap Costs'!H11*1000*'AB Gen and Cap Costs'!B21</f>
        <v>44620</v>
      </c>
      <c r="C7" s="22">
        <v>0</v>
      </c>
      <c r="D7" s="4">
        <f>('EIA Costs'!F21*1000)*(USD_to_CAN)</f>
        <v>25437.96590301238</v>
      </c>
    </row>
    <row r="8" spans="1:4" x14ac:dyDescent="0.2">
      <c r="A8" t="s">
        <v>18</v>
      </c>
      <c r="B8" s="4">
        <f>('EIA Costs'!F20*1000)*(USD_to_CAN)</f>
        <v>69294.750715539805</v>
      </c>
      <c r="C8" s="22">
        <v>0</v>
      </c>
      <c r="D8" s="4">
        <f>('EIA Costs'!F20*1000)*(USD_to_CAN)</f>
        <v>69294.750715539805</v>
      </c>
    </row>
    <row r="9" spans="1:4" x14ac:dyDescent="0.2">
      <c r="A9" t="s">
        <v>19</v>
      </c>
      <c r="B9" s="4">
        <f>('EIA Costs'!F14*1000)*(USD_to_CAN)</f>
        <v>108822.54619287064</v>
      </c>
      <c r="C9" s="22">
        <v>0</v>
      </c>
      <c r="D9" s="4">
        <f>('EIA Costs'!F14*1000)*(USD_to_CAN)</f>
        <v>108822.54619287064</v>
      </c>
    </row>
    <row r="10" spans="1:4" x14ac:dyDescent="0.2">
      <c r="A10" t="s">
        <v>33</v>
      </c>
      <c r="B10" s="4">
        <f>('EIA Costs'!F15*1000)*(USD_to_CAN)</f>
        <v>116315.82058974664</v>
      </c>
      <c r="C10" s="22">
        <v>0</v>
      </c>
      <c r="D10" s="4">
        <f>('EIA Costs'!F15*1000)*(USD_to_CAN)</f>
        <v>116315.82058974664</v>
      </c>
    </row>
    <row r="11" spans="1:4" x14ac:dyDescent="0.2">
      <c r="A11" t="s">
        <v>34</v>
      </c>
      <c r="B11" s="4">
        <f>(B12)</f>
        <v>17460</v>
      </c>
      <c r="C11" s="22">
        <v>0</v>
      </c>
      <c r="D11" s="4">
        <f>(D12)*(USD_to_CAN)</f>
        <v>7479.0615984291908</v>
      </c>
    </row>
    <row r="12" spans="1:4" x14ac:dyDescent="0.2">
      <c r="A12" t="s">
        <v>35</v>
      </c>
      <c r="B12" s="4">
        <f>'AB Gen and Cap Costs'!E11*1000*'AB Gen and Cap Costs'!B21</f>
        <v>17460</v>
      </c>
      <c r="C12" s="22">
        <v>0</v>
      </c>
      <c r="D12" s="4">
        <f>('EIA Costs'!F9*1000)*(USD_to_CAN)</f>
        <v>7256.2106951866763</v>
      </c>
    </row>
    <row r="13" spans="1:4" x14ac:dyDescent="0.2">
      <c r="A13" t="s">
        <v>284</v>
      </c>
      <c r="B13" s="4">
        <f>'AB Gen and Cap Costs'!F11*1000*'AB Gen and Cap Costs'!B21</f>
        <v>21340</v>
      </c>
      <c r="C13" s="4">
        <f>C2*'Coal Cost Multipliers'!$B$35</f>
        <v>0</v>
      </c>
      <c r="D13" s="4">
        <f>B13</f>
        <v>21340</v>
      </c>
    </row>
    <row r="14" spans="1:4" x14ac:dyDescent="0.2">
      <c r="A14" t="s">
        <v>138</v>
      </c>
      <c r="B14" s="4">
        <f>B6</f>
        <v>60140</v>
      </c>
      <c r="C14">
        <v>0</v>
      </c>
      <c r="D14" s="4">
        <f>D6</f>
        <v>40744.035338171772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About</vt:lpstr>
      <vt:lpstr>EIA Costs</vt:lpstr>
      <vt:lpstr>Coal Cost Multipliers</vt:lpstr>
      <vt:lpstr>Cost Improvement and Off Wnd</vt:lpstr>
      <vt:lpstr>AB Gen and Cap Costs</vt:lpstr>
      <vt:lpstr>Cogen</vt:lpstr>
      <vt:lpstr>Start Year Wind and Solar</vt:lpstr>
      <vt:lpstr>CCaMC-BCCpUC</vt:lpstr>
      <vt:lpstr>CCaMC-AFOaMCpUC</vt:lpstr>
      <vt:lpstr>CCaMC-VOaMCpUC</vt:lpstr>
      <vt:lpstr>USD_to_CAN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2014-02-14T06:19:38Z</dcterms:created>
  <dcterms:modified xsi:type="dcterms:W3CDTF">2019-01-21T17:32:37Z</dcterms:modified>
</cp:coreProperties>
</file>