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fuels\BSoFPtiT\"/>
    </mc:Choice>
  </mc:AlternateContent>
  <xr:revisionPtr revIDLastSave="0" documentId="13_ncr:1_{9E21DF1B-655C-49A7-B783-AFFDB09A6C4F}" xr6:coauthVersionLast="34" xr6:coauthVersionMax="34" xr10:uidLastSave="{00000000-0000-0000-0000-000000000000}"/>
  <bookViews>
    <workbookView xWindow="-24" yWindow="456" windowWidth="27324" windowHeight="13536" activeTab="5" xr2:uid="{00000000-000D-0000-FFFF-FFFF00000000}"/>
  </bookViews>
  <sheets>
    <sheet name="About" sheetId="1" r:id="rId1"/>
    <sheet name="Canada tax data" sheetId="5" r:id="rId2"/>
    <sheet name="Canada fuel price projections" sheetId="6" r:id="rId3"/>
    <sheet name="USA coal price" sheetId="14" r:id="rId4"/>
    <sheet name="USA jet fuel" sheetId="15" r:id="rId5"/>
    <sheet name="BSoFPtiT" sheetId="3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5" l="1"/>
  <c r="M5" i="5"/>
  <c r="C5" i="1" s="1"/>
  <c r="I23" i="5"/>
  <c r="J23" i="5"/>
  <c r="M38" i="5"/>
  <c r="M43" i="5" s="1"/>
  <c r="B34" i="6" s="1"/>
  <c r="B3" i="3" s="1"/>
  <c r="H21" i="6"/>
  <c r="B28" i="6"/>
  <c r="AB5" i="6"/>
  <c r="AB30" i="6" s="1"/>
  <c r="AB37" i="6" s="1"/>
  <c r="AB11" i="3" s="1"/>
  <c r="AB4" i="6"/>
  <c r="AB3" i="6"/>
  <c r="AB28" i="6" s="1"/>
  <c r="B3" i="15"/>
  <c r="B4" i="15" s="1"/>
  <c r="C4" i="15" s="1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H23" i="6"/>
  <c r="H24" i="6"/>
  <c r="B30" i="6"/>
  <c r="D27" i="6"/>
  <c r="F5" i="14"/>
  <c r="E2" i="6" s="1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C27" i="6"/>
  <c r="B27" i="6"/>
  <c r="AC5" i="6"/>
  <c r="AC30" i="6"/>
  <c r="AC37" i="6" s="1"/>
  <c r="AC11" i="3" s="1"/>
  <c r="AD5" i="6"/>
  <c r="AD30" i="6" s="1"/>
  <c r="AD37" i="6" s="1"/>
  <c r="AD11" i="3" s="1"/>
  <c r="AE5" i="6"/>
  <c r="AE30" i="6" s="1"/>
  <c r="AF5" i="6"/>
  <c r="AF30" i="6"/>
  <c r="AG5" i="6"/>
  <c r="AG30" i="6"/>
  <c r="AG37" i="6" s="1"/>
  <c r="AG11" i="3" s="1"/>
  <c r="AH5" i="6"/>
  <c r="AH30" i="6" s="1"/>
  <c r="AI5" i="6"/>
  <c r="AI30" i="6" s="1"/>
  <c r="AJ5" i="6"/>
  <c r="AJ30" i="6"/>
  <c r="AK5" i="6"/>
  <c r="AK30" i="6" s="1"/>
  <c r="AK37" i="6" s="1"/>
  <c r="H22" i="6"/>
  <c r="AB29" i="6"/>
  <c r="AC4" i="6"/>
  <c r="AD4" i="6"/>
  <c r="AE4" i="6"/>
  <c r="AE29" i="6" s="1"/>
  <c r="AE36" i="6" s="1"/>
  <c r="AE10" i="3" s="1"/>
  <c r="AF4" i="6"/>
  <c r="AF29" i="6" s="1"/>
  <c r="AG4" i="6"/>
  <c r="AG29" i="6" s="1"/>
  <c r="AH4" i="6"/>
  <c r="AI4" i="6"/>
  <c r="AI29" i="6" s="1"/>
  <c r="AI36" i="6" s="1"/>
  <c r="AJ4" i="6"/>
  <c r="AJ29" i="6" s="1"/>
  <c r="AK4" i="6"/>
  <c r="AC3" i="6"/>
  <c r="AC28" i="6"/>
  <c r="AC35" i="6" s="1"/>
  <c r="AC4" i="3" s="1"/>
  <c r="AD3" i="6"/>
  <c r="AD28" i="6" s="1"/>
  <c r="AD35" i="6" s="1"/>
  <c r="AD4" i="3" s="1"/>
  <c r="AE3" i="6"/>
  <c r="AE28" i="6" s="1"/>
  <c r="AF3" i="6"/>
  <c r="AF28" i="6"/>
  <c r="AG3" i="6"/>
  <c r="AG28" i="6"/>
  <c r="AH3" i="6"/>
  <c r="AH28" i="6"/>
  <c r="AI3" i="6"/>
  <c r="AI28" i="6" s="1"/>
  <c r="AJ3" i="6"/>
  <c r="AJ28" i="6"/>
  <c r="AK3" i="6"/>
  <c r="AK28" i="6"/>
  <c r="E5" i="14"/>
  <c r="D5" i="14"/>
  <c r="C5" i="14"/>
  <c r="Q29" i="6"/>
  <c r="Q36" i="6" s="1"/>
  <c r="Q10" i="3" s="1"/>
  <c r="Q12" i="3" s="1"/>
  <c r="R29" i="6"/>
  <c r="C30" i="6"/>
  <c r="D30" i="6"/>
  <c r="E30" i="6"/>
  <c r="F30" i="6"/>
  <c r="F37" i="6" s="1"/>
  <c r="G30" i="6"/>
  <c r="G37" i="6" s="1"/>
  <c r="G11" i="3" s="1"/>
  <c r="G13" i="3" s="1"/>
  <c r="H30" i="6"/>
  <c r="I30" i="6"/>
  <c r="I37" i="6" s="1"/>
  <c r="I11" i="3" s="1"/>
  <c r="I13" i="3" s="1"/>
  <c r="J30" i="6"/>
  <c r="K30" i="6"/>
  <c r="L30" i="6"/>
  <c r="M30" i="6"/>
  <c r="N30" i="6"/>
  <c r="O30" i="6"/>
  <c r="P30" i="6"/>
  <c r="P37" i="6" s="1"/>
  <c r="P11" i="3" s="1"/>
  <c r="P13" i="3" s="1"/>
  <c r="Q30" i="6"/>
  <c r="R30" i="6"/>
  <c r="S30" i="6"/>
  <c r="T30" i="6"/>
  <c r="U30" i="6"/>
  <c r="V30" i="6"/>
  <c r="W30" i="6"/>
  <c r="X30" i="6"/>
  <c r="Y30" i="6"/>
  <c r="Z30" i="6"/>
  <c r="AA30" i="6"/>
  <c r="C28" i="6"/>
  <c r="D28" i="6"/>
  <c r="E28" i="6"/>
  <c r="E35" i="6" s="1"/>
  <c r="E4" i="3" s="1"/>
  <c r="F28" i="6"/>
  <c r="F35" i="6" s="1"/>
  <c r="F4" i="3" s="1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T35" i="6" s="1"/>
  <c r="U28" i="6"/>
  <c r="U35" i="6" s="1"/>
  <c r="U4" i="3" s="1"/>
  <c r="V28" i="6"/>
  <c r="W28" i="6"/>
  <c r="X28" i="6"/>
  <c r="Y28" i="6"/>
  <c r="Z28" i="6"/>
  <c r="AA28" i="6"/>
  <c r="AC6" i="3"/>
  <c r="AD6" i="3"/>
  <c r="AE6" i="3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16" i="3"/>
  <c r="AD16" i="3"/>
  <c r="AE16" i="3"/>
  <c r="AF16" i="3"/>
  <c r="AG16" i="3"/>
  <c r="AH16" i="3"/>
  <c r="AI16" i="3"/>
  <c r="AJ16" i="3"/>
  <c r="AK16" i="3"/>
  <c r="AB6" i="3"/>
  <c r="AB7" i="3"/>
  <c r="AB8" i="3"/>
  <c r="AB16" i="3"/>
  <c r="Q2" i="3"/>
  <c r="P2" i="3"/>
  <c r="O2" i="3"/>
  <c r="N2" i="3"/>
  <c r="I2" i="3"/>
  <c r="H2" i="3"/>
  <c r="G2" i="3"/>
  <c r="F2" i="3"/>
  <c r="C5" i="3"/>
  <c r="D5" i="3"/>
  <c r="E5" i="3"/>
  <c r="F5" i="3"/>
  <c r="K5" i="3"/>
  <c r="L5" i="3"/>
  <c r="M5" i="3"/>
  <c r="N5" i="3"/>
  <c r="C9" i="3"/>
  <c r="D9" i="3"/>
  <c r="E9" i="3"/>
  <c r="F9" i="3"/>
  <c r="K9" i="3"/>
  <c r="L9" i="3"/>
  <c r="M9" i="3"/>
  <c r="N9" i="3"/>
  <c r="P15" i="3"/>
  <c r="O15" i="3"/>
  <c r="N15" i="3"/>
  <c r="M15" i="3"/>
  <c r="H15" i="3"/>
  <c r="G15" i="3"/>
  <c r="F15" i="3"/>
  <c r="E15" i="3"/>
  <c r="T2" i="3"/>
  <c r="U2" i="3"/>
  <c r="V2" i="3"/>
  <c r="W2" i="3"/>
  <c r="R15" i="3"/>
  <c r="S15" i="3"/>
  <c r="T15" i="3"/>
  <c r="Y15" i="3"/>
  <c r="Z15" i="3"/>
  <c r="AA15" i="3"/>
  <c r="V9" i="3"/>
  <c r="W9" i="3"/>
  <c r="X9" i="3"/>
  <c r="Y9" i="3"/>
  <c r="S5" i="3"/>
  <c r="T5" i="3"/>
  <c r="U5" i="3"/>
  <c r="V5" i="3"/>
  <c r="AA5" i="3"/>
  <c r="D17" i="3"/>
  <c r="E17" i="3"/>
  <c r="F17" i="3"/>
  <c r="G17" i="3"/>
  <c r="L17" i="3"/>
  <c r="M17" i="3"/>
  <c r="N17" i="3"/>
  <c r="O17" i="3"/>
  <c r="T17" i="3"/>
  <c r="U17" i="3"/>
  <c r="V17" i="3"/>
  <c r="W17" i="3"/>
  <c r="B15" i="3"/>
  <c r="B2" i="3"/>
  <c r="I38" i="5"/>
  <c r="J38" i="5"/>
  <c r="K38" i="5"/>
  <c r="B35" i="6" s="1"/>
  <c r="AA35" i="6"/>
  <c r="AA4" i="3"/>
  <c r="Z35" i="6"/>
  <c r="Z4" i="3" s="1"/>
  <c r="Y35" i="6"/>
  <c r="Y4" i="3" s="1"/>
  <c r="X35" i="6"/>
  <c r="W35" i="6"/>
  <c r="W4" i="3" s="1"/>
  <c r="V35" i="6"/>
  <c r="V4" i="3"/>
  <c r="S35" i="6"/>
  <c r="S4" i="3"/>
  <c r="R35" i="6"/>
  <c r="R4" i="3"/>
  <c r="Q35" i="6"/>
  <c r="Q4" i="3"/>
  <c r="P35" i="6"/>
  <c r="O35" i="6"/>
  <c r="O4" i="3" s="1"/>
  <c r="N35" i="6"/>
  <c r="N4" i="3" s="1"/>
  <c r="M35" i="6"/>
  <c r="M4" i="3"/>
  <c r="L35" i="6"/>
  <c r="K35" i="6"/>
  <c r="K4" i="3" s="1"/>
  <c r="J35" i="6"/>
  <c r="J4" i="3"/>
  <c r="I35" i="6"/>
  <c r="I4" i="3"/>
  <c r="H35" i="6"/>
  <c r="G35" i="6"/>
  <c r="G4" i="3" s="1"/>
  <c r="D35" i="6"/>
  <c r="C35" i="6"/>
  <c r="C4" i="3"/>
  <c r="B37" i="6"/>
  <c r="B11" i="3" s="1"/>
  <c r="B13" i="3" s="1"/>
  <c r="AA37" i="6"/>
  <c r="AA11" i="3"/>
  <c r="AA13" i="3" s="1"/>
  <c r="Z37" i="6"/>
  <c r="Z11" i="3" s="1"/>
  <c r="Z13" i="3" s="1"/>
  <c r="Y37" i="6"/>
  <c r="X37" i="6"/>
  <c r="X11" i="3"/>
  <c r="X13" i="3" s="1"/>
  <c r="W37" i="6"/>
  <c r="W11" i="3" s="1"/>
  <c r="W13" i="3" s="1"/>
  <c r="U37" i="6"/>
  <c r="U11" i="3" s="1"/>
  <c r="U13" i="3" s="1"/>
  <c r="T37" i="6"/>
  <c r="T11" i="3" s="1"/>
  <c r="T13" i="3" s="1"/>
  <c r="S37" i="6"/>
  <c r="S11" i="3"/>
  <c r="S13" i="3" s="1"/>
  <c r="R37" i="6"/>
  <c r="R11" i="3"/>
  <c r="R13" i="3"/>
  <c r="Q37" i="6"/>
  <c r="O37" i="6"/>
  <c r="O11" i="3"/>
  <c r="O13" i="3"/>
  <c r="M37" i="6"/>
  <c r="M11" i="3"/>
  <c r="M13" i="3" s="1"/>
  <c r="L37" i="6"/>
  <c r="J37" i="6"/>
  <c r="J11" i="3" s="1"/>
  <c r="J13" i="3" s="1"/>
  <c r="H37" i="6"/>
  <c r="H11" i="3"/>
  <c r="H13" i="3"/>
  <c r="E37" i="6"/>
  <c r="E11" i="3"/>
  <c r="E13" i="3"/>
  <c r="D37" i="6"/>
  <c r="D11" i="3" s="1"/>
  <c r="D13" i="3" s="1"/>
  <c r="R36" i="6"/>
  <c r="R10" i="3"/>
  <c r="R12" i="3" s="1"/>
  <c r="L38" i="5"/>
  <c r="AK35" i="6"/>
  <c r="AK4" i="3" s="1"/>
  <c r="AJ35" i="6"/>
  <c r="AJ4" i="3"/>
  <c r="AI35" i="6"/>
  <c r="AI4" i="3" s="1"/>
  <c r="AG35" i="6"/>
  <c r="AG4" i="3"/>
  <c r="AF35" i="6"/>
  <c r="AF4" i="3"/>
  <c r="AE35" i="6"/>
  <c r="AE4" i="3"/>
  <c r="AB35" i="6"/>
  <c r="AB4" i="3"/>
  <c r="AJ36" i="6"/>
  <c r="AJ10" i="3" s="1"/>
  <c r="AI10" i="3"/>
  <c r="AG36" i="6"/>
  <c r="AG10" i="3"/>
  <c r="AF36" i="6"/>
  <c r="AF10" i="3" s="1"/>
  <c r="AB36" i="6"/>
  <c r="AB10" i="3" s="1"/>
  <c r="AK11" i="3"/>
  <c r="AJ37" i="6"/>
  <c r="AJ11" i="3"/>
  <c r="AI37" i="6"/>
  <c r="AI11" i="3"/>
  <c r="AH37" i="6"/>
  <c r="AH11" i="3" s="1"/>
  <c r="AF37" i="6"/>
  <c r="AF11" i="3"/>
  <c r="AE37" i="6"/>
  <c r="AE11" i="3"/>
  <c r="AB13" i="3"/>
  <c r="AC13" i="3"/>
  <c r="AD13" i="3"/>
  <c r="AE13" i="3"/>
  <c r="AF13" i="3"/>
  <c r="AG13" i="3"/>
  <c r="AH13" i="3"/>
  <c r="AI13" i="3"/>
  <c r="AJ13" i="3"/>
  <c r="AK13" i="3"/>
  <c r="D34" i="6"/>
  <c r="C34" i="6"/>
  <c r="D3" i="3"/>
  <c r="C3" i="3"/>
  <c r="D4" i="15" l="1"/>
  <c r="B6" i="6"/>
  <c r="B31" i="6" s="1"/>
  <c r="B38" i="6" s="1"/>
  <c r="B14" i="3" s="1"/>
  <c r="E27" i="6"/>
  <c r="F2" i="6"/>
  <c r="C29" i="6"/>
  <c r="C36" i="6" s="1"/>
  <c r="C10" i="3" s="1"/>
  <c r="C12" i="3" s="1"/>
  <c r="K29" i="6"/>
  <c r="K36" i="6" s="1"/>
  <c r="K10" i="3" s="1"/>
  <c r="K12" i="3" s="1"/>
  <c r="S29" i="6"/>
  <c r="S36" i="6" s="1"/>
  <c r="S10" i="3" s="1"/>
  <c r="S12" i="3" s="1"/>
  <c r="AA29" i="6"/>
  <c r="AA36" i="6" s="1"/>
  <c r="AA10" i="3" s="1"/>
  <c r="AA12" i="3" s="1"/>
  <c r="D29" i="6"/>
  <c r="D36" i="6" s="1"/>
  <c r="L29" i="6"/>
  <c r="L36" i="6" s="1"/>
  <c r="L10" i="3" s="1"/>
  <c r="L12" i="3" s="1"/>
  <c r="T29" i="6"/>
  <c r="T36" i="6" s="1"/>
  <c r="T10" i="3" s="1"/>
  <c r="T12" i="3" s="1"/>
  <c r="E29" i="6"/>
  <c r="E36" i="6" s="1"/>
  <c r="E10" i="3" s="1"/>
  <c r="E12" i="3" s="1"/>
  <c r="M29" i="6"/>
  <c r="M36" i="6" s="1"/>
  <c r="M10" i="3" s="1"/>
  <c r="M12" i="3" s="1"/>
  <c r="U29" i="6"/>
  <c r="U36" i="6" s="1"/>
  <c r="U10" i="3" s="1"/>
  <c r="U12" i="3" s="1"/>
  <c r="B29" i="6"/>
  <c r="B36" i="6" s="1"/>
  <c r="B10" i="3" s="1"/>
  <c r="B12" i="3" s="1"/>
  <c r="AD29" i="6"/>
  <c r="AD36" i="6" s="1"/>
  <c r="AD10" i="3" s="1"/>
  <c r="AH29" i="6"/>
  <c r="AH36" i="6" s="1"/>
  <c r="AH10" i="3" s="1"/>
  <c r="F29" i="6"/>
  <c r="F36" i="6" s="1"/>
  <c r="F10" i="3" s="1"/>
  <c r="F12" i="3" s="1"/>
  <c r="N29" i="6"/>
  <c r="N36" i="6" s="1"/>
  <c r="N10" i="3" s="1"/>
  <c r="N12" i="3" s="1"/>
  <c r="V29" i="6"/>
  <c r="V36" i="6" s="1"/>
  <c r="V10" i="3" s="1"/>
  <c r="V12" i="3" s="1"/>
  <c r="P29" i="6"/>
  <c r="P36" i="6" s="1"/>
  <c r="P10" i="3" s="1"/>
  <c r="P12" i="3" s="1"/>
  <c r="E34" i="6"/>
  <c r="E3" i="3" s="1"/>
  <c r="AH15" i="3"/>
  <c r="Z29" i="6"/>
  <c r="Z36" i="6" s="1"/>
  <c r="Z10" i="3" s="1"/>
  <c r="Z12" i="3" s="1"/>
  <c r="J29" i="6"/>
  <c r="J36" i="6" s="1"/>
  <c r="J10" i="3" s="1"/>
  <c r="J12" i="3" s="1"/>
  <c r="V37" i="6"/>
  <c r="V11" i="3" s="1"/>
  <c r="V13" i="3" s="1"/>
  <c r="O29" i="6"/>
  <c r="O36" i="6" s="1"/>
  <c r="O10" i="3" s="1"/>
  <c r="O12" i="3" s="1"/>
  <c r="AK29" i="6"/>
  <c r="AK36" i="6" s="1"/>
  <c r="AK10" i="3" s="1"/>
  <c r="Y29" i="6"/>
  <c r="Y36" i="6" s="1"/>
  <c r="Y10" i="3" s="1"/>
  <c r="Y12" i="3" s="1"/>
  <c r="I29" i="6"/>
  <c r="X29" i="6"/>
  <c r="X36" i="6" s="1"/>
  <c r="X10" i="3" s="1"/>
  <c r="X12" i="3" s="1"/>
  <c r="H29" i="6"/>
  <c r="H36" i="6" s="1"/>
  <c r="H10" i="3" s="1"/>
  <c r="H12" i="3" s="1"/>
  <c r="L11" i="3"/>
  <c r="L13" i="3" s="1"/>
  <c r="M2" i="3"/>
  <c r="E2" i="3"/>
  <c r="G5" i="3"/>
  <c r="O5" i="3"/>
  <c r="G9" i="3"/>
  <c r="O9" i="3"/>
  <c r="L15" i="3"/>
  <c r="D15" i="3"/>
  <c r="X2" i="3"/>
  <c r="U15" i="3"/>
  <c r="R9" i="3"/>
  <c r="Z9" i="3"/>
  <c r="W5" i="3"/>
  <c r="H17" i="3"/>
  <c r="P17" i="3"/>
  <c r="X17" i="3"/>
  <c r="L2" i="3"/>
  <c r="D2" i="3"/>
  <c r="H5" i="3"/>
  <c r="P5" i="3"/>
  <c r="H9" i="3"/>
  <c r="P9" i="3"/>
  <c r="K15" i="3"/>
  <c r="C15" i="3"/>
  <c r="Y2" i="3"/>
  <c r="V15" i="3"/>
  <c r="S9" i="3"/>
  <c r="AA9" i="3"/>
  <c r="X5" i="3"/>
  <c r="I17" i="3"/>
  <c r="Q17" i="3"/>
  <c r="Y17" i="3"/>
  <c r="K2" i="3"/>
  <c r="C2" i="3"/>
  <c r="I5" i="3"/>
  <c r="Q5" i="3"/>
  <c r="I9" i="3"/>
  <c r="Q9" i="3"/>
  <c r="J15" i="3"/>
  <c r="R2" i="3"/>
  <c r="Z2" i="3"/>
  <c r="W15" i="3"/>
  <c r="T9" i="3"/>
  <c r="Y5" i="3"/>
  <c r="B17" i="3"/>
  <c r="J17" i="3"/>
  <c r="R17" i="3"/>
  <c r="Z17" i="3"/>
  <c r="J2" i="3"/>
  <c r="B5" i="3"/>
  <c r="J5" i="3"/>
  <c r="B9" i="3"/>
  <c r="J9" i="3"/>
  <c r="Q15" i="3"/>
  <c r="I15" i="3"/>
  <c r="S2" i="3"/>
  <c r="AA2" i="3"/>
  <c r="X15" i="3"/>
  <c r="AI15" i="3" s="1"/>
  <c r="U9" i="3"/>
  <c r="R5" i="3"/>
  <c r="Z5" i="3"/>
  <c r="C17" i="3"/>
  <c r="K17" i="3"/>
  <c r="S17" i="3"/>
  <c r="AA17" i="3"/>
  <c r="B4" i="3"/>
  <c r="X4" i="3"/>
  <c r="T4" i="3"/>
  <c r="P4" i="3"/>
  <c r="L4" i="3"/>
  <c r="H4" i="3"/>
  <c r="D4" i="3"/>
  <c r="Y11" i="3"/>
  <c r="Y13" i="3" s="1"/>
  <c r="Q11" i="3"/>
  <c r="Q13" i="3" s="1"/>
  <c r="F11" i="3"/>
  <c r="F13" i="3" s="1"/>
  <c r="D10" i="3"/>
  <c r="D12" i="3" s="1"/>
  <c r="W29" i="6"/>
  <c r="W36" i="6" s="1"/>
  <c r="W10" i="3" s="1"/>
  <c r="W12" i="3" s="1"/>
  <c r="G29" i="6"/>
  <c r="G36" i="6" s="1"/>
  <c r="G10" i="3" s="1"/>
  <c r="G12" i="3" s="1"/>
  <c r="AC29" i="6"/>
  <c r="AC36" i="6" s="1"/>
  <c r="AC10" i="3" s="1"/>
  <c r="AH35" i="6"/>
  <c r="AH4" i="3" s="1"/>
  <c r="I36" i="6"/>
  <c r="I10" i="3" s="1"/>
  <c r="I12" i="3" s="1"/>
  <c r="C37" i="6"/>
  <c r="C11" i="3" s="1"/>
  <c r="C13" i="3" s="1"/>
  <c r="K37" i="6"/>
  <c r="K11" i="3" s="1"/>
  <c r="K13" i="3" s="1"/>
  <c r="N37" i="6"/>
  <c r="N11" i="3" s="1"/>
  <c r="N13" i="3" s="1"/>
  <c r="AJ9" i="3" l="1"/>
  <c r="AI9" i="3"/>
  <c r="AB9" i="3"/>
  <c r="AH9" i="3"/>
  <c r="AG9" i="3"/>
  <c r="AF9" i="3"/>
  <c r="AE9" i="3"/>
  <c r="AD9" i="3"/>
  <c r="AC9" i="3"/>
  <c r="AK9" i="3"/>
  <c r="AD2" i="3"/>
  <c r="AK2" i="3"/>
  <c r="AC2" i="3"/>
  <c r="AJ2" i="3"/>
  <c r="AI2" i="3"/>
  <c r="AB2" i="3"/>
  <c r="AH2" i="3"/>
  <c r="AF2" i="3"/>
  <c r="AG2" i="3"/>
  <c r="AE2" i="3"/>
  <c r="C6" i="6"/>
  <c r="C31" i="6" s="1"/>
  <c r="C38" i="6" s="1"/>
  <c r="C14" i="3" s="1"/>
  <c r="E4" i="15"/>
  <c r="AF17" i="3"/>
  <c r="AG17" i="3"/>
  <c r="AH17" i="3"/>
  <c r="AI17" i="3"/>
  <c r="AB17" i="3"/>
  <c r="AC17" i="3"/>
  <c r="AD17" i="3"/>
  <c r="AE17" i="3"/>
  <c r="AJ17" i="3"/>
  <c r="AK17" i="3"/>
  <c r="AK15" i="3"/>
  <c r="AD15" i="3"/>
  <c r="AC15" i="3"/>
  <c r="AE15" i="3"/>
  <c r="AB15" i="3"/>
  <c r="AF15" i="3"/>
  <c r="F27" i="6"/>
  <c r="F34" i="6" s="1"/>
  <c r="F3" i="3" s="1"/>
  <c r="G2" i="6"/>
  <c r="AK5" i="3"/>
  <c r="AC5" i="3"/>
  <c r="AJ5" i="3"/>
  <c r="AI5" i="3"/>
  <c r="AH5" i="3"/>
  <c r="AB5" i="3"/>
  <c r="AG5" i="3"/>
  <c r="AF5" i="3"/>
  <c r="AD5" i="3"/>
  <c r="AE5" i="3"/>
  <c r="AG15" i="3"/>
  <c r="AJ15" i="3"/>
  <c r="H2" i="6" l="1"/>
  <c r="G27" i="6"/>
  <c r="G34" i="6" s="1"/>
  <c r="G3" i="3" s="1"/>
  <c r="F4" i="15"/>
  <c r="D6" i="6"/>
  <c r="D31" i="6" s="1"/>
  <c r="D38" i="6" s="1"/>
  <c r="D14" i="3" s="1"/>
  <c r="G4" i="15" l="1"/>
  <c r="E6" i="6"/>
  <c r="E31" i="6" s="1"/>
  <c r="E38" i="6" s="1"/>
  <c r="E14" i="3" s="1"/>
  <c r="H27" i="6"/>
  <c r="H34" i="6" s="1"/>
  <c r="H3" i="3" s="1"/>
  <c r="I2" i="6"/>
  <c r="F6" i="6" l="1"/>
  <c r="F31" i="6" s="1"/>
  <c r="F38" i="6" s="1"/>
  <c r="F14" i="3" s="1"/>
  <c r="H4" i="15"/>
  <c r="I27" i="6"/>
  <c r="I34" i="6" s="1"/>
  <c r="I3" i="3" s="1"/>
  <c r="J2" i="6"/>
  <c r="J27" i="6" l="1"/>
  <c r="J34" i="6" s="1"/>
  <c r="J3" i="3" s="1"/>
  <c r="K2" i="6"/>
  <c r="G6" i="6"/>
  <c r="G31" i="6" s="1"/>
  <c r="G38" i="6" s="1"/>
  <c r="G14" i="3" s="1"/>
  <c r="I4" i="15"/>
  <c r="H6" i="6" l="1"/>
  <c r="H31" i="6" s="1"/>
  <c r="H38" i="6" s="1"/>
  <c r="H14" i="3" s="1"/>
  <c r="J4" i="15"/>
  <c r="K27" i="6"/>
  <c r="K34" i="6" s="1"/>
  <c r="K3" i="3" s="1"/>
  <c r="L2" i="6"/>
  <c r="M2" i="6" l="1"/>
  <c r="L27" i="6"/>
  <c r="L34" i="6" s="1"/>
  <c r="L3" i="3" s="1"/>
  <c r="K4" i="15"/>
  <c r="I6" i="6"/>
  <c r="I31" i="6" s="1"/>
  <c r="I38" i="6" s="1"/>
  <c r="I14" i="3" s="1"/>
  <c r="M27" i="6" l="1"/>
  <c r="M34" i="6" s="1"/>
  <c r="M3" i="3" s="1"/>
  <c r="N2" i="6"/>
  <c r="J6" i="6"/>
  <c r="J31" i="6" s="1"/>
  <c r="J38" i="6" s="1"/>
  <c r="J14" i="3" s="1"/>
  <c r="L4" i="15"/>
  <c r="K6" i="6" l="1"/>
  <c r="K31" i="6" s="1"/>
  <c r="K38" i="6" s="1"/>
  <c r="K14" i="3" s="1"/>
  <c r="M4" i="15"/>
  <c r="N27" i="6"/>
  <c r="N34" i="6" s="1"/>
  <c r="N3" i="3" s="1"/>
  <c r="O2" i="6"/>
  <c r="P2" i="6" l="1"/>
  <c r="O27" i="6"/>
  <c r="O34" i="6" s="1"/>
  <c r="O3" i="3" s="1"/>
  <c r="L6" i="6"/>
  <c r="L31" i="6" s="1"/>
  <c r="L38" i="6" s="1"/>
  <c r="L14" i="3" s="1"/>
  <c r="N4" i="15"/>
  <c r="O4" i="15" l="1"/>
  <c r="M6" i="6"/>
  <c r="M31" i="6" s="1"/>
  <c r="M38" i="6" s="1"/>
  <c r="M14" i="3" s="1"/>
  <c r="P27" i="6"/>
  <c r="P34" i="6" s="1"/>
  <c r="P3" i="3" s="1"/>
  <c r="Q2" i="6"/>
  <c r="Q27" i="6" l="1"/>
  <c r="Q34" i="6" s="1"/>
  <c r="Q3" i="3" s="1"/>
  <c r="R2" i="6"/>
  <c r="N6" i="6"/>
  <c r="N31" i="6" s="1"/>
  <c r="N38" i="6" s="1"/>
  <c r="N14" i="3" s="1"/>
  <c r="P4" i="15"/>
  <c r="O6" i="6" l="1"/>
  <c r="O31" i="6" s="1"/>
  <c r="O38" i="6" s="1"/>
  <c r="O14" i="3" s="1"/>
  <c r="Q4" i="15"/>
  <c r="R27" i="6"/>
  <c r="R34" i="6" s="1"/>
  <c r="R3" i="3" s="1"/>
  <c r="S2" i="6"/>
  <c r="S27" i="6" l="1"/>
  <c r="S34" i="6" s="1"/>
  <c r="S3" i="3" s="1"/>
  <c r="T2" i="6"/>
  <c r="R4" i="15"/>
  <c r="P6" i="6"/>
  <c r="P31" i="6" s="1"/>
  <c r="P38" i="6" s="1"/>
  <c r="P14" i="3" s="1"/>
  <c r="U2" i="6" l="1"/>
  <c r="T27" i="6"/>
  <c r="T34" i="6" s="1"/>
  <c r="T3" i="3" s="1"/>
  <c r="S4" i="15"/>
  <c r="Q6" i="6"/>
  <c r="Q31" i="6" s="1"/>
  <c r="Q38" i="6" s="1"/>
  <c r="Q14" i="3" s="1"/>
  <c r="R6" i="6" l="1"/>
  <c r="T4" i="15"/>
  <c r="U27" i="6"/>
  <c r="U34" i="6" s="1"/>
  <c r="U3" i="3" s="1"/>
  <c r="V2" i="6"/>
  <c r="V27" i="6" l="1"/>
  <c r="V34" i="6" s="1"/>
  <c r="V3" i="3" s="1"/>
  <c r="W2" i="6"/>
  <c r="U4" i="15"/>
  <c r="S6" i="6"/>
  <c r="S31" i="6" s="1"/>
  <c r="S38" i="6" s="1"/>
  <c r="S14" i="3" s="1"/>
  <c r="R31" i="6"/>
  <c r="R38" i="6" s="1"/>
  <c r="R14" i="3" s="1"/>
  <c r="X2" i="6" l="1"/>
  <c r="W27" i="6"/>
  <c r="W34" i="6" s="1"/>
  <c r="W3" i="3" s="1"/>
  <c r="T6" i="6"/>
  <c r="V4" i="15"/>
  <c r="T31" i="6" l="1"/>
  <c r="T38" i="6" s="1"/>
  <c r="T14" i="3" s="1"/>
  <c r="X27" i="6"/>
  <c r="X34" i="6" s="1"/>
  <c r="X3" i="3" s="1"/>
  <c r="Y2" i="6"/>
  <c r="U6" i="6"/>
  <c r="W4" i="15"/>
  <c r="X4" i="15" l="1"/>
  <c r="V6" i="6"/>
  <c r="U31" i="6"/>
  <c r="U38" i="6" s="1"/>
  <c r="U14" i="3" s="1"/>
  <c r="Y27" i="6"/>
  <c r="Y34" i="6" s="1"/>
  <c r="Y3" i="3" s="1"/>
  <c r="Z2" i="6"/>
  <c r="W6" i="6" l="1"/>
  <c r="Y4" i="15"/>
  <c r="V31" i="6"/>
  <c r="V38" i="6" s="1"/>
  <c r="V14" i="3" s="1"/>
  <c r="Z27" i="6"/>
  <c r="Z34" i="6" s="1"/>
  <c r="Z3" i="3" s="1"/>
  <c r="AA2" i="6"/>
  <c r="AC2" i="6"/>
  <c r="AC27" i="6" s="1"/>
  <c r="AC34" i="6" s="1"/>
  <c r="AC3" i="3" s="1"/>
  <c r="AF2" i="6"/>
  <c r="AF27" i="6" s="1"/>
  <c r="AF34" i="6" s="1"/>
  <c r="AF3" i="3" s="1"/>
  <c r="AE2" i="6"/>
  <c r="AE27" i="6" s="1"/>
  <c r="AE34" i="6" s="1"/>
  <c r="AE3" i="3" s="1"/>
  <c r="AJ2" i="6"/>
  <c r="AJ27" i="6" s="1"/>
  <c r="AJ34" i="6" s="1"/>
  <c r="AJ3" i="3" s="1"/>
  <c r="AI2" i="6"/>
  <c r="AI27" i="6" s="1"/>
  <c r="AI34" i="6" s="1"/>
  <c r="AI3" i="3" s="1"/>
  <c r="AK2" i="6"/>
  <c r="AK27" i="6" s="1"/>
  <c r="AK34" i="6" s="1"/>
  <c r="AK3" i="3" s="1"/>
  <c r="AA27" i="6" l="1"/>
  <c r="AA34" i="6" s="1"/>
  <c r="AA3" i="3" s="1"/>
  <c r="AD2" i="6"/>
  <c r="AD27" i="6" s="1"/>
  <c r="AD34" i="6" s="1"/>
  <c r="AD3" i="3" s="1"/>
  <c r="AH2" i="6"/>
  <c r="AH27" i="6" s="1"/>
  <c r="AH34" i="6" s="1"/>
  <c r="AH3" i="3" s="1"/>
  <c r="AB2" i="6"/>
  <c r="AB27" i="6" s="1"/>
  <c r="AB34" i="6" s="1"/>
  <c r="AB3" i="3" s="1"/>
  <c r="AG2" i="6"/>
  <c r="AG27" i="6" s="1"/>
  <c r="AG34" i="6" s="1"/>
  <c r="AG3" i="3" s="1"/>
  <c r="X6" i="6"/>
  <c r="Z4" i="15"/>
  <c r="W31" i="6"/>
  <c r="W38" i="6" s="1"/>
  <c r="W14" i="3" s="1"/>
  <c r="AA4" i="15" l="1"/>
  <c r="Y6" i="6"/>
  <c r="X31" i="6"/>
  <c r="X38" i="6" s="1"/>
  <c r="X14" i="3" s="1"/>
  <c r="Y31" i="6" l="1"/>
  <c r="Y38" i="6" s="1"/>
  <c r="Y14" i="3" s="1"/>
  <c r="Z6" i="6"/>
  <c r="AB4" i="15"/>
  <c r="AA6" i="6" s="1"/>
  <c r="AB6" i="6" s="1"/>
  <c r="AB31" i="6" s="1"/>
  <c r="AB38" i="6" s="1"/>
  <c r="AB14" i="3" l="1"/>
  <c r="AB12" i="3"/>
  <c r="Z31" i="6"/>
  <c r="Z38" i="6" s="1"/>
  <c r="Z14" i="3" s="1"/>
  <c r="AK6" i="6"/>
  <c r="AK31" i="6" s="1"/>
  <c r="AK38" i="6" s="1"/>
  <c r="AJ6" i="6"/>
  <c r="AJ31" i="6" s="1"/>
  <c r="AJ38" i="6" s="1"/>
  <c r="AI6" i="6"/>
  <c r="AI31" i="6" s="1"/>
  <c r="AI38" i="6" s="1"/>
  <c r="AA31" i="6"/>
  <c r="AA38" i="6" s="1"/>
  <c r="AA14" i="3" s="1"/>
  <c r="AC6" i="6"/>
  <c r="AC31" i="6" s="1"/>
  <c r="AC38" i="6" s="1"/>
  <c r="AG6" i="6"/>
  <c r="AG31" i="6" s="1"/>
  <c r="AG38" i="6" s="1"/>
  <c r="AE6" i="6"/>
  <c r="AE31" i="6" s="1"/>
  <c r="AE38" i="6" s="1"/>
  <c r="AF6" i="6"/>
  <c r="AF31" i="6" s="1"/>
  <c r="AF38" i="6" s="1"/>
  <c r="AD6" i="6"/>
  <c r="AD31" i="6" s="1"/>
  <c r="AD38" i="6" s="1"/>
  <c r="AH6" i="6"/>
  <c r="AH31" i="6" s="1"/>
  <c r="AH38" i="6" s="1"/>
  <c r="AC12" i="3" l="1"/>
  <c r="AC14" i="3"/>
  <c r="AH12" i="3"/>
  <c r="AH14" i="3"/>
  <c r="AI14" i="3"/>
  <c r="AI12" i="3"/>
  <c r="AJ14" i="3"/>
  <c r="AJ12" i="3"/>
  <c r="AF14" i="3"/>
  <c r="AF12" i="3"/>
  <c r="AK14" i="3"/>
  <c r="AK12" i="3"/>
  <c r="AE12" i="3"/>
  <c r="AE14" i="3"/>
  <c r="AD14" i="3"/>
  <c r="AD12" i="3"/>
  <c r="AG14" i="3"/>
  <c r="AG12" i="3"/>
</calcChain>
</file>

<file path=xl/sharedStrings.xml><?xml version="1.0" encoding="utf-8"?>
<sst xmlns="http://schemas.openxmlformats.org/spreadsheetml/2006/main" count="237" uniqueCount="196">
  <si>
    <t>Source:</t>
  </si>
  <si>
    <t>electricity</t>
  </si>
  <si>
    <t>natural gas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</si>
  <si>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</si>
  <si>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</si>
  <si>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</si>
  <si>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</si>
  <si>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</si>
  <si>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</si>
  <si>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</si>
  <si>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</si>
  <si>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</si>
  <si>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</si>
  <si>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Notes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</si>
  <si>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</si>
  <si>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</si>
  <si>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</si>
  <si>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solar (does not use fuel)</t>
  </si>
  <si>
    <t>Currency Year Adjustment</t>
  </si>
  <si>
    <t>geothermal (does not use fuel)</t>
  </si>
  <si>
    <t>BSoFPtiT BAU Share of Fuel Price that is Tax</t>
  </si>
  <si>
    <t>hard coal</t>
  </si>
  <si>
    <t>Fuel tax</t>
  </si>
  <si>
    <t>Carbon tax</t>
  </si>
  <si>
    <t>https://www.canada.ca/en/revenue-agency/services/tax/businesses/topics/gst-hst-businesses/charge-gst/charge-gst-hst.html#previousrates</t>
  </si>
  <si>
    <t>Alberta</t>
  </si>
  <si>
    <t>Assume these stay the same to 2050</t>
  </si>
  <si>
    <t xml:space="preserve">Canada Revenue Agency: </t>
  </si>
  <si>
    <t>Sales tax (GST/HST)</t>
  </si>
  <si>
    <t>PST</t>
  </si>
  <si>
    <t>http://www.nrcan.gc.ca/energy/fuel-prices/18885</t>
  </si>
  <si>
    <t>NR Can</t>
  </si>
  <si>
    <t>* Only applies to fuels in Quebec</t>
  </si>
  <si>
    <t>Petrol</t>
  </si>
  <si>
    <t>Diesel</t>
  </si>
  <si>
    <t>Propane</t>
  </si>
  <si>
    <t>Natural Gas</t>
  </si>
  <si>
    <t>Same across all fuels</t>
  </si>
  <si>
    <t>UNIT: %</t>
  </si>
  <si>
    <t>UNIT: cents/L</t>
  </si>
  <si>
    <t>$1.011/GJ in 2017</t>
  </si>
  <si>
    <t>TOTAL</t>
  </si>
  <si>
    <t xml:space="preserve">Note: current federal legislation says $10 C tax in every province by end of 2018, up to $50 in 2022, this is not assumed here since this is BAU as of 2016 </t>
  </si>
  <si>
    <t xml:space="preserve">Jet Fuel </t>
  </si>
  <si>
    <t xml:space="preserve">Note: no fuel tax on biofuel, jet fuel or natural gas </t>
  </si>
  <si>
    <t>Unit: cents/L</t>
  </si>
  <si>
    <t>Gasoline</t>
  </si>
  <si>
    <t>Charge the GST/HST</t>
  </si>
  <si>
    <t>Natural Resources Canada</t>
  </si>
  <si>
    <t>Fuel Consumption Taxes in Canada</t>
  </si>
  <si>
    <t>National Energy Board</t>
  </si>
  <si>
    <t>Janauary 2016 projections</t>
  </si>
  <si>
    <t>Current federal legislation says $10 C tax in every province by end of 2018, up to $50 in 2022, this is not assumed here since this is BAU</t>
  </si>
  <si>
    <t>Alberta 2016 BAU</t>
  </si>
  <si>
    <t xml:space="preserve">Source: </t>
  </si>
  <si>
    <t>https://apps.neb-one.gc.ca/ftrppndc/dflt.aspx?GoCTemplateCulture=en-CA</t>
  </si>
  <si>
    <t>Weight</t>
  </si>
  <si>
    <t xml:space="preserve">This is as of 2017, so used 0 for 2016 reference case </t>
  </si>
  <si>
    <t xml:space="preserve">* This applies to all fuels </t>
  </si>
  <si>
    <t>NEB</t>
  </si>
  <si>
    <t xml:space="preserve">Note: there is a federal mandate for blending biofuel with gasoline so end use price for petro gasoline here would include some blending </t>
  </si>
  <si>
    <t xml:space="preserve">But for the purposes of this model, assume the % of biofuel that is taxes is the same % of gasoline that is taxed, so don't need price projection for biofuel gasoline or diesel </t>
  </si>
  <si>
    <t>natural gas (c/L)</t>
  </si>
  <si>
    <t>petroleum gasoline (c/L)</t>
  </si>
  <si>
    <t>petroleum diesel (c/L)</t>
  </si>
  <si>
    <t>1m3</t>
  </si>
  <si>
    <t>1000L</t>
  </si>
  <si>
    <t>Natural gas</t>
  </si>
  <si>
    <t>38.68 GJ</t>
  </si>
  <si>
    <t>34.7 GJ</t>
  </si>
  <si>
    <t xml:space="preserve">Equivalents </t>
  </si>
  <si>
    <t>34.66 GJ</t>
  </si>
  <si>
    <t>from: https://apps.neb-one.gc.ca/Conversion/conversion-tables.aspx?GoCTemplateCulture=en-CA#s1ss2</t>
  </si>
  <si>
    <t>0.0373 GJ</t>
  </si>
  <si>
    <t>GJ/L</t>
  </si>
  <si>
    <t>petroleum gasoline ($/GJ)</t>
  </si>
  <si>
    <t>petroleum diesel ($/GJ)</t>
  </si>
  <si>
    <t>Share of fuel price that is carbon or fuel tax</t>
  </si>
  <si>
    <t>Canada's Energy Future: 2017</t>
  </si>
  <si>
    <t>Fuel price data was not available for 2016 Energy Futures</t>
  </si>
  <si>
    <t xml:space="preserve">End use prices </t>
  </si>
  <si>
    <t xml:space="preserve">Industrial and transport sectors were used </t>
  </si>
  <si>
    <t xml:space="preserve">Since we are taking a ratio of dollar values, we do not need to convert to 2015 dollars </t>
  </si>
  <si>
    <t>Coal</t>
  </si>
  <si>
    <t>Coal (high heat value)</t>
  </si>
  <si>
    <t xml:space="preserve">Coal unit: $/tonne </t>
  </si>
  <si>
    <t xml:space="preserve">Assumed the tax on lignite would be the same as on coal if lignite were used in Canada </t>
  </si>
  <si>
    <t>coal</t>
  </si>
  <si>
    <t xml:space="preserve">USA Coal price data </t>
  </si>
  <si>
    <t xml:space="preserve">SOURCE: </t>
  </si>
  <si>
    <t>Report</t>
  </si>
  <si>
    <t>Annual Energy Outlook 2016</t>
  </si>
  <si>
    <t>Scenario</t>
  </si>
  <si>
    <t>ref2016</t>
  </si>
  <si>
    <t>Datekey</t>
  </si>
  <si>
    <t>d032416a</t>
  </si>
  <si>
    <t>Release Date</t>
  </si>
  <si>
    <t xml:space="preserve"> May 2016</t>
  </si>
  <si>
    <t>(2015 US dollars per million Btu)</t>
  </si>
  <si>
    <t>jet fuel (c/L)</t>
  </si>
  <si>
    <t xml:space="preserve">Rate of change </t>
  </si>
  <si>
    <t>Royal Bank of Canada</t>
  </si>
  <si>
    <t xml:space="preserve">Commodity Price Monitor </t>
  </si>
  <si>
    <t>http://www.rbc.com/economics/economic-reports/pdf/other-reports/cpm.pdf</t>
  </si>
  <si>
    <t>coal (US$/tonne)</t>
  </si>
  <si>
    <t>natural gas (CAD$/GJ)</t>
  </si>
  <si>
    <t>Price conversion for coal</t>
  </si>
  <si>
    <t>To get 2015 CAD from 2015 USA</t>
  </si>
  <si>
    <t>To get 2015 CAD from 2016 US</t>
  </si>
  <si>
    <t>($/tonne)</t>
  </si>
  <si>
    <t xml:space="preserve">Convert this into USA dollars because coal price projections are in USA </t>
  </si>
  <si>
    <t>Canadian to American exchange rate in 2017 from:</t>
  </si>
  <si>
    <t>https://www.bankofcanada.ca/rates/exchange/annual-average-exchange-rates/</t>
  </si>
  <si>
    <t xml:space="preserve">(US$/tonne) </t>
  </si>
  <si>
    <t>US2014$/million BTU</t>
  </si>
  <si>
    <t>US2014$/BTU</t>
  </si>
  <si>
    <t>Energy Information Administraton</t>
  </si>
  <si>
    <t>State Energy Data System (SEDS): 1960-2014 (complete)</t>
  </si>
  <si>
    <t>http://www.eia.gov/state/seds/sep_prices/total/pdf/pr_US.pdf</t>
  </si>
  <si>
    <t xml:space="preserve">Assume jet fuel starting price is the same as USA model starting price in lack of a Canadian data source </t>
  </si>
  <si>
    <t>Table ET1, Row "2014"</t>
  </si>
  <si>
    <t>Convert 2014US to 2015CAD</t>
  </si>
  <si>
    <t>CAD2015$/BTU</t>
  </si>
  <si>
    <t xml:space="preserve">For jet fuel projection scale: </t>
  </si>
  <si>
    <t>Select Appendices: End - Use Prices</t>
  </si>
  <si>
    <t>Select Case: Reference</t>
  </si>
  <si>
    <t>Select Sector: Transportation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</si>
  <si>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</si>
  <si>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</si>
  <si>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</si>
  <si>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</si>
  <si>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</si>
  <si>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</si>
  <si>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</si>
  <si>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</si>
  <si>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</si>
  <si>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</si>
  <si>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</si>
  <si>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</si>
  <si>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</si>
  <si>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</si>
  <si>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</si>
  <si>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</si>
  <si>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</si>
  <si>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</si>
  <si>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</si>
  <si>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</si>
  <si>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</si>
  <si>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</si>
  <si>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</si>
  <si>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</si>
  <si>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</si>
  <si>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</si>
  <si>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</si>
  <si>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</si>
  <si>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</si>
  <si>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</si>
  <si>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</si>
  <si>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</si>
  <si>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</si>
  <si>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</si>
  <si>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</si>
  <si>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</si>
  <si>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</si>
  <si>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jet fuel ($/GJ)</t>
  </si>
  <si>
    <t>BTU to GJ</t>
  </si>
  <si>
    <t>1 BTU=</t>
  </si>
  <si>
    <t>In CAD2016$</t>
  </si>
  <si>
    <t>Electric power sector, Steam Coal</t>
  </si>
  <si>
    <t>Tax rate projections have only been located for petroleum gasoline, petroleum diesel, natural gas, jet fuel and coal.</t>
  </si>
  <si>
    <t>Sources:</t>
  </si>
  <si>
    <t>natural gas, petroleum gasoline, petroleum diesel</t>
  </si>
  <si>
    <t>Canada Energy Future 2016</t>
  </si>
  <si>
    <t>Jet Fuel</t>
  </si>
  <si>
    <t>USA source</t>
  </si>
  <si>
    <t>RBC source</t>
  </si>
  <si>
    <t xml:space="preserve">Prices used were from transport sector for gas and diesel, industry sector for natural gas. </t>
  </si>
  <si>
    <t>Future year coal prices obtained by scaling Canadian coal price in start year by change in future USA coal prices (%).</t>
  </si>
  <si>
    <t>Future year jet fuel prices obtained by scaling U.S. jet fuel price in start year by change in future CAN petroleum gasoline prices (%).</t>
  </si>
  <si>
    <t>Used 2031-2040 trend to estimate 2041-2050 fuel price projections.</t>
  </si>
  <si>
    <t>Sales Tax Rate</t>
  </si>
  <si>
    <t>Canada Revenue Agency:</t>
  </si>
  <si>
    <t>Fuel Tax Rates</t>
  </si>
  <si>
    <t>Fuel Prices and Projections for natural gas, gasoline, diesel</t>
  </si>
  <si>
    <t>Jet fuel start year price</t>
  </si>
  <si>
    <t>Start year coal price</t>
  </si>
  <si>
    <t>Coal price trend in future years</t>
  </si>
  <si>
    <t>Energy Information Administration</t>
  </si>
  <si>
    <t>Select Report Version: Canada’s Energy Future 2016</t>
  </si>
  <si>
    <t xml:space="preserve">Use Albertan diesel price projection in the transport sector to scale jet fuel price over time </t>
  </si>
  <si>
    <t>Alberta  (c/L)</t>
  </si>
  <si>
    <t>Alberta Sales Tax Rate</t>
  </si>
  <si>
    <t xml:space="preserve">Taxes considered in Alberta: </t>
  </si>
  <si>
    <t>PST/GST/HST, Fuel tax, Carbon tax (No PST and no Carbox tax because based around 2015 BAU)</t>
  </si>
  <si>
    <t>cogen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</si>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</sst>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/>
    </xf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164" fontId="0" fillId="0" borderId="0" xfId="0" applyNumberFormat="1" applyFont="1"/>
    <xf numFmtId="0" fontId="0" fillId="0" borderId="0" xfId="0" applyNumberFormat="1" applyFont="1"/>
    <xf numFmtId="9" fontId="10" fillId="0" borderId="0" xfId="0" applyNumberFormat="1" applyFont="1"/>
    <xf numFmtId="0" fontId="10" fillId="0" borderId="0" xfId="0" applyFont="1"/>
    <xf numFmtId="2" fontId="0" fillId="0" borderId="0" xfId="0" applyNumberFormat="1"/>
    <xf numFmtId="0" fontId="1" fillId="4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1" fillId="0" borderId="0" xfId="0" applyFont="1" applyAlignment="1">
      <alignment vertical="center"/>
    </xf>
    <xf numFmtId="15" fontId="11" fillId="0" borderId="0" xfId="0" applyNumberFormat="1" applyFont="1" applyAlignment="1">
      <alignment horizontal="left" vertical="center"/>
    </xf>
    <xf numFmtId="0" fontId="11" fillId="0" borderId="0" xfId="0" applyFont="1"/>
    <xf numFmtId="2" fontId="0" fillId="0" borderId="0" xfId="0" applyNumberFormat="1" applyFont="1"/>
    <xf numFmtId="0" fontId="1" fillId="5" borderId="0" xfId="0" applyFont="1" applyFill="1"/>
    <xf numFmtId="4" fontId="0" fillId="0" borderId="7" xfId="11" applyNumberFormat="1" applyFont="1" applyFill="1" applyAlignment="1">
      <alignment horizontal="right" wrapText="1"/>
    </xf>
    <xf numFmtId="0" fontId="13" fillId="0" borderId="0" xfId="8" applyFont="1"/>
    <xf numFmtId="0" fontId="1" fillId="0" borderId="7" xfId="11" applyFont="1" applyFill="1" applyBorder="1" applyAlignment="1">
      <alignment wrapText="1"/>
    </xf>
    <xf numFmtId="0" fontId="14" fillId="0" borderId="0" xfId="0" applyFont="1"/>
    <xf numFmtId="164" fontId="15" fillId="0" borderId="0" xfId="0" applyNumberFormat="1" applyFont="1"/>
    <xf numFmtId="164" fontId="0" fillId="0" borderId="0" xfId="0" applyNumberFormat="1" applyFont="1" applyAlignment="1"/>
    <xf numFmtId="0" fontId="11" fillId="0" borderId="0" xfId="0" applyFont="1" applyAlignment="1">
      <alignment horizontal="left"/>
    </xf>
    <xf numFmtId="0" fontId="1" fillId="0" borderId="0" xfId="0" applyNumberFormat="1" applyFont="1" applyFill="1" applyBorder="1" applyAlignment="1" applyProtection="1"/>
    <xf numFmtId="11" fontId="0" fillId="0" borderId="0" xfId="0" applyNumberFormat="1" applyFont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" fillId="0" borderId="0" xfId="1" applyFont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 applyFont="1" applyFill="1" applyBorder="1" applyAlignment="1" applyProtection="1"/>
    <xf numFmtId="0" fontId="11" fillId="0" borderId="0" xfId="0" applyNumberFormat="1" applyFont="1" applyFill="1" applyAlignment="1" applyProtection="1"/>
    <xf numFmtId="0" fontId="17" fillId="0" borderId="0" xfId="8" applyFont="1"/>
    <xf numFmtId="0" fontId="17" fillId="0" borderId="0" xfId="8" applyFont="1" applyFill="1"/>
    <xf numFmtId="0" fontId="0" fillId="0" borderId="0" xfId="0" applyFont="1" applyAlignment="1">
      <alignment wrapText="1"/>
    </xf>
    <xf numFmtId="0" fontId="1" fillId="6" borderId="0" xfId="0" applyFont="1" applyFill="1"/>
    <xf numFmtId="0" fontId="19" fillId="6" borderId="0" xfId="1" applyFont="1" applyFill="1"/>
    <xf numFmtId="0" fontId="20" fillId="0" borderId="0" xfId="0" applyFont="1"/>
    <xf numFmtId="0" fontId="18" fillId="6" borderId="0" xfId="0" applyFont="1" applyFill="1" applyAlignment="1">
      <alignment vertical="center"/>
    </xf>
    <xf numFmtId="15" fontId="18" fillId="6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 applyProtection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42">
    <cellStyle name="Body: normal cell" xfId="5" xr:uid="{00000000-0005-0000-0000-000000000000}"/>
    <cellStyle name="Body: normal cell 2" xfId="11" xr:uid="{00000000-0005-0000-0000-000001000000}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nt: Calibri, 9pt regular" xfId="2" xr:uid="{00000000-0005-0000-0000-000081000000}"/>
    <cellStyle name="Font: Calibri, 9pt regular 2" xfId="13" xr:uid="{00000000-0005-0000-0000-000082000000}"/>
    <cellStyle name="Footnotes: top row" xfId="7" xr:uid="{00000000-0005-0000-0000-000083000000}"/>
    <cellStyle name="Footnotes: top row 2" xfId="9" xr:uid="{00000000-0005-0000-0000-000084000000}"/>
    <cellStyle name="Header: bottom row" xfId="3" xr:uid="{00000000-0005-0000-0000-000085000000}"/>
    <cellStyle name="Header: bottom row 2" xfId="12" xr:uid="{00000000-0005-0000-0000-000086000000}"/>
    <cellStyle name="Hyperlink" xfId="1" builtinId="8"/>
    <cellStyle name="Normal" xfId="0" builtinId="0"/>
    <cellStyle name="Normal 2" xfId="8" xr:uid="{00000000-0005-0000-0000-000089000000}"/>
    <cellStyle name="Parent row" xfId="6" xr:uid="{00000000-0005-0000-0000-00008A000000}"/>
    <cellStyle name="Parent row 2" xfId="10" xr:uid="{00000000-0005-0000-0000-00008B000000}"/>
    <cellStyle name="Table title" xfId="4" xr:uid="{00000000-0005-0000-0000-00008C000000}"/>
    <cellStyle name="Table title 2" xfId="14" xr:uid="{00000000-0005-0000-0000-00008D000000}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23:AK26" totalsRowCount="1" headerRowDxfId="76" dataDxfId="75" totalsRowDxfId="74">
  <tableColumns count="37">
    <tableColumn id="1" xr3:uid="{00000000-0010-0000-0000-000001000000}" name="_" dataDxfId="73" totalsRowDxfId="72"/>
    <tableColumn id="2" xr3:uid="{00000000-0010-0000-0000-000002000000}" name="2005" dataDxfId="71" totalsRowDxfId="70"/>
    <tableColumn id="3" xr3:uid="{00000000-0010-0000-0000-000003000000}" name="2006" dataDxfId="69" totalsRowDxfId="68"/>
    <tableColumn id="4" xr3:uid="{00000000-0010-0000-0000-000004000000}" name="2007" dataDxfId="67" totalsRowDxfId="66"/>
    <tableColumn id="5" xr3:uid="{00000000-0010-0000-0000-000005000000}" name="2008" dataDxfId="65" totalsRowDxfId="64"/>
    <tableColumn id="6" xr3:uid="{00000000-0010-0000-0000-000006000000}" name="2009" dataDxfId="63" totalsRowDxfId="62"/>
    <tableColumn id="7" xr3:uid="{00000000-0010-0000-0000-000007000000}" name="2010" dataDxfId="61" totalsRowDxfId="60"/>
    <tableColumn id="8" xr3:uid="{00000000-0010-0000-0000-000008000000}" name="2011" dataDxfId="59" totalsRowDxfId="58"/>
    <tableColumn id="9" xr3:uid="{00000000-0010-0000-0000-000009000000}" name="2012" dataDxfId="57" totalsRowDxfId="56"/>
    <tableColumn id="10" xr3:uid="{00000000-0010-0000-0000-00000A000000}" name="2013" dataDxfId="55" totalsRowDxfId="54"/>
    <tableColumn id="11" xr3:uid="{00000000-0010-0000-0000-00000B000000}" name="2014" dataDxfId="53" totalsRowDxfId="52"/>
    <tableColumn id="12" xr3:uid="{00000000-0010-0000-0000-00000C000000}" name="2015" totalsRowFunction="custom" dataDxfId="51" totalsRowDxfId="50">
      <totalsRowFormula>L25/K25</totalsRowFormula>
    </tableColumn>
    <tableColumn id="13" xr3:uid="{00000000-0010-0000-0000-00000D000000}" name="2016" totalsRowFunction="custom" dataDxfId="49" totalsRowDxfId="48">
      <totalsRowFormula>M25/L25</totalsRowFormula>
    </tableColumn>
    <tableColumn id="14" xr3:uid="{00000000-0010-0000-0000-00000E000000}" name="2017" totalsRowFunction="custom" dataDxfId="47" totalsRowDxfId="46">
      <totalsRowFormula>N25/M25</totalsRowFormula>
    </tableColumn>
    <tableColumn id="15" xr3:uid="{00000000-0010-0000-0000-00000F000000}" name="2018" totalsRowFunction="custom" dataDxfId="45" totalsRowDxfId="44">
      <totalsRowFormula>O25/N25</totalsRowFormula>
    </tableColumn>
    <tableColumn id="16" xr3:uid="{00000000-0010-0000-0000-000010000000}" name="2019" totalsRowFunction="custom" dataDxfId="43" totalsRowDxfId="42">
      <totalsRowFormula>P25/O25</totalsRowFormula>
    </tableColumn>
    <tableColumn id="17" xr3:uid="{00000000-0010-0000-0000-000011000000}" name="2020" totalsRowFunction="custom" dataDxfId="41" totalsRowDxfId="40">
      <totalsRowFormula>Q25/P25</totalsRowFormula>
    </tableColumn>
    <tableColumn id="18" xr3:uid="{00000000-0010-0000-0000-000012000000}" name="2021" totalsRowFunction="custom" dataDxfId="39" totalsRowDxfId="38">
      <totalsRowFormula>R25/Q25</totalsRowFormula>
    </tableColumn>
    <tableColumn id="19" xr3:uid="{00000000-0010-0000-0000-000013000000}" name="2022" totalsRowFunction="custom" dataDxfId="37" totalsRowDxfId="36">
      <totalsRowFormula>S25/R25</totalsRowFormula>
    </tableColumn>
    <tableColumn id="20" xr3:uid="{00000000-0010-0000-0000-000014000000}" name="2023" totalsRowFunction="custom" dataDxfId="35" totalsRowDxfId="34">
      <totalsRowFormula>T25/S25</totalsRowFormula>
    </tableColumn>
    <tableColumn id="21" xr3:uid="{00000000-0010-0000-0000-000015000000}" name="2024" totalsRowFunction="custom" dataDxfId="33" totalsRowDxfId="32">
      <totalsRowFormula>U25/T25</totalsRowFormula>
    </tableColumn>
    <tableColumn id="22" xr3:uid="{00000000-0010-0000-0000-000016000000}" name="2025" totalsRowFunction="custom" dataDxfId="31" totalsRowDxfId="30">
      <totalsRowFormula>V25/U25</totalsRowFormula>
    </tableColumn>
    <tableColumn id="23" xr3:uid="{00000000-0010-0000-0000-000017000000}" name="2026" totalsRowFunction="custom" dataDxfId="29" totalsRowDxfId="28">
      <totalsRowFormula>W25/V25</totalsRowFormula>
    </tableColumn>
    <tableColumn id="24" xr3:uid="{00000000-0010-0000-0000-000018000000}" name="2027" totalsRowFunction="custom" dataDxfId="27" totalsRowDxfId="26">
      <totalsRowFormula>X25/W25</totalsRowFormula>
    </tableColumn>
    <tableColumn id="25" xr3:uid="{00000000-0010-0000-0000-000019000000}" name="2028" totalsRowFunction="custom" dataDxfId="25" totalsRowDxfId="24">
      <totalsRowFormula>Y25/X25</totalsRowFormula>
    </tableColumn>
    <tableColumn id="26" xr3:uid="{00000000-0010-0000-0000-00001A000000}" name="2029" totalsRowFunction="custom" dataDxfId="23" totalsRowDxfId="22">
      <totalsRowFormula>Z25/Y25</totalsRowFormula>
    </tableColumn>
    <tableColumn id="27" xr3:uid="{00000000-0010-0000-0000-00001B000000}" name="2030" totalsRowFunction="custom" dataDxfId="21" totalsRowDxfId="20">
      <totalsRowFormula>AA25/Z25</totalsRowFormula>
    </tableColumn>
    <tableColumn id="28" xr3:uid="{00000000-0010-0000-0000-00001C000000}" name="2031" totalsRowFunction="custom" dataDxfId="19" totalsRowDxfId="18">
      <totalsRowFormula>AB25/AA25</totalsRowFormula>
    </tableColumn>
    <tableColumn id="29" xr3:uid="{00000000-0010-0000-0000-00001D000000}" name="2032" totalsRowFunction="custom" dataDxfId="17" totalsRowDxfId="16">
      <totalsRowFormula>AC25/AB25</totalsRowFormula>
    </tableColumn>
    <tableColumn id="30" xr3:uid="{00000000-0010-0000-0000-00001E000000}" name="2033" totalsRowFunction="custom" dataDxfId="15" totalsRowDxfId="14">
      <totalsRowFormula>AD25/AC25</totalsRowFormula>
    </tableColumn>
    <tableColumn id="31" xr3:uid="{00000000-0010-0000-0000-00001F000000}" name="2034" totalsRowFunction="custom" dataDxfId="13" totalsRowDxfId="12">
      <totalsRowFormula>AE25/AD25</totalsRowFormula>
    </tableColumn>
    <tableColumn id="32" xr3:uid="{00000000-0010-0000-0000-000020000000}" name="2035" totalsRowFunction="custom" dataDxfId="11" totalsRowDxfId="10">
      <totalsRowFormula>AF25/AE25</totalsRowFormula>
    </tableColumn>
    <tableColumn id="33" xr3:uid="{00000000-0010-0000-0000-000021000000}" name="2036" totalsRowFunction="custom" dataDxfId="9" totalsRowDxfId="8">
      <totalsRowFormula>AG25/AF25</totalsRowFormula>
    </tableColumn>
    <tableColumn id="34" xr3:uid="{00000000-0010-0000-0000-000022000000}" name="2037" totalsRowFunction="custom" dataDxfId="7" totalsRowDxfId="6">
      <totalsRowFormula>AH25/AG25</totalsRowFormula>
    </tableColumn>
    <tableColumn id="35" xr3:uid="{00000000-0010-0000-0000-000023000000}" name="2038" totalsRowFunction="custom" dataDxfId="5" totalsRowDxfId="4">
      <totalsRowFormula>AI25/AH25</totalsRowFormula>
    </tableColumn>
    <tableColumn id="36" xr3:uid="{00000000-0010-0000-0000-000024000000}" name="2039" totalsRowFunction="custom" dataDxfId="3" totalsRowDxfId="2">
      <totalsRowFormula>AJ25/AI25</totalsRowFormula>
    </tableColumn>
    <tableColumn id="37" xr3:uid="{00000000-0010-0000-0000-000025000000}" name="2040" totalsRowFunction="custom" dataDxfId="1" totalsRowDxfId="0">
      <totalsRowFormula>AK25/AJ25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p_prices/total/pdf/pr_U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eia.gov/state/seds/sep_prices/total/pdf/pr_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B22" sqref="B22"/>
    </sheetView>
  </sheetViews>
  <sheetFormatPr defaultColWidth="8.77734375" defaultRowHeight="14.4" x14ac:dyDescent="0.3"/>
  <cols>
    <col min="1" max="1" width="27.33203125" customWidth="1"/>
    <col min="2" max="2" width="79.44140625" customWidth="1"/>
    <col min="3" max="3" width="18.109375" customWidth="1"/>
  </cols>
  <sheetData>
    <row r="1" spans="1:3" x14ac:dyDescent="0.3">
      <c r="A1" s="1" t="s">
        <v>20</v>
      </c>
    </row>
    <row r="3" spans="1:3" x14ac:dyDescent="0.3">
      <c r="A3" s="1" t="s">
        <v>0</v>
      </c>
      <c r="B3" s="42" t="s">
        <v>180</v>
      </c>
    </row>
    <row r="4" spans="1:3" x14ac:dyDescent="0.3">
      <c r="B4" s="5" t="s">
        <v>181</v>
      </c>
      <c r="C4" s="4" t="s">
        <v>191</v>
      </c>
    </row>
    <row r="5" spans="1:3" x14ac:dyDescent="0.3">
      <c r="B5" s="2">
        <v>2017</v>
      </c>
      <c r="C5" s="5">
        <f>'Canada tax data'!M5</f>
        <v>0.05</v>
      </c>
    </row>
    <row r="6" spans="1:3" x14ac:dyDescent="0.3">
      <c r="B6" t="s">
        <v>47</v>
      </c>
    </row>
    <row r="7" spans="1:3" x14ac:dyDescent="0.3">
      <c r="B7" t="s">
        <v>24</v>
      </c>
    </row>
    <row r="8" spans="1:3" x14ac:dyDescent="0.3">
      <c r="B8" s="3"/>
    </row>
    <row r="9" spans="1:3" x14ac:dyDescent="0.3">
      <c r="B9" s="43" t="s">
        <v>182</v>
      </c>
    </row>
    <row r="10" spans="1:3" x14ac:dyDescent="0.3">
      <c r="B10" s="5" t="s">
        <v>48</v>
      </c>
    </row>
    <row r="11" spans="1:3" x14ac:dyDescent="0.3">
      <c r="B11" s="2">
        <v>2017</v>
      </c>
    </row>
    <row r="12" spans="1:3" x14ac:dyDescent="0.3">
      <c r="B12" t="s">
        <v>49</v>
      </c>
    </row>
    <row r="13" spans="1:3" x14ac:dyDescent="0.3">
      <c r="B13" t="s">
        <v>30</v>
      </c>
    </row>
    <row r="15" spans="1:3" x14ac:dyDescent="0.3">
      <c r="B15" s="42" t="s">
        <v>183</v>
      </c>
    </row>
    <row r="16" spans="1:3" x14ac:dyDescent="0.3">
      <c r="B16" s="5" t="s">
        <v>50</v>
      </c>
    </row>
    <row r="17" spans="2:3" x14ac:dyDescent="0.3">
      <c r="B17" t="s">
        <v>78</v>
      </c>
      <c r="C17" s="44" t="s">
        <v>79</v>
      </c>
    </row>
    <row r="18" spans="2:3" x14ac:dyDescent="0.3">
      <c r="B18" t="s">
        <v>51</v>
      </c>
    </row>
    <row r="19" spans="2:3" x14ac:dyDescent="0.3">
      <c r="B19" s="17" t="s">
        <v>80</v>
      </c>
    </row>
    <row r="20" spans="2:3" x14ac:dyDescent="0.3">
      <c r="B20" s="17" t="s">
        <v>81</v>
      </c>
    </row>
    <row r="21" spans="2:3" x14ac:dyDescent="0.3">
      <c r="B21" s="17" t="s">
        <v>55</v>
      </c>
    </row>
    <row r="22" spans="2:3" x14ac:dyDescent="0.3">
      <c r="B22" s="17"/>
    </row>
    <row r="23" spans="2:3" x14ac:dyDescent="0.3">
      <c r="B23" s="45" t="s">
        <v>184</v>
      </c>
    </row>
    <row r="24" spans="2:3" x14ac:dyDescent="0.3">
      <c r="B24" s="19" t="s">
        <v>116</v>
      </c>
    </row>
    <row r="25" spans="2:3" x14ac:dyDescent="0.3">
      <c r="B25" s="28">
        <v>2016</v>
      </c>
    </row>
    <row r="26" spans="2:3" x14ac:dyDescent="0.3">
      <c r="B26" s="19" t="s">
        <v>117</v>
      </c>
    </row>
    <row r="27" spans="2:3" x14ac:dyDescent="0.3">
      <c r="B27" s="3" t="s">
        <v>118</v>
      </c>
    </row>
    <row r="28" spans="2:3" x14ac:dyDescent="0.3">
      <c r="B28" s="18"/>
    </row>
    <row r="29" spans="2:3" x14ac:dyDescent="0.3">
      <c r="B29" s="45" t="s">
        <v>185</v>
      </c>
    </row>
    <row r="30" spans="2:3" x14ac:dyDescent="0.3">
      <c r="B30" s="19" t="s">
        <v>101</v>
      </c>
    </row>
    <row r="31" spans="2:3" x14ac:dyDescent="0.3">
      <c r="B31" s="19" t="s">
        <v>102</v>
      </c>
    </row>
    <row r="32" spans="2:3" x14ac:dyDescent="0.3">
      <c r="B32" s="2">
        <v>2018</v>
      </c>
    </row>
    <row r="33" spans="1:3" x14ac:dyDescent="0.3">
      <c r="B33" s="19" t="s">
        <v>103</v>
      </c>
    </row>
    <row r="34" spans="1:3" x14ac:dyDescent="0.3">
      <c r="B34" s="18"/>
    </row>
    <row r="35" spans="1:3" x14ac:dyDescent="0.3">
      <c r="B35" s="46" t="s">
        <v>186</v>
      </c>
    </row>
    <row r="36" spans="1:3" x14ac:dyDescent="0.3">
      <c r="B36" s="18" t="s">
        <v>187</v>
      </c>
    </row>
    <row r="37" spans="1:3" x14ac:dyDescent="0.3">
      <c r="B37" s="2">
        <v>2016</v>
      </c>
    </row>
    <row r="38" spans="1:3" x14ac:dyDescent="0.3">
      <c r="B38" s="18" t="s">
        <v>91</v>
      </c>
    </row>
    <row r="39" spans="1:3" x14ac:dyDescent="0.3">
      <c r="B39" s="25"/>
      <c r="C39" s="25"/>
    </row>
    <row r="40" spans="1:3" x14ac:dyDescent="0.3">
      <c r="A40" s="15" t="s">
        <v>13</v>
      </c>
    </row>
    <row r="41" spans="1:3" x14ac:dyDescent="0.3">
      <c r="A41" t="s">
        <v>169</v>
      </c>
    </row>
    <row r="42" spans="1:3" x14ac:dyDescent="0.3">
      <c r="A42" t="s">
        <v>14</v>
      </c>
    </row>
    <row r="43" spans="1:3" x14ac:dyDescent="0.3">
      <c r="A43" t="s">
        <v>15</v>
      </c>
    </row>
    <row r="44" spans="1:3" x14ac:dyDescent="0.3">
      <c r="A44" t="s">
        <v>16</v>
      </c>
    </row>
    <row r="46" spans="1:3" x14ac:dyDescent="0.3">
      <c r="A46" s="1" t="s">
        <v>18</v>
      </c>
    </row>
    <row r="47" spans="1:3" x14ac:dyDescent="0.3">
      <c r="A47" t="s">
        <v>82</v>
      </c>
    </row>
    <row r="48" spans="1:3" x14ac:dyDescent="0.3">
      <c r="A48" s="16"/>
    </row>
    <row r="50" spans="1:2" x14ac:dyDescent="0.3">
      <c r="A50" t="s">
        <v>192</v>
      </c>
      <c r="B50" t="s">
        <v>193</v>
      </c>
    </row>
    <row r="52" spans="1:2" x14ac:dyDescent="0.3">
      <c r="A52" s="14" t="s">
        <v>52</v>
      </c>
    </row>
    <row r="53" spans="1:2" x14ac:dyDescent="0.3">
      <c r="A53" s="16"/>
    </row>
    <row r="55" spans="1:2" x14ac:dyDescent="0.3">
      <c r="A55" t="s">
        <v>86</v>
      </c>
    </row>
    <row r="56" spans="1:2" x14ac:dyDescent="0.3">
      <c r="A56" s="14"/>
    </row>
    <row r="57" spans="1:2" x14ac:dyDescent="0.3">
      <c r="A57" s="16"/>
    </row>
    <row r="58" spans="1:2" x14ac:dyDescent="0.3">
      <c r="A58" s="14"/>
    </row>
    <row r="59" spans="1:2" x14ac:dyDescent="0.3">
      <c r="A59" s="16"/>
    </row>
    <row r="60" spans="1:2" x14ac:dyDescent="0.3">
      <c r="A60" s="16"/>
    </row>
    <row r="61" spans="1:2" x14ac:dyDescent="0.3">
      <c r="A61" s="16"/>
    </row>
  </sheetData>
  <hyperlinks>
    <hyperlink ref="B27" r:id="rId1" xr:uid="{00000000-0004-0000-0000-000000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O58"/>
  <sheetViews>
    <sheetView workbookViewId="0">
      <selection activeCell="H46" sqref="H46"/>
    </sheetView>
  </sheetViews>
  <sheetFormatPr defaultColWidth="10.77734375" defaultRowHeight="14.4" x14ac:dyDescent="0.3"/>
  <cols>
    <col min="1" max="1" width="17.77734375" style="5" customWidth="1"/>
    <col min="2" max="2" width="22.44140625" style="5" customWidth="1"/>
    <col min="3" max="3" width="14.77734375" style="5" customWidth="1"/>
    <col min="4" max="7" width="10.77734375" style="5"/>
    <col min="8" max="8" width="14" style="5" customWidth="1"/>
    <col min="9" max="9" width="22" style="5" customWidth="1"/>
    <col min="10" max="10" width="12.6640625" style="5" bestFit="1" customWidth="1"/>
    <col min="11" max="11" width="10.77734375" style="5"/>
    <col min="12" max="12" width="9.33203125" style="5" customWidth="1"/>
    <col min="13" max="13" width="23.6640625" style="5" customWidth="1"/>
    <col min="14" max="14" width="34.109375" style="5" bestFit="1" customWidth="1"/>
    <col min="15" max="15" width="37.109375" style="5" bestFit="1" customWidth="1"/>
    <col min="16" max="16384" width="10.77734375" style="5"/>
  </cols>
  <sheetData>
    <row r="1" spans="1:15" x14ac:dyDescent="0.3">
      <c r="A1" s="1" t="s">
        <v>27</v>
      </c>
    </row>
    <row r="2" spans="1:15" x14ac:dyDescent="0.3">
      <c r="A2" s="5" t="s">
        <v>24</v>
      </c>
    </row>
    <row r="4" spans="1:15" x14ac:dyDescent="0.3">
      <c r="A4" s="6" t="s">
        <v>28</v>
      </c>
      <c r="B4" s="1">
        <v>2015</v>
      </c>
      <c r="C4" s="1">
        <v>2016</v>
      </c>
      <c r="D4" s="1">
        <v>2017</v>
      </c>
      <c r="E4" s="5" t="s">
        <v>26</v>
      </c>
      <c r="H4" s="6" t="s">
        <v>29</v>
      </c>
      <c r="I4" s="5" t="s">
        <v>32</v>
      </c>
      <c r="J4" s="5" t="s">
        <v>38</v>
      </c>
      <c r="K4" s="6" t="s">
        <v>41</v>
      </c>
      <c r="L4" s="1" t="s">
        <v>56</v>
      </c>
      <c r="M4" s="13" t="s">
        <v>25</v>
      </c>
      <c r="N4" s="5" t="s">
        <v>58</v>
      </c>
      <c r="O4"/>
    </row>
    <row r="5" spans="1:15" x14ac:dyDescent="0.3">
      <c r="A5" s="5" t="s">
        <v>25</v>
      </c>
      <c r="B5" s="5">
        <v>0.05</v>
      </c>
      <c r="C5" s="5">
        <v>0.05</v>
      </c>
      <c r="D5" s="5">
        <v>0.05</v>
      </c>
      <c r="E5" s="5" t="s">
        <v>37</v>
      </c>
      <c r="K5" s="5">
        <f>D5</f>
        <v>0.05</v>
      </c>
      <c r="L5" s="8">
        <v>1</v>
      </c>
      <c r="M5" s="5">
        <f>SUMPRODUCT(K5:K17,L5:L17)/SUM(L5:L17)</f>
        <v>0.05</v>
      </c>
      <c r="O5"/>
    </row>
    <row r="6" spans="1:15" x14ac:dyDescent="0.3">
      <c r="O6"/>
    </row>
    <row r="7" spans="1:15" x14ac:dyDescent="0.3">
      <c r="O7"/>
    </row>
    <row r="8" spans="1:15" x14ac:dyDescent="0.3">
      <c r="O8"/>
    </row>
    <row r="9" spans="1:15" x14ac:dyDescent="0.3">
      <c r="O9"/>
    </row>
    <row r="10" spans="1:15" x14ac:dyDescent="0.3">
      <c r="H10" s="9"/>
      <c r="K10" s="9"/>
      <c r="O10"/>
    </row>
    <row r="11" spans="1:15" x14ac:dyDescent="0.3">
      <c r="O11"/>
    </row>
    <row r="12" spans="1:15" x14ac:dyDescent="0.3">
      <c r="O12"/>
    </row>
    <row r="13" spans="1:15" x14ac:dyDescent="0.3">
      <c r="O13"/>
    </row>
    <row r="14" spans="1:15" x14ac:dyDescent="0.3">
      <c r="O14"/>
    </row>
    <row r="15" spans="1:15" x14ac:dyDescent="0.3">
      <c r="O15"/>
    </row>
    <row r="16" spans="1:15" x14ac:dyDescent="0.3">
      <c r="O16"/>
    </row>
    <row r="17" spans="1:15" x14ac:dyDescent="0.3">
      <c r="O17"/>
    </row>
    <row r="18" spans="1:15" x14ac:dyDescent="0.3">
      <c r="L18" s="8"/>
      <c r="O18" s="10"/>
    </row>
    <row r="19" spans="1:15" x14ac:dyDescent="0.3">
      <c r="A19" s="1" t="s">
        <v>31</v>
      </c>
      <c r="O19" s="10"/>
    </row>
    <row r="20" spans="1:15" x14ac:dyDescent="0.3">
      <c r="A20" s="5" t="s">
        <v>30</v>
      </c>
    </row>
    <row r="21" spans="1:15" x14ac:dyDescent="0.3">
      <c r="I21" s="13" t="s">
        <v>190</v>
      </c>
      <c r="J21" s="14"/>
    </row>
    <row r="22" spans="1:15" x14ac:dyDescent="0.3">
      <c r="A22" s="6" t="s">
        <v>22</v>
      </c>
      <c r="B22" s="1" t="s">
        <v>33</v>
      </c>
      <c r="C22" s="1" t="s">
        <v>34</v>
      </c>
      <c r="D22" s="1" t="s">
        <v>35</v>
      </c>
      <c r="E22" s="14" t="s">
        <v>44</v>
      </c>
      <c r="H22" s="5" t="s">
        <v>39</v>
      </c>
      <c r="I22" s="1" t="s">
        <v>33</v>
      </c>
      <c r="J22" s="1" t="s">
        <v>34</v>
      </c>
      <c r="K22" s="14"/>
      <c r="L22" s="1"/>
    </row>
    <row r="23" spans="1:15" x14ac:dyDescent="0.3">
      <c r="A23" s="5" t="s">
        <v>25</v>
      </c>
      <c r="B23" s="5">
        <v>13</v>
      </c>
      <c r="C23" s="5">
        <v>13</v>
      </c>
      <c r="D23" s="5">
        <v>9.4</v>
      </c>
      <c r="I23" s="5">
        <f>SUMPRODUCT(B23:B35,L5:L17)</f>
        <v>13</v>
      </c>
      <c r="J23" s="5">
        <f>SUMPRODUCT(C23:C35,L5:L17)</f>
        <v>13</v>
      </c>
    </row>
    <row r="24" spans="1:15" x14ac:dyDescent="0.3">
      <c r="I24" s="14"/>
    </row>
    <row r="36" spans="1:14" x14ac:dyDescent="0.3">
      <c r="I36" s="13" t="s">
        <v>190</v>
      </c>
      <c r="J36" s="1"/>
      <c r="K36" s="1"/>
      <c r="L36" s="1"/>
      <c r="M36" s="5" t="s">
        <v>109</v>
      </c>
    </row>
    <row r="37" spans="1:14" x14ac:dyDescent="0.3">
      <c r="G37" s="5" t="s">
        <v>45</v>
      </c>
      <c r="H37" s="5" t="s">
        <v>85</v>
      </c>
      <c r="I37" s="1" t="s">
        <v>33</v>
      </c>
      <c r="J37" s="1" t="s">
        <v>34</v>
      </c>
      <c r="K37" s="1" t="s">
        <v>36</v>
      </c>
      <c r="L37" s="1" t="s">
        <v>43</v>
      </c>
      <c r="M37" s="1" t="s">
        <v>83</v>
      </c>
      <c r="N37" s="14"/>
    </row>
    <row r="38" spans="1:14" x14ac:dyDescent="0.3">
      <c r="A38" s="6" t="s">
        <v>23</v>
      </c>
      <c r="B38" s="1" t="s">
        <v>33</v>
      </c>
      <c r="C38" s="1" t="s">
        <v>34</v>
      </c>
      <c r="D38" s="1" t="s">
        <v>35</v>
      </c>
      <c r="E38" s="1" t="s">
        <v>36</v>
      </c>
      <c r="F38" s="1" t="s">
        <v>43</v>
      </c>
      <c r="H38" s="15" t="s">
        <v>84</v>
      </c>
      <c r="I38" s="5">
        <f>SUMPRODUCT(B39:B51,L5:L17)</f>
        <v>0</v>
      </c>
      <c r="J38" s="5">
        <f>SUMPRODUCT(C39:C51,L5:L17)</f>
        <v>0</v>
      </c>
      <c r="K38" s="5">
        <f>SUMPRODUCT(E39:E51,L5:L17)</f>
        <v>0</v>
      </c>
      <c r="L38" s="20">
        <f>SUMPRODUCT(F39:F51,L5:L17)</f>
        <v>0</v>
      </c>
      <c r="M38" s="5">
        <f>SUMPRODUCT(H39:H51,L5:L17)</f>
        <v>0</v>
      </c>
    </row>
    <row r="39" spans="1:14" x14ac:dyDescent="0.3">
      <c r="A39" s="5" t="s">
        <v>53</v>
      </c>
      <c r="B39" s="11">
        <v>0</v>
      </c>
      <c r="C39" s="11">
        <v>0</v>
      </c>
      <c r="D39" s="11">
        <v>0</v>
      </c>
      <c r="E39" s="11">
        <v>0</v>
      </c>
      <c r="F39" s="12">
        <v>0</v>
      </c>
      <c r="H39" s="11">
        <v>0</v>
      </c>
      <c r="M39" s="7" t="s">
        <v>110</v>
      </c>
    </row>
    <row r="40" spans="1:14" x14ac:dyDescent="0.3">
      <c r="B40" s="11"/>
      <c r="C40" s="11"/>
      <c r="D40" s="11"/>
      <c r="E40" s="11"/>
      <c r="F40" s="12"/>
      <c r="H40" s="11"/>
      <c r="M40" s="27" t="s">
        <v>111</v>
      </c>
      <c r="N40" s="5" t="s">
        <v>112</v>
      </c>
    </row>
    <row r="41" spans="1:14" x14ac:dyDescent="0.3">
      <c r="M41" s="11">
        <v>1.2986</v>
      </c>
    </row>
    <row r="42" spans="1:14" x14ac:dyDescent="0.3">
      <c r="M42" s="5" t="s">
        <v>113</v>
      </c>
    </row>
    <row r="43" spans="1:14" x14ac:dyDescent="0.3">
      <c r="E43" s="11"/>
      <c r="M43" s="5">
        <f>M38/M41</f>
        <v>0</v>
      </c>
    </row>
    <row r="44" spans="1:14" x14ac:dyDescent="0.3">
      <c r="E44" s="11"/>
    </row>
    <row r="45" spans="1:14" x14ac:dyDescent="0.3">
      <c r="E45" s="11"/>
    </row>
    <row r="46" spans="1:14" x14ac:dyDescent="0.3">
      <c r="E46" s="11"/>
    </row>
    <row r="47" spans="1:14" x14ac:dyDescent="0.3">
      <c r="E47" s="11"/>
    </row>
    <row r="48" spans="1:14" x14ac:dyDescent="0.3">
      <c r="E48" s="11"/>
    </row>
    <row r="49" spans="1:7" x14ac:dyDescent="0.3">
      <c r="E49" s="11"/>
    </row>
    <row r="50" spans="1:7" x14ac:dyDescent="0.3">
      <c r="E50" s="11"/>
    </row>
    <row r="51" spans="1:7" x14ac:dyDescent="0.3">
      <c r="E51" s="11"/>
    </row>
    <row r="53" spans="1:7" x14ac:dyDescent="0.3">
      <c r="A53" s="5" t="s">
        <v>25</v>
      </c>
      <c r="B53" s="11">
        <v>4.49</v>
      </c>
      <c r="C53" s="11">
        <v>5.35</v>
      </c>
      <c r="D53" s="11">
        <v>3.08</v>
      </c>
      <c r="E53" s="11" t="s">
        <v>40</v>
      </c>
      <c r="F53" s="11">
        <v>0</v>
      </c>
      <c r="G53" s="14" t="s">
        <v>57</v>
      </c>
    </row>
    <row r="54" spans="1:7" x14ac:dyDescent="0.3">
      <c r="B54" s="11"/>
      <c r="C54" s="11"/>
      <c r="D54" s="11"/>
      <c r="E54" s="11"/>
      <c r="F54" s="11"/>
      <c r="G54" s="14"/>
    </row>
    <row r="55" spans="1:7" x14ac:dyDescent="0.3">
      <c r="A55" s="14"/>
      <c r="B55" s="14"/>
      <c r="C55" s="14"/>
      <c r="D55" s="14"/>
      <c r="E55" s="14"/>
    </row>
    <row r="56" spans="1:7" x14ac:dyDescent="0.3">
      <c r="A56" s="7" t="s">
        <v>42</v>
      </c>
    </row>
    <row r="57" spans="1:7" x14ac:dyDescent="0.3">
      <c r="A57" s="14"/>
    </row>
    <row r="58" spans="1:7" x14ac:dyDescent="0.3">
      <c r="A5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AK43"/>
  <sheetViews>
    <sheetView topLeftCell="A14" workbookViewId="0">
      <selection activeCell="B2" sqref="B2"/>
    </sheetView>
  </sheetViews>
  <sheetFormatPr defaultColWidth="10.77734375" defaultRowHeight="14.4" x14ac:dyDescent="0.3"/>
  <cols>
    <col min="1" max="1" width="38.77734375" style="5" customWidth="1"/>
    <col min="2" max="2" width="30" style="5" customWidth="1"/>
    <col min="3" max="3" width="17" style="5" customWidth="1"/>
    <col min="4" max="4" width="15" style="5" customWidth="1"/>
    <col min="5" max="5" width="12.6640625" style="5" customWidth="1"/>
    <col min="6" max="26" width="10.77734375" style="5"/>
    <col min="27" max="27" width="11.109375" style="5" bestFit="1" customWidth="1"/>
    <col min="28" max="28" width="12.109375" style="5" bestFit="1" customWidth="1"/>
    <col min="29" max="16384" width="10.77734375" style="5"/>
  </cols>
  <sheetData>
    <row r="1" spans="1:37" x14ac:dyDescent="0.3">
      <c r="A1" s="1" t="s">
        <v>12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s="1" t="s">
        <v>104</v>
      </c>
      <c r="B2">
        <v>57.5</v>
      </c>
      <c r="C2">
        <v>65.900000000000006</v>
      </c>
      <c r="D2">
        <v>88.4</v>
      </c>
      <c r="E2" s="5">
        <f>D2*'USA coal price'!F5</f>
        <v>93.305214164750524</v>
      </c>
      <c r="F2" s="5">
        <f>E2*'USA coal price'!G5</f>
        <v>94.518318433186138</v>
      </c>
      <c r="G2" s="5">
        <f>F2*'USA coal price'!H5</f>
        <v>95.964306178492137</v>
      </c>
      <c r="H2" s="5">
        <f>G2*'USA coal price'!I5</f>
        <v>96.015026979404396</v>
      </c>
      <c r="I2" s="5">
        <f>H2*'USA coal price'!J5</f>
        <v>95.983119909156315</v>
      </c>
      <c r="J2" s="5">
        <f>I2*'USA coal price'!K5</f>
        <v>96.263376698825283</v>
      </c>
      <c r="K2" s="5">
        <f>J2*'USA coal price'!L5</f>
        <v>95.944687355749934</v>
      </c>
      <c r="L2" s="5">
        <f>K2*'USA coal price'!M5</f>
        <v>95.962018022059965</v>
      </c>
      <c r="M2" s="5">
        <f>L2*'USA coal price'!N5</f>
        <v>96.122400838645561</v>
      </c>
      <c r="N2" s="5">
        <f>M2*'USA coal price'!O5</f>
        <v>95.883288491487704</v>
      </c>
      <c r="O2" s="5">
        <f>N2*'USA coal price'!P5</f>
        <v>95.673837431413062</v>
      </c>
      <c r="P2" s="5">
        <f>O2*'USA coal price'!Q5</f>
        <v>95.578116220668846</v>
      </c>
      <c r="Q2" s="5">
        <f>P2*'USA coal price'!R5</f>
        <v>95.619981008723414</v>
      </c>
      <c r="R2" s="5">
        <f>Q2*'USA coal price'!S5</f>
        <v>96.174308091041169</v>
      </c>
      <c r="S2" s="5">
        <f>R2*'USA coal price'!T5</f>
        <v>96.762576160435543</v>
      </c>
      <c r="T2" s="5">
        <f>S2*'USA coal price'!U5</f>
        <v>97.321437182350294</v>
      </c>
      <c r="U2" s="5">
        <f>T2*'USA coal price'!V5</f>
        <v>97.903603501258971</v>
      </c>
      <c r="V2" s="5">
        <f>U2*'USA coal price'!W5</f>
        <v>98.228818327492633</v>
      </c>
      <c r="W2" s="5">
        <f>V2*'USA coal price'!X5</f>
        <v>98.791111584055557</v>
      </c>
      <c r="X2" s="5">
        <f>W2*'USA coal price'!Y5</f>
        <v>99.24628522098088</v>
      </c>
      <c r="Y2" s="5">
        <f>X2*'USA coal price'!Z5</f>
        <v>99.887011395245253</v>
      </c>
      <c r="Z2" s="5">
        <f>Y2*'USA coal price'!AA5</f>
        <v>100.39964318257746</v>
      </c>
      <c r="AA2" s="5">
        <f>Z2*'USA coal price'!AB5</f>
        <v>100.96981786685109</v>
      </c>
      <c r="AB2" s="5">
        <f t="shared" ref="AB2:AK2" si="0">TREND($R$2:$AA$2,$R$1:$AA$1,AB1)</f>
        <v>101.43637013847842</v>
      </c>
      <c r="AC2" s="5">
        <f t="shared" si="0"/>
        <v>101.9578081179784</v>
      </c>
      <c r="AD2" s="5">
        <f t="shared" si="0"/>
        <v>102.47924609747815</v>
      </c>
      <c r="AE2" s="5">
        <f t="shared" si="0"/>
        <v>103.00068407697813</v>
      </c>
      <c r="AF2" s="5">
        <f t="shared" si="0"/>
        <v>103.52212205647811</v>
      </c>
      <c r="AG2" s="5">
        <f t="shared" si="0"/>
        <v>104.04356003597809</v>
      </c>
      <c r="AH2" s="5">
        <f t="shared" si="0"/>
        <v>104.56499801547784</v>
      </c>
      <c r="AI2" s="5">
        <f t="shared" si="0"/>
        <v>105.08643599497782</v>
      </c>
      <c r="AJ2" s="5">
        <f t="shared" si="0"/>
        <v>105.6078739744778</v>
      </c>
      <c r="AK2" s="5">
        <f t="shared" si="0"/>
        <v>106.12931195397755</v>
      </c>
    </row>
    <row r="3" spans="1:37" x14ac:dyDescent="0.3">
      <c r="A3" s="1" t="s">
        <v>105</v>
      </c>
      <c r="B3" s="31">
        <v>2.5</v>
      </c>
      <c r="C3" s="31">
        <v>2.81</v>
      </c>
      <c r="D3" s="31">
        <v>3.16</v>
      </c>
      <c r="E3" s="31">
        <v>3.28</v>
      </c>
      <c r="F3" s="31">
        <v>3.38</v>
      </c>
      <c r="G3" s="31">
        <v>3.46</v>
      </c>
      <c r="H3" s="31">
        <v>3.54</v>
      </c>
      <c r="I3" s="31">
        <v>3.6</v>
      </c>
      <c r="J3" s="31">
        <v>3.65</v>
      </c>
      <c r="K3" s="31">
        <v>3.68</v>
      </c>
      <c r="L3" s="31">
        <v>3.71</v>
      </c>
      <c r="M3" s="31">
        <v>3.74</v>
      </c>
      <c r="N3" s="31">
        <v>3.77</v>
      </c>
      <c r="O3" s="31">
        <v>3.8</v>
      </c>
      <c r="P3" s="31">
        <v>3.83</v>
      </c>
      <c r="Q3" s="31">
        <v>3.86</v>
      </c>
      <c r="R3" s="31">
        <v>3.89</v>
      </c>
      <c r="S3" s="31">
        <v>3.92</v>
      </c>
      <c r="T3" s="31">
        <v>3.95</v>
      </c>
      <c r="U3" s="31">
        <v>3.98</v>
      </c>
      <c r="V3" s="31">
        <v>4.01</v>
      </c>
      <c r="W3" s="31">
        <v>4.04</v>
      </c>
      <c r="X3" s="31">
        <v>4.08</v>
      </c>
      <c r="Y3" s="31">
        <v>4.1100000000000003</v>
      </c>
      <c r="Z3" s="31">
        <v>4.1399999999999997</v>
      </c>
      <c r="AA3" s="32">
        <v>4.17</v>
      </c>
      <c r="AB3" s="5">
        <f>TREND($R$3:$AA$3,$R$1:$AA$1,AB1)</f>
        <v>4.2019999999999982</v>
      </c>
      <c r="AC3" s="5">
        <f t="shared" ref="AC3:AK3" si="1">TREND($R$3:$AA$3,$R$1:$AA$1,AC1)</f>
        <v>4.2334545454545349</v>
      </c>
      <c r="AD3" s="5">
        <f t="shared" si="1"/>
        <v>4.2649090909090859</v>
      </c>
      <c r="AE3" s="5">
        <f t="shared" si="1"/>
        <v>4.2963636363636368</v>
      </c>
      <c r="AF3" s="5">
        <f t="shared" si="1"/>
        <v>4.3278181818181736</v>
      </c>
      <c r="AG3" s="5">
        <f t="shared" si="1"/>
        <v>4.3592727272727245</v>
      </c>
      <c r="AH3" s="5">
        <f t="shared" si="1"/>
        <v>4.3907272727272613</v>
      </c>
      <c r="AI3" s="5">
        <f t="shared" si="1"/>
        <v>4.4221818181818122</v>
      </c>
      <c r="AJ3" s="5">
        <f t="shared" si="1"/>
        <v>4.4536363636363632</v>
      </c>
      <c r="AK3" s="5">
        <f t="shared" si="1"/>
        <v>4.4850909090908999</v>
      </c>
    </row>
    <row r="4" spans="1:37" x14ac:dyDescent="0.3">
      <c r="A4" s="1" t="s">
        <v>75</v>
      </c>
      <c r="B4" s="31">
        <v>27.83</v>
      </c>
      <c r="C4" s="31">
        <v>30.77</v>
      </c>
      <c r="D4" s="31">
        <v>31.87</v>
      </c>
      <c r="E4" s="31">
        <v>32.72</v>
      </c>
      <c r="F4" s="31">
        <v>33.1</v>
      </c>
      <c r="G4" s="31">
        <v>33.79</v>
      </c>
      <c r="H4" s="31">
        <v>34.46</v>
      </c>
      <c r="I4" s="31">
        <v>34.96</v>
      </c>
      <c r="J4" s="31">
        <v>35.409999999999997</v>
      </c>
      <c r="K4" s="31">
        <v>35.799999999999997</v>
      </c>
      <c r="L4" s="31">
        <v>36.22</v>
      </c>
      <c r="M4" s="31">
        <v>36.65</v>
      </c>
      <c r="N4" s="31">
        <v>37.090000000000003</v>
      </c>
      <c r="O4" s="31">
        <v>37.54</v>
      </c>
      <c r="P4" s="31">
        <v>38.020000000000003</v>
      </c>
      <c r="Q4" s="31">
        <v>38.49</v>
      </c>
      <c r="R4" s="31">
        <v>38.72</v>
      </c>
      <c r="S4" s="31">
        <v>38.950000000000003</v>
      </c>
      <c r="T4" s="31">
        <v>39.19</v>
      </c>
      <c r="U4" s="31">
        <v>39.42</v>
      </c>
      <c r="V4" s="31">
        <v>39.659999999999997</v>
      </c>
      <c r="W4" s="31">
        <v>39.909999999999997</v>
      </c>
      <c r="X4" s="31">
        <v>40.17</v>
      </c>
      <c r="Y4" s="31">
        <v>40.42</v>
      </c>
      <c r="Z4" s="31">
        <v>40.68</v>
      </c>
      <c r="AA4" s="32">
        <v>40.94</v>
      </c>
      <c r="AB4" s="5">
        <f>TREND($R$4:$AA$4,$R$1:$AA$1,AB1)</f>
        <v>41.163999999999987</v>
      </c>
      <c r="AC4" s="5">
        <f t="shared" ref="AC4:AK4" si="2">TREND($R$4:$AA$4,$R$1:$AA$1,AC1)</f>
        <v>41.410909090909058</v>
      </c>
      <c r="AD4" s="5">
        <f t="shared" si="2"/>
        <v>41.657818181818129</v>
      </c>
      <c r="AE4" s="5">
        <f t="shared" si="2"/>
        <v>41.904727272727257</v>
      </c>
      <c r="AF4" s="5">
        <f t="shared" si="2"/>
        <v>42.151636363636328</v>
      </c>
      <c r="AG4" s="5">
        <f t="shared" si="2"/>
        <v>42.398545454545399</v>
      </c>
      <c r="AH4" s="5">
        <f t="shared" si="2"/>
        <v>42.645454545454527</v>
      </c>
      <c r="AI4" s="5">
        <f t="shared" si="2"/>
        <v>42.892363636363598</v>
      </c>
      <c r="AJ4" s="5">
        <f t="shared" si="2"/>
        <v>43.139272727272669</v>
      </c>
      <c r="AK4" s="5">
        <f t="shared" si="2"/>
        <v>43.386181818181797</v>
      </c>
    </row>
    <row r="5" spans="1:37" x14ac:dyDescent="0.3">
      <c r="A5" s="1" t="s">
        <v>76</v>
      </c>
      <c r="B5" s="33">
        <v>28.59</v>
      </c>
      <c r="C5" s="33">
        <v>31.83</v>
      </c>
      <c r="D5" s="33">
        <v>33.07</v>
      </c>
      <c r="E5" s="33">
        <v>34.03</v>
      </c>
      <c r="F5" s="33">
        <v>34.47</v>
      </c>
      <c r="G5" s="33">
        <v>35.26</v>
      </c>
      <c r="H5" s="33">
        <v>36.03</v>
      </c>
      <c r="I5" s="33">
        <v>36.61</v>
      </c>
      <c r="J5" s="33">
        <v>37.119999999999997</v>
      </c>
      <c r="K5" s="33">
        <v>37.58</v>
      </c>
      <c r="L5" s="33">
        <v>38.06</v>
      </c>
      <c r="M5" s="33">
        <v>38.56</v>
      </c>
      <c r="N5" s="33">
        <v>39.06</v>
      </c>
      <c r="O5" s="33">
        <v>39.58</v>
      </c>
      <c r="P5" s="33">
        <v>40.119999999999997</v>
      </c>
      <c r="Q5" s="33">
        <v>40.65</v>
      </c>
      <c r="R5" s="33">
        <v>40.92</v>
      </c>
      <c r="S5" s="33">
        <v>41.19</v>
      </c>
      <c r="T5" s="33">
        <v>41.47</v>
      </c>
      <c r="U5" s="33">
        <v>41.75</v>
      </c>
      <c r="V5" s="33">
        <v>42.03</v>
      </c>
      <c r="W5" s="33">
        <v>42.32</v>
      </c>
      <c r="X5" s="33">
        <v>42.61</v>
      </c>
      <c r="Y5" s="33">
        <v>42.91</v>
      </c>
      <c r="Z5" s="33">
        <v>43.21</v>
      </c>
      <c r="AA5" s="34">
        <v>43.51</v>
      </c>
      <c r="AB5" s="5">
        <f>TREND($R$5:$AA$5,$R$1:$AA$1,AB1)</f>
        <v>43.776000000000067</v>
      </c>
      <c r="AC5" s="5">
        <f t="shared" ref="AC5:AK5" si="3">TREND($R$5:$AA$5,$R$1:$AA$1,AC1)</f>
        <v>44.064000000000078</v>
      </c>
      <c r="AD5" s="5">
        <f t="shared" si="3"/>
        <v>44.351999999999975</v>
      </c>
      <c r="AE5" s="5">
        <f t="shared" si="3"/>
        <v>44.639999999999986</v>
      </c>
      <c r="AF5" s="5">
        <f t="shared" si="3"/>
        <v>44.927999999999997</v>
      </c>
      <c r="AG5" s="5">
        <f t="shared" si="3"/>
        <v>45.216000000000008</v>
      </c>
      <c r="AH5" s="5">
        <f t="shared" si="3"/>
        <v>45.504000000000019</v>
      </c>
      <c r="AI5" s="5">
        <f t="shared" si="3"/>
        <v>45.79200000000003</v>
      </c>
      <c r="AJ5" s="5">
        <f t="shared" si="3"/>
        <v>46.080000000000041</v>
      </c>
      <c r="AK5" s="5">
        <f t="shared" si="3"/>
        <v>46.368000000000052</v>
      </c>
    </row>
    <row r="6" spans="1:37" x14ac:dyDescent="0.3">
      <c r="A6" s="1" t="s">
        <v>164</v>
      </c>
      <c r="B6" s="9">
        <f>'USA jet fuel'!C4/$L$20</f>
        <v>17.521140175768348</v>
      </c>
      <c r="C6" s="9">
        <f>'USA jet fuel'!D4/$L$20</f>
        <v>19.506746827376933</v>
      </c>
      <c r="D6" s="9">
        <f>'USA jet fuel'!E4/$L$20</f>
        <v>20.266670360708613</v>
      </c>
      <c r="E6" s="9">
        <f>'USA jet fuel'!F4/$L$20</f>
        <v>20.854998257481526</v>
      </c>
      <c r="F6" s="9">
        <f>'USA jet fuel'!G4/$L$20</f>
        <v>21.124648543502445</v>
      </c>
      <c r="G6" s="9">
        <f>'USA jet fuel'!H4/$L$20</f>
        <v>21.608793375221822</v>
      </c>
      <c r="H6" s="9">
        <f>'USA jet fuel'!I4/$L$20</f>
        <v>22.080681375758431</v>
      </c>
      <c r="I6" s="9">
        <f>'USA jet fuel'!J4/$L$20</f>
        <v>22.436129480058735</v>
      </c>
      <c r="J6" s="9">
        <f>'USA jet fuel'!K4/$L$20</f>
        <v>22.748678675219345</v>
      </c>
      <c r="K6" s="9">
        <f>'USA jet fuel'!L4/$L$20</f>
        <v>23.030585792423032</v>
      </c>
      <c r="L6" s="9">
        <f>'USA jet fuel'!M4/$L$20</f>
        <v>23.324749740809491</v>
      </c>
      <c r="M6" s="9">
        <f>'USA jet fuel'!N4/$L$20</f>
        <v>23.631170520378717</v>
      </c>
      <c r="N6" s="9">
        <f>'USA jet fuel'!O4/$L$20</f>
        <v>23.937591299947943</v>
      </c>
      <c r="O6" s="9">
        <f>'USA jet fuel'!P4/$L$20</f>
        <v>24.256268910699934</v>
      </c>
      <c r="P6" s="9">
        <f>'USA jet fuel'!Q4/$L$20</f>
        <v>24.587203352634699</v>
      </c>
      <c r="Q6" s="9">
        <f>'USA jet fuel'!R4/$L$20</f>
        <v>24.91200937897808</v>
      </c>
      <c r="R6" s="9">
        <f>'USA jet fuel'!S4/$L$20</f>
        <v>25.077476599945467</v>
      </c>
      <c r="S6" s="9">
        <f>'USA jet fuel'!T4/$L$20</f>
        <v>25.242943820912846</v>
      </c>
      <c r="T6" s="9">
        <f>'USA jet fuel'!U4/$L$20</f>
        <v>25.414539457471616</v>
      </c>
      <c r="U6" s="9">
        <f>'USA jet fuel'!V4/$L$20</f>
        <v>25.586135094030382</v>
      </c>
      <c r="V6" s="9">
        <f>'USA jet fuel'!W4/$L$20</f>
        <v>25.757730730589149</v>
      </c>
      <c r="W6" s="9">
        <f>'USA jet fuel'!X4/$L$20</f>
        <v>25.935454782739303</v>
      </c>
      <c r="X6" s="9">
        <f>'USA jet fuel'!Y4/$L$20</f>
        <v>26.11317883488945</v>
      </c>
      <c r="Y6" s="9">
        <f>'USA jet fuel'!Z4/$L$20</f>
        <v>26.297031302630984</v>
      </c>
      <c r="Z6" s="9">
        <f>'USA jet fuel'!AA4/$L$20</f>
        <v>26.480883770372518</v>
      </c>
      <c r="AA6" s="9">
        <f>'USA jet fuel'!AB4/$L$20</f>
        <v>26.664736238114052</v>
      </c>
      <c r="AB6" s="5">
        <f>TREND($R6:$AA6,$R$1:$AA$1,AB1)</f>
        <v>26.827752092844889</v>
      </c>
      <c r="AC6" s="5">
        <f t="shared" ref="AC6:AK6" si="4">TREND($R6:$AA6,$R$1:$AA$1,AC1)</f>
        <v>27.004250461876779</v>
      </c>
      <c r="AD6" s="5">
        <f t="shared" si="4"/>
        <v>27.180748830908612</v>
      </c>
      <c r="AE6" s="5">
        <f t="shared" si="4"/>
        <v>27.357247199940502</v>
      </c>
      <c r="AF6" s="5">
        <f t="shared" si="4"/>
        <v>27.533745568972392</v>
      </c>
      <c r="AG6" s="5">
        <f t="shared" si="4"/>
        <v>27.710243938004282</v>
      </c>
      <c r="AH6" s="5">
        <f t="shared" si="4"/>
        <v>27.886742307036116</v>
      </c>
      <c r="AI6" s="5">
        <f t="shared" si="4"/>
        <v>28.063240676068006</v>
      </c>
      <c r="AJ6" s="5">
        <f t="shared" si="4"/>
        <v>28.239739045099896</v>
      </c>
      <c r="AK6" s="5">
        <f t="shared" si="4"/>
        <v>28.416237414131729</v>
      </c>
    </row>
    <row r="8" spans="1:37" ht="28.8" x14ac:dyDescent="0.3">
      <c r="A8" s="1" t="s">
        <v>170</v>
      </c>
      <c r="B8" s="41" t="s">
        <v>171</v>
      </c>
      <c r="C8" s="5" t="s">
        <v>59</v>
      </c>
      <c r="D8" s="41" t="s">
        <v>172</v>
      </c>
      <c r="E8" s="5" t="s">
        <v>167</v>
      </c>
    </row>
    <row r="9" spans="1:37" x14ac:dyDescent="0.3">
      <c r="B9" s="5" t="s">
        <v>173</v>
      </c>
      <c r="C9" s="5" t="s">
        <v>174</v>
      </c>
    </row>
    <row r="10" spans="1:37" x14ac:dyDescent="0.3">
      <c r="B10" s="5" t="s">
        <v>83</v>
      </c>
      <c r="C10" s="5" t="s">
        <v>175</v>
      </c>
    </row>
    <row r="12" spans="1:37" x14ac:dyDescent="0.3">
      <c r="A12" s="5" t="s">
        <v>176</v>
      </c>
    </row>
    <row r="13" spans="1:37" x14ac:dyDescent="0.3">
      <c r="A13" s="5" t="s">
        <v>177</v>
      </c>
    </row>
    <row r="14" spans="1:37" x14ac:dyDescent="0.3">
      <c r="A14" s="5" t="s">
        <v>178</v>
      </c>
    </row>
    <row r="15" spans="1:37" x14ac:dyDescent="0.3">
      <c r="A15" s="5" t="s">
        <v>179</v>
      </c>
    </row>
    <row r="17" spans="1:37" x14ac:dyDescent="0.3">
      <c r="A17" s="5" t="s">
        <v>60</v>
      </c>
    </row>
    <row r="18" spans="1:37" x14ac:dyDescent="0.3">
      <c r="A18" s="5" t="s">
        <v>61</v>
      </c>
    </row>
    <row r="20" spans="1:37" x14ac:dyDescent="0.3">
      <c r="A20" s="1" t="s">
        <v>70</v>
      </c>
      <c r="B20" s="5" t="s">
        <v>72</v>
      </c>
      <c r="K20" s="5" t="s">
        <v>165</v>
      </c>
      <c r="L20" s="30">
        <v>1.05506E-6</v>
      </c>
    </row>
    <row r="21" spans="1:37" x14ac:dyDescent="0.3">
      <c r="A21" s="5" t="s">
        <v>67</v>
      </c>
      <c r="B21" s="5" t="s">
        <v>65</v>
      </c>
      <c r="C21" s="5" t="s">
        <v>66</v>
      </c>
      <c r="D21" s="5" t="s">
        <v>73</v>
      </c>
      <c r="H21" s="5">
        <f>0.0373/1000</f>
        <v>3.7299999999999999E-5</v>
      </c>
      <c r="I21" s="5" t="s">
        <v>74</v>
      </c>
      <c r="K21" s="5" t="s">
        <v>166</v>
      </c>
    </row>
    <row r="22" spans="1:37" x14ac:dyDescent="0.3">
      <c r="A22" s="5" t="s">
        <v>46</v>
      </c>
      <c r="B22" s="5" t="s">
        <v>65</v>
      </c>
      <c r="C22" s="5" t="s">
        <v>66</v>
      </c>
      <c r="D22" s="5" t="s">
        <v>71</v>
      </c>
      <c r="H22" s="5">
        <f>34.66/1000</f>
        <v>3.4659999999999996E-2</v>
      </c>
      <c r="I22" s="5" t="s">
        <v>74</v>
      </c>
    </row>
    <row r="23" spans="1:37" x14ac:dyDescent="0.3">
      <c r="A23" s="5" t="s">
        <v>34</v>
      </c>
      <c r="B23" s="5" t="s">
        <v>65</v>
      </c>
      <c r="C23" s="5" t="s">
        <v>66</v>
      </c>
      <c r="D23" s="5" t="s">
        <v>68</v>
      </c>
      <c r="H23" s="5">
        <f>38.68/1000</f>
        <v>3.8679999999999999E-2</v>
      </c>
      <c r="I23" s="5" t="s">
        <v>74</v>
      </c>
    </row>
    <row r="24" spans="1:37" x14ac:dyDescent="0.3">
      <c r="A24" s="5" t="s">
        <v>43</v>
      </c>
      <c r="B24" s="5" t="s">
        <v>65</v>
      </c>
      <c r="C24" s="5" t="s">
        <v>66</v>
      </c>
      <c r="D24" s="5" t="s">
        <v>69</v>
      </c>
      <c r="H24" s="5">
        <f>34.7/1000</f>
        <v>3.4700000000000002E-2</v>
      </c>
      <c r="I24" s="5" t="s">
        <v>74</v>
      </c>
    </row>
    <row r="26" spans="1:37" x14ac:dyDescent="0.3">
      <c r="A26" s="1" t="s">
        <v>12</v>
      </c>
      <c r="B26" s="1">
        <v>2015</v>
      </c>
      <c r="C26" s="1">
        <v>2016</v>
      </c>
      <c r="D26" s="1">
        <v>2017</v>
      </c>
      <c r="E26" s="1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K26" s="1">
        <v>2024</v>
      </c>
      <c r="L26" s="1">
        <v>2025</v>
      </c>
      <c r="M26" s="1">
        <v>2026</v>
      </c>
      <c r="N26" s="1">
        <v>2027</v>
      </c>
      <c r="O26" s="1">
        <v>2028</v>
      </c>
      <c r="P26" s="1">
        <v>2029</v>
      </c>
      <c r="Q26" s="1">
        <v>2030</v>
      </c>
      <c r="R26" s="1">
        <v>2031</v>
      </c>
      <c r="S26" s="1">
        <v>2032</v>
      </c>
      <c r="T26" s="1">
        <v>2033</v>
      </c>
      <c r="U26" s="1">
        <v>2034</v>
      </c>
      <c r="V26" s="1">
        <v>2035</v>
      </c>
      <c r="W26" s="1">
        <v>2036</v>
      </c>
      <c r="X26" s="1">
        <v>2037</v>
      </c>
      <c r="Y26" s="1">
        <v>2038</v>
      </c>
      <c r="Z26" s="1">
        <v>2039</v>
      </c>
      <c r="AA26" s="1">
        <v>2040</v>
      </c>
      <c r="AB26" s="1">
        <v>2041</v>
      </c>
      <c r="AC26" s="1">
        <v>2042</v>
      </c>
      <c r="AD26" s="1">
        <v>2043</v>
      </c>
      <c r="AE26" s="1">
        <v>2044</v>
      </c>
      <c r="AF26" s="1">
        <v>2045</v>
      </c>
      <c r="AG26" s="1">
        <v>2046</v>
      </c>
      <c r="AH26" s="1">
        <v>2047</v>
      </c>
      <c r="AI26" s="1">
        <v>2048</v>
      </c>
      <c r="AJ26" s="1">
        <v>2049</v>
      </c>
      <c r="AK26" s="1">
        <v>2050</v>
      </c>
    </row>
    <row r="27" spans="1:37" x14ac:dyDescent="0.3">
      <c r="A27" s="1" t="s">
        <v>104</v>
      </c>
      <c r="B27" s="5">
        <f>B2</f>
        <v>57.5</v>
      </c>
      <c r="C27" s="5">
        <f>C2</f>
        <v>65.900000000000006</v>
      </c>
      <c r="D27" s="5">
        <f t="shared" ref="D27:AK27" si="5">D2</f>
        <v>88.4</v>
      </c>
      <c r="E27" s="5">
        <f t="shared" si="5"/>
        <v>93.305214164750524</v>
      </c>
      <c r="F27" s="5">
        <f t="shared" si="5"/>
        <v>94.518318433186138</v>
      </c>
      <c r="G27" s="5">
        <f t="shared" si="5"/>
        <v>95.964306178492137</v>
      </c>
      <c r="H27" s="5">
        <f t="shared" si="5"/>
        <v>96.015026979404396</v>
      </c>
      <c r="I27" s="5">
        <f t="shared" si="5"/>
        <v>95.983119909156315</v>
      </c>
      <c r="J27" s="5">
        <f t="shared" si="5"/>
        <v>96.263376698825283</v>
      </c>
      <c r="K27" s="5">
        <f t="shared" si="5"/>
        <v>95.944687355749934</v>
      </c>
      <c r="L27" s="5">
        <f t="shared" si="5"/>
        <v>95.962018022059965</v>
      </c>
      <c r="M27" s="5">
        <f t="shared" si="5"/>
        <v>96.122400838645561</v>
      </c>
      <c r="N27" s="5">
        <f t="shared" si="5"/>
        <v>95.883288491487704</v>
      </c>
      <c r="O27" s="5">
        <f t="shared" si="5"/>
        <v>95.673837431413062</v>
      </c>
      <c r="P27" s="5">
        <f t="shared" si="5"/>
        <v>95.578116220668846</v>
      </c>
      <c r="Q27" s="5">
        <f t="shared" si="5"/>
        <v>95.619981008723414</v>
      </c>
      <c r="R27" s="5">
        <f t="shared" si="5"/>
        <v>96.174308091041169</v>
      </c>
      <c r="S27" s="5">
        <f t="shared" si="5"/>
        <v>96.762576160435543</v>
      </c>
      <c r="T27" s="5">
        <f t="shared" si="5"/>
        <v>97.321437182350294</v>
      </c>
      <c r="U27" s="5">
        <f t="shared" si="5"/>
        <v>97.903603501258971</v>
      </c>
      <c r="V27" s="5">
        <f t="shared" si="5"/>
        <v>98.228818327492633</v>
      </c>
      <c r="W27" s="5">
        <f t="shared" si="5"/>
        <v>98.791111584055557</v>
      </c>
      <c r="X27" s="5">
        <f t="shared" si="5"/>
        <v>99.24628522098088</v>
      </c>
      <c r="Y27" s="5">
        <f t="shared" si="5"/>
        <v>99.887011395245253</v>
      </c>
      <c r="Z27" s="5">
        <f t="shared" si="5"/>
        <v>100.39964318257746</v>
      </c>
      <c r="AA27" s="5">
        <f t="shared" si="5"/>
        <v>100.96981786685109</v>
      </c>
      <c r="AB27" s="5">
        <f t="shared" si="5"/>
        <v>101.43637013847842</v>
      </c>
      <c r="AC27" s="5">
        <f t="shared" si="5"/>
        <v>101.9578081179784</v>
      </c>
      <c r="AD27" s="5">
        <f t="shared" si="5"/>
        <v>102.47924609747815</v>
      </c>
      <c r="AE27" s="5">
        <f t="shared" si="5"/>
        <v>103.00068407697813</v>
      </c>
      <c r="AF27" s="5">
        <f t="shared" si="5"/>
        <v>103.52212205647811</v>
      </c>
      <c r="AG27" s="5">
        <f t="shared" si="5"/>
        <v>104.04356003597809</v>
      </c>
      <c r="AH27" s="5">
        <f t="shared" si="5"/>
        <v>104.56499801547784</v>
      </c>
      <c r="AI27" s="5">
        <f t="shared" si="5"/>
        <v>105.08643599497782</v>
      </c>
      <c r="AJ27" s="5">
        <f t="shared" si="5"/>
        <v>105.6078739744778</v>
      </c>
      <c r="AK27" s="5">
        <f t="shared" si="5"/>
        <v>106.12931195397755</v>
      </c>
    </row>
    <row r="28" spans="1:37" x14ac:dyDescent="0.3">
      <c r="A28" s="1" t="s">
        <v>62</v>
      </c>
      <c r="B28" s="5">
        <f>B3*$H$21*100</f>
        <v>9.3249999999999982E-3</v>
      </c>
      <c r="C28" s="5">
        <f t="shared" ref="C28:AA28" si="6">C3*$H$21*100</f>
        <v>1.0481300000000001E-2</v>
      </c>
      <c r="D28" s="5">
        <f t="shared" si="6"/>
        <v>1.17868E-2</v>
      </c>
      <c r="E28" s="5">
        <f t="shared" si="6"/>
        <v>1.2234399999999998E-2</v>
      </c>
      <c r="F28" s="5">
        <f t="shared" si="6"/>
        <v>1.26074E-2</v>
      </c>
      <c r="G28" s="5">
        <f t="shared" si="6"/>
        <v>1.2905799999999999E-2</v>
      </c>
      <c r="H28" s="5">
        <f t="shared" si="6"/>
        <v>1.3204199999999999E-2</v>
      </c>
      <c r="I28" s="5">
        <f t="shared" si="6"/>
        <v>1.3427999999999999E-2</v>
      </c>
      <c r="J28" s="5">
        <f t="shared" si="6"/>
        <v>1.36145E-2</v>
      </c>
      <c r="K28" s="5">
        <f t="shared" si="6"/>
        <v>1.37264E-2</v>
      </c>
      <c r="L28" s="5">
        <f t="shared" si="6"/>
        <v>1.3838300000000001E-2</v>
      </c>
      <c r="M28" s="5">
        <f t="shared" si="6"/>
        <v>1.3950200000000001E-2</v>
      </c>
      <c r="N28" s="5">
        <f t="shared" si="6"/>
        <v>1.4062100000000001E-2</v>
      </c>
      <c r="O28" s="5">
        <f t="shared" si="6"/>
        <v>1.4173999999999997E-2</v>
      </c>
      <c r="P28" s="5">
        <f t="shared" si="6"/>
        <v>1.4285900000000001E-2</v>
      </c>
      <c r="Q28" s="5">
        <f t="shared" si="6"/>
        <v>1.4397799999999999E-2</v>
      </c>
      <c r="R28" s="5">
        <f t="shared" si="6"/>
        <v>1.45097E-2</v>
      </c>
      <c r="S28" s="5">
        <f t="shared" si="6"/>
        <v>1.4621599999999998E-2</v>
      </c>
      <c r="T28" s="5">
        <f t="shared" si="6"/>
        <v>1.4733500000000002E-2</v>
      </c>
      <c r="U28" s="5">
        <f t="shared" si="6"/>
        <v>1.4845399999999998E-2</v>
      </c>
      <c r="V28" s="5">
        <f t="shared" si="6"/>
        <v>1.4957299999999998E-2</v>
      </c>
      <c r="W28" s="5">
        <f t="shared" si="6"/>
        <v>1.5069199999999998E-2</v>
      </c>
      <c r="X28" s="5">
        <f t="shared" si="6"/>
        <v>1.52184E-2</v>
      </c>
      <c r="Y28" s="5">
        <f t="shared" si="6"/>
        <v>1.53303E-2</v>
      </c>
      <c r="Z28" s="5">
        <f t="shared" si="6"/>
        <v>1.5442199999999998E-2</v>
      </c>
      <c r="AA28" s="5">
        <f t="shared" si="6"/>
        <v>1.5554099999999998E-2</v>
      </c>
      <c r="AB28" s="5">
        <f t="shared" ref="AB28:AK28" si="7">AB3*$H$21*100</f>
        <v>1.567345999999999E-2</v>
      </c>
      <c r="AC28" s="5">
        <f t="shared" si="7"/>
        <v>1.5790785454545413E-2</v>
      </c>
      <c r="AD28" s="5">
        <f t="shared" si="7"/>
        <v>1.5908110909090889E-2</v>
      </c>
      <c r="AE28" s="5">
        <f t="shared" si="7"/>
        <v>1.6025436363636365E-2</v>
      </c>
      <c r="AF28" s="5">
        <f t="shared" si="7"/>
        <v>1.6142761818181788E-2</v>
      </c>
      <c r="AG28" s="5">
        <f t="shared" si="7"/>
        <v>1.626008727272726E-2</v>
      </c>
      <c r="AH28" s="5">
        <f t="shared" si="7"/>
        <v>1.6377412727272684E-2</v>
      </c>
      <c r="AI28" s="5">
        <f t="shared" si="7"/>
        <v>1.649473818181816E-2</v>
      </c>
      <c r="AJ28" s="5">
        <f t="shared" si="7"/>
        <v>1.6612063636363632E-2</v>
      </c>
      <c r="AK28" s="5">
        <f t="shared" si="7"/>
        <v>1.6729389090909055E-2</v>
      </c>
    </row>
    <row r="29" spans="1:37" x14ac:dyDescent="0.3">
      <c r="A29" s="1" t="s">
        <v>63</v>
      </c>
      <c r="B29" s="5">
        <f t="shared" ref="B29:AA29" si="8">B4*$H$22*100</f>
        <v>96.45877999999999</v>
      </c>
      <c r="C29" s="5">
        <f t="shared" si="8"/>
        <v>106.64881999999997</v>
      </c>
      <c r="D29" s="5">
        <f t="shared" si="8"/>
        <v>110.46141999999999</v>
      </c>
      <c r="E29" s="5">
        <f t="shared" si="8"/>
        <v>113.40751999999998</v>
      </c>
      <c r="F29" s="5">
        <f t="shared" si="8"/>
        <v>114.7246</v>
      </c>
      <c r="G29" s="5">
        <f t="shared" si="8"/>
        <v>117.11613999999999</v>
      </c>
      <c r="H29" s="5">
        <f t="shared" si="8"/>
        <v>119.43835999999999</v>
      </c>
      <c r="I29" s="5">
        <f t="shared" si="8"/>
        <v>121.17135999999999</v>
      </c>
      <c r="J29" s="5">
        <f t="shared" si="8"/>
        <v>122.73105999999999</v>
      </c>
      <c r="K29" s="5">
        <f t="shared" si="8"/>
        <v>124.08279999999998</v>
      </c>
      <c r="L29" s="5">
        <f t="shared" si="8"/>
        <v>125.53851999999999</v>
      </c>
      <c r="M29" s="5">
        <f t="shared" si="8"/>
        <v>127.02889999999998</v>
      </c>
      <c r="N29" s="5">
        <f t="shared" si="8"/>
        <v>128.55394000000001</v>
      </c>
      <c r="O29" s="5">
        <f t="shared" si="8"/>
        <v>130.11363999999998</v>
      </c>
      <c r="P29" s="5">
        <f t="shared" si="8"/>
        <v>131.77732</v>
      </c>
      <c r="Q29" s="5">
        <f t="shared" si="8"/>
        <v>133.40634</v>
      </c>
      <c r="R29" s="5">
        <f t="shared" si="8"/>
        <v>134.20351999999997</v>
      </c>
      <c r="S29" s="5">
        <f t="shared" si="8"/>
        <v>135.00069999999999</v>
      </c>
      <c r="T29" s="5">
        <f t="shared" si="8"/>
        <v>135.83253999999997</v>
      </c>
      <c r="U29" s="5">
        <f t="shared" si="8"/>
        <v>136.62971999999999</v>
      </c>
      <c r="V29" s="5">
        <f t="shared" si="8"/>
        <v>137.46155999999999</v>
      </c>
      <c r="W29" s="5">
        <f t="shared" si="8"/>
        <v>138.32805999999997</v>
      </c>
      <c r="X29" s="5">
        <f t="shared" si="8"/>
        <v>139.22922</v>
      </c>
      <c r="Y29" s="5">
        <f t="shared" si="8"/>
        <v>140.09572</v>
      </c>
      <c r="Z29" s="5">
        <f t="shared" si="8"/>
        <v>140.99688</v>
      </c>
      <c r="AA29" s="5">
        <f t="shared" si="8"/>
        <v>141.89803999999998</v>
      </c>
      <c r="AB29" s="5">
        <f t="shared" ref="AB29:AK29" si="9">AB4*$H$22*100</f>
        <v>142.67442399999993</v>
      </c>
      <c r="AC29" s="5">
        <f t="shared" si="9"/>
        <v>143.53021090909078</v>
      </c>
      <c r="AD29" s="5">
        <f t="shared" si="9"/>
        <v>144.38599781818164</v>
      </c>
      <c r="AE29" s="5">
        <f t="shared" si="9"/>
        <v>145.24178472727266</v>
      </c>
      <c r="AF29" s="5">
        <f t="shared" si="9"/>
        <v>146.09757163636351</v>
      </c>
      <c r="AG29" s="5">
        <f t="shared" si="9"/>
        <v>146.95335854545434</v>
      </c>
      <c r="AH29" s="5">
        <f t="shared" si="9"/>
        <v>147.80914545454539</v>
      </c>
      <c r="AI29" s="5">
        <f t="shared" si="9"/>
        <v>148.66493236363621</v>
      </c>
      <c r="AJ29" s="5">
        <f t="shared" si="9"/>
        <v>149.52071927272706</v>
      </c>
      <c r="AK29" s="5">
        <f t="shared" si="9"/>
        <v>150.37650618181809</v>
      </c>
    </row>
    <row r="30" spans="1:37" x14ac:dyDescent="0.3">
      <c r="A30" s="1" t="s">
        <v>64</v>
      </c>
      <c r="B30" s="5">
        <f>B5*$H$23*100</f>
        <v>110.58611999999999</v>
      </c>
      <c r="C30" s="5">
        <f t="shared" ref="C30:AA30" si="10">C5*$H$23*100</f>
        <v>123.11843999999998</v>
      </c>
      <c r="D30" s="5">
        <f t="shared" si="10"/>
        <v>127.91476</v>
      </c>
      <c r="E30" s="5">
        <f t="shared" si="10"/>
        <v>131.62804</v>
      </c>
      <c r="F30" s="5">
        <f t="shared" si="10"/>
        <v>133.32996</v>
      </c>
      <c r="G30" s="5">
        <f t="shared" si="10"/>
        <v>136.38568000000001</v>
      </c>
      <c r="H30" s="5">
        <f t="shared" si="10"/>
        <v>139.36403999999999</v>
      </c>
      <c r="I30" s="5">
        <f t="shared" si="10"/>
        <v>141.60747999999998</v>
      </c>
      <c r="J30" s="5">
        <f t="shared" si="10"/>
        <v>143.58015999999998</v>
      </c>
      <c r="K30" s="5">
        <f t="shared" si="10"/>
        <v>145.35943999999998</v>
      </c>
      <c r="L30" s="5">
        <f t="shared" si="10"/>
        <v>147.21608000000001</v>
      </c>
      <c r="M30" s="5">
        <f t="shared" si="10"/>
        <v>149.15008</v>
      </c>
      <c r="N30" s="5">
        <f t="shared" si="10"/>
        <v>151.08408</v>
      </c>
      <c r="O30" s="5">
        <f t="shared" si="10"/>
        <v>153.09544</v>
      </c>
      <c r="P30" s="5">
        <f t="shared" si="10"/>
        <v>155.18415999999999</v>
      </c>
      <c r="Q30" s="5">
        <f t="shared" si="10"/>
        <v>157.23419999999999</v>
      </c>
      <c r="R30" s="5">
        <f t="shared" si="10"/>
        <v>158.27856</v>
      </c>
      <c r="S30" s="5">
        <f t="shared" si="10"/>
        <v>159.32291999999998</v>
      </c>
      <c r="T30" s="5">
        <f t="shared" si="10"/>
        <v>160.40595999999999</v>
      </c>
      <c r="U30" s="5">
        <f t="shared" si="10"/>
        <v>161.489</v>
      </c>
      <c r="V30" s="5">
        <f t="shared" si="10"/>
        <v>162.57204000000002</v>
      </c>
      <c r="W30" s="5">
        <f t="shared" si="10"/>
        <v>163.69376</v>
      </c>
      <c r="X30" s="5">
        <f t="shared" si="10"/>
        <v>164.81547999999998</v>
      </c>
      <c r="Y30" s="5">
        <f t="shared" si="10"/>
        <v>165.97587999999999</v>
      </c>
      <c r="Z30" s="5">
        <f t="shared" si="10"/>
        <v>167.13628</v>
      </c>
      <c r="AA30" s="5">
        <f t="shared" si="10"/>
        <v>168.29668000000001</v>
      </c>
      <c r="AB30" s="5">
        <f>AB5*$H$23*100</f>
        <v>169.32556800000026</v>
      </c>
      <c r="AC30" s="5">
        <f t="shared" ref="AC30:AJ30" si="11">AC5*$H$23*100</f>
        <v>170.4395520000003</v>
      </c>
      <c r="AD30" s="5">
        <f t="shared" si="11"/>
        <v>171.55353599999989</v>
      </c>
      <c r="AE30" s="5">
        <f t="shared" si="11"/>
        <v>172.66751999999994</v>
      </c>
      <c r="AF30" s="5">
        <f t="shared" si="11"/>
        <v>173.78150399999998</v>
      </c>
      <c r="AG30" s="5">
        <f t="shared" si="11"/>
        <v>174.89548800000003</v>
      </c>
      <c r="AH30" s="5">
        <f t="shared" si="11"/>
        <v>176.00947200000007</v>
      </c>
      <c r="AI30" s="5">
        <f t="shared" si="11"/>
        <v>177.12345600000009</v>
      </c>
      <c r="AJ30" s="5">
        <f t="shared" si="11"/>
        <v>178.23744000000013</v>
      </c>
      <c r="AK30" s="5">
        <f>AK5*$H$23*100</f>
        <v>179.35142400000018</v>
      </c>
    </row>
    <row r="31" spans="1:37" x14ac:dyDescent="0.3">
      <c r="A31" s="1" t="s">
        <v>99</v>
      </c>
      <c r="B31" s="5">
        <f>B6*$H$24*100</f>
        <v>60.798356409916174</v>
      </c>
      <c r="C31" s="5">
        <f t="shared" ref="C31:AA31" si="12">C6*$H$24*100</f>
        <v>67.688411490997964</v>
      </c>
      <c r="D31" s="5">
        <f t="shared" si="12"/>
        <v>70.325346151658891</v>
      </c>
      <c r="E31" s="5">
        <f t="shared" si="12"/>
        <v>72.366843953460901</v>
      </c>
      <c r="F31" s="5">
        <f t="shared" si="12"/>
        <v>73.302530445953479</v>
      </c>
      <c r="G31" s="5">
        <f t="shared" si="12"/>
        <v>74.982513012019723</v>
      </c>
      <c r="H31" s="5">
        <f t="shared" si="12"/>
        <v>76.619964373881757</v>
      </c>
      <c r="I31" s="5">
        <f t="shared" si="12"/>
        <v>77.853369295803816</v>
      </c>
      <c r="J31" s="5">
        <f t="shared" si="12"/>
        <v>78.937915003011128</v>
      </c>
      <c r="K31" s="5">
        <f t="shared" si="12"/>
        <v>79.91613269970793</v>
      </c>
      <c r="L31" s="5">
        <f t="shared" si="12"/>
        <v>80.936881600608928</v>
      </c>
      <c r="M31" s="5">
        <f t="shared" si="12"/>
        <v>82.000161705714149</v>
      </c>
      <c r="N31" s="5">
        <f t="shared" si="12"/>
        <v>83.06344181081937</v>
      </c>
      <c r="O31" s="5">
        <f t="shared" si="12"/>
        <v>84.169253120128772</v>
      </c>
      <c r="P31" s="5">
        <f t="shared" si="12"/>
        <v>85.317595633642412</v>
      </c>
      <c r="Q31" s="5">
        <f t="shared" si="12"/>
        <v>86.444672545053947</v>
      </c>
      <c r="R31" s="5">
        <f t="shared" si="12"/>
        <v>87.018843801810775</v>
      </c>
      <c r="S31" s="5">
        <f t="shared" si="12"/>
        <v>87.593015058567573</v>
      </c>
      <c r="T31" s="5">
        <f t="shared" si="12"/>
        <v>88.188451917426519</v>
      </c>
      <c r="U31" s="5">
        <f t="shared" si="12"/>
        <v>88.783888776285437</v>
      </c>
      <c r="V31" s="5">
        <f t="shared" si="12"/>
        <v>89.37932563514434</v>
      </c>
      <c r="W31" s="5">
        <f t="shared" si="12"/>
        <v>89.996028096105391</v>
      </c>
      <c r="X31" s="5">
        <f t="shared" si="12"/>
        <v>90.612730557066385</v>
      </c>
      <c r="Y31" s="5">
        <f t="shared" si="12"/>
        <v>91.250698620129526</v>
      </c>
      <c r="Z31" s="5">
        <f t="shared" si="12"/>
        <v>91.888666683192639</v>
      </c>
      <c r="AA31" s="5">
        <f t="shared" si="12"/>
        <v>92.526634746255766</v>
      </c>
      <c r="AB31" s="5">
        <f t="shared" ref="AB31:AK31" si="13">AB6*100</f>
        <v>2682.7752092844889</v>
      </c>
      <c r="AC31" s="5">
        <f t="shared" si="13"/>
        <v>2700.4250461876782</v>
      </c>
      <c r="AD31" s="5">
        <f t="shared" si="13"/>
        <v>2718.0748830908615</v>
      </c>
      <c r="AE31" s="5">
        <f t="shared" si="13"/>
        <v>2735.7247199940502</v>
      </c>
      <c r="AF31" s="5">
        <f t="shared" si="13"/>
        <v>2753.374556897239</v>
      </c>
      <c r="AG31" s="5">
        <f t="shared" si="13"/>
        <v>2771.0243938004282</v>
      </c>
      <c r="AH31" s="5">
        <f t="shared" si="13"/>
        <v>2788.6742307036116</v>
      </c>
      <c r="AI31" s="5">
        <f t="shared" si="13"/>
        <v>2806.3240676068008</v>
      </c>
      <c r="AJ31" s="5">
        <f t="shared" si="13"/>
        <v>2823.9739045099896</v>
      </c>
      <c r="AK31" s="5">
        <f t="shared" si="13"/>
        <v>2841.6237414131729</v>
      </c>
    </row>
    <row r="33" spans="1:37" x14ac:dyDescent="0.3">
      <c r="A33" s="21" t="s">
        <v>77</v>
      </c>
      <c r="B33" s="1">
        <v>2015</v>
      </c>
      <c r="C33" s="1">
        <v>2016</v>
      </c>
      <c r="D33" s="1">
        <v>2017</v>
      </c>
      <c r="E33" s="1">
        <v>2018</v>
      </c>
      <c r="F33" s="1">
        <v>2019</v>
      </c>
      <c r="G33" s="1">
        <v>2020</v>
      </c>
      <c r="H33" s="1">
        <v>2021</v>
      </c>
      <c r="I33" s="1">
        <v>2022</v>
      </c>
      <c r="J33" s="1">
        <v>2023</v>
      </c>
      <c r="K33" s="1">
        <v>2024</v>
      </c>
      <c r="L33" s="1">
        <v>2025</v>
      </c>
      <c r="M33" s="1">
        <v>2026</v>
      </c>
      <c r="N33" s="1">
        <v>2027</v>
      </c>
      <c r="O33" s="1">
        <v>2028</v>
      </c>
      <c r="P33" s="1">
        <v>2029</v>
      </c>
      <c r="Q33" s="1">
        <v>2030</v>
      </c>
      <c r="R33" s="1">
        <v>2031</v>
      </c>
      <c r="S33" s="1">
        <v>2032</v>
      </c>
      <c r="T33" s="1">
        <v>2033</v>
      </c>
      <c r="U33" s="1">
        <v>2034</v>
      </c>
      <c r="V33" s="1">
        <v>2035</v>
      </c>
      <c r="W33" s="1">
        <v>2036</v>
      </c>
      <c r="X33" s="1">
        <v>2037</v>
      </c>
      <c r="Y33" s="1">
        <v>2038</v>
      </c>
      <c r="Z33" s="1">
        <v>2039</v>
      </c>
      <c r="AA33" s="1">
        <v>2040</v>
      </c>
      <c r="AB33" s="1">
        <v>2041</v>
      </c>
      <c r="AC33" s="1">
        <v>2042</v>
      </c>
      <c r="AD33" s="1">
        <v>2043</v>
      </c>
      <c r="AE33" s="1">
        <v>2044</v>
      </c>
      <c r="AF33" s="1">
        <v>2045</v>
      </c>
      <c r="AG33" s="1">
        <v>2046</v>
      </c>
      <c r="AH33" s="1">
        <v>2047</v>
      </c>
      <c r="AI33" s="1">
        <v>2048</v>
      </c>
      <c r="AJ33" s="1">
        <v>2049</v>
      </c>
      <c r="AK33" s="1">
        <v>2050</v>
      </c>
    </row>
    <row r="34" spans="1:37" x14ac:dyDescent="0.3">
      <c r="A34" s="15" t="s">
        <v>87</v>
      </c>
      <c r="B34" s="5">
        <f>'Canada tax data'!$M$43/('Canada fuel price projections'!B27-'Canada tax data'!$M$43)</f>
        <v>0</v>
      </c>
      <c r="C34" s="5">
        <f>'Canada tax data'!$M$43/('Canada fuel price projections'!C27-'Canada tax data'!$M$43)</f>
        <v>0</v>
      </c>
      <c r="D34" s="5">
        <f>'Canada tax data'!$M$43/('Canada fuel price projections'!D27-'Canada tax data'!$M$43)</f>
        <v>0</v>
      </c>
      <c r="E34" s="5">
        <f>'Canada tax data'!$M$43/('Canada fuel price projections'!E27-'Canada tax data'!$M$43)</f>
        <v>0</v>
      </c>
      <c r="F34" s="5">
        <f>'Canada tax data'!$M$43/('Canada fuel price projections'!F27-'Canada tax data'!$M$43)</f>
        <v>0</v>
      </c>
      <c r="G34" s="5">
        <f>'Canada tax data'!$M$43/('Canada fuel price projections'!G27-'Canada tax data'!$M$43)</f>
        <v>0</v>
      </c>
      <c r="H34" s="5">
        <f>'Canada tax data'!$M$43/('Canada fuel price projections'!H27-'Canada tax data'!$M$43)</f>
        <v>0</v>
      </c>
      <c r="I34" s="5">
        <f>'Canada tax data'!$M$43/('Canada fuel price projections'!I27-'Canada tax data'!$M$43)</f>
        <v>0</v>
      </c>
      <c r="J34" s="5">
        <f>'Canada tax data'!$M$43/('Canada fuel price projections'!J27-'Canada tax data'!$M$43)</f>
        <v>0</v>
      </c>
      <c r="K34" s="5">
        <f>'Canada tax data'!$M$43/('Canada fuel price projections'!K27-'Canada tax data'!$M$43)</f>
        <v>0</v>
      </c>
      <c r="L34" s="5">
        <f>'Canada tax data'!$M$43/('Canada fuel price projections'!L27-'Canada tax data'!$M$43)</f>
        <v>0</v>
      </c>
      <c r="M34" s="5">
        <f>'Canada tax data'!$M$43/('Canada fuel price projections'!M27-'Canada tax data'!$M$43)</f>
        <v>0</v>
      </c>
      <c r="N34" s="5">
        <f>'Canada tax data'!$M$43/('Canada fuel price projections'!N27-'Canada tax data'!$M$43)</f>
        <v>0</v>
      </c>
      <c r="O34" s="5">
        <f>'Canada tax data'!$M$43/('Canada fuel price projections'!O27-'Canada tax data'!$M$43)</f>
        <v>0</v>
      </c>
      <c r="P34" s="5">
        <f>'Canada tax data'!$M$43/('Canada fuel price projections'!P27-'Canada tax data'!$M$43)</f>
        <v>0</v>
      </c>
      <c r="Q34" s="5">
        <f>'Canada tax data'!$M$43/('Canada fuel price projections'!Q27-'Canada tax data'!$M$43)</f>
        <v>0</v>
      </c>
      <c r="R34" s="5">
        <f>'Canada tax data'!$M$43/('Canada fuel price projections'!R27-'Canada tax data'!$M$43)</f>
        <v>0</v>
      </c>
      <c r="S34" s="5">
        <f>'Canada tax data'!$M$43/('Canada fuel price projections'!S27-'Canada tax data'!$M$43)</f>
        <v>0</v>
      </c>
      <c r="T34" s="5">
        <f>'Canada tax data'!$M$43/('Canada fuel price projections'!T27-'Canada tax data'!$M$43)</f>
        <v>0</v>
      </c>
      <c r="U34" s="5">
        <f>'Canada tax data'!$M$43/('Canada fuel price projections'!U27-'Canada tax data'!$M$43)</f>
        <v>0</v>
      </c>
      <c r="V34" s="5">
        <f>'Canada tax data'!$M$43/('Canada fuel price projections'!V27-'Canada tax data'!$M$43)</f>
        <v>0</v>
      </c>
      <c r="W34" s="5">
        <f>'Canada tax data'!$M$43/('Canada fuel price projections'!W27-'Canada tax data'!$M$43)</f>
        <v>0</v>
      </c>
      <c r="X34" s="5">
        <f>'Canada tax data'!$M$43/('Canada fuel price projections'!X27-'Canada tax data'!$M$43)</f>
        <v>0</v>
      </c>
      <c r="Y34" s="5">
        <f>'Canada tax data'!$M$43/('Canada fuel price projections'!Y27-'Canada tax data'!$M$43)</f>
        <v>0</v>
      </c>
      <c r="Z34" s="5">
        <f>'Canada tax data'!$M$43/('Canada fuel price projections'!Z27-'Canada tax data'!$M$43)</f>
        <v>0</v>
      </c>
      <c r="AA34" s="5">
        <f>'Canada tax data'!$M$43/('Canada fuel price projections'!AA27-'Canada tax data'!$M$43)</f>
        <v>0</v>
      </c>
      <c r="AB34" s="5">
        <f>'Canada tax data'!$M$43/('Canada fuel price projections'!AB27-'Canada tax data'!$M$43)</f>
        <v>0</v>
      </c>
      <c r="AC34" s="5">
        <f>'Canada tax data'!$M$43/('Canada fuel price projections'!AC27-'Canada tax data'!$M$43)</f>
        <v>0</v>
      </c>
      <c r="AD34" s="5">
        <f>'Canada tax data'!$M$43/('Canada fuel price projections'!AD27-'Canada tax data'!$M$43)</f>
        <v>0</v>
      </c>
      <c r="AE34" s="5">
        <f>'Canada tax data'!$M$43/('Canada fuel price projections'!AE27-'Canada tax data'!$M$43)</f>
        <v>0</v>
      </c>
      <c r="AF34" s="5">
        <f>'Canada tax data'!$M$43/('Canada fuel price projections'!AF27-'Canada tax data'!$M$43)</f>
        <v>0</v>
      </c>
      <c r="AG34" s="5">
        <f>'Canada tax data'!$M$43/('Canada fuel price projections'!AG27-'Canada tax data'!$M$43)</f>
        <v>0</v>
      </c>
      <c r="AH34" s="5">
        <f>'Canada tax data'!$M$43/('Canada fuel price projections'!AH27-'Canada tax data'!$M$43)</f>
        <v>0</v>
      </c>
      <c r="AI34" s="5">
        <f>'Canada tax data'!$M$43/('Canada fuel price projections'!AI27-'Canada tax data'!$M$43)</f>
        <v>0</v>
      </c>
      <c r="AJ34" s="5">
        <f>'Canada tax data'!$M$43/('Canada fuel price projections'!AJ27-'Canada tax data'!$M$43)</f>
        <v>0</v>
      </c>
      <c r="AK34" s="5">
        <f>'Canada tax data'!$M$43/('Canada fuel price projections'!AK27-'Canada tax data'!$M$43)</f>
        <v>0</v>
      </c>
    </row>
    <row r="35" spans="1:37" x14ac:dyDescent="0.3">
      <c r="A35" s="1" t="s">
        <v>2</v>
      </c>
      <c r="B35" s="5">
        <f>'Canada tax data'!$K$38/('Canada fuel price projections'!B28-'Canada tax data'!$K$38)</f>
        <v>0</v>
      </c>
      <c r="C35" s="5">
        <f>'Canada tax data'!$K$38/('Canada fuel price projections'!C28-'Canada tax data'!$K$38)</f>
        <v>0</v>
      </c>
      <c r="D35" s="5">
        <f>'Canada tax data'!$K$38/('Canada fuel price projections'!D28-'Canada tax data'!$K$38)</f>
        <v>0</v>
      </c>
      <c r="E35" s="5">
        <f>'Canada tax data'!$K$38/('Canada fuel price projections'!E28-'Canada tax data'!$K$38)</f>
        <v>0</v>
      </c>
      <c r="F35" s="5">
        <f>'Canada tax data'!$K$38/('Canada fuel price projections'!F28-'Canada tax data'!$K$38)</f>
        <v>0</v>
      </c>
      <c r="G35" s="5">
        <f>'Canada tax data'!$K$38/('Canada fuel price projections'!G28-'Canada tax data'!$K$38)</f>
        <v>0</v>
      </c>
      <c r="H35" s="5">
        <f>'Canada tax data'!$K$38/('Canada fuel price projections'!H28-'Canada tax data'!$K$38)</f>
        <v>0</v>
      </c>
      <c r="I35" s="5">
        <f>'Canada tax data'!$K$38/('Canada fuel price projections'!I28-'Canada tax data'!$K$38)</f>
        <v>0</v>
      </c>
      <c r="J35" s="5">
        <f>'Canada tax data'!$K$38/('Canada fuel price projections'!J28-'Canada tax data'!$K$38)</f>
        <v>0</v>
      </c>
      <c r="K35" s="5">
        <f>'Canada tax data'!$K$38/('Canada fuel price projections'!K28-'Canada tax data'!$K$38)</f>
        <v>0</v>
      </c>
      <c r="L35" s="5">
        <f>'Canada tax data'!$K$38/('Canada fuel price projections'!L28-'Canada tax data'!$K$38)</f>
        <v>0</v>
      </c>
      <c r="M35" s="5">
        <f>'Canada tax data'!$K$38/('Canada fuel price projections'!M28-'Canada tax data'!$K$38)</f>
        <v>0</v>
      </c>
      <c r="N35" s="5">
        <f>'Canada tax data'!$K$38/('Canada fuel price projections'!N28-'Canada tax data'!$K$38)</f>
        <v>0</v>
      </c>
      <c r="O35" s="5">
        <f>'Canada tax data'!$K$38/('Canada fuel price projections'!O28-'Canada tax data'!$K$38)</f>
        <v>0</v>
      </c>
      <c r="P35" s="5">
        <f>'Canada tax data'!$K$38/('Canada fuel price projections'!P28-'Canada tax data'!$K$38)</f>
        <v>0</v>
      </c>
      <c r="Q35" s="5">
        <f>'Canada tax data'!$K$38/('Canada fuel price projections'!Q28-'Canada tax data'!$K$38)</f>
        <v>0</v>
      </c>
      <c r="R35" s="5">
        <f>'Canada tax data'!$K$38/('Canada fuel price projections'!R28-'Canada tax data'!$K$38)</f>
        <v>0</v>
      </c>
      <c r="S35" s="5">
        <f>'Canada tax data'!$K$38/('Canada fuel price projections'!S28-'Canada tax data'!$K$38)</f>
        <v>0</v>
      </c>
      <c r="T35" s="5">
        <f>'Canada tax data'!$K$38/('Canada fuel price projections'!T28-'Canada tax data'!$K$38)</f>
        <v>0</v>
      </c>
      <c r="U35" s="5">
        <f>'Canada tax data'!$K$38/('Canada fuel price projections'!U28-'Canada tax data'!$K$38)</f>
        <v>0</v>
      </c>
      <c r="V35" s="5">
        <f>'Canada tax data'!$K$38/('Canada fuel price projections'!V28-'Canada tax data'!$K$38)</f>
        <v>0</v>
      </c>
      <c r="W35" s="5">
        <f>'Canada tax data'!$K$38/('Canada fuel price projections'!W28-'Canada tax data'!$K$38)</f>
        <v>0</v>
      </c>
      <c r="X35" s="5">
        <f>'Canada tax data'!$K$38/('Canada fuel price projections'!X28-'Canada tax data'!$K$38)</f>
        <v>0</v>
      </c>
      <c r="Y35" s="5">
        <f>'Canada tax data'!$K$38/('Canada fuel price projections'!Y28-'Canada tax data'!$K$38)</f>
        <v>0</v>
      </c>
      <c r="Z35" s="5">
        <f>'Canada tax data'!$K$38/('Canada fuel price projections'!Z28-'Canada tax data'!$K$38)</f>
        <v>0</v>
      </c>
      <c r="AA35" s="5">
        <f>'Canada tax data'!$K$38/('Canada fuel price projections'!AA28-'Canada tax data'!$K$38)</f>
        <v>0</v>
      </c>
      <c r="AB35" s="5">
        <f>'Canada tax data'!$K$38/('Canada fuel price projections'!AB28-'Canada tax data'!$K$38)</f>
        <v>0</v>
      </c>
      <c r="AC35" s="5">
        <f>'Canada tax data'!$K$38/('Canada fuel price projections'!AC28-'Canada tax data'!$K$38)</f>
        <v>0</v>
      </c>
      <c r="AD35" s="5">
        <f>'Canada tax data'!$K$38/('Canada fuel price projections'!AD28-'Canada tax data'!$K$38)</f>
        <v>0</v>
      </c>
      <c r="AE35" s="5">
        <f>'Canada tax data'!$K$38/('Canada fuel price projections'!AE28-'Canada tax data'!$K$38)</f>
        <v>0</v>
      </c>
      <c r="AF35" s="5">
        <f>'Canada tax data'!$K$38/('Canada fuel price projections'!AF28-'Canada tax data'!$K$38)</f>
        <v>0</v>
      </c>
      <c r="AG35" s="5">
        <f>'Canada tax data'!$K$38/('Canada fuel price projections'!AG28-'Canada tax data'!$K$38)</f>
        <v>0</v>
      </c>
      <c r="AH35" s="5">
        <f>'Canada tax data'!$K$38/('Canada fuel price projections'!AH28-'Canada tax data'!$K$38)</f>
        <v>0</v>
      </c>
      <c r="AI35" s="5">
        <f>'Canada tax data'!$K$38/('Canada fuel price projections'!AI28-'Canada tax data'!$K$38)</f>
        <v>0</v>
      </c>
      <c r="AJ35" s="5">
        <f>'Canada tax data'!$K$38/('Canada fuel price projections'!AJ28-'Canada tax data'!$K$38)</f>
        <v>0</v>
      </c>
      <c r="AK35" s="5">
        <f>'Canada tax data'!$K$38/('Canada fuel price projections'!AK28-'Canada tax data'!$K$38)</f>
        <v>0</v>
      </c>
    </row>
    <row r="36" spans="1:37" x14ac:dyDescent="0.3">
      <c r="A36" s="1" t="s">
        <v>6</v>
      </c>
      <c r="B36" s="5">
        <f>('Canada tax data'!$I$23+'Canada tax data'!$I$38)/('Canada fuel price projections'!B29-('Canada tax data'!$I$23+'Canada tax data'!$I$38))</f>
        <v>0.15576551682159745</v>
      </c>
      <c r="C36" s="5">
        <f>('Canada tax data'!$I$23+'Canada tax data'!$I$38)/('Canada fuel price projections'!C29-('Canada tax data'!$I$23+'Canada tax data'!$I$38))</f>
        <v>0.138816484820631</v>
      </c>
      <c r="D36" s="5">
        <f>('Canada tax data'!$I$23+'Canada tax data'!$I$38)/('Canada fuel price projections'!D29-('Canada tax data'!$I$23+'Canada tax data'!$I$38))</f>
        <v>0.1333861131922765</v>
      </c>
      <c r="E36" s="5">
        <f>('Canada tax data'!$I$23+'Canada tax data'!$I$38)/('Canada fuel price projections'!E29-('Canada tax data'!$I$23+'Canada tax data'!$I$38))</f>
        <v>0.12947237418073868</v>
      </c>
      <c r="F36" s="5">
        <f>('Canada tax data'!$I$23+'Canada tax data'!$I$38)/('Canada fuel price projections'!F29-('Canada tax data'!$I$23+'Canada tax data'!$I$38))</f>
        <v>0.12779602967227199</v>
      </c>
      <c r="G36" s="5">
        <f>('Canada tax data'!$I$23+'Canada tax data'!$I$38)/('Canada fuel price projections'!G29-('Canada tax data'!$I$23+'Canada tax data'!$I$38))</f>
        <v>0.12486056436590909</v>
      </c>
      <c r="H36" s="5">
        <f>('Canada tax data'!$I$23+'Canada tax data'!$I$38)/('Canada fuel price projections'!H29-('Canada tax data'!$I$23+'Canada tax data'!$I$38))</f>
        <v>0.1221364177351098</v>
      </c>
      <c r="I36" s="5">
        <f>('Canada tax data'!$I$23+'Canada tax data'!$I$38)/('Canada fuel price projections'!I29-('Canada tax data'!$I$23+'Canada tax data'!$I$38))</f>
        <v>0.12017968526974239</v>
      </c>
      <c r="J36" s="5">
        <f>('Canada tax data'!$I$23+'Canada tax data'!$I$38)/('Canada fuel price projections'!J29-('Canada tax data'!$I$23+'Canada tax data'!$I$38))</f>
        <v>0.11847147015621649</v>
      </c>
      <c r="K36" s="5">
        <f>('Canada tax data'!$I$23+'Canada tax data'!$I$38)/('Canada fuel price projections'!K29-('Canada tax data'!$I$23+'Canada tax data'!$I$38))</f>
        <v>0.11702981919793165</v>
      </c>
      <c r="L36" s="5">
        <f>('Canada tax data'!$I$23+'Canada tax data'!$I$38)/('Canada fuel price projections'!L29-('Canada tax data'!$I$23+'Canada tax data'!$I$38))</f>
        <v>0.11551600287617077</v>
      </c>
      <c r="M36" s="5">
        <f>('Canada tax data'!$I$23+'Canada tax data'!$I$38)/('Canada fuel price projections'!M29-('Canada tax data'!$I$23+'Canada tax data'!$I$38))</f>
        <v>0.11400618615105471</v>
      </c>
      <c r="N36" s="5">
        <f>('Canada tax data'!$I$23+'Canada tax data'!$I$38)/('Canada fuel price projections'!N29-('Canada tax data'!$I$23+'Canada tax data'!$I$38))</f>
        <v>0.11250157285852823</v>
      </c>
      <c r="O36" s="5">
        <f>('Canada tax data'!$I$23+'Canada tax data'!$I$38)/('Canada fuel price projections'!O29-('Canada tax data'!$I$23+'Canada tax data'!$I$38))</f>
        <v>0.11100329560245931</v>
      </c>
      <c r="P36" s="5">
        <f>('Canada tax data'!$I$23+'Canada tax data'!$I$38)/('Canada fuel price projections'!P29-('Canada tax data'!$I$23+'Canada tax data'!$I$38))</f>
        <v>0.10944850414203654</v>
      </c>
      <c r="Q36" s="5">
        <f>('Canada tax data'!$I$23+'Canada tax data'!$I$38)/('Canada fuel price projections'!Q29-('Canada tax data'!$I$23+'Canada tax data'!$I$38))</f>
        <v>0.10796773658264175</v>
      </c>
      <c r="R36" s="5">
        <f>('Canada tax data'!$I$23+'Canada tax data'!$I$38)/('Canada fuel price projections'!R29-('Canada tax data'!$I$23+'Canada tax data'!$I$38))</f>
        <v>0.10725761100007659</v>
      </c>
      <c r="S36" s="5">
        <f>('Canada tax data'!$I$23+'Canada tax data'!$I$38)/('Canada fuel price projections'!S29-('Canada tax data'!$I$23+'Canada tax data'!$I$38))</f>
        <v>0.10655676565790197</v>
      </c>
      <c r="T36" s="5">
        <f>('Canada tax data'!$I$23+'Canada tax data'!$I$38)/('Canada fuel price projections'!T29-('Canada tax data'!$I$23+'Canada tax data'!$I$38))</f>
        <v>0.10583514759199805</v>
      </c>
      <c r="U36" s="5">
        <f>('Canada tax data'!$I$23+'Canada tax data'!$I$38)/('Canada fuel price projections'!U29-('Canada tax data'!$I$23+'Canada tax data'!$I$38))</f>
        <v>0.10515270923528744</v>
      </c>
      <c r="V36" s="5">
        <f>('Canada tax data'!$I$23+'Canada tax data'!$I$38)/('Canada fuel price projections'!V29-('Canada tax data'!$I$23+'Canada tax data'!$I$38))</f>
        <v>0.10444992011991494</v>
      </c>
      <c r="W36" s="5">
        <f>('Canada tax data'!$I$23+'Canada tax data'!$I$38)/('Canada fuel price projections'!W29-('Canada tax data'!$I$23+'Canada tax data'!$I$38))</f>
        <v>0.1037277685460064</v>
      </c>
      <c r="X36" s="5">
        <f>('Canada tax data'!$I$23+'Canada tax data'!$I$38)/('Canada fuel price projections'!X29-('Canada tax data'!$I$23+'Canada tax data'!$I$38))</f>
        <v>0.10298724811893792</v>
      </c>
      <c r="Y36" s="5">
        <f>('Canada tax data'!$I$23+'Canada tax data'!$I$38)/('Canada fuel price projections'!Y29-('Canada tax data'!$I$23+'Canada tax data'!$I$38))</f>
        <v>0.10228511235468826</v>
      </c>
      <c r="Z36" s="5">
        <f>('Canada tax data'!$I$23+'Canada tax data'!$I$38)/('Canada fuel price projections'!Z29-('Canada tax data'!$I$23+'Canada tax data'!$I$38))</f>
        <v>0.10156497564628138</v>
      </c>
      <c r="AA36" s="5">
        <f>('Canada tax data'!$I$23+'Canada tax data'!$I$38)/('Canada fuel price projections'!AA29-('Canada tax data'!$I$23+'Canada tax data'!$I$38))</f>
        <v>0.10085490826703029</v>
      </c>
      <c r="AB36" s="5">
        <f>('Canada tax data'!$I$23+'Canada tax data'!$I$38)/('Canada fuel price projections'!AB29-('Canada tax data'!$I$23+'Canada tax data'!$I$38))</f>
        <v>0.10025107186903724</v>
      </c>
      <c r="AC36" s="5">
        <f>('Canada tax data'!$I$23+'Canada tax data'!$I$38)/('Canada fuel price projections'!AC29-('Canada tax data'!$I$23+'Canada tax data'!$I$38))</f>
        <v>9.9593802150936495E-2</v>
      </c>
      <c r="AD36" s="5">
        <f>('Canada tax data'!$I$23+'Canada tax data'!$I$38)/('Canada fuel price projections'!AD29-('Canada tax data'!$I$23+'Canada tax data'!$I$38))</f>
        <v>9.8945094727598257E-2</v>
      </c>
      <c r="AE36" s="5">
        <f>('Canada tax data'!$I$23+'Canada tax data'!$I$38)/('Canada fuel price projections'!AE29-('Canada tax data'!$I$23+'Canada tax data'!$I$38))</f>
        <v>9.8304783369419904E-2</v>
      </c>
      <c r="AF36" s="5">
        <f>('Canada tax data'!$I$23+'Canada tax data'!$I$38)/('Canada fuel price projections'!AF29-('Canada tax data'!$I$23+'Canada tax data'!$I$38))</f>
        <v>9.7672706122072309E-2</v>
      </c>
      <c r="AG36" s="5">
        <f>('Canada tax data'!$I$23+'Canada tax data'!$I$38)/('Canada fuel price projections'!AG29-('Canada tax data'!$I$23+'Canada tax data'!$I$38))</f>
        <v>9.7048705169932081E-2</v>
      </c>
      <c r="AH36" s="5">
        <f>('Canada tax data'!$I$23+'Canada tax data'!$I$38)/('Canada fuel price projections'!AH29-('Canada tax data'!$I$23+'Canada tax data'!$I$38))</f>
        <v>9.6432626704716473E-2</v>
      </c>
      <c r="AI36" s="5">
        <f>('Canada tax data'!$I$23+'Canada tax data'!$I$38)/('Canada fuel price projections'!AI29-('Canada tax data'!$I$23+'Canada tax data'!$I$38))</f>
        <v>9.5824320799090562E-2</v>
      </c>
      <c r="AJ36" s="5">
        <f>('Canada tax data'!$I$23+'Canada tax data'!$I$38)/('Canada fuel price projections'!AJ29-('Canada tax data'!$I$23+'Canada tax data'!$I$38))</f>
        <v>9.522364128502675E-2</v>
      </c>
      <c r="AK36" s="5">
        <f>('Canada tax data'!$I$23+'Canada tax data'!$I$38)/('Canada fuel price projections'!AK29-('Canada tax data'!$I$23+'Canada tax data'!$I$38))</f>
        <v>9.4630445636712246E-2</v>
      </c>
    </row>
    <row r="37" spans="1:37" x14ac:dyDescent="0.3">
      <c r="A37" s="1" t="s">
        <v>7</v>
      </c>
      <c r="B37" s="5">
        <f>('Canada tax data'!$J$23+'Canada tax data'!$J$38)/('Canada fuel price projections'!B30-('Canada tax data'!$J$23+'Canada tax data'!$J$38))</f>
        <v>0.13321566632631773</v>
      </c>
      <c r="C37" s="5">
        <f>('Canada tax data'!$J$23+'Canada tax data'!$J$38)/('Canada fuel price projections'!C30-('Canada tax data'!$J$23+'Canada tax data'!$J$38))</f>
        <v>0.1180547054607748</v>
      </c>
      <c r="D37" s="5">
        <f>('Canada tax data'!$J$23+'Canada tax data'!$J$38)/('Canada fuel price projections'!D30-('Canada tax data'!$J$23+'Canada tax data'!$J$38))</f>
        <v>0.11312733020544967</v>
      </c>
      <c r="E37" s="5">
        <f>('Canada tax data'!$J$23+'Canada tax data'!$J$38)/('Canada fuel price projections'!E30-('Canada tax data'!$J$23+'Canada tax data'!$J$38))</f>
        <v>0.10958623273216012</v>
      </c>
      <c r="F37" s="5">
        <f>('Canada tax data'!$J$23+'Canada tax data'!$J$38)/('Canada fuel price projections'!F30-('Canada tax data'!$J$23+'Canada tax data'!$J$38))</f>
        <v>0.10803626960401216</v>
      </c>
      <c r="G37" s="5">
        <f>('Canada tax data'!$J$23+'Canada tax data'!$J$38)/('Canada fuel price projections'!G30-('Canada tax data'!$J$23+'Canada tax data'!$J$38))</f>
        <v>0.10536068691277625</v>
      </c>
      <c r="H37" s="5">
        <f>('Canada tax data'!$J$23+'Canada tax data'!$J$38)/('Canada fuel price projections'!H30-('Canada tax data'!$J$23+'Canada tax data'!$J$38))</f>
        <v>0.10287736922624507</v>
      </c>
      <c r="I37" s="5">
        <f>('Canada tax data'!$J$23+'Canada tax data'!$J$38)/('Canada fuel price projections'!I30-('Canada tax data'!$J$23+'Canada tax data'!$J$38))</f>
        <v>0.10108276750310326</v>
      </c>
      <c r="J37" s="5">
        <f>('Canada tax data'!$J$23+'Canada tax data'!$J$38)/('Canada fuel price projections'!J30-('Canada tax data'!$J$23+'Canada tax data'!$J$38))</f>
        <v>9.9555705859144319E-2</v>
      </c>
      <c r="K37" s="5">
        <f>('Canada tax data'!$J$23+'Canada tax data'!$J$38)/('Canada fuel price projections'!K30-('Canada tax data'!$J$23+'Canada tax data'!$J$38))</f>
        <v>9.821739952964445E-2</v>
      </c>
      <c r="L37" s="5">
        <f>('Canada tax data'!$J$23+'Canada tax data'!$J$38)/('Canada fuel price projections'!L30-('Canada tax data'!$J$23+'Canada tax data'!$J$38))</f>
        <v>9.6858737045516452E-2</v>
      </c>
      <c r="M37" s="5">
        <f>('Canada tax data'!$J$23+'Canada tax data'!$J$38)/('Canada fuel price projections'!M30-('Canada tax data'!$J$23+'Canada tax data'!$J$38))</f>
        <v>9.548286714190693E-2</v>
      </c>
      <c r="N37" s="5">
        <f>('Canada tax data'!$J$23+'Canada tax data'!$J$38)/('Canada fuel price projections'!N30-('Canada tax data'!$J$23+'Canada tax data'!$J$38))</f>
        <v>9.4145537993952672E-2</v>
      </c>
      <c r="O37" s="5">
        <f>('Canada tax data'!$J$23+'Canada tax data'!$J$38)/('Canada fuel price projections'!O30-('Canada tax data'!$J$23+'Canada tax data'!$J$38))</f>
        <v>9.2793883940833474E-2</v>
      </c>
      <c r="P37" s="5">
        <f>('Canada tax data'!$J$23+'Canada tax data'!$J$38)/('Canada fuel price projections'!P30-('Canada tax data'!$J$23+'Canada tax data'!$J$38))</f>
        <v>9.1430719146211509E-2</v>
      </c>
      <c r="Q37" s="5">
        <f>('Canada tax data'!$J$23+'Canada tax data'!$J$38)/('Canada fuel price projections'!Q30-('Canada tax data'!$J$23+'Canada tax data'!$J$38))</f>
        <v>9.0131189412774509E-2</v>
      </c>
      <c r="R37" s="5">
        <f>('Canada tax data'!$J$23+'Canada tax data'!$J$38)/('Canada fuel price projections'!R30-('Canada tax data'!$J$23+'Canada tax data'!$J$38))</f>
        <v>8.9483265803295409E-2</v>
      </c>
      <c r="S37" s="5">
        <f>('Canada tax data'!$J$23+'Canada tax data'!$J$38)/('Canada fuel price projections'!S30-('Canada tax data'!$J$23+'Canada tax data'!$J$38))</f>
        <v>8.8844591127623759E-2</v>
      </c>
      <c r="T37" s="5">
        <f>('Canada tax data'!$J$23+'Canada tax data'!$J$38)/('Canada fuel price projections'!T30-('Canada tax data'!$J$23+'Canada tax data'!$J$38))</f>
        <v>8.8191820737777496E-2</v>
      </c>
      <c r="U37" s="5">
        <f>('Canada tax data'!$J$23+'Canada tax data'!$J$38)/('Canada fuel price projections'!U30-('Canada tax data'!$J$23+'Canada tax data'!$J$38))</f>
        <v>8.754857262154099E-2</v>
      </c>
      <c r="V37" s="5">
        <f>('Canada tax data'!$J$23+'Canada tax data'!$J$38)/('Canada fuel price projections'!V30-('Canada tax data'!$J$23+'Canada tax data'!$J$38))</f>
        <v>8.6914639928692541E-2</v>
      </c>
      <c r="W37" s="5">
        <f>('Canada tax data'!$J$23+'Canada tax data'!$J$38)/('Canada fuel price projections'!W30-('Canada tax data'!$J$23+'Canada tax data'!$J$38))</f>
        <v>8.6267672928195566E-2</v>
      </c>
      <c r="X37" s="5">
        <f>('Canada tax data'!$J$23+'Canada tax data'!$J$38)/('Canada fuel price projections'!X30-('Canada tax data'!$J$23+'Canada tax data'!$J$38))</f>
        <v>8.563026642605881E-2</v>
      </c>
      <c r="Y37" s="5">
        <f>('Canada tax data'!$J$23+'Canada tax data'!$J$38)/('Canada fuel price projections'!Y30-('Canada tax data'!$J$23+'Canada tax data'!$J$38))</f>
        <v>8.4980717221564611E-2</v>
      </c>
      <c r="Z37" s="5">
        <f>('Canada tax data'!$J$23+'Canada tax data'!$J$38)/('Canada fuel price projections'!Z30-('Canada tax data'!$J$23+'Canada tax data'!$J$38))</f>
        <v>8.4340948153153822E-2</v>
      </c>
      <c r="AA37" s="5">
        <f>('Canada tax data'!$J$23+'Canada tax data'!$J$38)/('Canada fuel price projections'!AA30-('Canada tax data'!$J$23+'Canada tax data'!$J$38))</f>
        <v>8.371073998491145E-2</v>
      </c>
      <c r="AB37" s="5">
        <f>('Canada tax data'!$J$23+'Canada tax data'!$J$38)/('Canada fuel price projections'!AB30-('Canada tax data'!$J$23+'Canada tax data'!$J$38))</f>
        <v>8.3159781002682676E-2</v>
      </c>
      <c r="AC37" s="5">
        <f>('Canada tax data'!$J$23+'Canada tax data'!$J$38)/('Canada fuel price projections'!AC30-('Canada tax data'!$J$23+'Canada tax data'!$J$38))</f>
        <v>8.2571373170573906E-2</v>
      </c>
      <c r="AD37" s="5">
        <f>('Canada tax data'!$J$23+'Canada tax data'!$J$38)/('Canada fuel price projections'!AD30-('Canada tax data'!$J$23+'Canada tax data'!$J$38))</f>
        <v>8.1991233547765274E-2</v>
      </c>
      <c r="AE37" s="5">
        <f>('Canada tax data'!$J$23+'Canada tax data'!$J$38)/('Canada fuel price projections'!AE30-('Canada tax data'!$J$23+'Canada tax data'!$J$38))</f>
        <v>8.1419189074897674E-2</v>
      </c>
      <c r="AF37" s="5">
        <f>('Canada tax data'!$J$23+'Canada tax data'!$J$38)/('Canada fuel price projections'!AF30-('Canada tax data'!$J$23+'Canada tax data'!$J$38))</f>
        <v>8.0855071488820013E-2</v>
      </c>
      <c r="AG37" s="5">
        <f>('Canada tax data'!$J$23+'Canada tax data'!$J$38)/('Canada fuel price projections'!AG30-('Canada tax data'!$J$23+'Canada tax data'!$J$38))</f>
        <v>8.0298717157577595E-2</v>
      </c>
      <c r="AH37" s="5">
        <f>('Canada tax data'!$J$23+'Canada tax data'!$J$38)/('Canada fuel price projections'!AH30-('Canada tax data'!$J$23+'Canada tax data'!$J$38))</f>
        <v>7.9749966922167528E-2</v>
      </c>
      <c r="AI37" s="5">
        <f>('Canada tax data'!$J$23+'Canada tax data'!$J$38)/('Canada fuel price projections'!AI30-('Canada tax data'!$J$23+'Canada tax data'!$J$38))</f>
        <v>7.9208665944738535E-2</v>
      </c>
      <c r="AJ37" s="5">
        <f>('Canada tax data'!$J$23+'Canada tax data'!$J$38)/('Canada fuel price projections'!AJ30-('Canada tax data'!$J$23+'Canada tax data'!$J$38))</f>
        <v>7.8674663562930958E-2</v>
      </c>
      <c r="AK37" s="5">
        <f>('Canada tax data'!$J$23+'Canada tax data'!$J$38)/('Canada fuel price projections'!AK30-('Canada tax data'!$J$23+'Canada tax data'!$J$38))</f>
        <v>7.8147813150069495E-2</v>
      </c>
    </row>
    <row r="38" spans="1:37" x14ac:dyDescent="0.3">
      <c r="A38" s="1" t="s">
        <v>10</v>
      </c>
      <c r="B38" s="5">
        <f>'Canada tax data'!$L$38/('Canada fuel price projections'!B31-'Canada tax data'!$L$38)</f>
        <v>0</v>
      </c>
      <c r="C38" s="5">
        <f>'Canada tax data'!$L$38/('Canada fuel price projections'!C31-'Canada tax data'!$L$38)</f>
        <v>0</v>
      </c>
      <c r="D38" s="5">
        <f>'Canada tax data'!$L$38/('Canada fuel price projections'!D31-'Canada tax data'!$L$38)</f>
        <v>0</v>
      </c>
      <c r="E38" s="5">
        <f>'Canada tax data'!$L$38/('Canada fuel price projections'!E31-'Canada tax data'!$L$38)</f>
        <v>0</v>
      </c>
      <c r="F38" s="5">
        <f>'Canada tax data'!$L$38/('Canada fuel price projections'!F31-'Canada tax data'!$L$38)</f>
        <v>0</v>
      </c>
      <c r="G38" s="5">
        <f>'Canada tax data'!$L$38/('Canada fuel price projections'!G31-'Canada tax data'!$L$38)</f>
        <v>0</v>
      </c>
      <c r="H38" s="5">
        <f>'Canada tax data'!$L$38/('Canada fuel price projections'!H31-'Canada tax data'!$L$38)</f>
        <v>0</v>
      </c>
      <c r="I38" s="5">
        <f>'Canada tax data'!$L$38/('Canada fuel price projections'!I31-'Canada tax data'!$L$38)</f>
        <v>0</v>
      </c>
      <c r="J38" s="5">
        <f>'Canada tax data'!$L$38/('Canada fuel price projections'!J31-'Canada tax data'!$L$38)</f>
        <v>0</v>
      </c>
      <c r="K38" s="5">
        <f>'Canada tax data'!$L$38/('Canada fuel price projections'!K31-'Canada tax data'!$L$38)</f>
        <v>0</v>
      </c>
      <c r="L38" s="5">
        <f>'Canada tax data'!$L$38/('Canada fuel price projections'!L31-'Canada tax data'!$L$38)</f>
        <v>0</v>
      </c>
      <c r="M38" s="5">
        <f>'Canada tax data'!$L$38/('Canada fuel price projections'!M31-'Canada tax data'!$L$38)</f>
        <v>0</v>
      </c>
      <c r="N38" s="5">
        <f>'Canada tax data'!$L$38/('Canada fuel price projections'!N31-'Canada tax data'!$L$38)</f>
        <v>0</v>
      </c>
      <c r="O38" s="5">
        <f>'Canada tax data'!$L$38/('Canada fuel price projections'!O31-'Canada tax data'!$L$38)</f>
        <v>0</v>
      </c>
      <c r="P38" s="5">
        <f>'Canada tax data'!$L$38/('Canada fuel price projections'!P31-'Canada tax data'!$L$38)</f>
        <v>0</v>
      </c>
      <c r="Q38" s="5">
        <f>'Canada tax data'!$L$38/('Canada fuel price projections'!Q31-'Canada tax data'!$L$38)</f>
        <v>0</v>
      </c>
      <c r="R38" s="5">
        <f>'Canada tax data'!$L$38/('Canada fuel price projections'!R31-'Canada tax data'!$L$38)</f>
        <v>0</v>
      </c>
      <c r="S38" s="5">
        <f>'Canada tax data'!$L$38/('Canada fuel price projections'!S31-'Canada tax data'!$L$38)</f>
        <v>0</v>
      </c>
      <c r="T38" s="5">
        <f>'Canada tax data'!$L$38/('Canada fuel price projections'!T31-'Canada tax data'!$L$38)</f>
        <v>0</v>
      </c>
      <c r="U38" s="5">
        <f>'Canada tax data'!$L$38/('Canada fuel price projections'!U31-'Canada tax data'!$L$38)</f>
        <v>0</v>
      </c>
      <c r="V38" s="5">
        <f>'Canada tax data'!$L$38/('Canada fuel price projections'!V31-'Canada tax data'!$L$38)</f>
        <v>0</v>
      </c>
      <c r="W38" s="5">
        <f>'Canada tax data'!$L$38/('Canada fuel price projections'!W31-'Canada tax data'!$L$38)</f>
        <v>0</v>
      </c>
      <c r="X38" s="5">
        <f>'Canada tax data'!$L$38/('Canada fuel price projections'!X31-'Canada tax data'!$L$38)</f>
        <v>0</v>
      </c>
      <c r="Y38" s="5">
        <f>'Canada tax data'!$L$38/('Canada fuel price projections'!Y31-'Canada tax data'!$L$38)</f>
        <v>0</v>
      </c>
      <c r="Z38" s="5">
        <f>'Canada tax data'!$L$38/('Canada fuel price projections'!Z31-'Canada tax data'!$L$38)</f>
        <v>0</v>
      </c>
      <c r="AA38" s="5">
        <f>'Canada tax data'!$L$38/('Canada fuel price projections'!AA31-'Canada tax data'!$L$38)</f>
        <v>0</v>
      </c>
      <c r="AB38" s="5">
        <f>'Canada tax data'!$L$38/('Canada fuel price projections'!AB31-'Canada tax data'!$L$38)</f>
        <v>0</v>
      </c>
      <c r="AC38" s="5">
        <f>'Canada tax data'!$L$38/('Canada fuel price projections'!AC31-'Canada tax data'!$L$38)</f>
        <v>0</v>
      </c>
      <c r="AD38" s="5">
        <f>'Canada tax data'!$L$38/('Canada fuel price projections'!AD31-'Canada tax data'!$L$38)</f>
        <v>0</v>
      </c>
      <c r="AE38" s="5">
        <f>'Canada tax data'!$L$38/('Canada fuel price projections'!AE31-'Canada tax data'!$L$38)</f>
        <v>0</v>
      </c>
      <c r="AF38" s="5">
        <f>'Canada tax data'!$L$38/('Canada fuel price projections'!AF31-'Canada tax data'!$L$38)</f>
        <v>0</v>
      </c>
      <c r="AG38" s="5">
        <f>'Canada tax data'!$L$38/('Canada fuel price projections'!AG31-'Canada tax data'!$L$38)</f>
        <v>0</v>
      </c>
      <c r="AH38" s="5">
        <f>'Canada tax data'!$L$38/('Canada fuel price projections'!AH31-'Canada tax data'!$L$38)</f>
        <v>0</v>
      </c>
      <c r="AI38" s="5">
        <f>'Canada tax data'!$L$38/('Canada fuel price projections'!AI31-'Canada tax data'!$L$38)</f>
        <v>0</v>
      </c>
      <c r="AJ38" s="5">
        <f>'Canada tax data'!$L$38/('Canada fuel price projections'!AJ31-'Canada tax data'!$L$38)</f>
        <v>0</v>
      </c>
      <c r="AK38" s="5">
        <f>'Canada tax data'!$L$38/('Canada fuel price projections'!AK31-'Canada tax data'!$L$38)</f>
        <v>0</v>
      </c>
    </row>
    <row r="41" spans="1:37" x14ac:dyDescent="0.3">
      <c r="A41" s="5" t="s">
        <v>106</v>
      </c>
    </row>
    <row r="42" spans="1:37" x14ac:dyDescent="0.3">
      <c r="A42" s="5" t="s">
        <v>107</v>
      </c>
      <c r="B42" s="5" t="s">
        <v>108</v>
      </c>
    </row>
    <row r="43" spans="1:37" ht="15.6" x14ac:dyDescent="0.3">
      <c r="A43" s="26">
        <v>1.2789999999999999</v>
      </c>
      <c r="B43" s="26">
        <v>1.302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1"/>
  <sheetViews>
    <sheetView workbookViewId="0"/>
  </sheetViews>
  <sheetFormatPr defaultColWidth="10.77734375" defaultRowHeight="14.4" x14ac:dyDescent="0.3"/>
  <cols>
    <col min="1" max="1" width="16.77734375" customWidth="1"/>
  </cols>
  <sheetData>
    <row r="1" spans="1:28" x14ac:dyDescent="0.3">
      <c r="A1" s="1" t="s">
        <v>88</v>
      </c>
      <c r="B1" s="1"/>
    </row>
    <row r="2" spans="1:28" x14ac:dyDescent="0.3">
      <c r="A2" s="19" t="s">
        <v>98</v>
      </c>
    </row>
    <row r="3" spans="1:28" x14ac:dyDescent="0.3">
      <c r="A3" s="1"/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  <c r="M3" s="1">
        <v>2025</v>
      </c>
      <c r="N3" s="1">
        <v>2026</v>
      </c>
      <c r="O3" s="1">
        <v>2027</v>
      </c>
      <c r="P3" s="1">
        <v>2028</v>
      </c>
      <c r="Q3" s="1">
        <v>2029</v>
      </c>
      <c r="R3" s="1">
        <v>2030</v>
      </c>
      <c r="S3" s="1">
        <v>2031</v>
      </c>
      <c r="T3" s="1">
        <v>2032</v>
      </c>
      <c r="U3" s="1">
        <v>2033</v>
      </c>
      <c r="V3" s="1">
        <v>2034</v>
      </c>
      <c r="W3" s="1">
        <v>2035</v>
      </c>
      <c r="X3" s="1">
        <v>2036</v>
      </c>
      <c r="Y3" s="1">
        <v>2037</v>
      </c>
      <c r="Z3" s="1">
        <v>2038</v>
      </c>
      <c r="AA3" s="1">
        <v>2039</v>
      </c>
      <c r="AB3" s="1">
        <v>2040</v>
      </c>
    </row>
    <row r="4" spans="1:28" ht="28.8" x14ac:dyDescent="0.3">
      <c r="A4" s="24" t="s">
        <v>168</v>
      </c>
      <c r="B4" s="22">
        <v>2.3781590000000001</v>
      </c>
      <c r="C4" s="22">
        <v>2.185613</v>
      </c>
      <c r="D4" s="22">
        <v>2.1010849999999999</v>
      </c>
      <c r="E4" s="22">
        <v>2.0862210000000001</v>
      </c>
      <c r="F4" s="22">
        <v>2.2019829999999998</v>
      </c>
      <c r="G4" s="22">
        <v>2.2306119999999998</v>
      </c>
      <c r="H4" s="22">
        <v>2.2647370000000002</v>
      </c>
      <c r="I4" s="22">
        <v>2.2659340000000001</v>
      </c>
      <c r="J4" s="22">
        <v>2.2651810000000001</v>
      </c>
      <c r="K4" s="22">
        <v>2.271795</v>
      </c>
      <c r="L4" s="22">
        <v>2.2642739999999999</v>
      </c>
      <c r="M4" s="22">
        <v>2.2646829999999998</v>
      </c>
      <c r="N4" s="22">
        <v>2.2684679999999999</v>
      </c>
      <c r="O4" s="22">
        <v>2.2628249999999999</v>
      </c>
      <c r="P4" s="22">
        <v>2.2578819999999999</v>
      </c>
      <c r="Q4" s="22">
        <v>2.2556229999999999</v>
      </c>
      <c r="R4" s="22">
        <v>2.2566109999999999</v>
      </c>
      <c r="S4" s="22">
        <v>2.2696930000000002</v>
      </c>
      <c r="T4" s="22">
        <v>2.2835760000000001</v>
      </c>
      <c r="U4" s="22">
        <v>2.2967650000000002</v>
      </c>
      <c r="V4" s="22">
        <v>2.3105039999999999</v>
      </c>
      <c r="W4" s="22">
        <v>2.3181790000000002</v>
      </c>
      <c r="X4" s="22">
        <v>2.3314490000000001</v>
      </c>
      <c r="Y4" s="22">
        <v>2.3421910000000001</v>
      </c>
      <c r="Z4" s="22">
        <v>2.3573119999999999</v>
      </c>
      <c r="AA4" s="22">
        <v>2.3694099999999998</v>
      </c>
      <c r="AB4" s="22">
        <v>2.3828659999999999</v>
      </c>
    </row>
    <row r="5" spans="1:28" x14ac:dyDescent="0.3">
      <c r="A5" t="s">
        <v>100</v>
      </c>
      <c r="C5">
        <f>C4/B4</f>
        <v>0.91903569105345773</v>
      </c>
      <c r="D5">
        <f>D4/C4</f>
        <v>0.96132526664144102</v>
      </c>
      <c r="E5">
        <f t="shared" ref="E5:AB5" si="0">E4/D4</f>
        <v>0.99292555988929543</v>
      </c>
      <c r="F5">
        <f t="shared" si="0"/>
        <v>1.0554888480175397</v>
      </c>
      <c r="G5">
        <f t="shared" si="0"/>
        <v>1.0130014627724193</v>
      </c>
      <c r="H5">
        <f t="shared" si="0"/>
        <v>1.0152984920730277</v>
      </c>
      <c r="I5">
        <f t="shared" si="0"/>
        <v>1.0005285381922933</v>
      </c>
      <c r="J5">
        <f t="shared" si="0"/>
        <v>0.99966768670226047</v>
      </c>
      <c r="K5">
        <f t="shared" si="0"/>
        <v>1.002919854969647</v>
      </c>
      <c r="L5">
        <f t="shared" si="0"/>
        <v>0.9966894019926974</v>
      </c>
      <c r="M5">
        <f t="shared" si="0"/>
        <v>1.0001806318493256</v>
      </c>
      <c r="N5">
        <f t="shared" si="0"/>
        <v>1.0016713155880979</v>
      </c>
      <c r="O5">
        <f t="shared" si="0"/>
        <v>0.99751241807246116</v>
      </c>
      <c r="P5">
        <f t="shared" si="0"/>
        <v>0.99781556240540037</v>
      </c>
      <c r="Q5">
        <f t="shared" si="0"/>
        <v>0.99899950484569167</v>
      </c>
      <c r="R5">
        <f t="shared" si="0"/>
        <v>1.0004380164593107</v>
      </c>
      <c r="S5">
        <f t="shared" si="0"/>
        <v>1.0057971887932835</v>
      </c>
      <c r="T5">
        <f t="shared" si="0"/>
        <v>1.0061166862654993</v>
      </c>
      <c r="U5">
        <f t="shared" si="0"/>
        <v>1.0057755905649737</v>
      </c>
      <c r="V5">
        <f t="shared" si="0"/>
        <v>1.0059818919218988</v>
      </c>
      <c r="W5">
        <f t="shared" si="0"/>
        <v>1.0033217860691868</v>
      </c>
      <c r="X5">
        <f t="shared" si="0"/>
        <v>1.0057243206844682</v>
      </c>
      <c r="Y5">
        <f t="shared" si="0"/>
        <v>1.0046074351186751</v>
      </c>
      <c r="Z5">
        <f t="shared" si="0"/>
        <v>1.0064559209731401</v>
      </c>
      <c r="AA5">
        <f t="shared" si="0"/>
        <v>1.0051321165802405</v>
      </c>
      <c r="AB5">
        <f t="shared" si="0"/>
        <v>1.0056790509029674</v>
      </c>
    </row>
    <row r="7" spans="1:28" x14ac:dyDescent="0.3">
      <c r="A7" t="s">
        <v>89</v>
      </c>
    </row>
    <row r="8" spans="1:28" x14ac:dyDescent="0.3">
      <c r="A8" s="23" t="s">
        <v>90</v>
      </c>
      <c r="B8" s="23" t="s">
        <v>91</v>
      </c>
      <c r="D8" s="23"/>
    </row>
    <row r="9" spans="1:28" x14ac:dyDescent="0.3">
      <c r="A9" s="23" t="s">
        <v>92</v>
      </c>
      <c r="B9" s="23" t="s">
        <v>93</v>
      </c>
      <c r="D9" s="23"/>
    </row>
    <row r="10" spans="1:28" x14ac:dyDescent="0.3">
      <c r="A10" s="23" t="s">
        <v>94</v>
      </c>
      <c r="B10" s="23" t="s">
        <v>95</v>
      </c>
      <c r="D10" s="23"/>
    </row>
    <row r="11" spans="1:28" x14ac:dyDescent="0.3">
      <c r="A11" s="23" t="s">
        <v>96</v>
      </c>
      <c r="B11" s="23" t="s">
        <v>97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1"/>
  <sheetViews>
    <sheetView workbookViewId="0">
      <selection activeCell="A33" sqref="A33"/>
    </sheetView>
  </sheetViews>
  <sheetFormatPr defaultColWidth="10.77734375" defaultRowHeight="14.4" x14ac:dyDescent="0.3"/>
  <cols>
    <col min="1" max="1" width="19.109375" style="5" customWidth="1"/>
    <col min="2" max="2" width="12.33203125" style="5" bestFit="1" customWidth="1"/>
    <col min="3" max="3" width="12.109375" style="5" bestFit="1" customWidth="1"/>
    <col min="4" max="16384" width="10.77734375" style="5"/>
  </cols>
  <sheetData>
    <row r="1" spans="1:28" x14ac:dyDescent="0.3"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</row>
    <row r="2" spans="1:28" x14ac:dyDescent="0.3">
      <c r="A2" s="5" t="s">
        <v>114</v>
      </c>
      <c r="B2" s="5">
        <v>20.52</v>
      </c>
    </row>
    <row r="3" spans="1:28" x14ac:dyDescent="0.3">
      <c r="A3" s="5" t="s">
        <v>115</v>
      </c>
      <c r="B3" s="5">
        <f>B2/1000000</f>
        <v>2.052E-5</v>
      </c>
    </row>
    <row r="4" spans="1:28" x14ac:dyDescent="0.3">
      <c r="A4" s="39" t="s">
        <v>122</v>
      </c>
      <c r="B4" s="39">
        <f>B3*A15</f>
        <v>2.269512E-5</v>
      </c>
      <c r="C4" s="5">
        <f>B4*Table14[[#Totals],[2015]]</f>
        <v>1.8485854153846153E-5</v>
      </c>
      <c r="D4" s="5">
        <f>C4*Table14[[#Totals],[2016]]</f>
        <v>2.0580788307692306E-5</v>
      </c>
      <c r="E4" s="5">
        <f>D4*Table14[[#Totals],[2017]]</f>
        <v>2.138255323076923E-5</v>
      </c>
      <c r="F4" s="5">
        <f>E4*Table14[[#Totals],[2018]]</f>
        <v>2.200327446153846E-5</v>
      </c>
      <c r="G4" s="5">
        <f>F4*Table14[[#Totals],[2019]]</f>
        <v>2.2287771692307689E-5</v>
      </c>
      <c r="H4" s="5">
        <f>G4*Table14[[#Totals],[2020]]</f>
        <v>2.2798573538461536E-5</v>
      </c>
      <c r="I4" s="5">
        <f>H4*Table14[[#Totals],[2021]]</f>
        <v>2.3296443692307692E-5</v>
      </c>
      <c r="J4" s="5">
        <f>I4*Table14[[#Totals],[2022]]</f>
        <v>2.367146276923077E-5</v>
      </c>
      <c r="K4" s="5">
        <f>J4*Table14[[#Totals],[2023]]</f>
        <v>2.4001220923076924E-5</v>
      </c>
      <c r="L4" s="5">
        <f>K4*Table14[[#Totals],[2024]]</f>
        <v>2.4298649846153844E-5</v>
      </c>
      <c r="M4" s="5">
        <f>L4*Table14[[#Totals],[2025]]</f>
        <v>2.4609010461538463E-5</v>
      </c>
      <c r="N4" s="5">
        <f>M4*Table14[[#Totals],[2026]]</f>
        <v>2.4932302769230769E-5</v>
      </c>
      <c r="O4" s="5">
        <f>N4*Table14[[#Totals],[2027]]</f>
        <v>2.5255595076923076E-5</v>
      </c>
      <c r="P4" s="5">
        <f>O4*Table14[[#Totals],[2028]]</f>
        <v>2.5591819076923073E-5</v>
      </c>
      <c r="Q4" s="5">
        <f>P4*Table14[[#Totals],[2029]]</f>
        <v>2.5940974769230765E-5</v>
      </c>
      <c r="R4" s="5">
        <f>Q4*Table14[[#Totals],[2030]]</f>
        <v>2.6283664615384614E-5</v>
      </c>
      <c r="S4" s="5">
        <f>R4*Table14[[#Totals],[2031]]</f>
        <v>2.6458242461538463E-5</v>
      </c>
      <c r="T4" s="5">
        <f>S4*Table14[[#Totals],[2032]]</f>
        <v>2.6632820307692309E-5</v>
      </c>
      <c r="U4" s="5">
        <f>T4*Table14[[#Totals],[2033]]</f>
        <v>2.6813864000000002E-5</v>
      </c>
      <c r="V4" s="5">
        <f>U4*Table14[[#Totals],[2034]]</f>
        <v>2.6994907692307696E-5</v>
      </c>
      <c r="W4" s="5">
        <f>V4*Table14[[#Totals],[2035]]</f>
        <v>2.7175951384615389E-5</v>
      </c>
      <c r="X4" s="5">
        <f>W4*Table14[[#Totals],[2036]]</f>
        <v>2.736346092307693E-5</v>
      </c>
      <c r="Y4" s="5">
        <f>X4*Table14[[#Totals],[2037]]</f>
        <v>2.7550970461538464E-5</v>
      </c>
      <c r="Z4" s="5">
        <f>Y4*Table14[[#Totals],[2038]]</f>
        <v>2.7744945846153845E-5</v>
      </c>
      <c r="AA4" s="5">
        <f>Z4*Table14[[#Totals],[2039]]</f>
        <v>2.7938921230769229E-5</v>
      </c>
      <c r="AB4" s="5">
        <f>AA4*Table14[[#Totals],[2040]]</f>
        <v>2.8132896615384614E-5</v>
      </c>
    </row>
    <row r="5" spans="1:28" x14ac:dyDescent="0.3">
      <c r="A5" s="39" t="s">
        <v>54</v>
      </c>
      <c r="B5" s="19" t="s">
        <v>116</v>
      </c>
    </row>
    <row r="6" spans="1:28" x14ac:dyDescent="0.3">
      <c r="A6" s="39"/>
      <c r="B6" s="28">
        <v>2016</v>
      </c>
    </row>
    <row r="7" spans="1:28" x14ac:dyDescent="0.3">
      <c r="B7" s="19" t="s">
        <v>117</v>
      </c>
    </row>
    <row r="8" spans="1:28" x14ac:dyDescent="0.3">
      <c r="B8" s="35" t="s">
        <v>118</v>
      </c>
    </row>
    <row r="9" spans="1:28" x14ac:dyDescent="0.3">
      <c r="B9" s="19" t="s">
        <v>120</v>
      </c>
    </row>
    <row r="10" spans="1:28" x14ac:dyDescent="0.3">
      <c r="B10" s="19"/>
    </row>
    <row r="11" spans="1:28" x14ac:dyDescent="0.3">
      <c r="A11" s="40" t="s">
        <v>119</v>
      </c>
    </row>
    <row r="12" spans="1:28" x14ac:dyDescent="0.3">
      <c r="A12" s="5" t="s">
        <v>189</v>
      </c>
    </row>
    <row r="14" spans="1:28" x14ac:dyDescent="0.3">
      <c r="A14" s="5" t="s">
        <v>121</v>
      </c>
    </row>
    <row r="15" spans="1:28" x14ac:dyDescent="0.3">
      <c r="A15" s="27">
        <v>1.1060000000000001</v>
      </c>
    </row>
    <row r="17" spans="1:37" x14ac:dyDescent="0.3">
      <c r="A17" s="1" t="s">
        <v>123</v>
      </c>
    </row>
    <row r="18" spans="1:37" s="36" customFormat="1" x14ac:dyDescent="0.3">
      <c r="A18" s="38" t="s">
        <v>188</v>
      </c>
    </row>
    <row r="19" spans="1:37" s="36" customFormat="1" x14ac:dyDescent="0.3">
      <c r="A19" s="38" t="s">
        <v>124</v>
      </c>
    </row>
    <row r="20" spans="1:37" s="36" customFormat="1" x14ac:dyDescent="0.3">
      <c r="A20" s="38" t="s">
        <v>125</v>
      </c>
    </row>
    <row r="21" spans="1:37" s="36" customFormat="1" x14ac:dyDescent="0.3">
      <c r="A21" s="38" t="s">
        <v>126</v>
      </c>
    </row>
    <row r="22" spans="1:37" s="36" customFormat="1" x14ac:dyDescent="0.3">
      <c r="A22" s="47" t="s">
        <v>25</v>
      </c>
    </row>
    <row r="23" spans="1:37" s="36" customFormat="1" x14ac:dyDescent="0.3">
      <c r="A23" s="36" t="s">
        <v>127</v>
      </c>
      <c r="B23" s="36" t="s">
        <v>128</v>
      </c>
      <c r="C23" s="36" t="s">
        <v>129</v>
      </c>
      <c r="D23" s="36" t="s">
        <v>130</v>
      </c>
      <c r="E23" s="36" t="s">
        <v>131</v>
      </c>
      <c r="F23" s="36" t="s">
        <v>132</v>
      </c>
      <c r="G23" s="36" t="s">
        <v>133</v>
      </c>
      <c r="H23" s="36" t="s">
        <v>134</v>
      </c>
      <c r="I23" s="36" t="s">
        <v>135</v>
      </c>
      <c r="J23" s="36" t="s">
        <v>136</v>
      </c>
      <c r="K23" s="36" t="s">
        <v>137</v>
      </c>
      <c r="L23" s="36" t="s">
        <v>138</v>
      </c>
      <c r="M23" s="36" t="s">
        <v>139</v>
      </c>
      <c r="N23" s="36" t="s">
        <v>140</v>
      </c>
      <c r="O23" s="36" t="s">
        <v>141</v>
      </c>
      <c r="P23" s="36" t="s">
        <v>142</v>
      </c>
      <c r="Q23" s="36" t="s">
        <v>143</v>
      </c>
      <c r="R23" s="36" t="s">
        <v>144</v>
      </c>
      <c r="S23" s="36" t="s">
        <v>145</v>
      </c>
      <c r="T23" s="36" t="s">
        <v>146</v>
      </c>
      <c r="U23" s="36" t="s">
        <v>147</v>
      </c>
      <c r="V23" s="36" t="s">
        <v>148</v>
      </c>
      <c r="W23" s="36" t="s">
        <v>149</v>
      </c>
      <c r="X23" s="36" t="s">
        <v>150</v>
      </c>
      <c r="Y23" s="36" t="s">
        <v>151</v>
      </c>
      <c r="Z23" s="36" t="s">
        <v>152</v>
      </c>
      <c r="AA23" s="36" t="s">
        <v>153</v>
      </c>
      <c r="AB23" s="36" t="s">
        <v>154</v>
      </c>
      <c r="AC23" s="36" t="s">
        <v>155</v>
      </c>
      <c r="AD23" s="36" t="s">
        <v>156</v>
      </c>
      <c r="AE23" s="36" t="s">
        <v>157</v>
      </c>
      <c r="AF23" s="36" t="s">
        <v>158</v>
      </c>
      <c r="AG23" s="36" t="s">
        <v>159</v>
      </c>
      <c r="AH23" s="36" t="s">
        <v>160</v>
      </c>
      <c r="AI23" s="36" t="s">
        <v>161</v>
      </c>
      <c r="AJ23" s="36" t="s">
        <v>162</v>
      </c>
      <c r="AK23" s="36" t="s">
        <v>163</v>
      </c>
    </row>
    <row r="24" spans="1:37" s="36" customFormat="1" x14ac:dyDescent="0.3">
      <c r="A24" s="36" t="s">
        <v>46</v>
      </c>
      <c r="B24" s="48">
        <v>26.19</v>
      </c>
      <c r="C24" s="48">
        <v>29.21</v>
      </c>
      <c r="D24" s="48">
        <v>31.79</v>
      </c>
      <c r="E24" s="48">
        <v>34.479999999999997</v>
      </c>
      <c r="F24" s="48">
        <v>26.23</v>
      </c>
      <c r="G24" s="48">
        <v>29.88</v>
      </c>
      <c r="H24" s="48">
        <v>35.68</v>
      </c>
      <c r="I24" s="48">
        <v>35.21</v>
      </c>
      <c r="J24" s="48">
        <v>34</v>
      </c>
      <c r="K24" s="48">
        <v>33.51</v>
      </c>
      <c r="L24" s="48">
        <v>27.83</v>
      </c>
      <c r="M24" s="48">
        <v>30.77</v>
      </c>
      <c r="N24" s="48">
        <v>31.87</v>
      </c>
      <c r="O24" s="48">
        <v>32.72</v>
      </c>
      <c r="P24" s="48">
        <v>33.1</v>
      </c>
      <c r="Q24" s="48">
        <v>33.79</v>
      </c>
      <c r="R24" s="48">
        <v>34.46</v>
      </c>
      <c r="S24" s="48">
        <v>34.96</v>
      </c>
      <c r="T24" s="48">
        <v>35.409999999999997</v>
      </c>
      <c r="U24" s="48">
        <v>35.799999999999997</v>
      </c>
      <c r="V24" s="48">
        <v>36.22</v>
      </c>
      <c r="W24" s="48">
        <v>36.65</v>
      </c>
      <c r="X24" s="48">
        <v>37.090000000000003</v>
      </c>
      <c r="Y24" s="48">
        <v>37.54</v>
      </c>
      <c r="Z24" s="48">
        <v>38.020000000000003</v>
      </c>
      <c r="AA24" s="48">
        <v>38.49</v>
      </c>
      <c r="AB24" s="48">
        <v>38.72</v>
      </c>
      <c r="AC24" s="48">
        <v>38.950000000000003</v>
      </c>
      <c r="AD24" s="48">
        <v>39.19</v>
      </c>
      <c r="AE24" s="48">
        <v>39.42</v>
      </c>
      <c r="AF24" s="48">
        <v>39.659999999999997</v>
      </c>
      <c r="AG24" s="48">
        <v>39.909999999999997</v>
      </c>
      <c r="AH24" s="48">
        <v>40.17</v>
      </c>
      <c r="AI24" s="48">
        <v>40.42</v>
      </c>
      <c r="AJ24" s="48">
        <v>40.68</v>
      </c>
      <c r="AK24" s="49">
        <v>40.94</v>
      </c>
    </row>
    <row r="25" spans="1:37" s="36" customFormat="1" x14ac:dyDescent="0.3">
      <c r="A25" s="36" t="s">
        <v>34</v>
      </c>
      <c r="B25" s="48">
        <v>24.88</v>
      </c>
      <c r="C25" s="48">
        <v>26.96</v>
      </c>
      <c r="D25" s="48">
        <v>29.24</v>
      </c>
      <c r="E25" s="48">
        <v>35.1</v>
      </c>
      <c r="F25" s="48">
        <v>23.24</v>
      </c>
      <c r="G25" s="48">
        <v>27.53</v>
      </c>
      <c r="H25" s="48">
        <v>34.33</v>
      </c>
      <c r="I25" s="48">
        <v>33.76</v>
      </c>
      <c r="J25" s="48">
        <v>33.54</v>
      </c>
      <c r="K25" s="48">
        <v>35.1</v>
      </c>
      <c r="L25" s="48">
        <v>28.59</v>
      </c>
      <c r="M25" s="48">
        <v>31.83</v>
      </c>
      <c r="N25" s="48">
        <v>33.07</v>
      </c>
      <c r="O25" s="48">
        <v>34.03</v>
      </c>
      <c r="P25" s="48">
        <v>34.47</v>
      </c>
      <c r="Q25" s="48">
        <v>35.26</v>
      </c>
      <c r="R25" s="48">
        <v>36.03</v>
      </c>
      <c r="S25" s="48">
        <v>36.61</v>
      </c>
      <c r="T25" s="48">
        <v>37.119999999999997</v>
      </c>
      <c r="U25" s="48">
        <v>37.58</v>
      </c>
      <c r="V25" s="48">
        <v>38.06</v>
      </c>
      <c r="W25" s="48">
        <v>38.56</v>
      </c>
      <c r="X25" s="48">
        <v>39.06</v>
      </c>
      <c r="Y25" s="48">
        <v>39.58</v>
      </c>
      <c r="Z25" s="48">
        <v>40.119999999999997</v>
      </c>
      <c r="AA25" s="48">
        <v>40.65</v>
      </c>
      <c r="AB25" s="48">
        <v>40.92</v>
      </c>
      <c r="AC25" s="48">
        <v>41.19</v>
      </c>
      <c r="AD25" s="48">
        <v>41.47</v>
      </c>
      <c r="AE25" s="48">
        <v>41.75</v>
      </c>
      <c r="AF25" s="48">
        <v>42.03</v>
      </c>
      <c r="AG25" s="48">
        <v>42.32</v>
      </c>
      <c r="AH25" s="48">
        <v>42.61</v>
      </c>
      <c r="AI25" s="48">
        <v>42.91</v>
      </c>
      <c r="AJ25" s="48">
        <v>43.21</v>
      </c>
      <c r="AK25" s="49">
        <v>43.51</v>
      </c>
    </row>
    <row r="26" spans="1:37" s="36" customForma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29">
        <f>L25/K25</f>
        <v>0.81452991452991452</v>
      </c>
      <c r="M26" s="29">
        <f>M25/L25</f>
        <v>1.1133263378803777</v>
      </c>
      <c r="N26" s="29">
        <f t="shared" ref="N26:AK26" si="0">N25/M25</f>
        <v>1.0389569588438581</v>
      </c>
      <c r="O26" s="29">
        <f t="shared" si="0"/>
        <v>1.0290293317205927</v>
      </c>
      <c r="P26" s="29">
        <f t="shared" si="0"/>
        <v>1.0129297678518954</v>
      </c>
      <c r="Q26" s="29">
        <f t="shared" si="0"/>
        <v>1.0229184798375399</v>
      </c>
      <c r="R26" s="29">
        <f t="shared" si="0"/>
        <v>1.0218377765173001</v>
      </c>
      <c r="S26" s="29">
        <f t="shared" si="0"/>
        <v>1.016097696364141</v>
      </c>
      <c r="T26" s="29">
        <f t="shared" si="0"/>
        <v>1.0139306200491669</v>
      </c>
      <c r="U26" s="29">
        <f t="shared" si="0"/>
        <v>1.0123922413793103</v>
      </c>
      <c r="V26" s="29">
        <f t="shared" si="0"/>
        <v>1.0127727514635445</v>
      </c>
      <c r="W26" s="29">
        <f t="shared" si="0"/>
        <v>1.0131371518654755</v>
      </c>
      <c r="X26" s="29">
        <f t="shared" si="0"/>
        <v>1.0129668049792531</v>
      </c>
      <c r="Y26" s="29">
        <f t="shared" si="0"/>
        <v>1.0133128520225294</v>
      </c>
      <c r="Z26" s="29">
        <f t="shared" si="0"/>
        <v>1.0136432541687721</v>
      </c>
      <c r="AA26" s="29">
        <f t="shared" si="0"/>
        <v>1.0132103688933201</v>
      </c>
      <c r="AB26" s="29">
        <f t="shared" si="0"/>
        <v>1.0066420664206643</v>
      </c>
      <c r="AC26" s="29">
        <f t="shared" si="0"/>
        <v>1.0065982404692082</v>
      </c>
      <c r="AD26" s="29">
        <f t="shared" si="0"/>
        <v>1.0067977664481671</v>
      </c>
      <c r="AE26" s="29">
        <f t="shared" si="0"/>
        <v>1.0067518688208343</v>
      </c>
      <c r="AF26" s="29">
        <f t="shared" si="0"/>
        <v>1.0067065868263474</v>
      </c>
      <c r="AG26" s="29">
        <f t="shared" si="0"/>
        <v>1.0068998334522961</v>
      </c>
      <c r="AH26" s="29">
        <f t="shared" si="0"/>
        <v>1.006852551984877</v>
      </c>
      <c r="AI26" s="29">
        <f t="shared" si="0"/>
        <v>1.0070406007979347</v>
      </c>
      <c r="AJ26" s="29">
        <f t="shared" si="0"/>
        <v>1.0069913773013284</v>
      </c>
      <c r="AK26" s="29">
        <f t="shared" si="0"/>
        <v>1.0069428373061791</v>
      </c>
    </row>
    <row r="30" spans="1:3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9"/>
    </row>
    <row r="31" spans="1:3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9"/>
    </row>
  </sheetData>
  <hyperlinks>
    <hyperlink ref="B8" r:id="rId1" xr:uid="{00000000-0004-0000-0600-000000000000}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K19"/>
  <sheetViews>
    <sheetView tabSelected="1" workbookViewId="0">
      <selection activeCell="A18" sqref="A18"/>
    </sheetView>
  </sheetViews>
  <sheetFormatPr defaultColWidth="8.77734375" defaultRowHeight="14.4" x14ac:dyDescent="0.3"/>
  <cols>
    <col min="1" max="1" width="34.6640625" customWidth="1"/>
  </cols>
  <sheetData>
    <row r="1" spans="1:37" x14ac:dyDescent="0.3">
      <c r="A1" s="1" t="s">
        <v>12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s="1" t="s">
        <v>1</v>
      </c>
      <c r="B2">
        <f>About!$C$5</f>
        <v>0.05</v>
      </c>
      <c r="C2">
        <f>About!$C$5</f>
        <v>0.05</v>
      </c>
      <c r="D2">
        <f>About!$C$5</f>
        <v>0.05</v>
      </c>
      <c r="E2">
        <f>About!$C$5</f>
        <v>0.05</v>
      </c>
      <c r="F2">
        <f>About!$C$5</f>
        <v>0.05</v>
      </c>
      <c r="G2">
        <f>About!$C$5</f>
        <v>0.05</v>
      </c>
      <c r="H2">
        <f>About!$C$5</f>
        <v>0.05</v>
      </c>
      <c r="I2">
        <f>About!$C$5</f>
        <v>0.05</v>
      </c>
      <c r="J2">
        <f>About!$C$5</f>
        <v>0.05</v>
      </c>
      <c r="K2">
        <f>About!$C$5</f>
        <v>0.05</v>
      </c>
      <c r="L2">
        <f>About!$C$5</f>
        <v>0.05</v>
      </c>
      <c r="M2">
        <f>About!$C$5</f>
        <v>0.05</v>
      </c>
      <c r="N2">
        <f>About!$C$5</f>
        <v>0.05</v>
      </c>
      <c r="O2">
        <f>About!$C$5</f>
        <v>0.05</v>
      </c>
      <c r="P2">
        <f>About!$C$5</f>
        <v>0.05</v>
      </c>
      <c r="Q2">
        <f>About!$C$5</f>
        <v>0.05</v>
      </c>
      <c r="R2">
        <f>About!$C$5</f>
        <v>0.05</v>
      </c>
      <c r="S2">
        <f>About!$C$5</f>
        <v>0.05</v>
      </c>
      <c r="T2">
        <f>About!$C$5</f>
        <v>0.05</v>
      </c>
      <c r="U2">
        <f>About!$C$5</f>
        <v>0.05</v>
      </c>
      <c r="V2">
        <f>About!$C$5</f>
        <v>0.05</v>
      </c>
      <c r="W2">
        <f>About!$C$5</f>
        <v>0.05</v>
      </c>
      <c r="X2">
        <f>About!$C$5</f>
        <v>0.05</v>
      </c>
      <c r="Y2">
        <f>About!$C$5</f>
        <v>0.05</v>
      </c>
      <c r="Z2">
        <f>About!$C$5</f>
        <v>0.05</v>
      </c>
      <c r="AA2">
        <f>About!$C$5</f>
        <v>0.05</v>
      </c>
      <c r="AB2">
        <f>TREND($R2:$AA2,$R$1:$AA$1,AB$1)</f>
        <v>4.9999999999999996E-2</v>
      </c>
      <c r="AC2">
        <f t="shared" ref="AC2:AK2" si="0">TREND($R2:$AA2,$R$1:$AA$1,AC$1)</f>
        <v>4.9999999999999996E-2</v>
      </c>
      <c r="AD2">
        <f t="shared" si="0"/>
        <v>4.9999999999999996E-2</v>
      </c>
      <c r="AE2">
        <f t="shared" si="0"/>
        <v>4.9999999999999996E-2</v>
      </c>
      <c r="AF2">
        <f t="shared" si="0"/>
        <v>4.9999999999999996E-2</v>
      </c>
      <c r="AG2">
        <f t="shared" si="0"/>
        <v>4.9999999999999996E-2</v>
      </c>
      <c r="AH2">
        <f t="shared" si="0"/>
        <v>4.9999999999999996E-2</v>
      </c>
      <c r="AI2">
        <f t="shared" si="0"/>
        <v>4.9999999999999996E-2</v>
      </c>
      <c r="AJ2">
        <f t="shared" si="0"/>
        <v>4.9999999999999996E-2</v>
      </c>
      <c r="AK2">
        <f t="shared" si="0"/>
        <v>4.9999999999999996E-2</v>
      </c>
    </row>
    <row r="3" spans="1:37" x14ac:dyDescent="0.3">
      <c r="A3" s="15" t="s">
        <v>21</v>
      </c>
      <c r="B3">
        <f>About!$C$5+'Canada fuel price projections'!B34</f>
        <v>0.05</v>
      </c>
      <c r="C3">
        <f>About!$C$5+'Canada fuel price projections'!C34</f>
        <v>0.05</v>
      </c>
      <c r="D3">
        <f>About!$C$5+'Canada fuel price projections'!D34</f>
        <v>0.05</v>
      </c>
      <c r="E3">
        <f>About!$C$5+'Canada fuel price projections'!E34</f>
        <v>0.05</v>
      </c>
      <c r="F3">
        <f>About!$C$5+'Canada fuel price projections'!F34</f>
        <v>0.05</v>
      </c>
      <c r="G3">
        <f>About!$C$5+'Canada fuel price projections'!G34</f>
        <v>0.05</v>
      </c>
      <c r="H3">
        <f>About!$C$5+'Canada fuel price projections'!H34</f>
        <v>0.05</v>
      </c>
      <c r="I3">
        <f>About!$C$5+'Canada fuel price projections'!I34</f>
        <v>0.05</v>
      </c>
      <c r="J3">
        <f>About!$C$5+'Canada fuel price projections'!J34</f>
        <v>0.05</v>
      </c>
      <c r="K3">
        <f>About!$C$5+'Canada fuel price projections'!K34</f>
        <v>0.05</v>
      </c>
      <c r="L3">
        <f>About!$C$5+'Canada fuel price projections'!L34</f>
        <v>0.05</v>
      </c>
      <c r="M3">
        <f>About!$C$5+'Canada fuel price projections'!M34</f>
        <v>0.05</v>
      </c>
      <c r="N3">
        <f>About!$C$5+'Canada fuel price projections'!N34</f>
        <v>0.05</v>
      </c>
      <c r="O3">
        <f>About!$C$5+'Canada fuel price projections'!O34</f>
        <v>0.05</v>
      </c>
      <c r="P3">
        <f>About!$C$5+'Canada fuel price projections'!P34</f>
        <v>0.05</v>
      </c>
      <c r="Q3">
        <f>About!$C$5+'Canada fuel price projections'!Q34</f>
        <v>0.05</v>
      </c>
      <c r="R3">
        <f>About!$C$5+'Canada fuel price projections'!R34</f>
        <v>0.05</v>
      </c>
      <c r="S3">
        <f>About!$C$5+'Canada fuel price projections'!S34</f>
        <v>0.05</v>
      </c>
      <c r="T3">
        <f>About!$C$5+'Canada fuel price projections'!T34</f>
        <v>0.05</v>
      </c>
      <c r="U3">
        <f>About!$C$5+'Canada fuel price projections'!U34</f>
        <v>0.05</v>
      </c>
      <c r="V3">
        <f>About!$C$5+'Canada fuel price projections'!V34</f>
        <v>0.05</v>
      </c>
      <c r="W3">
        <f>About!$C$5+'Canada fuel price projections'!W34</f>
        <v>0.05</v>
      </c>
      <c r="X3">
        <f>About!$C$5+'Canada fuel price projections'!X34</f>
        <v>0.05</v>
      </c>
      <c r="Y3">
        <f>About!$C$5+'Canada fuel price projections'!Y34</f>
        <v>0.05</v>
      </c>
      <c r="Z3">
        <f>About!$C$5+'Canada fuel price projections'!Z34</f>
        <v>0.05</v>
      </c>
      <c r="AA3">
        <f>About!$C$5+'Canada fuel price projections'!AA34</f>
        <v>0.05</v>
      </c>
      <c r="AB3">
        <f>About!$C$5+'Canada fuel price projections'!AB34</f>
        <v>0.05</v>
      </c>
      <c r="AC3">
        <f>About!$C$5+'Canada fuel price projections'!AC34</f>
        <v>0.05</v>
      </c>
      <c r="AD3">
        <f>About!$C$5+'Canada fuel price projections'!AD34</f>
        <v>0.05</v>
      </c>
      <c r="AE3">
        <f>About!$C$5+'Canada fuel price projections'!AE34</f>
        <v>0.05</v>
      </c>
      <c r="AF3">
        <f>About!$C$5+'Canada fuel price projections'!AF34</f>
        <v>0.05</v>
      </c>
      <c r="AG3">
        <f>About!$C$5+'Canada fuel price projections'!AG34</f>
        <v>0.05</v>
      </c>
      <c r="AH3">
        <f>About!$C$5+'Canada fuel price projections'!AH34</f>
        <v>0.05</v>
      </c>
      <c r="AI3">
        <f>About!$C$5+'Canada fuel price projections'!AI34</f>
        <v>0.05</v>
      </c>
      <c r="AJ3">
        <f>About!$C$5+'Canada fuel price projections'!AJ34</f>
        <v>0.05</v>
      </c>
      <c r="AK3">
        <f>About!$C$5+'Canada fuel price projections'!AK34</f>
        <v>0.05</v>
      </c>
    </row>
    <row r="4" spans="1:37" x14ac:dyDescent="0.3">
      <c r="A4" s="1" t="s">
        <v>2</v>
      </c>
      <c r="B4">
        <f>About!$C$5+'Canada fuel price projections'!B35</f>
        <v>0.05</v>
      </c>
      <c r="C4">
        <f>About!$C$5+'Canada fuel price projections'!C35</f>
        <v>0.05</v>
      </c>
      <c r="D4">
        <f>About!$C$5+'Canada fuel price projections'!D35</f>
        <v>0.05</v>
      </c>
      <c r="E4">
        <f>About!$C$5+'Canada fuel price projections'!E35</f>
        <v>0.05</v>
      </c>
      <c r="F4">
        <f>About!$C$5+'Canada fuel price projections'!F35</f>
        <v>0.05</v>
      </c>
      <c r="G4">
        <f>About!$C$5+'Canada fuel price projections'!G35</f>
        <v>0.05</v>
      </c>
      <c r="H4">
        <f>About!$C$5+'Canada fuel price projections'!H35</f>
        <v>0.05</v>
      </c>
      <c r="I4">
        <f>About!$C$5+'Canada fuel price projections'!I35</f>
        <v>0.05</v>
      </c>
      <c r="J4">
        <f>About!$C$5+'Canada fuel price projections'!J35</f>
        <v>0.05</v>
      </c>
      <c r="K4">
        <f>About!$C$5+'Canada fuel price projections'!K35</f>
        <v>0.05</v>
      </c>
      <c r="L4">
        <f>About!$C$5+'Canada fuel price projections'!L35</f>
        <v>0.05</v>
      </c>
      <c r="M4">
        <f>About!$C$5+'Canada fuel price projections'!M35</f>
        <v>0.05</v>
      </c>
      <c r="N4">
        <f>About!$C$5+'Canada fuel price projections'!N35</f>
        <v>0.05</v>
      </c>
      <c r="O4">
        <f>About!$C$5+'Canada fuel price projections'!O35</f>
        <v>0.05</v>
      </c>
      <c r="P4">
        <f>About!$C$5+'Canada fuel price projections'!P35</f>
        <v>0.05</v>
      </c>
      <c r="Q4">
        <f>About!$C$5+'Canada fuel price projections'!Q35</f>
        <v>0.05</v>
      </c>
      <c r="R4">
        <f>About!$C$5+'Canada fuel price projections'!R35</f>
        <v>0.05</v>
      </c>
      <c r="S4">
        <f>About!$C$5+'Canada fuel price projections'!S35</f>
        <v>0.05</v>
      </c>
      <c r="T4">
        <f>About!$C$5+'Canada fuel price projections'!T35</f>
        <v>0.05</v>
      </c>
      <c r="U4">
        <f>About!$C$5+'Canada fuel price projections'!U35</f>
        <v>0.05</v>
      </c>
      <c r="V4">
        <f>About!$C$5+'Canada fuel price projections'!V35</f>
        <v>0.05</v>
      </c>
      <c r="W4">
        <f>About!$C$5+'Canada fuel price projections'!W35</f>
        <v>0.05</v>
      </c>
      <c r="X4">
        <f>About!$C$5+'Canada fuel price projections'!X35</f>
        <v>0.05</v>
      </c>
      <c r="Y4">
        <f>About!$C$5+'Canada fuel price projections'!Y35</f>
        <v>0.05</v>
      </c>
      <c r="Z4">
        <f>About!$C$5+'Canada fuel price projections'!Z35</f>
        <v>0.05</v>
      </c>
      <c r="AA4">
        <f>About!$C$5+'Canada fuel price projections'!AA35</f>
        <v>0.05</v>
      </c>
      <c r="AB4">
        <f>About!$C$5+'Canada fuel price projections'!AB35</f>
        <v>0.05</v>
      </c>
      <c r="AC4">
        <f>About!$C$5+'Canada fuel price projections'!AC35</f>
        <v>0.05</v>
      </c>
      <c r="AD4">
        <f>About!$C$5+'Canada fuel price projections'!AD35</f>
        <v>0.05</v>
      </c>
      <c r="AE4">
        <f>About!$C$5+'Canada fuel price projections'!AE35</f>
        <v>0.05</v>
      </c>
      <c r="AF4">
        <f>About!$C$5+'Canada fuel price projections'!AF35</f>
        <v>0.05</v>
      </c>
      <c r="AG4">
        <f>About!$C$5+'Canada fuel price projections'!AG35</f>
        <v>0.05</v>
      </c>
      <c r="AH4">
        <f>About!$C$5+'Canada fuel price projections'!AH35</f>
        <v>0.05</v>
      </c>
      <c r="AI4">
        <f>About!$C$5+'Canada fuel price projections'!AI35</f>
        <v>0.05</v>
      </c>
      <c r="AJ4">
        <f>About!$C$5+'Canada fuel price projections'!AJ35</f>
        <v>0.05</v>
      </c>
      <c r="AK4">
        <f>About!$C$5+'Canada fuel price projections'!AK35</f>
        <v>0.05</v>
      </c>
    </row>
    <row r="5" spans="1:37" x14ac:dyDescent="0.3">
      <c r="A5" s="1" t="s">
        <v>194</v>
      </c>
      <c r="B5">
        <f>About!$C$5</f>
        <v>0.05</v>
      </c>
      <c r="C5">
        <f>About!$C$5</f>
        <v>0.05</v>
      </c>
      <c r="D5">
        <f>About!$C$5</f>
        <v>0.05</v>
      </c>
      <c r="E5">
        <f>About!$C$5</f>
        <v>0.05</v>
      </c>
      <c r="F5">
        <f>About!$C$5</f>
        <v>0.05</v>
      </c>
      <c r="G5">
        <f>About!$C$5</f>
        <v>0.05</v>
      </c>
      <c r="H5">
        <f>About!$C$5</f>
        <v>0.05</v>
      </c>
      <c r="I5">
        <f>About!$C$5</f>
        <v>0.05</v>
      </c>
      <c r="J5">
        <f>About!$C$5</f>
        <v>0.05</v>
      </c>
      <c r="K5">
        <f>About!$C$5</f>
        <v>0.05</v>
      </c>
      <c r="L5">
        <f>About!$C$5</f>
        <v>0.05</v>
      </c>
      <c r="M5">
        <f>About!$C$5</f>
        <v>0.05</v>
      </c>
      <c r="N5">
        <f>About!$C$5</f>
        <v>0.05</v>
      </c>
      <c r="O5">
        <f>About!$C$5</f>
        <v>0.05</v>
      </c>
      <c r="P5">
        <f>About!$C$5</f>
        <v>0.05</v>
      </c>
      <c r="Q5">
        <f>About!$C$5</f>
        <v>0.05</v>
      </c>
      <c r="R5">
        <f>About!$C$5</f>
        <v>0.05</v>
      </c>
      <c r="S5">
        <f>About!$C$5</f>
        <v>0.05</v>
      </c>
      <c r="T5">
        <f>About!$C$5</f>
        <v>0.05</v>
      </c>
      <c r="U5">
        <f>About!$C$5</f>
        <v>0.05</v>
      </c>
      <c r="V5">
        <f>About!$C$5</f>
        <v>0.05</v>
      </c>
      <c r="W5">
        <f>About!$C$5</f>
        <v>0.05</v>
      </c>
      <c r="X5">
        <f>About!$C$5</f>
        <v>0.05</v>
      </c>
      <c r="Y5">
        <f>About!$C$5</f>
        <v>0.05</v>
      </c>
      <c r="Z5">
        <f>About!$C$5</f>
        <v>0.05</v>
      </c>
      <c r="AA5">
        <f>About!$C$5</f>
        <v>0.05</v>
      </c>
      <c r="AB5">
        <f t="shared" ref="AB5:AK17" si="1">TREND($R5:$AA5,$R$1:$AA$1,AB$1)</f>
        <v>4.9999999999999996E-2</v>
      </c>
      <c r="AC5">
        <f t="shared" si="1"/>
        <v>4.9999999999999996E-2</v>
      </c>
      <c r="AD5">
        <f t="shared" si="1"/>
        <v>4.9999999999999996E-2</v>
      </c>
      <c r="AE5">
        <f t="shared" si="1"/>
        <v>4.9999999999999996E-2</v>
      </c>
      <c r="AF5">
        <f t="shared" si="1"/>
        <v>4.9999999999999996E-2</v>
      </c>
      <c r="AG5">
        <f t="shared" si="1"/>
        <v>4.9999999999999996E-2</v>
      </c>
      <c r="AH5">
        <f t="shared" si="1"/>
        <v>4.9999999999999996E-2</v>
      </c>
      <c r="AI5">
        <f t="shared" si="1"/>
        <v>4.9999999999999996E-2</v>
      </c>
      <c r="AJ5">
        <f t="shared" si="1"/>
        <v>4.9999999999999996E-2</v>
      </c>
      <c r="AK5">
        <f t="shared" si="1"/>
        <v>4.9999999999999996E-2</v>
      </c>
    </row>
    <row r="6" spans="1:37" x14ac:dyDescent="0.3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3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3">
      <c r="A9" s="1" t="s">
        <v>5</v>
      </c>
      <c r="B9">
        <f>About!$C$5</f>
        <v>0.05</v>
      </c>
      <c r="C9">
        <f>About!$C$5</f>
        <v>0.05</v>
      </c>
      <c r="D9">
        <f>About!$C$5</f>
        <v>0.05</v>
      </c>
      <c r="E9">
        <f>About!$C$5</f>
        <v>0.05</v>
      </c>
      <c r="F9">
        <f>About!$C$5</f>
        <v>0.05</v>
      </c>
      <c r="G9">
        <f>About!$C$5</f>
        <v>0.05</v>
      </c>
      <c r="H9">
        <f>About!$C$5</f>
        <v>0.05</v>
      </c>
      <c r="I9">
        <f>About!$C$5</f>
        <v>0.05</v>
      </c>
      <c r="J9">
        <f>About!$C$5</f>
        <v>0.05</v>
      </c>
      <c r="K9">
        <f>About!$C$5</f>
        <v>0.05</v>
      </c>
      <c r="L9">
        <f>About!$C$5</f>
        <v>0.05</v>
      </c>
      <c r="M9">
        <f>About!$C$5</f>
        <v>0.05</v>
      </c>
      <c r="N9">
        <f>About!$C$5</f>
        <v>0.05</v>
      </c>
      <c r="O9">
        <f>About!$C$5</f>
        <v>0.05</v>
      </c>
      <c r="P9">
        <f>About!$C$5</f>
        <v>0.05</v>
      </c>
      <c r="Q9">
        <f>About!$C$5</f>
        <v>0.05</v>
      </c>
      <c r="R9">
        <f>About!$C$5</f>
        <v>0.05</v>
      </c>
      <c r="S9">
        <f>About!$C$5</f>
        <v>0.05</v>
      </c>
      <c r="T9">
        <f>About!$C$5</f>
        <v>0.05</v>
      </c>
      <c r="U9">
        <f>About!$C$5</f>
        <v>0.05</v>
      </c>
      <c r="V9">
        <f>About!$C$5</f>
        <v>0.05</v>
      </c>
      <c r="W9">
        <f>About!$C$5</f>
        <v>0.05</v>
      </c>
      <c r="X9">
        <f>About!$C$5</f>
        <v>0.05</v>
      </c>
      <c r="Y9">
        <f>About!$C$5</f>
        <v>0.05</v>
      </c>
      <c r="Z9">
        <f>About!$C$5</f>
        <v>0.05</v>
      </c>
      <c r="AA9">
        <f>About!$C$5</f>
        <v>0.05</v>
      </c>
      <c r="AB9">
        <f t="shared" si="1"/>
        <v>4.9999999999999996E-2</v>
      </c>
      <c r="AC9">
        <f t="shared" si="1"/>
        <v>4.9999999999999996E-2</v>
      </c>
      <c r="AD9">
        <f t="shared" si="1"/>
        <v>4.9999999999999996E-2</v>
      </c>
      <c r="AE9">
        <f t="shared" si="1"/>
        <v>4.9999999999999996E-2</v>
      </c>
      <c r="AF9">
        <f t="shared" si="1"/>
        <v>4.9999999999999996E-2</v>
      </c>
      <c r="AG9">
        <f t="shared" si="1"/>
        <v>4.9999999999999996E-2</v>
      </c>
      <c r="AH9">
        <f t="shared" si="1"/>
        <v>4.9999999999999996E-2</v>
      </c>
      <c r="AI9">
        <f t="shared" si="1"/>
        <v>4.9999999999999996E-2</v>
      </c>
      <c r="AJ9">
        <f t="shared" si="1"/>
        <v>4.9999999999999996E-2</v>
      </c>
      <c r="AK9">
        <f t="shared" si="1"/>
        <v>4.9999999999999996E-2</v>
      </c>
    </row>
    <row r="10" spans="1:37" x14ac:dyDescent="0.3">
      <c r="A10" s="1" t="s">
        <v>6</v>
      </c>
      <c r="B10">
        <f>About!$C$5+'Canada fuel price projections'!B36</f>
        <v>0.20576551682159744</v>
      </c>
      <c r="C10">
        <f>About!$C$5+'Canada fuel price projections'!C36</f>
        <v>0.18881648482063101</v>
      </c>
      <c r="D10">
        <f>About!$C$5+'Canada fuel price projections'!D36</f>
        <v>0.18338611319227649</v>
      </c>
      <c r="E10">
        <f>About!$C$5+'Canada fuel price projections'!E36</f>
        <v>0.17947237418073869</v>
      </c>
      <c r="F10">
        <f>About!$C$5+'Canada fuel price projections'!F36</f>
        <v>0.17779602967227198</v>
      </c>
      <c r="G10">
        <f>About!$C$5+'Canada fuel price projections'!G36</f>
        <v>0.17486056436590908</v>
      </c>
      <c r="H10">
        <f>About!$C$5+'Canada fuel price projections'!H36</f>
        <v>0.17213641773510979</v>
      </c>
      <c r="I10">
        <f>About!$C$5+'Canada fuel price projections'!I36</f>
        <v>0.17017968526974239</v>
      </c>
      <c r="J10">
        <f>About!$C$5+'Canada fuel price projections'!J36</f>
        <v>0.1684714701562165</v>
      </c>
      <c r="K10">
        <f>About!$C$5+'Canada fuel price projections'!K36</f>
        <v>0.16702981919793164</v>
      </c>
      <c r="L10">
        <f>About!$C$5+'Canada fuel price projections'!L36</f>
        <v>0.16551600287617077</v>
      </c>
      <c r="M10">
        <f>About!$C$5+'Canada fuel price projections'!M36</f>
        <v>0.16400618615105472</v>
      </c>
      <c r="N10">
        <f>About!$C$5+'Canada fuel price projections'!N36</f>
        <v>0.16250157285852823</v>
      </c>
      <c r="O10">
        <f>About!$C$5+'Canada fuel price projections'!O36</f>
        <v>0.1610032956024593</v>
      </c>
      <c r="P10">
        <f>About!$C$5+'Canada fuel price projections'!P36</f>
        <v>0.15944850414203654</v>
      </c>
      <c r="Q10">
        <f>About!$C$5+'Canada fuel price projections'!Q36</f>
        <v>0.15796773658264174</v>
      </c>
      <c r="R10">
        <f>About!$C$5+'Canada fuel price projections'!R36</f>
        <v>0.1572576110000766</v>
      </c>
      <c r="S10">
        <f>About!$C$5+'Canada fuel price projections'!S36</f>
        <v>0.15655676565790197</v>
      </c>
      <c r="T10">
        <f>About!$C$5+'Canada fuel price projections'!T36</f>
        <v>0.15583514759199807</v>
      </c>
      <c r="U10">
        <f>About!$C$5+'Canada fuel price projections'!U36</f>
        <v>0.15515270923528746</v>
      </c>
      <c r="V10">
        <f>About!$C$5+'Canada fuel price projections'!V36</f>
        <v>0.15444992011991493</v>
      </c>
      <c r="W10">
        <f>About!$C$5+'Canada fuel price projections'!W36</f>
        <v>0.15372776854600639</v>
      </c>
      <c r="X10">
        <f>About!$C$5+'Canada fuel price projections'!X36</f>
        <v>0.15298724811893794</v>
      </c>
      <c r="Y10">
        <f>About!$C$5+'Canada fuel price projections'!Y36</f>
        <v>0.15228511235468828</v>
      </c>
      <c r="Z10">
        <f>About!$C$5+'Canada fuel price projections'!Z36</f>
        <v>0.15156497564628138</v>
      </c>
      <c r="AA10">
        <f>About!$C$5+'Canada fuel price projections'!AA36</f>
        <v>0.1508549082670303</v>
      </c>
      <c r="AB10">
        <f>About!$C$5+'Canada fuel price projections'!AB36</f>
        <v>0.15025107186903724</v>
      </c>
      <c r="AC10">
        <f>About!$C$5+'Canada fuel price projections'!AC36</f>
        <v>0.14959380215093648</v>
      </c>
      <c r="AD10">
        <f>About!$C$5+'Canada fuel price projections'!AD36</f>
        <v>0.14894509472759826</v>
      </c>
      <c r="AE10">
        <f>About!$C$5+'Canada fuel price projections'!AE36</f>
        <v>0.14830478336941991</v>
      </c>
      <c r="AF10">
        <f>About!$C$5+'Canada fuel price projections'!AF36</f>
        <v>0.14767270612207231</v>
      </c>
      <c r="AG10">
        <f>About!$C$5+'Canada fuel price projections'!AG36</f>
        <v>0.14704870516993207</v>
      </c>
      <c r="AH10">
        <f>About!$C$5+'Canada fuel price projections'!AH36</f>
        <v>0.14643262670471646</v>
      </c>
      <c r="AI10">
        <f>About!$C$5+'Canada fuel price projections'!AI36</f>
        <v>0.14582432079909058</v>
      </c>
      <c r="AJ10">
        <f>About!$C$5+'Canada fuel price projections'!AJ36</f>
        <v>0.14522364128502674</v>
      </c>
      <c r="AK10">
        <f>About!$C$5+'Canada fuel price projections'!AK36</f>
        <v>0.14463044563671223</v>
      </c>
    </row>
    <row r="11" spans="1:37" x14ac:dyDescent="0.3">
      <c r="A11" s="1" t="s">
        <v>7</v>
      </c>
      <c r="B11">
        <f>About!$C$5+'Canada fuel price projections'!B37</f>
        <v>0.18321566632631775</v>
      </c>
      <c r="C11">
        <f>About!$C$5+'Canada fuel price projections'!C37</f>
        <v>0.16805470546077481</v>
      </c>
      <c r="D11">
        <f>About!$C$5+'Canada fuel price projections'!D37</f>
        <v>0.16312733020544967</v>
      </c>
      <c r="E11">
        <f>About!$C$5+'Canada fuel price projections'!E37</f>
        <v>0.1595862327321601</v>
      </c>
      <c r="F11">
        <f>About!$C$5+'Canada fuel price projections'!F37</f>
        <v>0.15803626960401218</v>
      </c>
      <c r="G11">
        <f>About!$C$5+'Canada fuel price projections'!G37</f>
        <v>0.15536068691277627</v>
      </c>
      <c r="H11">
        <f>About!$C$5+'Canada fuel price projections'!H37</f>
        <v>0.15287736922624506</v>
      </c>
      <c r="I11">
        <f>About!$C$5+'Canada fuel price projections'!I37</f>
        <v>0.15108276750310326</v>
      </c>
      <c r="J11">
        <f>About!$C$5+'Canada fuel price projections'!J37</f>
        <v>0.14955570585914432</v>
      </c>
      <c r="K11">
        <f>About!$C$5+'Canada fuel price projections'!K37</f>
        <v>0.14821739952964447</v>
      </c>
      <c r="L11">
        <f>About!$C$5+'Canada fuel price projections'!L37</f>
        <v>0.14685873704551644</v>
      </c>
      <c r="M11">
        <f>About!$C$5+'Canada fuel price projections'!M37</f>
        <v>0.14548286714190695</v>
      </c>
      <c r="N11">
        <f>About!$C$5+'Canada fuel price projections'!N37</f>
        <v>0.14414553799395269</v>
      </c>
      <c r="O11">
        <f>About!$C$5+'Canada fuel price projections'!O37</f>
        <v>0.14279388394083348</v>
      </c>
      <c r="P11">
        <f>About!$C$5+'Canada fuel price projections'!P37</f>
        <v>0.14143071914621153</v>
      </c>
      <c r="Q11">
        <f>About!$C$5+'Canada fuel price projections'!Q37</f>
        <v>0.14013118941277453</v>
      </c>
      <c r="R11">
        <f>About!$C$5+'Canada fuel price projections'!R37</f>
        <v>0.1394832658032954</v>
      </c>
      <c r="S11">
        <f>About!$C$5+'Canada fuel price projections'!S37</f>
        <v>0.13884459112762376</v>
      </c>
      <c r="T11">
        <f>About!$C$5+'Canada fuel price projections'!T37</f>
        <v>0.1381918207377775</v>
      </c>
      <c r="U11">
        <f>About!$C$5+'Canada fuel price projections'!U37</f>
        <v>0.13754857262154099</v>
      </c>
      <c r="V11">
        <f>About!$C$5+'Canada fuel price projections'!V37</f>
        <v>0.13691463992869254</v>
      </c>
      <c r="W11">
        <f>About!$C$5+'Canada fuel price projections'!W37</f>
        <v>0.13626767292819558</v>
      </c>
      <c r="X11">
        <f>About!$C$5+'Canada fuel price projections'!X37</f>
        <v>0.1356302664260588</v>
      </c>
      <c r="Y11">
        <f>About!$C$5+'Canada fuel price projections'!Y37</f>
        <v>0.13498071722156463</v>
      </c>
      <c r="Z11">
        <f>About!$C$5+'Canada fuel price projections'!Z37</f>
        <v>0.13434094815315384</v>
      </c>
      <c r="AA11">
        <f>About!$C$5+'Canada fuel price projections'!AA37</f>
        <v>0.13371073998491145</v>
      </c>
      <c r="AB11">
        <f>About!$C$5+'Canada fuel price projections'!AB37</f>
        <v>0.13315978100268266</v>
      </c>
      <c r="AC11">
        <f>About!$C$5+'Canada fuel price projections'!AC37</f>
        <v>0.13257137317057391</v>
      </c>
      <c r="AD11">
        <f>About!$C$5+'Canada fuel price projections'!AD37</f>
        <v>0.13199123354776526</v>
      </c>
      <c r="AE11">
        <f>About!$C$5+'Canada fuel price projections'!AE37</f>
        <v>0.13141918907489769</v>
      </c>
      <c r="AF11">
        <f>About!$C$5+'Canada fuel price projections'!AF37</f>
        <v>0.13085507148882003</v>
      </c>
      <c r="AG11">
        <f>About!$C$5+'Canada fuel price projections'!AG37</f>
        <v>0.1302987171575776</v>
      </c>
      <c r="AH11">
        <f>About!$C$5+'Canada fuel price projections'!AH37</f>
        <v>0.12974996692216753</v>
      </c>
      <c r="AI11">
        <f>About!$C$5+'Canada fuel price projections'!AI37</f>
        <v>0.12920866594473854</v>
      </c>
      <c r="AJ11">
        <f>About!$C$5+'Canada fuel price projections'!AJ37</f>
        <v>0.12867466356293095</v>
      </c>
      <c r="AK11">
        <f>About!$C$5+'Canada fuel price projections'!AK37</f>
        <v>0.12814781315006951</v>
      </c>
    </row>
    <row r="12" spans="1:37" x14ac:dyDescent="0.3">
      <c r="A12" s="1" t="s">
        <v>8</v>
      </c>
      <c r="B12">
        <f>B10</f>
        <v>0.20576551682159744</v>
      </c>
      <c r="C12">
        <f t="shared" ref="C12:AA12" si="2">C10</f>
        <v>0.18881648482063101</v>
      </c>
      <c r="D12">
        <f t="shared" si="2"/>
        <v>0.18338611319227649</v>
      </c>
      <c r="E12">
        <f t="shared" si="2"/>
        <v>0.17947237418073869</v>
      </c>
      <c r="F12">
        <f t="shared" si="2"/>
        <v>0.17779602967227198</v>
      </c>
      <c r="G12">
        <f t="shared" si="2"/>
        <v>0.17486056436590908</v>
      </c>
      <c r="H12">
        <f t="shared" si="2"/>
        <v>0.17213641773510979</v>
      </c>
      <c r="I12">
        <f t="shared" si="2"/>
        <v>0.17017968526974239</v>
      </c>
      <c r="J12">
        <f t="shared" si="2"/>
        <v>0.1684714701562165</v>
      </c>
      <c r="K12">
        <f t="shared" si="2"/>
        <v>0.16702981919793164</v>
      </c>
      <c r="L12">
        <f t="shared" si="2"/>
        <v>0.16551600287617077</v>
      </c>
      <c r="M12">
        <f t="shared" si="2"/>
        <v>0.16400618615105472</v>
      </c>
      <c r="N12">
        <f t="shared" si="2"/>
        <v>0.16250157285852823</v>
      </c>
      <c r="O12">
        <f t="shared" si="2"/>
        <v>0.1610032956024593</v>
      </c>
      <c r="P12">
        <f t="shared" si="2"/>
        <v>0.15944850414203654</v>
      </c>
      <c r="Q12">
        <f t="shared" si="2"/>
        <v>0.15796773658264174</v>
      </c>
      <c r="R12">
        <f t="shared" si="2"/>
        <v>0.1572576110000766</v>
      </c>
      <c r="S12">
        <f t="shared" si="2"/>
        <v>0.15655676565790197</v>
      </c>
      <c r="T12">
        <f t="shared" si="2"/>
        <v>0.15583514759199807</v>
      </c>
      <c r="U12">
        <f t="shared" si="2"/>
        <v>0.15515270923528746</v>
      </c>
      <c r="V12">
        <f t="shared" si="2"/>
        <v>0.15444992011991493</v>
      </c>
      <c r="W12">
        <f t="shared" si="2"/>
        <v>0.15372776854600639</v>
      </c>
      <c r="X12">
        <f t="shared" si="2"/>
        <v>0.15298724811893794</v>
      </c>
      <c r="Y12">
        <f t="shared" si="2"/>
        <v>0.15228511235468828</v>
      </c>
      <c r="Z12">
        <f t="shared" si="2"/>
        <v>0.15156497564628138</v>
      </c>
      <c r="AA12">
        <f t="shared" si="2"/>
        <v>0.1508549082670303</v>
      </c>
      <c r="AB12">
        <f>About!$C$5+'Canada fuel price projections'!AB38</f>
        <v>0.05</v>
      </c>
      <c r="AC12">
        <f>About!$C$5+'Canada fuel price projections'!AC38</f>
        <v>0.05</v>
      </c>
      <c r="AD12">
        <f>About!$C$5+'Canada fuel price projections'!AD38</f>
        <v>0.05</v>
      </c>
      <c r="AE12">
        <f>About!$C$5+'Canada fuel price projections'!AE38</f>
        <v>0.05</v>
      </c>
      <c r="AF12">
        <f>About!$C$5+'Canada fuel price projections'!AF38</f>
        <v>0.05</v>
      </c>
      <c r="AG12">
        <f>About!$C$5+'Canada fuel price projections'!AG38</f>
        <v>0.05</v>
      </c>
      <c r="AH12">
        <f>About!$C$5+'Canada fuel price projections'!AH38</f>
        <v>0.05</v>
      </c>
      <c r="AI12">
        <f>About!$C$5+'Canada fuel price projections'!AI38</f>
        <v>0.05</v>
      </c>
      <c r="AJ12">
        <f>About!$C$5+'Canada fuel price projections'!AJ38</f>
        <v>0.05</v>
      </c>
      <c r="AK12">
        <f>About!$C$5+'Canada fuel price projections'!AK38</f>
        <v>0.05</v>
      </c>
    </row>
    <row r="13" spans="1:37" x14ac:dyDescent="0.3">
      <c r="A13" s="1" t="s">
        <v>9</v>
      </c>
      <c r="B13">
        <f>B11</f>
        <v>0.18321566632631775</v>
      </c>
      <c r="C13">
        <f t="shared" ref="C13:AA13" si="3">C11</f>
        <v>0.16805470546077481</v>
      </c>
      <c r="D13">
        <f t="shared" si="3"/>
        <v>0.16312733020544967</v>
      </c>
      <c r="E13">
        <f t="shared" si="3"/>
        <v>0.1595862327321601</v>
      </c>
      <c r="F13">
        <f t="shared" si="3"/>
        <v>0.15803626960401218</v>
      </c>
      <c r="G13">
        <f t="shared" si="3"/>
        <v>0.15536068691277627</v>
      </c>
      <c r="H13">
        <f t="shared" si="3"/>
        <v>0.15287736922624506</v>
      </c>
      <c r="I13">
        <f t="shared" si="3"/>
        <v>0.15108276750310326</v>
      </c>
      <c r="J13">
        <f t="shared" si="3"/>
        <v>0.14955570585914432</v>
      </c>
      <c r="K13">
        <f t="shared" si="3"/>
        <v>0.14821739952964447</v>
      </c>
      <c r="L13">
        <f t="shared" si="3"/>
        <v>0.14685873704551644</v>
      </c>
      <c r="M13">
        <f t="shared" si="3"/>
        <v>0.14548286714190695</v>
      </c>
      <c r="N13">
        <f t="shared" si="3"/>
        <v>0.14414553799395269</v>
      </c>
      <c r="O13">
        <f t="shared" si="3"/>
        <v>0.14279388394083348</v>
      </c>
      <c r="P13">
        <f t="shared" si="3"/>
        <v>0.14143071914621153</v>
      </c>
      <c r="Q13">
        <f t="shared" si="3"/>
        <v>0.14013118941277453</v>
      </c>
      <c r="R13">
        <f t="shared" si="3"/>
        <v>0.1394832658032954</v>
      </c>
      <c r="S13">
        <f t="shared" si="3"/>
        <v>0.13884459112762376</v>
      </c>
      <c r="T13">
        <f t="shared" si="3"/>
        <v>0.1381918207377775</v>
      </c>
      <c r="U13">
        <f t="shared" si="3"/>
        <v>0.13754857262154099</v>
      </c>
      <c r="V13">
        <f t="shared" si="3"/>
        <v>0.13691463992869254</v>
      </c>
      <c r="W13">
        <f t="shared" si="3"/>
        <v>0.13626767292819558</v>
      </c>
      <c r="X13">
        <f t="shared" si="3"/>
        <v>0.1356302664260588</v>
      </c>
      <c r="Y13">
        <f t="shared" si="3"/>
        <v>0.13498071722156463</v>
      </c>
      <c r="Z13">
        <f t="shared" si="3"/>
        <v>0.13434094815315384</v>
      </c>
      <c r="AA13">
        <f t="shared" si="3"/>
        <v>0.13371073998491145</v>
      </c>
      <c r="AB13">
        <f>About!$C$5+'Canada fuel price projections'!AB39</f>
        <v>0.05</v>
      </c>
      <c r="AC13">
        <f>About!$C$5+'Canada fuel price projections'!AC39</f>
        <v>0.05</v>
      </c>
      <c r="AD13">
        <f>About!$C$5+'Canada fuel price projections'!AD39</f>
        <v>0.05</v>
      </c>
      <c r="AE13">
        <f>About!$C$5+'Canada fuel price projections'!AE39</f>
        <v>0.05</v>
      </c>
      <c r="AF13">
        <f>About!$C$5+'Canada fuel price projections'!AF39</f>
        <v>0.05</v>
      </c>
      <c r="AG13">
        <f>About!$C$5+'Canada fuel price projections'!AG39</f>
        <v>0.05</v>
      </c>
      <c r="AH13">
        <f>About!$C$5+'Canada fuel price projections'!AH39</f>
        <v>0.05</v>
      </c>
      <c r="AI13">
        <f>About!$C$5+'Canada fuel price projections'!AI39</f>
        <v>0.05</v>
      </c>
      <c r="AJ13">
        <f>About!$C$5+'Canada fuel price projections'!AJ39</f>
        <v>0.05</v>
      </c>
      <c r="AK13">
        <f>About!$C$5+'Canada fuel price projections'!AK39</f>
        <v>0.05</v>
      </c>
    </row>
    <row r="14" spans="1:37" x14ac:dyDescent="0.3">
      <c r="A14" s="15" t="s">
        <v>10</v>
      </c>
      <c r="B14">
        <f>About!$C$5+'Canada fuel price projections'!B38</f>
        <v>0.05</v>
      </c>
      <c r="C14">
        <f>About!$C$5+'Canada fuel price projections'!C38</f>
        <v>0.05</v>
      </c>
      <c r="D14">
        <f>About!$C$5+'Canada fuel price projections'!D38</f>
        <v>0.05</v>
      </c>
      <c r="E14">
        <f>About!$C$5+'Canada fuel price projections'!E38</f>
        <v>0.05</v>
      </c>
      <c r="F14">
        <f>About!$C$5+'Canada fuel price projections'!F38</f>
        <v>0.05</v>
      </c>
      <c r="G14">
        <f>About!$C$5+'Canada fuel price projections'!G38</f>
        <v>0.05</v>
      </c>
      <c r="H14">
        <f>About!$C$5+'Canada fuel price projections'!H38</f>
        <v>0.05</v>
      </c>
      <c r="I14">
        <f>About!$C$5+'Canada fuel price projections'!I38</f>
        <v>0.05</v>
      </c>
      <c r="J14">
        <f>About!$C$5+'Canada fuel price projections'!J38</f>
        <v>0.05</v>
      </c>
      <c r="K14">
        <f>About!$C$5+'Canada fuel price projections'!K38</f>
        <v>0.05</v>
      </c>
      <c r="L14">
        <f>About!$C$5+'Canada fuel price projections'!L38</f>
        <v>0.05</v>
      </c>
      <c r="M14">
        <f>About!$C$5+'Canada fuel price projections'!M38</f>
        <v>0.05</v>
      </c>
      <c r="N14">
        <f>About!$C$5+'Canada fuel price projections'!N38</f>
        <v>0.05</v>
      </c>
      <c r="O14">
        <f>About!$C$5+'Canada fuel price projections'!O38</f>
        <v>0.05</v>
      </c>
      <c r="P14">
        <f>About!$C$5+'Canada fuel price projections'!P38</f>
        <v>0.05</v>
      </c>
      <c r="Q14">
        <f>About!$C$5+'Canada fuel price projections'!Q38</f>
        <v>0.05</v>
      </c>
      <c r="R14">
        <f>About!$C$5+'Canada fuel price projections'!R38</f>
        <v>0.05</v>
      </c>
      <c r="S14">
        <f>About!$C$5+'Canada fuel price projections'!S38</f>
        <v>0.05</v>
      </c>
      <c r="T14">
        <f>About!$C$5+'Canada fuel price projections'!T38</f>
        <v>0.05</v>
      </c>
      <c r="U14">
        <f>About!$C$5+'Canada fuel price projections'!U38</f>
        <v>0.05</v>
      </c>
      <c r="V14">
        <f>About!$C$5+'Canada fuel price projections'!V38</f>
        <v>0.05</v>
      </c>
      <c r="W14">
        <f>About!$C$5+'Canada fuel price projections'!W38</f>
        <v>0.05</v>
      </c>
      <c r="X14">
        <f>About!$C$5+'Canada fuel price projections'!X38</f>
        <v>0.05</v>
      </c>
      <c r="Y14">
        <f>About!$C$5+'Canada fuel price projections'!Y38</f>
        <v>0.05</v>
      </c>
      <c r="Z14">
        <f>About!$C$5+'Canada fuel price projections'!Z38</f>
        <v>0.05</v>
      </c>
      <c r="AA14">
        <f>About!$C$5+'Canada fuel price projections'!AA38</f>
        <v>0.05</v>
      </c>
      <c r="AB14">
        <f>About!$C$5+'Canada fuel price projections'!AB38</f>
        <v>0.05</v>
      </c>
      <c r="AC14">
        <f>About!$C$5+'Canada fuel price projections'!AC38</f>
        <v>0.05</v>
      </c>
      <c r="AD14">
        <f>About!$C$5+'Canada fuel price projections'!AD38</f>
        <v>0.05</v>
      </c>
      <c r="AE14">
        <f>About!$C$5+'Canada fuel price projections'!AE38</f>
        <v>0.05</v>
      </c>
      <c r="AF14">
        <f>About!$C$5+'Canada fuel price projections'!AF38</f>
        <v>0.05</v>
      </c>
      <c r="AG14">
        <f>About!$C$5+'Canada fuel price projections'!AG38</f>
        <v>0.05</v>
      </c>
      <c r="AH14">
        <f>About!$C$5+'Canada fuel price projections'!AH38</f>
        <v>0.05</v>
      </c>
      <c r="AI14">
        <f>About!$C$5+'Canada fuel price projections'!AI38</f>
        <v>0.05</v>
      </c>
      <c r="AJ14">
        <f>About!$C$5+'Canada fuel price projections'!AJ38</f>
        <v>0.05</v>
      </c>
      <c r="AK14">
        <f>About!$C$5+'Canada fuel price projections'!AK38</f>
        <v>0.05</v>
      </c>
    </row>
    <row r="15" spans="1:37" x14ac:dyDescent="0.3">
      <c r="A15" s="1" t="s">
        <v>11</v>
      </c>
      <c r="B15">
        <f>About!$C$5</f>
        <v>0.05</v>
      </c>
      <c r="C15">
        <f>About!$C$5</f>
        <v>0.05</v>
      </c>
      <c r="D15">
        <f>About!$C$5</f>
        <v>0.05</v>
      </c>
      <c r="E15">
        <f>About!$C$5</f>
        <v>0.05</v>
      </c>
      <c r="F15">
        <f>About!$C$5</f>
        <v>0.05</v>
      </c>
      <c r="G15">
        <f>About!$C$5</f>
        <v>0.05</v>
      </c>
      <c r="H15">
        <f>About!$C$5</f>
        <v>0.05</v>
      </c>
      <c r="I15">
        <f>About!$C$5</f>
        <v>0.05</v>
      </c>
      <c r="J15">
        <f>About!$C$5</f>
        <v>0.05</v>
      </c>
      <c r="K15">
        <f>About!$C$5</f>
        <v>0.05</v>
      </c>
      <c r="L15">
        <f>About!$C$5</f>
        <v>0.05</v>
      </c>
      <c r="M15">
        <f>About!$C$5</f>
        <v>0.05</v>
      </c>
      <c r="N15">
        <f>About!$C$5</f>
        <v>0.05</v>
      </c>
      <c r="O15">
        <f>About!$C$5</f>
        <v>0.05</v>
      </c>
      <c r="P15">
        <f>About!$C$5</f>
        <v>0.05</v>
      </c>
      <c r="Q15">
        <f>About!$C$5</f>
        <v>0.05</v>
      </c>
      <c r="R15">
        <f>About!$C$5</f>
        <v>0.05</v>
      </c>
      <c r="S15">
        <f>About!$C$5</f>
        <v>0.05</v>
      </c>
      <c r="T15">
        <f>About!$C$5</f>
        <v>0.05</v>
      </c>
      <c r="U15">
        <f>About!$C$5</f>
        <v>0.05</v>
      </c>
      <c r="V15">
        <f>About!$C$5</f>
        <v>0.05</v>
      </c>
      <c r="W15">
        <f>About!$C$5</f>
        <v>0.05</v>
      </c>
      <c r="X15">
        <f>About!$C$5</f>
        <v>0.05</v>
      </c>
      <c r="Y15">
        <f>About!$C$5</f>
        <v>0.05</v>
      </c>
      <c r="Z15">
        <f>About!$C$5</f>
        <v>0.05</v>
      </c>
      <c r="AA15">
        <f>About!$C$5</f>
        <v>0.05</v>
      </c>
      <c r="AB15">
        <f t="shared" si="1"/>
        <v>4.9999999999999996E-2</v>
      </c>
      <c r="AC15">
        <f t="shared" si="1"/>
        <v>4.9999999999999996E-2</v>
      </c>
      <c r="AD15">
        <f t="shared" si="1"/>
        <v>4.9999999999999996E-2</v>
      </c>
      <c r="AE15">
        <f t="shared" si="1"/>
        <v>4.9999999999999996E-2</v>
      </c>
      <c r="AF15">
        <f t="shared" si="1"/>
        <v>4.9999999999999996E-2</v>
      </c>
      <c r="AG15">
        <f t="shared" si="1"/>
        <v>4.9999999999999996E-2</v>
      </c>
      <c r="AH15">
        <f t="shared" si="1"/>
        <v>4.9999999999999996E-2</v>
      </c>
      <c r="AI15">
        <f t="shared" si="1"/>
        <v>4.9999999999999996E-2</v>
      </c>
      <c r="AJ15">
        <f t="shared" si="1"/>
        <v>4.9999999999999996E-2</v>
      </c>
      <c r="AK15">
        <f t="shared" si="1"/>
        <v>4.9999999999999996E-2</v>
      </c>
    </row>
    <row r="16" spans="1:37" x14ac:dyDescent="0.3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</row>
    <row r="17" spans="1:37" x14ac:dyDescent="0.3">
      <c r="A17" s="15" t="s">
        <v>195</v>
      </c>
      <c r="B17">
        <f>About!$C$5</f>
        <v>0.05</v>
      </c>
      <c r="C17">
        <f>About!$C$5</f>
        <v>0.05</v>
      </c>
      <c r="D17">
        <f>About!$C$5</f>
        <v>0.05</v>
      </c>
      <c r="E17">
        <f>About!$C$5</f>
        <v>0.05</v>
      </c>
      <c r="F17">
        <f>About!$C$5</f>
        <v>0.05</v>
      </c>
      <c r="G17">
        <f>About!$C$5</f>
        <v>0.05</v>
      </c>
      <c r="H17">
        <f>About!$C$5</f>
        <v>0.05</v>
      </c>
      <c r="I17">
        <f>About!$C$5</f>
        <v>0.05</v>
      </c>
      <c r="J17">
        <f>About!$C$5</f>
        <v>0.05</v>
      </c>
      <c r="K17">
        <f>About!$C$5</f>
        <v>0.05</v>
      </c>
      <c r="L17">
        <f>About!$C$5</f>
        <v>0.05</v>
      </c>
      <c r="M17">
        <f>About!$C$5</f>
        <v>0.05</v>
      </c>
      <c r="N17">
        <f>About!$C$5</f>
        <v>0.05</v>
      </c>
      <c r="O17">
        <f>About!$C$5</f>
        <v>0.05</v>
      </c>
      <c r="P17">
        <f>About!$C$5</f>
        <v>0.05</v>
      </c>
      <c r="Q17">
        <f>About!$C$5</f>
        <v>0.05</v>
      </c>
      <c r="R17">
        <f>About!$C$5</f>
        <v>0.05</v>
      </c>
      <c r="S17">
        <f>About!$C$5</f>
        <v>0.05</v>
      </c>
      <c r="T17">
        <f>About!$C$5</f>
        <v>0.05</v>
      </c>
      <c r="U17">
        <f>About!$C$5</f>
        <v>0.05</v>
      </c>
      <c r="V17">
        <f>About!$C$5</f>
        <v>0.05</v>
      </c>
      <c r="W17">
        <f>About!$C$5</f>
        <v>0.05</v>
      </c>
      <c r="X17">
        <f>About!$C$5</f>
        <v>0.05</v>
      </c>
      <c r="Y17">
        <f>About!$C$5</f>
        <v>0.05</v>
      </c>
      <c r="Z17">
        <f>About!$C$5</f>
        <v>0.05</v>
      </c>
      <c r="AA17">
        <f>About!$C$5</f>
        <v>0.05</v>
      </c>
      <c r="AB17">
        <f t="shared" si="1"/>
        <v>4.9999999999999996E-2</v>
      </c>
      <c r="AC17">
        <f t="shared" si="1"/>
        <v>4.9999999999999996E-2</v>
      </c>
      <c r="AD17">
        <f t="shared" si="1"/>
        <v>4.9999999999999996E-2</v>
      </c>
      <c r="AE17">
        <f t="shared" si="1"/>
        <v>4.9999999999999996E-2</v>
      </c>
      <c r="AF17">
        <f t="shared" si="1"/>
        <v>4.9999999999999996E-2</v>
      </c>
      <c r="AG17">
        <f t="shared" si="1"/>
        <v>4.9999999999999996E-2</v>
      </c>
      <c r="AH17">
        <f t="shared" si="1"/>
        <v>4.9999999999999996E-2</v>
      </c>
      <c r="AI17">
        <f t="shared" si="1"/>
        <v>4.9999999999999996E-2</v>
      </c>
      <c r="AJ17">
        <f t="shared" si="1"/>
        <v>4.9999999999999996E-2</v>
      </c>
      <c r="AK17">
        <f t="shared" si="1"/>
        <v>4.9999999999999996E-2</v>
      </c>
    </row>
    <row r="19" spans="1:37" x14ac:dyDescent="0.3">
      <c r="A19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Canada tax data</vt:lpstr>
      <vt:lpstr>Canada fuel price projections</vt:lpstr>
      <vt:lpstr>USA coal price</vt:lpstr>
      <vt:lpstr>USA jet fuel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2015-06-13T20:49:48Z</dcterms:created>
  <dcterms:modified xsi:type="dcterms:W3CDTF">2018-08-03T19:24:48Z</dcterms:modified>
</cp:coreProperties>
</file>