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tables/table21.xml" ContentType="application/vnd.openxmlformats-officedocument.spreadsheetml.table+xml"/>
  <Override PartName="/xl/drawings/drawing3.xml" ContentType="application/vnd.openxmlformats-officedocument.drawing+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hidePivotFieldList="1" autoCompressPictures="0"/>
  <mc:AlternateContent xmlns:mc="http://schemas.openxmlformats.org/markup-compatibility/2006">
    <mc:Choice Requires="x15">
      <x15ac:absPath xmlns:x15ac="http://schemas.microsoft.com/office/spreadsheetml/2010/11/ac" url="/Users/Ben/Dropbox/eps-1.4.2-alberta-wipF/InputData/indst/BPEiC/"/>
    </mc:Choice>
  </mc:AlternateContent>
  <xr:revisionPtr revIDLastSave="0" documentId="13_ncr:1_{923F22E0-FF44-E848-9309-5A0A26DF0283}" xr6:coauthVersionLast="36" xr6:coauthVersionMax="36" xr10:uidLastSave="{00000000-0000-0000-0000-000000000000}"/>
  <bookViews>
    <workbookView xWindow="-29180" yWindow="460" windowWidth="28480" windowHeight="18720" tabRatio="990" firstSheet="23" activeTab="25" xr2:uid="{00000000-000D-0000-FFFF-FFFF00000000}"/>
  </bookViews>
  <sheets>
    <sheet name="About" sheetId="44" r:id="rId1"/>
    <sheet name="Cross-Page Data" sheetId="35" r:id="rId2"/>
    <sheet name="Cement CO2 Emissions" sheetId="1" r:id="rId3"/>
    <sheet name="Iron and Steel" sheetId="13" r:id="rId4"/>
    <sheet name="Coal Mining" sheetId="6" r:id="rId5"/>
    <sheet name="Natural Gas Systems" sheetId="127" r:id="rId6"/>
    <sheet name="Natural Gas Production" sheetId="49" r:id="rId7"/>
    <sheet name="Combined Data" sheetId="30" r:id="rId8"/>
    <sheet name="Petroleum Systems" sheetId="124" r:id="rId9"/>
    <sheet name="Oil&amp;Gas emissions" sheetId="129" r:id="rId10"/>
    <sheet name="Crude Oil Production" sheetId="126" r:id="rId11"/>
    <sheet name="AB Refining capacity" sheetId="128" r:id="rId12"/>
    <sheet name="Refinery Balances" sheetId="125" r:id="rId13"/>
    <sheet name="Chem - HCFC 22 Production" sheetId="16" r:id="rId14"/>
    <sheet name="Chem - ODS" sheetId="17" r:id="rId15"/>
    <sheet name="Other - Aluminum" sheetId="23" r:id="rId16"/>
    <sheet name="Other - Magnesium" sheetId="24" r:id="rId17"/>
    <sheet name="Other - Semiconductor Mfg" sheetId="25" r:id="rId18"/>
    <sheet name="Other Industrial Processes" sheetId="43" r:id="rId19"/>
    <sheet name="Other - Elec Trans and Dist" sheetId="26" r:id="rId20"/>
    <sheet name="Agriculture - EF &amp; Manure Mgmt" sheetId="18" r:id="rId21"/>
    <sheet name="Agriculture - Rice Cultivation" sheetId="19" r:id="rId22"/>
    <sheet name="Agriculture - Soil Mgmt" sheetId="20" r:id="rId23"/>
    <sheet name="Waste - Landfills" sheetId="27" r:id="rId24"/>
    <sheet name="Waste - Water Treatment" sheetId="28" r:id="rId25"/>
    <sheet name="BPEiC-CO2" sheetId="31" r:id="rId26"/>
    <sheet name="BPEiC-CH4" sheetId="32" r:id="rId27"/>
    <sheet name="BPEiC-N2O" sheetId="33" r:id="rId28"/>
    <sheet name="BPEiC-F-gases" sheetId="34" r:id="rId29"/>
    <sheet name="Macro Indicators" sheetId="51" r:id="rId30"/>
    <sheet name="Coal Supply and Demand" sheetId="46" r:id="rId31"/>
    <sheet name="CAPP Crude Oil production" sheetId="103" r:id="rId32"/>
    <sheet name="Table3s1" sheetId="56" r:id="rId33"/>
    <sheet name="IFPRI Results" sheetId="55" r:id="rId34"/>
    <sheet name="FAO Stats" sheetId="52" r:id="rId35"/>
    <sheet name="Table3.D" sheetId="57" r:id="rId36"/>
    <sheet name="Table 5" sheetId="59" r:id="rId37"/>
    <sheet name="FAPRI Projections" sheetId="53" r:id="rId38"/>
    <sheet name="15" sheetId="102" r:id="rId39"/>
    <sheet name="14" sheetId="115" r:id="rId40"/>
    <sheet name="13" sheetId="116" r:id="rId41"/>
    <sheet name="12" sheetId="117" r:id="rId42"/>
    <sheet name="11" sheetId="118" r:id="rId43"/>
    <sheet name="10" sheetId="119" r:id="rId44"/>
    <sheet name="09" sheetId="120" r:id="rId45"/>
    <sheet name="08" sheetId="121" r:id="rId46"/>
    <sheet name="07" sheetId="122" r:id="rId47"/>
    <sheet name="06" sheetId="123" r:id="rId48"/>
  </sheets>
  <externalReferences>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s>
  <definedNames>
    <definedName name="____W.O.R.K.B.O.O.K..C.O.N.T.E.N.T.S____" localSheetId="10">#REF!</definedName>
    <definedName name="____W.O.R.K.B.O.O.K..C.O.N.T.E.N.T.S____" localSheetId="5">#REF!</definedName>
    <definedName name="____W.O.R.K.B.O.O.K..C.O.N.T.E.N.T.S____" localSheetId="9">#REF!</definedName>
    <definedName name="____W.O.R.K.B.O.O.K..C.O.N.T.E.N.T.S____" localSheetId="12">#REF!</definedName>
    <definedName name="____W.O.R.K.B.O.O.K..C.O.N.T.E.N.T.S____">#REF!</definedName>
    <definedName name="_1990" localSheetId="38">#REF!</definedName>
    <definedName name="_1990" localSheetId="10">#REF!</definedName>
    <definedName name="_1990" localSheetId="5">#REF!</definedName>
    <definedName name="_1990" localSheetId="9">#REF!</definedName>
    <definedName name="_1990" localSheetId="12">#REF!</definedName>
    <definedName name="_1990">#REF!</definedName>
    <definedName name="_1991" localSheetId="38">#REF!</definedName>
    <definedName name="_1991" localSheetId="10">#REF!</definedName>
    <definedName name="_1991" localSheetId="5">#REF!</definedName>
    <definedName name="_1991" localSheetId="9">#REF!</definedName>
    <definedName name="_1991" localSheetId="12">#REF!</definedName>
    <definedName name="_1991">#REF!</definedName>
    <definedName name="_1992">#REF!</definedName>
    <definedName name="_1993">#REF!</definedName>
    <definedName name="_1994">#REF!</definedName>
    <definedName name="_1995">#REF!</definedName>
    <definedName name="_1996">#REF!</definedName>
    <definedName name="_1997">#REF!</definedName>
    <definedName name="_1998">#REF!</definedName>
    <definedName name="_1999">#REF!</definedName>
    <definedName name="_2000">#REF!</definedName>
    <definedName name="_2001">#REF!</definedName>
    <definedName name="_2002">#REF!</definedName>
    <definedName name="_2003">#REF!</definedName>
    <definedName name="_2004">#REF!</definedName>
    <definedName name="_2005">#REF!</definedName>
    <definedName name="_2006">#REF!</definedName>
    <definedName name="_2007">#REF!</definedName>
    <definedName name="_2008">#REF!</definedName>
    <definedName name="_2009">#REF!</definedName>
    <definedName name="_2010">#REF!</definedName>
    <definedName name="_2011">#REF!</definedName>
    <definedName name="_2012">#REF!</definedName>
    <definedName name="_2013">#REF!</definedName>
    <definedName name="_2014">#REF!</definedName>
    <definedName name="_2015">#REF!</definedName>
    <definedName name="_2016">#REF!</definedName>
    <definedName name="_xlnm._FilterDatabase" localSheetId="14" hidden="1">'Chem - ODS'!#REF!</definedName>
    <definedName name="CH4_to_CO2e" localSheetId="10">'[1]Cross-Page Data'!$C$12</definedName>
    <definedName name="CH4_to_CO2e" localSheetId="5">'[1]Cross-Page Data'!$C$12</definedName>
    <definedName name="CH4_to_CO2e" localSheetId="9">'[2]Cross-Page Data'!$C$12</definedName>
    <definedName name="CH4_to_CO2e" localSheetId="12">'[1]Cross-Page Data'!$C$12</definedName>
    <definedName name="CH4_to_CO2e">'Cross-Page Data'!$C$12</definedName>
    <definedName name="CRF_4_KP__Doc" localSheetId="9">'[3]4(KP)'!$A$17:$E$18</definedName>
    <definedName name="CRF_4_KP__Doc">'[4]4(KP)'!$A$17:$E$18</definedName>
    <definedName name="CRF_4_KP__Main" localSheetId="9">'[3]4(KP)'!$A$5:$E$15</definedName>
    <definedName name="CRF_4_KP__Main">'[4]4(KP)'!$A$5:$E$15</definedName>
    <definedName name="CRF_4_KP_I_A.1_Doc" localSheetId="9">'[5]4(KP-I)A'!$A$16:$AA$17</definedName>
    <definedName name="CRF_4_KP_I_A.1_Doc">'[6]4(KP-I)A'!$A$16:$AA$17</definedName>
    <definedName name="CRF_4_KP_I_A.1_Main" localSheetId="9">'[5]4(KP-I)A'!$A$6:$AA$14</definedName>
    <definedName name="CRF_4_KP_I_A.1_Main">'[6]4(KP-I)A'!$A$6:$AA$14</definedName>
    <definedName name="CRF_4_KP_I_A.1.1_Doc" localSheetId="9">'[7]4(KP-I)A.1'!#REF!</definedName>
    <definedName name="CRF_4_KP_I_A.1.1_Doc">'[8]4(KP-I)A.1'!#REF!</definedName>
    <definedName name="CRF_4_KP_I_A.1.1_Main" localSheetId="9">'[7]4(KP-I)A.1'!$A$6:$O$18</definedName>
    <definedName name="CRF_4_KP_I_A.1.1_Main">'[8]4(KP-I)A.1'!$A$6:$O$18</definedName>
    <definedName name="CRF_4_KP_I_A.2_Doc" localSheetId="9">'[9]4(KP-I)A'!#REF!</definedName>
    <definedName name="CRF_4_KP_I_A.2_Doc">'[10]4(KP-I)A'!#REF!</definedName>
    <definedName name="CRF_4_KP_I_A.2_Main1" localSheetId="9">'[9]4(KP-I)A'!$A$6:$AA$14</definedName>
    <definedName name="CRF_4_KP_I_A.2_Main1">'[10]4(KP-I)A'!$A$6:$AA$14</definedName>
    <definedName name="CRF_4_KP_I_A.2_Main2" localSheetId="9">'[9]4(KP-I)A'!$A$18:$AA$24</definedName>
    <definedName name="CRF_4_KP_I_A.2_Main2">'[10]4(KP-I)A'!$A$18:$AA$24</definedName>
    <definedName name="CRF_4_KP_I_A.2.1_Doc">'[11]4(KP-I)A.2'!#REF!</definedName>
    <definedName name="CRF_4_KP_I_A.2.1_Main">'[11]4(KP-I)A.2'!$A$6:$B$9</definedName>
    <definedName name="CRF_4_KP_I_B.1_Doc">'[12]4(KP-I)B'!$A$20:$AB$21</definedName>
    <definedName name="CRF_4_KP_I_B.1_Main">'[12]4(KP-I)B'!$A$6:$AB$18</definedName>
    <definedName name="CRF_4_KP_I_B.1.1_Doc">'[13]4(KP-I)B.1'!#REF!</definedName>
    <definedName name="CRF_4_KP_I_B.1.1_Main">'[13]4(KP-I)B.1'!$A$6:$C$10</definedName>
    <definedName name="CRF_4_KP_I_B.1.2_Doc" localSheetId="9">'[14]4(KP-I)B.1'!$A$13:$J$14</definedName>
    <definedName name="CRF_4_KP_I_B.1.2_Doc">'[15]4(KP-I)B.1'!$A$13:$J$14</definedName>
    <definedName name="CRF_4_KP_I_B.1.2_Main" localSheetId="9">'[14]4(KP-I)B.1'!$A$7:$J$11</definedName>
    <definedName name="CRF_4_KP_I_B.1.2_Main">'[15]4(KP-I)B.1'!$A$7:$J$11</definedName>
    <definedName name="CRF_4_KP_I_B.1.3_Doc">'[16]4(KP-I)B.1'!#REF!</definedName>
    <definedName name="CRF_4_KP_I_B.1.3_Main">'[16]4(KP-I)B.1'!$A$6:$O$18</definedName>
    <definedName name="CRF_4_KP_I_B.2_Doc" localSheetId="9">'[17]4(KP-I)B'!$A$13:$Z$14</definedName>
    <definedName name="CRF_4_KP_I_B.2_Doc">'[18]4(KP-I)B'!$A$13:$Z$14</definedName>
    <definedName name="CRF_4_KP_I_B.2_Main" localSheetId="9">'[17]4(KP-I)B'!$A$6:$Z$11</definedName>
    <definedName name="CRF_4_KP_I_B.2_Main">'[18]4(KP-I)B'!$A$6:$Z$11</definedName>
    <definedName name="CRF_4_KP_I_B.3_Doc" localSheetId="9">'[19]4(KP-I)B'!$A$13:$Z$14</definedName>
    <definedName name="CRF_4_KP_I_B.3_Doc">'[20]4(KP-I)B'!$A$13:$Z$14</definedName>
    <definedName name="CRF_4_KP_I_B.3_Main" localSheetId="9">'[19]4(KP-I)B'!$A$6:$Z$11</definedName>
    <definedName name="CRF_4_KP_I_B.3_Main">'[20]4(KP-I)B'!$A$6:$Z$11</definedName>
    <definedName name="CRF_4_KP_I_B.4_Doc" localSheetId="9">'[21]4(KP-I)B'!$A$13:$Z$14</definedName>
    <definedName name="CRF_4_KP_I_B.4_Doc">'[22]4(KP-I)B'!$A$13:$Z$14</definedName>
    <definedName name="CRF_4_KP_I_B.4_Main" localSheetId="9">'[21]4(KP-I)B'!$A$6:$Z$11</definedName>
    <definedName name="CRF_4_KP_I_B.4_Main">'[22]4(KP-I)B'!$A$6:$Z$11</definedName>
    <definedName name="CRF_4_KP_I_B.5_Doc" localSheetId="9">'[23]4(KP-I)B'!$A$13:$Z$14</definedName>
    <definedName name="CRF_4_KP_I_B.5_Doc">'[24]4(KP-I)B'!$A$13:$Z$14</definedName>
    <definedName name="CRF_4_KP_I_B.5_Main" localSheetId="9">'[23]4(KP-I)B'!$A$6:$Z$11</definedName>
    <definedName name="CRF_4_KP_I_B.5_Main">'[24]4(KP-I)B'!$A$6:$Z$11</definedName>
    <definedName name="CRF_4_KP_II_1_Doc" localSheetId="9">'[25]4(KP-II)1'!$A$15:$D$16</definedName>
    <definedName name="CRF_4_KP_II_1_Doc">'[26]4(KP-II)1'!$A$15:$D$16</definedName>
    <definedName name="CRF_4_KP_II_1_Main" localSheetId="9">'[25]4(KP-II)1'!$A$6:$D$13</definedName>
    <definedName name="CRF_4_KP_II_1_Main">'[26]4(KP-II)1'!$A$6:$D$13</definedName>
    <definedName name="CRF_4_KP_II_2_Doc" localSheetId="9">'[27]4(KP-II)2'!$A$38:$F$39</definedName>
    <definedName name="CRF_4_KP_II_2_Doc">'[28]4(KP-II)2'!$A$38:$F$39</definedName>
    <definedName name="CRF_4_KP_II_2_Main" localSheetId="9">'[27]4(KP-II)2'!$A$6:$F$36</definedName>
    <definedName name="CRF_4_KP_II_2_Main">'[28]4(KP-II)2'!$A$6:$F$36</definedName>
    <definedName name="CRF_4_KP_II_3_Doc">'[29]4(KP-II)3'!$A$22:$E$23</definedName>
    <definedName name="CRF_4_KP_II_3_Main">'[29]4(KP-II)3'!$A$6:$E$20</definedName>
    <definedName name="CRF_4_KP_II_4_Doc" localSheetId="9">'[30]4(KP-II)4'!$A$45:$J$46</definedName>
    <definedName name="CRF_4_KP_II_4_Doc">'[31]4(KP-II)4'!$A$45:$J$46</definedName>
    <definedName name="CRF_4_KP_II_4_Main" localSheetId="9">'[30]4(KP-II)4'!$A$6:$J$43</definedName>
    <definedName name="CRF_4_KP_II_4_Main">'[31]4(KP-II)4'!$A$6:$J$43</definedName>
    <definedName name="CRF_4_KP_Recalculations_Doc">'[32]4(KP)Recalculations'!$A$74:$R$75</definedName>
    <definedName name="CRF_4_KP_Recalculations_Main1">'[32]4(KP)Recalculations'!$A$5:$R$60</definedName>
    <definedName name="CRF_4_KP_Recalculations_Main2">'[32]4(KP)Recalculations'!$A$62:$F$70</definedName>
    <definedName name="CRF_accounting_Main">[33]accounting!$A$7:$M$29</definedName>
    <definedName name="CRF_NIR_1_Add" localSheetId="9">'[34]NIR-1'!$A$33:$C$36</definedName>
    <definedName name="CRF_NIR_1_Add">'[35]NIR-1'!$A$33:$C$36</definedName>
    <definedName name="CRF_NIR_1_Main" localSheetId="9">'[34]NIR-1'!$A$5:$P$16</definedName>
    <definedName name="CRF_NIR_1_Main">'[35]NIR-1'!$A$5:$P$16</definedName>
    <definedName name="CRF_NIR_2_Main" localSheetId="9">'[36]NIR-2'!$A$5:$J$18</definedName>
    <definedName name="CRF_NIR_2_Main">'[37]NIR-2'!$A$5:$J$18</definedName>
    <definedName name="CRF_NIR_2.1_Main" localSheetId="9">'[38]NIR-2'!$A$5:$C$10</definedName>
    <definedName name="CRF_NIR_2.1_Main">'[39]NIR-2'!$A$5:$C$10</definedName>
    <definedName name="CRF_NIR_3_Main" localSheetId="9">'[40]NIR-3'!$A$5:$F$7</definedName>
    <definedName name="CRF_NIR_3_Main">'[41]NIR-3'!$A$5:$F$7</definedName>
    <definedName name="CRF_Table3.B_a_s2_Add" localSheetId="9">#REF!</definedName>
    <definedName name="CRF_Table3.B_a_s2_Add">#REF!</definedName>
    <definedName name="CRF_Table3.D_Add">Table3.D!$A$31:$C$35</definedName>
    <definedName name="CRF_Table3.D_Doc">Table3.D!$A$38:$E$42</definedName>
    <definedName name="CRF_Table3.D_Main">Table3.D!$A$5:$E$21</definedName>
    <definedName name="CRF_Table3s1_Main">Table3s1!$A$5:$G$59</definedName>
    <definedName name="CRF_Table5_Doc" localSheetId="9">#REF!</definedName>
    <definedName name="CRF_Table5_Doc">#REF!</definedName>
    <definedName name="CRF_Table5_Main" localSheetId="9">#REF!</definedName>
    <definedName name="CRF_Table5_Main">#REF!</definedName>
    <definedName name="CRF_Table7_Main" localSheetId="9">#REF!</definedName>
    <definedName name="CRF_Table7_Main">#REF!</definedName>
    <definedName name="N2O_to_CO2e" localSheetId="10">'[1]Cross-Page Data'!$C$13</definedName>
    <definedName name="N2O_to_CO2e" localSheetId="5">'[1]Cross-Page Data'!$C$13</definedName>
    <definedName name="N2O_to_CO2e" localSheetId="9">'[2]Cross-Page Data'!$C$13</definedName>
    <definedName name="N2O_to_CO2e" localSheetId="12">'[1]Cross-Page Data'!$C$13</definedName>
    <definedName name="N2O_to_CO2e">'Cross-Page Data'!$C$13</definedName>
    <definedName name="Summary" localSheetId="38">#REF!</definedName>
    <definedName name="Summary" localSheetId="10">#REF!</definedName>
    <definedName name="Summary" localSheetId="5">#REF!</definedName>
    <definedName name="Summary" localSheetId="9">#REF!</definedName>
    <definedName name="Summary" localSheetId="12">#REF!</definedName>
    <definedName name="Summary">#REF!</definedName>
  </definedNames>
  <calcPr calcId="179021"/>
  <pivotCaches>
    <pivotCache cacheId="15" r:id="rId90"/>
  </pivotCache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113" i="124" l="1"/>
  <c r="D113" i="124"/>
  <c r="E113" i="124"/>
  <c r="F113" i="124"/>
  <c r="G113" i="124"/>
  <c r="H113" i="124"/>
  <c r="I113" i="124"/>
  <c r="J113" i="124"/>
  <c r="K113" i="124"/>
  <c r="L113" i="124"/>
  <c r="M113" i="124"/>
  <c r="N113" i="124"/>
  <c r="O113" i="124"/>
  <c r="P113" i="124"/>
  <c r="Q113" i="124"/>
  <c r="R113" i="124"/>
  <c r="S113" i="124"/>
  <c r="T113" i="124"/>
  <c r="U113" i="124"/>
  <c r="V113" i="124"/>
  <c r="W113" i="124"/>
  <c r="X113" i="124"/>
  <c r="Y113" i="124"/>
  <c r="Z113" i="124"/>
  <c r="AA113" i="124"/>
  <c r="AB113" i="124"/>
  <c r="AC113" i="124"/>
  <c r="AD113" i="124"/>
  <c r="AE113" i="124"/>
  <c r="AF113" i="124"/>
  <c r="AG113" i="124"/>
  <c r="AH113" i="124"/>
  <c r="AI113" i="124"/>
  <c r="AJ113" i="124"/>
  <c r="AK113" i="124"/>
  <c r="C114" i="124"/>
  <c r="C115" i="124" s="1"/>
  <c r="D114" i="124"/>
  <c r="E114" i="124"/>
  <c r="E115" i="124" s="1"/>
  <c r="F114" i="124"/>
  <c r="F115" i="124" s="1"/>
  <c r="G114" i="124"/>
  <c r="G115" i="124" s="1"/>
  <c r="H114" i="124"/>
  <c r="I114" i="124"/>
  <c r="I115" i="124" s="1"/>
  <c r="J114" i="124"/>
  <c r="J115" i="124" s="1"/>
  <c r="K114" i="124"/>
  <c r="K115" i="124" s="1"/>
  <c r="L114" i="124"/>
  <c r="M114" i="124"/>
  <c r="M115" i="124" s="1"/>
  <c r="N114" i="124"/>
  <c r="N115" i="124" s="1"/>
  <c r="O114" i="124"/>
  <c r="O115" i="124" s="1"/>
  <c r="P114" i="124"/>
  <c r="Q114" i="124"/>
  <c r="Q115" i="124" s="1"/>
  <c r="R114" i="124"/>
  <c r="R115" i="124" s="1"/>
  <c r="S114" i="124"/>
  <c r="S115" i="124" s="1"/>
  <c r="T114" i="124"/>
  <c r="U114" i="124"/>
  <c r="U115" i="124" s="1"/>
  <c r="V114" i="124"/>
  <c r="V115" i="124" s="1"/>
  <c r="W114" i="124"/>
  <c r="W115" i="124" s="1"/>
  <c r="X114" i="124"/>
  <c r="Y114" i="124"/>
  <c r="Y115" i="124" s="1"/>
  <c r="Z114" i="124"/>
  <c r="Z115" i="124" s="1"/>
  <c r="AA114" i="124"/>
  <c r="AA115" i="124" s="1"/>
  <c r="AB114" i="124"/>
  <c r="AC114" i="124"/>
  <c r="AC115" i="124" s="1"/>
  <c r="AD114" i="124"/>
  <c r="AD115" i="124" s="1"/>
  <c r="AE114" i="124"/>
  <c r="AE115" i="124" s="1"/>
  <c r="AF114" i="124"/>
  <c r="AG114" i="124"/>
  <c r="AG115" i="124" s="1"/>
  <c r="AH114" i="124"/>
  <c r="AH115" i="124" s="1"/>
  <c r="AI114" i="124"/>
  <c r="AI115" i="124" s="1"/>
  <c r="AJ114" i="124"/>
  <c r="AK114" i="124"/>
  <c r="AK115" i="124" s="1"/>
  <c r="D115" i="124"/>
  <c r="H115" i="124"/>
  <c r="L115" i="124"/>
  <c r="P115" i="124"/>
  <c r="T115" i="124"/>
  <c r="X115" i="124"/>
  <c r="AB115" i="124"/>
  <c r="AF115" i="124"/>
  <c r="AJ115" i="124"/>
  <c r="B9" i="30"/>
  <c r="AB117" i="124"/>
  <c r="AC117" i="124"/>
  <c r="AD117" i="124"/>
  <c r="AE117" i="124"/>
  <c r="AF117" i="124"/>
  <c r="AG117" i="124"/>
  <c r="AH117" i="124"/>
  <c r="AI117" i="124"/>
  <c r="AJ117" i="124"/>
  <c r="AK117" i="124"/>
  <c r="AB97" i="124"/>
  <c r="AC97" i="124"/>
  <c r="AD97" i="124"/>
  <c r="AE97" i="124"/>
  <c r="AF97" i="124"/>
  <c r="AG97" i="124"/>
  <c r="AH97" i="124"/>
  <c r="AI97" i="124"/>
  <c r="AJ97" i="124"/>
  <c r="AK97" i="124"/>
  <c r="AB98" i="124"/>
  <c r="AC98" i="124"/>
  <c r="AD98" i="124"/>
  <c r="AE98" i="124"/>
  <c r="AF98" i="124"/>
  <c r="AG98" i="124"/>
  <c r="AH98" i="124"/>
  <c r="AI98" i="124"/>
  <c r="AJ98" i="124"/>
  <c r="AK98" i="124"/>
  <c r="AB99" i="124"/>
  <c r="AC99" i="124"/>
  <c r="AD99" i="124"/>
  <c r="AE99" i="124"/>
  <c r="AF99" i="124"/>
  <c r="AG99" i="124"/>
  <c r="AH99" i="124"/>
  <c r="AI99" i="124"/>
  <c r="AJ99" i="124"/>
  <c r="AK99" i="124"/>
  <c r="AB100" i="124"/>
  <c r="AC100" i="124"/>
  <c r="AD100" i="124"/>
  <c r="AE100" i="124"/>
  <c r="AF100" i="124"/>
  <c r="AG100" i="124"/>
  <c r="AH100" i="124"/>
  <c r="AI100" i="124"/>
  <c r="AJ100" i="124"/>
  <c r="AK100" i="124"/>
  <c r="AB101" i="124"/>
  <c r="AC101" i="124"/>
  <c r="AD101" i="124"/>
  <c r="AE101" i="124"/>
  <c r="AF101" i="124"/>
  <c r="AG101" i="124"/>
  <c r="AH101" i="124"/>
  <c r="AI101" i="124"/>
  <c r="AJ101" i="124"/>
  <c r="AK101" i="124"/>
  <c r="AB102" i="124"/>
  <c r="AC102" i="124"/>
  <c r="AD102" i="124"/>
  <c r="AE102" i="124"/>
  <c r="AF102" i="124"/>
  <c r="AG102" i="124"/>
  <c r="AH102" i="124"/>
  <c r="AI102" i="124"/>
  <c r="AJ102" i="124"/>
  <c r="AK102" i="124"/>
  <c r="AB105" i="124"/>
  <c r="AC105" i="124"/>
  <c r="AD105" i="124"/>
  <c r="AE105" i="124"/>
  <c r="AF105" i="124"/>
  <c r="AG105" i="124"/>
  <c r="AH105" i="124"/>
  <c r="AI105" i="124"/>
  <c r="AJ105" i="124"/>
  <c r="AK105" i="124"/>
  <c r="AB106" i="124"/>
  <c r="AC106" i="124"/>
  <c r="AD106" i="124"/>
  <c r="AE106" i="124"/>
  <c r="AF106" i="124"/>
  <c r="AG106" i="124"/>
  <c r="AH106" i="124"/>
  <c r="AI106" i="124"/>
  <c r="AJ106" i="124"/>
  <c r="AK106" i="124"/>
  <c r="AB107" i="124"/>
  <c r="AC107" i="124"/>
  <c r="AD107" i="124"/>
  <c r="AE107" i="124"/>
  <c r="AF107" i="124"/>
  <c r="AG107" i="124"/>
  <c r="AH107" i="124"/>
  <c r="AI107" i="124"/>
  <c r="AJ107" i="124"/>
  <c r="AK107" i="124"/>
  <c r="AB108" i="124"/>
  <c r="AC108" i="124"/>
  <c r="AD108" i="124"/>
  <c r="AE108" i="124"/>
  <c r="AF108" i="124"/>
  <c r="AG108" i="124"/>
  <c r="AH108" i="124"/>
  <c r="AI108" i="124"/>
  <c r="AJ108" i="124"/>
  <c r="AK108" i="124"/>
  <c r="AB109" i="124"/>
  <c r="AC109" i="124"/>
  <c r="AD109" i="124"/>
  <c r="AE109" i="124"/>
  <c r="AF109" i="124"/>
  <c r="AG109" i="124"/>
  <c r="AH109" i="124"/>
  <c r="AI109" i="124"/>
  <c r="AJ109" i="124"/>
  <c r="AK109" i="124"/>
  <c r="AB110" i="124"/>
  <c r="AC110" i="124"/>
  <c r="AD110" i="124"/>
  <c r="AE110" i="124"/>
  <c r="AF110" i="124"/>
  <c r="AG110" i="124"/>
  <c r="AH110" i="124"/>
  <c r="AI110" i="124"/>
  <c r="AJ110" i="124"/>
  <c r="AK110" i="124"/>
  <c r="AB79" i="124"/>
  <c r="AC79" i="124"/>
  <c r="AD79" i="124"/>
  <c r="AE79" i="124"/>
  <c r="AF79" i="124" s="1"/>
  <c r="AG79" i="124" s="1"/>
  <c r="AH79" i="124" s="1"/>
  <c r="AI79" i="124" s="1"/>
  <c r="AJ79" i="124" s="1"/>
  <c r="AK79" i="124" s="1"/>
  <c r="AB80" i="124"/>
  <c r="AC80" i="124"/>
  <c r="AD80" i="124" s="1"/>
  <c r="AE80" i="124" s="1"/>
  <c r="AF80" i="124" s="1"/>
  <c r="AG80" i="124" s="1"/>
  <c r="AH80" i="124" s="1"/>
  <c r="AI80" i="124" s="1"/>
  <c r="AJ80" i="124" s="1"/>
  <c r="AK80" i="124" s="1"/>
  <c r="AB81" i="124"/>
  <c r="AC81" i="124"/>
  <c r="AD81" i="124"/>
  <c r="AE81" i="124"/>
  <c r="AF81" i="124" s="1"/>
  <c r="AG81" i="124" s="1"/>
  <c r="AH81" i="124" s="1"/>
  <c r="AI81" i="124" s="1"/>
  <c r="AJ81" i="124" s="1"/>
  <c r="AK81" i="124" s="1"/>
  <c r="AB82" i="124"/>
  <c r="AC82" i="124"/>
  <c r="AD82" i="124" s="1"/>
  <c r="AE82" i="124" s="1"/>
  <c r="AF82" i="124" s="1"/>
  <c r="AG82" i="124" s="1"/>
  <c r="AH82" i="124" s="1"/>
  <c r="AI82" i="124" s="1"/>
  <c r="AJ82" i="124" s="1"/>
  <c r="AK82" i="124" s="1"/>
  <c r="AB83" i="124"/>
  <c r="AC83" i="124"/>
  <c r="AD83" i="124"/>
  <c r="AE83" i="124"/>
  <c r="AF83" i="124" s="1"/>
  <c r="AG83" i="124" s="1"/>
  <c r="AH83" i="124" s="1"/>
  <c r="AI83" i="124" s="1"/>
  <c r="AJ83" i="124" s="1"/>
  <c r="AK83" i="124" s="1"/>
  <c r="AB84" i="124"/>
  <c r="AC84" i="124"/>
  <c r="AD84" i="124" s="1"/>
  <c r="AE84" i="124" s="1"/>
  <c r="AF84" i="124" s="1"/>
  <c r="AG84" i="124" s="1"/>
  <c r="AH84" i="124" s="1"/>
  <c r="AI84" i="124" s="1"/>
  <c r="AJ84" i="124" s="1"/>
  <c r="AK84" i="124" s="1"/>
  <c r="AB78" i="124"/>
  <c r="C117" i="124"/>
  <c r="D117" i="124"/>
  <c r="E117" i="124"/>
  <c r="F117" i="124"/>
  <c r="G117" i="124"/>
  <c r="H117" i="124"/>
  <c r="I117" i="124"/>
  <c r="J117" i="124"/>
  <c r="K117" i="124"/>
  <c r="L117" i="124"/>
  <c r="M117" i="124"/>
  <c r="N117" i="124"/>
  <c r="O117" i="124"/>
  <c r="P117" i="124"/>
  <c r="Q117" i="124"/>
  <c r="R117" i="124"/>
  <c r="S117" i="124"/>
  <c r="T117" i="124"/>
  <c r="U117" i="124"/>
  <c r="V117" i="124"/>
  <c r="W117" i="124"/>
  <c r="X117" i="124"/>
  <c r="Y117" i="124"/>
  <c r="Z117" i="124"/>
  <c r="AA117" i="124"/>
  <c r="B117" i="124"/>
  <c r="C65" i="124"/>
  <c r="C63" i="124"/>
  <c r="J62" i="124"/>
  <c r="J63" i="124"/>
  <c r="J64" i="124"/>
  <c r="J65" i="124"/>
  <c r="J66" i="124"/>
  <c r="J61" i="124"/>
  <c r="B37" i="124" l="1"/>
  <c r="C37" i="124"/>
  <c r="D37" i="124"/>
  <c r="E37" i="124"/>
  <c r="F37" i="124"/>
  <c r="B41" i="124"/>
  <c r="C41" i="124"/>
  <c r="D41" i="124"/>
  <c r="E41" i="124"/>
  <c r="F41" i="124"/>
  <c r="B4" i="127"/>
  <c r="B40" i="127"/>
  <c r="B36" i="127"/>
  <c r="G36" i="127" l="1"/>
  <c r="H36" i="127" s="1"/>
  <c r="C35" i="127"/>
  <c r="D35" i="127" s="1"/>
  <c r="C34" i="127"/>
  <c r="D34" i="127" s="1"/>
  <c r="D36" i="127" s="1"/>
  <c r="I36" i="127" l="1"/>
  <c r="B32" i="127"/>
  <c r="D31" i="127"/>
  <c r="D30" i="127"/>
  <c r="D66" i="124"/>
  <c r="D64" i="124"/>
  <c r="D62" i="124"/>
  <c r="D61" i="124"/>
  <c r="D32" i="127" l="1"/>
  <c r="H123" i="124"/>
  <c r="H125" i="124"/>
  <c r="H124" i="124"/>
  <c r="D125" i="124"/>
  <c r="D123" i="124"/>
  <c r="D124" i="124"/>
  <c r="C54" i="124"/>
  <c r="G32" i="127"/>
  <c r="H32" i="127" s="1"/>
  <c r="C79" i="124"/>
  <c r="D79" i="124"/>
  <c r="E79" i="124"/>
  <c r="F79" i="124"/>
  <c r="G79" i="124"/>
  <c r="H79" i="124"/>
  <c r="I79" i="124"/>
  <c r="J79" i="124"/>
  <c r="K79" i="124"/>
  <c r="L79" i="124"/>
  <c r="M79" i="124"/>
  <c r="N79" i="124"/>
  <c r="O79" i="124"/>
  <c r="P79" i="124"/>
  <c r="Q79" i="124"/>
  <c r="R79" i="124"/>
  <c r="S79" i="124"/>
  <c r="T79" i="124"/>
  <c r="U79" i="124"/>
  <c r="V79" i="124"/>
  <c r="W79" i="124"/>
  <c r="X79" i="124"/>
  <c r="Y79" i="124"/>
  <c r="Z79" i="124"/>
  <c r="AA79" i="124"/>
  <c r="C80" i="124"/>
  <c r="D80" i="124"/>
  <c r="E80" i="124"/>
  <c r="F80" i="124"/>
  <c r="G80" i="124"/>
  <c r="H80" i="124"/>
  <c r="I80" i="124"/>
  <c r="J80" i="124"/>
  <c r="K80" i="124"/>
  <c r="L80" i="124"/>
  <c r="M80" i="124"/>
  <c r="N80" i="124"/>
  <c r="O80" i="124"/>
  <c r="P80" i="124"/>
  <c r="Q80" i="124"/>
  <c r="R80" i="124"/>
  <c r="S80" i="124"/>
  <c r="T80" i="124"/>
  <c r="U80" i="124"/>
  <c r="V80" i="124"/>
  <c r="W80" i="124"/>
  <c r="X80" i="124"/>
  <c r="Y80" i="124"/>
  <c r="Z80" i="124"/>
  <c r="AA80" i="124"/>
  <c r="C81" i="124"/>
  <c r="D81" i="124"/>
  <c r="E81" i="124"/>
  <c r="F81" i="124"/>
  <c r="G81" i="124"/>
  <c r="H81" i="124"/>
  <c r="I81" i="124"/>
  <c r="J81" i="124"/>
  <c r="K81" i="124"/>
  <c r="L81" i="124"/>
  <c r="M81" i="124"/>
  <c r="N81" i="124"/>
  <c r="O81" i="124"/>
  <c r="P81" i="124"/>
  <c r="Q81" i="124"/>
  <c r="R81" i="124"/>
  <c r="S81" i="124"/>
  <c r="T81" i="124"/>
  <c r="U81" i="124"/>
  <c r="V81" i="124"/>
  <c r="W81" i="124"/>
  <c r="X81" i="124"/>
  <c r="Y81" i="124"/>
  <c r="Z81" i="124"/>
  <c r="AA81" i="124"/>
  <c r="C82" i="124"/>
  <c r="D82" i="124"/>
  <c r="E82" i="124"/>
  <c r="F82" i="124"/>
  <c r="G82" i="124"/>
  <c r="H82" i="124"/>
  <c r="I82" i="124"/>
  <c r="J82" i="124"/>
  <c r="K82" i="124"/>
  <c r="L82" i="124"/>
  <c r="M82" i="124"/>
  <c r="N82" i="124"/>
  <c r="O82" i="124"/>
  <c r="P82" i="124"/>
  <c r="Q82" i="124"/>
  <c r="R82" i="124"/>
  <c r="S82" i="124"/>
  <c r="T82" i="124"/>
  <c r="U82" i="124"/>
  <c r="V82" i="124"/>
  <c r="W82" i="124"/>
  <c r="X82" i="124"/>
  <c r="Y82" i="124"/>
  <c r="Z82" i="124"/>
  <c r="AA82" i="124"/>
  <c r="C83" i="124"/>
  <c r="D83" i="124"/>
  <c r="E83" i="124"/>
  <c r="F83" i="124"/>
  <c r="G83" i="124"/>
  <c r="H83" i="124"/>
  <c r="I83" i="124"/>
  <c r="J83" i="124"/>
  <c r="K83" i="124"/>
  <c r="L83" i="124"/>
  <c r="M83" i="124"/>
  <c r="N83" i="124"/>
  <c r="O83" i="124"/>
  <c r="P83" i="124"/>
  <c r="Q83" i="124"/>
  <c r="R83" i="124"/>
  <c r="S83" i="124"/>
  <c r="T83" i="124"/>
  <c r="U83" i="124"/>
  <c r="V83" i="124"/>
  <c r="W83" i="124"/>
  <c r="X83" i="124"/>
  <c r="Y83" i="124"/>
  <c r="Z83" i="124"/>
  <c r="AA83" i="124"/>
  <c r="C84" i="124"/>
  <c r="D84" i="124"/>
  <c r="E84" i="124"/>
  <c r="F84" i="124"/>
  <c r="G84" i="124"/>
  <c r="H84" i="124"/>
  <c r="I84" i="124"/>
  <c r="J84" i="124"/>
  <c r="K84" i="124"/>
  <c r="L84" i="124"/>
  <c r="M84" i="124"/>
  <c r="N84" i="124"/>
  <c r="O84" i="124"/>
  <c r="P84" i="124"/>
  <c r="Q84" i="124"/>
  <c r="R84" i="124"/>
  <c r="S84" i="124"/>
  <c r="T84" i="124"/>
  <c r="U84" i="124"/>
  <c r="V84" i="124"/>
  <c r="W84" i="124"/>
  <c r="X84" i="124"/>
  <c r="Y84" i="124"/>
  <c r="Z84" i="124"/>
  <c r="AA84" i="124"/>
  <c r="B84" i="124"/>
  <c r="B83" i="124"/>
  <c r="B82" i="124"/>
  <c r="B81" i="124"/>
  <c r="B80" i="124"/>
  <c r="B79" i="124"/>
  <c r="H65" i="124"/>
  <c r="H66" i="124"/>
  <c r="I66" i="124" s="1"/>
  <c r="H63" i="124"/>
  <c r="H61" i="124"/>
  <c r="H64" i="124"/>
  <c r="I64" i="124" s="1"/>
  <c r="H62" i="124"/>
  <c r="B33" i="124"/>
  <c r="B74" i="124"/>
  <c r="S105" i="124" l="1"/>
  <c r="I61" i="124"/>
  <c r="C105" i="124" s="1"/>
  <c r="B97" i="124"/>
  <c r="Z110" i="124"/>
  <c r="V110" i="124"/>
  <c r="R110" i="124"/>
  <c r="N110" i="124"/>
  <c r="J110" i="124"/>
  <c r="F110" i="124"/>
  <c r="I32" i="127"/>
  <c r="P105" i="124"/>
  <c r="B108" i="124"/>
  <c r="X108" i="124"/>
  <c r="T108" i="124"/>
  <c r="P108" i="124"/>
  <c r="L108" i="124"/>
  <c r="H108" i="124"/>
  <c r="D108" i="124"/>
  <c r="AA110" i="124"/>
  <c r="W110" i="124"/>
  <c r="S110" i="124"/>
  <c r="O110" i="124"/>
  <c r="K110" i="124"/>
  <c r="G110" i="124"/>
  <c r="C110" i="124"/>
  <c r="Y108" i="124"/>
  <c r="U108" i="124"/>
  <c r="Q108" i="124"/>
  <c r="M108" i="124"/>
  <c r="I108" i="124"/>
  <c r="E108" i="124"/>
  <c r="B105" i="124"/>
  <c r="Y110" i="124"/>
  <c r="U110" i="124"/>
  <c r="Q110" i="124"/>
  <c r="M110" i="124"/>
  <c r="I110" i="124"/>
  <c r="E110" i="124"/>
  <c r="AA108" i="124"/>
  <c r="W108" i="124"/>
  <c r="S108" i="124"/>
  <c r="O108" i="124"/>
  <c r="K108" i="124"/>
  <c r="G108" i="124"/>
  <c r="C108" i="124"/>
  <c r="R105" i="124"/>
  <c r="B110" i="124"/>
  <c r="X110" i="124"/>
  <c r="T110" i="124"/>
  <c r="P110" i="124"/>
  <c r="L110" i="124"/>
  <c r="H110" i="124"/>
  <c r="D110" i="124"/>
  <c r="Z108" i="124"/>
  <c r="V108" i="124"/>
  <c r="R108" i="124"/>
  <c r="N108" i="124"/>
  <c r="J108" i="124"/>
  <c r="F108" i="124"/>
  <c r="M105" i="124"/>
  <c r="J125" i="124"/>
  <c r="J124" i="124"/>
  <c r="Y98" i="124"/>
  <c r="U98" i="124"/>
  <c r="Q98" i="124"/>
  <c r="M98" i="124"/>
  <c r="I98" i="124"/>
  <c r="E98" i="124"/>
  <c r="F98" i="124"/>
  <c r="X98" i="124"/>
  <c r="T98" i="124"/>
  <c r="P98" i="124"/>
  <c r="L98" i="124"/>
  <c r="H98" i="124"/>
  <c r="D98" i="124"/>
  <c r="AA98" i="124"/>
  <c r="W98" i="124"/>
  <c r="S98" i="124"/>
  <c r="O98" i="124"/>
  <c r="K98" i="124"/>
  <c r="G98" i="124"/>
  <c r="C98" i="124"/>
  <c r="B98" i="124"/>
  <c r="Z98" i="124"/>
  <c r="V98" i="124"/>
  <c r="R98" i="124"/>
  <c r="N98" i="124"/>
  <c r="J98" i="124"/>
  <c r="J123" i="124"/>
  <c r="C56" i="124"/>
  <c r="I62" i="124"/>
  <c r="AA106" i="124" s="1"/>
  <c r="F105" i="124" l="1"/>
  <c r="D105" i="124"/>
  <c r="T105" i="124"/>
  <c r="G105" i="124"/>
  <c r="W105" i="124"/>
  <c r="V105" i="124"/>
  <c r="E105" i="124"/>
  <c r="U105" i="124"/>
  <c r="J105" i="124"/>
  <c r="Z105" i="124"/>
  <c r="H105" i="124"/>
  <c r="X105" i="124"/>
  <c r="K105" i="124"/>
  <c r="AA105" i="124"/>
  <c r="Q105" i="124"/>
  <c r="I105" i="124"/>
  <c r="Y105" i="124"/>
  <c r="N105" i="124"/>
  <c r="L105" i="124"/>
  <c r="O105" i="124"/>
  <c r="T106" i="124"/>
  <c r="Y106" i="124"/>
  <c r="F106" i="124"/>
  <c r="W106" i="124"/>
  <c r="X106" i="124"/>
  <c r="E106" i="124"/>
  <c r="R106" i="124"/>
  <c r="D106" i="124"/>
  <c r="M106" i="124"/>
  <c r="C106" i="124"/>
  <c r="H106" i="124"/>
  <c r="U106" i="124"/>
  <c r="O106" i="124"/>
  <c r="V106" i="124"/>
  <c r="S106" i="124"/>
  <c r="P106" i="124"/>
  <c r="B106" i="124"/>
  <c r="I106" i="124"/>
  <c r="N106" i="124"/>
  <c r="G106" i="124"/>
  <c r="L106" i="124"/>
  <c r="Q106" i="124"/>
  <c r="J106" i="124"/>
  <c r="Z106" i="124"/>
  <c r="K106" i="124"/>
  <c r="D102" i="124"/>
  <c r="H102" i="124"/>
  <c r="L102" i="124"/>
  <c r="P102" i="124"/>
  <c r="T102" i="124"/>
  <c r="X102" i="124"/>
  <c r="B102" i="124"/>
  <c r="E102" i="124"/>
  <c r="I102" i="124"/>
  <c r="M102" i="124"/>
  <c r="Q102" i="124"/>
  <c r="U102" i="124"/>
  <c r="Y102" i="124"/>
  <c r="F102" i="124"/>
  <c r="J102" i="124"/>
  <c r="N102" i="124"/>
  <c r="R102" i="124"/>
  <c r="V102" i="124"/>
  <c r="Z102" i="124"/>
  <c r="C102" i="124"/>
  <c r="G102" i="124"/>
  <c r="K102" i="124"/>
  <c r="O102" i="124"/>
  <c r="S102" i="124"/>
  <c r="W102" i="124"/>
  <c r="AA102" i="124"/>
  <c r="B100" i="124"/>
  <c r="C55" i="124"/>
  <c r="D97" i="124"/>
  <c r="H97" i="124"/>
  <c r="L97" i="124"/>
  <c r="P97" i="124"/>
  <c r="T97" i="124"/>
  <c r="X97" i="124"/>
  <c r="E97" i="124"/>
  <c r="I97" i="124"/>
  <c r="M97" i="124"/>
  <c r="Q97" i="124"/>
  <c r="U97" i="124"/>
  <c r="Y97" i="124"/>
  <c r="F97" i="124"/>
  <c r="J97" i="124"/>
  <c r="N97" i="124"/>
  <c r="R97" i="124"/>
  <c r="V97" i="124"/>
  <c r="Z97" i="124"/>
  <c r="C97" i="124"/>
  <c r="G97" i="124"/>
  <c r="K97" i="124"/>
  <c r="O97" i="124"/>
  <c r="S97" i="124"/>
  <c r="W97" i="124"/>
  <c r="AA97" i="124"/>
  <c r="C100" i="124"/>
  <c r="G100" i="124"/>
  <c r="K100" i="124"/>
  <c r="O100" i="124"/>
  <c r="S100" i="124"/>
  <c r="W100" i="124"/>
  <c r="AA100" i="124"/>
  <c r="D100" i="124"/>
  <c r="H100" i="124"/>
  <c r="L100" i="124"/>
  <c r="P100" i="124"/>
  <c r="T100" i="124"/>
  <c r="X100" i="124"/>
  <c r="E100" i="124"/>
  <c r="I100" i="124"/>
  <c r="M100" i="124"/>
  <c r="Q100" i="124"/>
  <c r="U100" i="124"/>
  <c r="Y100" i="124"/>
  <c r="F100" i="124"/>
  <c r="J100" i="124"/>
  <c r="N100" i="124"/>
  <c r="R100" i="124"/>
  <c r="V100" i="124"/>
  <c r="Z100" i="124"/>
  <c r="B32" i="124" l="1"/>
  <c r="B31" i="124" l="1"/>
  <c r="B18" i="124"/>
  <c r="C15" i="124"/>
  <c r="B78" i="124"/>
  <c r="C19" i="127"/>
  <c r="B21" i="127" s="1"/>
  <c r="B22" i="127" s="1"/>
  <c r="B46" i="127" l="1"/>
  <c r="B41" i="127"/>
  <c r="B49" i="127" s="1"/>
  <c r="B13" i="30" l="1"/>
  <c r="B42" i="127"/>
  <c r="B12" i="127" l="1"/>
  <c r="B18" i="127"/>
  <c r="B17" i="127"/>
  <c r="B16" i="127"/>
  <c r="B15" i="127"/>
  <c r="B14" i="127"/>
  <c r="B13" i="127"/>
  <c r="B11" i="124"/>
  <c r="B25" i="124" s="1"/>
  <c r="F49" i="124" s="1"/>
  <c r="G49" i="124" s="1"/>
  <c r="C18" i="124"/>
  <c r="C14" i="124"/>
  <c r="C13" i="124"/>
  <c r="C12" i="124"/>
  <c r="C11" i="124"/>
  <c r="C25" i="124" s="1"/>
  <c r="F48" i="124" s="1"/>
  <c r="G48" i="124" s="1"/>
  <c r="C10" i="124"/>
  <c r="C9" i="124"/>
  <c r="B15" i="124"/>
  <c r="B14" i="124"/>
  <c r="B13" i="124"/>
  <c r="B12" i="124"/>
  <c r="B10" i="124"/>
  <c r="B9" i="124"/>
  <c r="C8" i="124" l="1"/>
  <c r="B19" i="127"/>
  <c r="B25" i="127" s="1"/>
  <c r="B26" i="127" s="1"/>
  <c r="G34" i="128"/>
  <c r="F34" i="128"/>
  <c r="E34" i="128"/>
  <c r="E33" i="128"/>
  <c r="F30" i="128"/>
  <c r="E30" i="128"/>
  <c r="G29" i="128"/>
  <c r="F29" i="128"/>
  <c r="E29" i="128"/>
  <c r="D34" i="128"/>
  <c r="D35" i="128" s="1"/>
  <c r="D33" i="128"/>
  <c r="D30" i="128"/>
  <c r="D29" i="128"/>
  <c r="AQ13" i="128"/>
  <c r="AR13" i="128" s="1"/>
  <c r="AZ13" i="128" s="1"/>
  <c r="BH14" i="128"/>
  <c r="G30" i="128" s="1"/>
  <c r="BU14" i="128"/>
  <c r="H30" i="128" s="1"/>
  <c r="BL15" i="128"/>
  <c r="H33" i="128"/>
  <c r="H29" i="128"/>
  <c r="C29" i="128"/>
  <c r="C34" i="128"/>
  <c r="C33" i="128"/>
  <c r="C30" i="128"/>
  <c r="C31" i="128" s="1"/>
  <c r="A28" i="128"/>
  <c r="C40" i="127"/>
  <c r="D40" i="127"/>
  <c r="E40" i="127"/>
  <c r="F40" i="127"/>
  <c r="G40" i="127"/>
  <c r="H40" i="127"/>
  <c r="I40" i="127"/>
  <c r="J40" i="127"/>
  <c r="K40" i="127"/>
  <c r="L40" i="127"/>
  <c r="M40" i="127"/>
  <c r="N40" i="127"/>
  <c r="O40" i="127"/>
  <c r="P40" i="127"/>
  <c r="Q40" i="127"/>
  <c r="R40" i="127"/>
  <c r="S40" i="127"/>
  <c r="T40" i="127"/>
  <c r="U40" i="127"/>
  <c r="V40" i="127"/>
  <c r="W40" i="127"/>
  <c r="X40" i="127"/>
  <c r="Y40" i="127"/>
  <c r="Z40" i="127"/>
  <c r="AA40" i="127"/>
  <c r="C41" i="127"/>
  <c r="C46" i="127" s="1"/>
  <c r="D41" i="127"/>
  <c r="D46" i="127" s="1"/>
  <c r="E41" i="127"/>
  <c r="E46" i="127" s="1"/>
  <c r="F41" i="127"/>
  <c r="F46" i="127" s="1"/>
  <c r="G41" i="127"/>
  <c r="G46" i="127" s="1"/>
  <c r="H41" i="127"/>
  <c r="H46" i="127" s="1"/>
  <c r="I41" i="127"/>
  <c r="I46" i="127" s="1"/>
  <c r="J41" i="127"/>
  <c r="J46" i="127" s="1"/>
  <c r="K41" i="127"/>
  <c r="K46" i="127" s="1"/>
  <c r="L41" i="127"/>
  <c r="L46" i="127" s="1"/>
  <c r="M41" i="127"/>
  <c r="M46" i="127" s="1"/>
  <c r="N41" i="127"/>
  <c r="N46" i="127" s="1"/>
  <c r="O41" i="127"/>
  <c r="O46" i="127" s="1"/>
  <c r="P41" i="127"/>
  <c r="P46" i="127" s="1"/>
  <c r="Q41" i="127"/>
  <c r="Q46" i="127" s="1"/>
  <c r="R41" i="127"/>
  <c r="R46" i="127" s="1"/>
  <c r="S41" i="127"/>
  <c r="S46" i="127" s="1"/>
  <c r="T41" i="127"/>
  <c r="T46" i="127" s="1"/>
  <c r="U41" i="127"/>
  <c r="U46" i="127" s="1"/>
  <c r="V41" i="127"/>
  <c r="V46" i="127" s="1"/>
  <c r="W41" i="127"/>
  <c r="W46" i="127" s="1"/>
  <c r="X41" i="127"/>
  <c r="X46" i="127" s="1"/>
  <c r="Y41" i="127"/>
  <c r="Y46" i="127" s="1"/>
  <c r="Z41" i="127"/>
  <c r="Z46" i="127" s="1"/>
  <c r="AA41" i="127"/>
  <c r="AA46" i="127" s="1"/>
  <c r="B8" i="127"/>
  <c r="D8" i="127"/>
  <c r="D9" i="127"/>
  <c r="E9" i="127" s="1"/>
  <c r="D10" i="127"/>
  <c r="E10" i="127" s="1"/>
  <c r="D11" i="127"/>
  <c r="D12" i="127"/>
  <c r="D13" i="127"/>
  <c r="E13" i="127" s="1"/>
  <c r="D14" i="127"/>
  <c r="D15" i="127"/>
  <c r="E15" i="127" s="1"/>
  <c r="D16" i="127"/>
  <c r="D17" i="127"/>
  <c r="E17" i="127" s="1"/>
  <c r="D18" i="127"/>
  <c r="M74" i="124"/>
  <c r="N74" i="124"/>
  <c r="O74" i="124"/>
  <c r="P74" i="124"/>
  <c r="Q74" i="124"/>
  <c r="R74" i="124"/>
  <c r="S74" i="124"/>
  <c r="T74" i="124"/>
  <c r="U74" i="124"/>
  <c r="V74" i="124"/>
  <c r="W74" i="124"/>
  <c r="X74" i="124"/>
  <c r="Y74" i="124"/>
  <c r="Z74" i="124"/>
  <c r="AA74" i="124"/>
  <c r="M75" i="124"/>
  <c r="N75" i="124"/>
  <c r="O75" i="124"/>
  <c r="P75" i="124"/>
  <c r="Q75" i="124"/>
  <c r="R75" i="124"/>
  <c r="S75" i="124"/>
  <c r="T75" i="124"/>
  <c r="U75" i="124"/>
  <c r="V75" i="124"/>
  <c r="W75" i="124"/>
  <c r="X75" i="124"/>
  <c r="Y75" i="124"/>
  <c r="Z75" i="124"/>
  <c r="AA75" i="124"/>
  <c r="C74" i="124"/>
  <c r="D74" i="124"/>
  <c r="E74" i="124"/>
  <c r="F74" i="124"/>
  <c r="G74" i="124"/>
  <c r="H74" i="124"/>
  <c r="I74" i="124"/>
  <c r="J74" i="124"/>
  <c r="K74" i="124"/>
  <c r="L74" i="124"/>
  <c r="C75" i="124"/>
  <c r="D75" i="124"/>
  <c r="E75" i="124"/>
  <c r="F75" i="124"/>
  <c r="G75" i="124"/>
  <c r="H75" i="124"/>
  <c r="I75" i="124"/>
  <c r="J75" i="124"/>
  <c r="K75" i="124"/>
  <c r="L75" i="124"/>
  <c r="B75" i="124"/>
  <c r="B85" i="124"/>
  <c r="C78" i="124"/>
  <c r="D78" i="124"/>
  <c r="E78" i="124"/>
  <c r="F78" i="124"/>
  <c r="G78" i="124"/>
  <c r="H78" i="124"/>
  <c r="I78" i="124"/>
  <c r="J78" i="124"/>
  <c r="K78" i="124"/>
  <c r="L78" i="124"/>
  <c r="M78" i="124"/>
  <c r="N78" i="124"/>
  <c r="O78" i="124"/>
  <c r="P78" i="124"/>
  <c r="Q78" i="124"/>
  <c r="R78" i="124"/>
  <c r="S78" i="124"/>
  <c r="T78" i="124"/>
  <c r="U78" i="124"/>
  <c r="V78" i="124"/>
  <c r="W78" i="124"/>
  <c r="X78" i="124"/>
  <c r="Y78" i="124"/>
  <c r="Z78" i="124"/>
  <c r="AA78" i="124"/>
  <c r="C57" i="124"/>
  <c r="B70" i="124"/>
  <c r="D15" i="124"/>
  <c r="E15" i="124" s="1"/>
  <c r="B17" i="124" s="1"/>
  <c r="D7" i="124"/>
  <c r="E7" i="124" s="1"/>
  <c r="D6" i="124"/>
  <c r="B6" i="124"/>
  <c r="D5" i="124"/>
  <c r="B5" i="124"/>
  <c r="C4" i="124"/>
  <c r="B47" i="127" l="1"/>
  <c r="H47" i="127"/>
  <c r="L47" i="127"/>
  <c r="P47" i="127"/>
  <c r="T47" i="127"/>
  <c r="X47" i="127"/>
  <c r="C47" i="127"/>
  <c r="M47" i="127"/>
  <c r="Y47" i="127"/>
  <c r="D47" i="127"/>
  <c r="G47" i="127"/>
  <c r="S47" i="127"/>
  <c r="E47" i="127"/>
  <c r="I47" i="127"/>
  <c r="Q47" i="127"/>
  <c r="U47" i="127"/>
  <c r="F47" i="127"/>
  <c r="J47" i="127"/>
  <c r="N47" i="127"/>
  <c r="R47" i="127"/>
  <c r="V47" i="127"/>
  <c r="Z47" i="127"/>
  <c r="K47" i="127"/>
  <c r="O47" i="127"/>
  <c r="W47" i="127"/>
  <c r="AA47" i="127"/>
  <c r="Z13" i="30"/>
  <c r="X13" i="30"/>
  <c r="AA13" i="30"/>
  <c r="T49" i="127"/>
  <c r="T13" i="30"/>
  <c r="P49" i="127"/>
  <c r="L49" i="127"/>
  <c r="H49" i="127"/>
  <c r="D49" i="127"/>
  <c r="W49" i="127"/>
  <c r="W13" i="30"/>
  <c r="S49" i="127"/>
  <c r="S13" i="30"/>
  <c r="O49" i="127"/>
  <c r="K49" i="127"/>
  <c r="G49" i="127"/>
  <c r="C49" i="127"/>
  <c r="C13" i="30"/>
  <c r="V49" i="127"/>
  <c r="V13" i="30"/>
  <c r="R49" i="127"/>
  <c r="N49" i="127"/>
  <c r="J49" i="127"/>
  <c r="F49" i="127"/>
  <c r="U49" i="127"/>
  <c r="U13" i="30"/>
  <c r="Q49" i="127"/>
  <c r="M49" i="127"/>
  <c r="I49" i="127"/>
  <c r="E49" i="127"/>
  <c r="D65" i="124"/>
  <c r="D63" i="124"/>
  <c r="X42" i="127"/>
  <c r="T42" i="127"/>
  <c r="P42" i="127"/>
  <c r="L42" i="127"/>
  <c r="H42" i="127"/>
  <c r="D4" i="124"/>
  <c r="C21" i="124"/>
  <c r="B71" i="124"/>
  <c r="V85" i="124"/>
  <c r="R85" i="124"/>
  <c r="N85" i="124"/>
  <c r="J85" i="124"/>
  <c r="F85" i="124"/>
  <c r="Z85" i="124"/>
  <c r="E18" i="127"/>
  <c r="D19" i="127"/>
  <c r="D31" i="128"/>
  <c r="Z42" i="127"/>
  <c r="V42" i="127"/>
  <c r="R42" i="127"/>
  <c r="N42" i="127"/>
  <c r="J42" i="127"/>
  <c r="F42" i="127"/>
  <c r="D42" i="127"/>
  <c r="E11" i="127"/>
  <c r="E31" i="128"/>
  <c r="E35" i="128"/>
  <c r="Y85" i="124"/>
  <c r="U85" i="124"/>
  <c r="Q85" i="124"/>
  <c r="M85" i="124"/>
  <c r="I85" i="124"/>
  <c r="E85" i="124"/>
  <c r="Y42" i="127"/>
  <c r="U42" i="127"/>
  <c r="Q42" i="127"/>
  <c r="M42" i="127"/>
  <c r="I42" i="127"/>
  <c r="E42" i="127"/>
  <c r="G31" i="128"/>
  <c r="I29" i="128"/>
  <c r="BT15" i="128"/>
  <c r="E8" i="127"/>
  <c r="H31" i="128"/>
  <c r="AA85" i="124"/>
  <c r="W85" i="124"/>
  <c r="S85" i="124"/>
  <c r="O85" i="124"/>
  <c r="K85" i="124"/>
  <c r="G85" i="124"/>
  <c r="C85" i="124"/>
  <c r="AA42" i="127"/>
  <c r="W42" i="127"/>
  <c r="S42" i="127"/>
  <c r="O42" i="127"/>
  <c r="K42" i="127"/>
  <c r="G42" i="127"/>
  <c r="C42" i="127"/>
  <c r="F31" i="128"/>
  <c r="X85" i="124"/>
  <c r="T85" i="124"/>
  <c r="P85" i="124"/>
  <c r="L85" i="124"/>
  <c r="H85" i="124"/>
  <c r="D85" i="124"/>
  <c r="I30" i="128"/>
  <c r="AB41" i="127"/>
  <c r="AB46" i="127" s="1"/>
  <c r="C35" i="128"/>
  <c r="F33" i="128"/>
  <c r="F35" i="128" s="1"/>
  <c r="Y13" i="30"/>
  <c r="AB40" i="127"/>
  <c r="AC40" i="127" s="1"/>
  <c r="AD40" i="127" s="1"/>
  <c r="AE40" i="127" s="1"/>
  <c r="AF40" i="127" s="1"/>
  <c r="AG40" i="127" s="1"/>
  <c r="AH40" i="127" s="1"/>
  <c r="AI40" i="127" s="1"/>
  <c r="AJ40" i="127" s="1"/>
  <c r="AK40" i="127" s="1"/>
  <c r="E5" i="124"/>
  <c r="BA13" i="128"/>
  <c r="BB13" i="128" s="1"/>
  <c r="E16" i="127"/>
  <c r="E14" i="127"/>
  <c r="E12" i="127"/>
  <c r="AB74" i="124"/>
  <c r="AC74" i="124" s="1"/>
  <c r="AD74" i="124" s="1"/>
  <c r="AE74" i="124" s="1"/>
  <c r="AF74" i="124" s="1"/>
  <c r="AG74" i="124" s="1"/>
  <c r="AB75" i="124"/>
  <c r="AC75" i="124" s="1"/>
  <c r="AD75" i="124" s="1"/>
  <c r="AE75" i="124" s="1"/>
  <c r="AF75" i="124" s="1"/>
  <c r="AG75" i="124" s="1"/>
  <c r="AH75" i="124" s="1"/>
  <c r="AI75" i="124" s="1"/>
  <c r="AJ75" i="124" s="1"/>
  <c r="AK75" i="124" s="1"/>
  <c r="B8" i="124"/>
  <c r="B4" i="124"/>
  <c r="E6" i="124"/>
  <c r="D10" i="124"/>
  <c r="E10" i="124" s="1"/>
  <c r="D12" i="124"/>
  <c r="D18" i="124"/>
  <c r="D11" i="124"/>
  <c r="D25" i="124" s="1"/>
  <c r="C17" i="124"/>
  <c r="D64" i="43"/>
  <c r="D71" i="43"/>
  <c r="D72" i="43"/>
  <c r="D79" i="43"/>
  <c r="D80" i="43"/>
  <c r="D82" i="43"/>
  <c r="D87" i="43"/>
  <c r="D88" i="43"/>
  <c r="D89" i="43"/>
  <c r="D90" i="43"/>
  <c r="D91" i="43"/>
  <c r="D92" i="43"/>
  <c r="D93" i="43"/>
  <c r="D94" i="43"/>
  <c r="D95" i="43"/>
  <c r="D96" i="43"/>
  <c r="D97" i="43"/>
  <c r="D98" i="43"/>
  <c r="D99" i="43"/>
  <c r="D101" i="43"/>
  <c r="D102" i="43"/>
  <c r="D103" i="43"/>
  <c r="D104" i="43"/>
  <c r="D105" i="43"/>
  <c r="D106" i="43"/>
  <c r="D109" i="43"/>
  <c r="D110" i="43"/>
  <c r="D111" i="43"/>
  <c r="D112" i="43"/>
  <c r="D113" i="43"/>
  <c r="D114" i="43"/>
  <c r="D115" i="43"/>
  <c r="D116" i="43"/>
  <c r="D117" i="43"/>
  <c r="D118" i="43"/>
  <c r="AB47" i="127" l="1"/>
  <c r="AC41" i="127"/>
  <c r="AC46" i="127" s="1"/>
  <c r="B63" i="124"/>
  <c r="I63" i="124" s="1"/>
  <c r="B65" i="124"/>
  <c r="I65" i="124" s="1"/>
  <c r="L13" i="30"/>
  <c r="Q13" i="30"/>
  <c r="I13" i="30"/>
  <c r="R13" i="30"/>
  <c r="J13" i="30"/>
  <c r="K13" i="30"/>
  <c r="P13" i="30"/>
  <c r="E13" i="30"/>
  <c r="N13" i="30"/>
  <c r="O13" i="30"/>
  <c r="D13" i="30"/>
  <c r="H13" i="30"/>
  <c r="M13" i="30"/>
  <c r="F13" i="30"/>
  <c r="G13" i="30"/>
  <c r="B21" i="124"/>
  <c r="E16" i="124"/>
  <c r="D8" i="124"/>
  <c r="D21" i="124" s="1"/>
  <c r="E19" i="127"/>
  <c r="I31" i="128"/>
  <c r="C16" i="30"/>
  <c r="BU15" i="128"/>
  <c r="H34" i="128" s="1"/>
  <c r="C93" i="124"/>
  <c r="B93" i="124"/>
  <c r="D16" i="30"/>
  <c r="H16" i="30"/>
  <c r="L16" i="30"/>
  <c r="P16" i="30"/>
  <c r="T16" i="30"/>
  <c r="X16" i="30"/>
  <c r="E16" i="30"/>
  <c r="I16" i="30"/>
  <c r="M16" i="30"/>
  <c r="Q16" i="30"/>
  <c r="U16" i="30"/>
  <c r="Y16" i="30"/>
  <c r="F16" i="30"/>
  <c r="J16" i="30"/>
  <c r="N16" i="30"/>
  <c r="R16" i="30"/>
  <c r="V16" i="30"/>
  <c r="Z16" i="30"/>
  <c r="B16" i="30"/>
  <c r="G16" i="30"/>
  <c r="K16" i="30"/>
  <c r="O16" i="30"/>
  <c r="S16" i="30"/>
  <c r="W16" i="30"/>
  <c r="AA16" i="30"/>
  <c r="AB42" i="127"/>
  <c r="G33" i="128"/>
  <c r="G35" i="128" s="1"/>
  <c r="O93" i="124"/>
  <c r="S93" i="124"/>
  <c r="W93" i="124"/>
  <c r="AA93" i="124"/>
  <c r="D93" i="124"/>
  <c r="H93" i="124"/>
  <c r="L93" i="124"/>
  <c r="T93" i="124"/>
  <c r="AB93" i="124"/>
  <c r="I93" i="124"/>
  <c r="P93" i="124"/>
  <c r="X93" i="124"/>
  <c r="E93" i="124"/>
  <c r="M93" i="124"/>
  <c r="Q93" i="124"/>
  <c r="Y93" i="124"/>
  <c r="F93" i="124"/>
  <c r="N93" i="124"/>
  <c r="K93" i="124"/>
  <c r="R93" i="124"/>
  <c r="Z93" i="124"/>
  <c r="G93" i="124"/>
  <c r="U93" i="124"/>
  <c r="J93" i="124"/>
  <c r="V93" i="124"/>
  <c r="AC78" i="124"/>
  <c r="AB85" i="124"/>
  <c r="AH74" i="124"/>
  <c r="AI74" i="124" s="1"/>
  <c r="D17" i="124"/>
  <c r="E11" i="124"/>
  <c r="E25" i="124" s="1"/>
  <c r="B90" i="124"/>
  <c r="E18" i="124"/>
  <c r="D20" i="124" s="1"/>
  <c r="E4" i="124"/>
  <c r="E12" i="124"/>
  <c r="E26" i="124" s="1"/>
  <c r="AD41" i="127" l="1"/>
  <c r="AD46" i="127" s="1"/>
  <c r="AC47" i="127"/>
  <c r="D26" i="124"/>
  <c r="AC42" i="127"/>
  <c r="M107" i="124"/>
  <c r="Y107" i="124"/>
  <c r="R107" i="124"/>
  <c r="X107" i="124"/>
  <c r="H107" i="124"/>
  <c r="S107" i="124"/>
  <c r="C107" i="124"/>
  <c r="I107" i="124"/>
  <c r="U107" i="124"/>
  <c r="N107" i="124"/>
  <c r="T107" i="124"/>
  <c r="D107" i="124"/>
  <c r="O107" i="124"/>
  <c r="B107" i="124"/>
  <c r="Z107" i="124"/>
  <c r="J107" i="124"/>
  <c r="P107" i="124"/>
  <c r="AA107" i="124"/>
  <c r="K107" i="124"/>
  <c r="Q107" i="124"/>
  <c r="V107" i="124"/>
  <c r="F107" i="124"/>
  <c r="E107" i="124"/>
  <c r="L107" i="124"/>
  <c r="W107" i="124"/>
  <c r="G107" i="124"/>
  <c r="W109" i="124"/>
  <c r="G109" i="124"/>
  <c r="P109" i="124"/>
  <c r="B109" i="124"/>
  <c r="V109" i="124"/>
  <c r="F109" i="124"/>
  <c r="Q109" i="124"/>
  <c r="S109" i="124"/>
  <c r="C109" i="124"/>
  <c r="L109" i="124"/>
  <c r="R109" i="124"/>
  <c r="M109" i="124"/>
  <c r="O109" i="124"/>
  <c r="X109" i="124"/>
  <c r="H109" i="124"/>
  <c r="N109" i="124"/>
  <c r="Y109" i="124"/>
  <c r="I109" i="124"/>
  <c r="AA109" i="124"/>
  <c r="K109" i="124"/>
  <c r="T109" i="124"/>
  <c r="D109" i="124"/>
  <c r="Z109" i="124"/>
  <c r="J109" i="124"/>
  <c r="U109" i="124"/>
  <c r="E109" i="124"/>
  <c r="C101" i="124"/>
  <c r="M101" i="124"/>
  <c r="W101" i="124"/>
  <c r="K101" i="124"/>
  <c r="U101" i="124"/>
  <c r="P101" i="124"/>
  <c r="X101" i="124"/>
  <c r="S101" i="124"/>
  <c r="F101" i="124"/>
  <c r="H101" i="124"/>
  <c r="AA101" i="124"/>
  <c r="N101" i="124"/>
  <c r="I101" i="124"/>
  <c r="Z101" i="124"/>
  <c r="D101" i="124"/>
  <c r="V101" i="124"/>
  <c r="Q101" i="124"/>
  <c r="L101" i="124"/>
  <c r="O101" i="124"/>
  <c r="Y101" i="124"/>
  <c r="T101" i="124"/>
  <c r="G101" i="124"/>
  <c r="J101" i="124"/>
  <c r="E101" i="124"/>
  <c r="B101" i="124"/>
  <c r="R101" i="124"/>
  <c r="N99" i="124"/>
  <c r="X99" i="124"/>
  <c r="F99" i="124"/>
  <c r="P99" i="124"/>
  <c r="Z99" i="124"/>
  <c r="M99" i="124"/>
  <c r="C99" i="124"/>
  <c r="R99" i="124"/>
  <c r="V99" i="124"/>
  <c r="E99" i="124"/>
  <c r="O99" i="124"/>
  <c r="B99" i="124"/>
  <c r="B113" i="124" s="1"/>
  <c r="L99" i="124"/>
  <c r="I99" i="124"/>
  <c r="S99" i="124"/>
  <c r="W99" i="124"/>
  <c r="K99" i="124"/>
  <c r="U99" i="124"/>
  <c r="D99" i="124"/>
  <c r="G99" i="124"/>
  <c r="Y99" i="124"/>
  <c r="H99" i="124"/>
  <c r="Q99" i="124"/>
  <c r="AA99" i="124"/>
  <c r="J99" i="124"/>
  <c r="T99" i="124"/>
  <c r="C16" i="124"/>
  <c r="B16" i="124"/>
  <c r="D16" i="124"/>
  <c r="E8" i="124"/>
  <c r="E21" i="124" s="1"/>
  <c r="I33" i="128"/>
  <c r="H35" i="128"/>
  <c r="I34" i="128"/>
  <c r="C90" i="124"/>
  <c r="AD42" i="127"/>
  <c r="AE41" i="127"/>
  <c r="AE46" i="127" s="1"/>
  <c r="AD78" i="124"/>
  <c r="AD90" i="124" s="1"/>
  <c r="AC85" i="124"/>
  <c r="D90" i="124"/>
  <c r="H90" i="124"/>
  <c r="L90" i="124"/>
  <c r="P90" i="124"/>
  <c r="T90" i="124"/>
  <c r="X90" i="124"/>
  <c r="AB90" i="124"/>
  <c r="E90" i="124"/>
  <c r="M90" i="124"/>
  <c r="U90" i="124"/>
  <c r="AC90" i="124"/>
  <c r="I90" i="124"/>
  <c r="Q90" i="124"/>
  <c r="Y90" i="124"/>
  <c r="J90" i="124"/>
  <c r="R90" i="124"/>
  <c r="Z90" i="124"/>
  <c r="G90" i="124"/>
  <c r="W90" i="124"/>
  <c r="K90" i="124"/>
  <c r="S90" i="124"/>
  <c r="AA90" i="124"/>
  <c r="F90" i="124"/>
  <c r="N90" i="124"/>
  <c r="V90" i="124"/>
  <c r="O90" i="124"/>
  <c r="AC93" i="124"/>
  <c r="AB16" i="30"/>
  <c r="AB13" i="30"/>
  <c r="AJ74" i="124"/>
  <c r="AK74" i="124" s="1"/>
  <c r="E19" i="124"/>
  <c r="E24" i="124" s="1"/>
  <c r="E27" i="124" s="1"/>
  <c r="C20" i="124"/>
  <c r="C26" i="124" s="1"/>
  <c r="F50" i="124" s="1"/>
  <c r="G50" i="124" s="1"/>
  <c r="B20" i="124"/>
  <c r="AE47" i="127" l="1"/>
  <c r="AD47" i="127"/>
  <c r="B11" i="30"/>
  <c r="B114" i="124"/>
  <c r="B26" i="124"/>
  <c r="I35" i="128"/>
  <c r="AE42" i="127"/>
  <c r="AF41" i="127"/>
  <c r="AF46" i="127" s="1"/>
  <c r="AE78" i="124"/>
  <c r="AD85" i="124"/>
  <c r="AD93" i="124"/>
  <c r="AC16" i="30"/>
  <c r="AC13" i="30"/>
  <c r="B91" i="124"/>
  <c r="C19" i="124"/>
  <c r="C24" i="124" s="1"/>
  <c r="F46" i="124" s="1"/>
  <c r="G46" i="124" s="1"/>
  <c r="B89" i="124" s="1"/>
  <c r="B19" i="124"/>
  <c r="D19" i="124"/>
  <c r="D24" i="124" s="1"/>
  <c r="D27" i="124" s="1"/>
  <c r="E151" i="43"/>
  <c r="F151" i="43"/>
  <c r="G151" i="43"/>
  <c r="H151" i="43"/>
  <c r="I151" i="43"/>
  <c r="J151" i="43"/>
  <c r="K151" i="43"/>
  <c r="L151" i="43"/>
  <c r="M151" i="43"/>
  <c r="N151" i="43" s="1"/>
  <c r="O151" i="43" s="1"/>
  <c r="P151" i="43" s="1"/>
  <c r="Q151" i="43" s="1"/>
  <c r="R151" i="43" s="1"/>
  <c r="S151" i="43" s="1"/>
  <c r="T151" i="43" s="1"/>
  <c r="U151" i="43" s="1"/>
  <c r="V151" i="43" s="1"/>
  <c r="W151" i="43" s="1"/>
  <c r="X151" i="43" s="1"/>
  <c r="Y151" i="43" s="1"/>
  <c r="Z151" i="43" s="1"/>
  <c r="AA151" i="43" s="1"/>
  <c r="AB151" i="43" s="1"/>
  <c r="AC151" i="43" s="1"/>
  <c r="AD151" i="43" s="1"/>
  <c r="AE151" i="43" s="1"/>
  <c r="AF151" i="43" s="1"/>
  <c r="AG151" i="43" s="1"/>
  <c r="AH151" i="43" s="1"/>
  <c r="AI151" i="43" s="1"/>
  <c r="AJ151" i="43" s="1"/>
  <c r="AK151" i="43" s="1"/>
  <c r="AL151" i="43" s="1"/>
  <c r="AM151" i="43" s="1"/>
  <c r="AN151" i="43" s="1"/>
  <c r="AO151" i="43" s="1"/>
  <c r="AP151" i="43" s="1"/>
  <c r="AQ151" i="43" s="1"/>
  <c r="AR151" i="43" s="1"/>
  <c r="AS151" i="43" s="1"/>
  <c r="AT151" i="43" s="1"/>
  <c r="AU151" i="43" s="1"/>
  <c r="AV151" i="43" s="1"/>
  <c r="D150" i="43"/>
  <c r="E150" i="43"/>
  <c r="F150" i="43"/>
  <c r="G150" i="43"/>
  <c r="H150" i="43"/>
  <c r="I150" i="43"/>
  <c r="J150" i="43"/>
  <c r="K150" i="43"/>
  <c r="L150" i="43"/>
  <c r="M150" i="43"/>
  <c r="N150" i="43" s="1"/>
  <c r="O150" i="43" s="1"/>
  <c r="P150" i="43" s="1"/>
  <c r="D151" i="43"/>
  <c r="L157" i="43"/>
  <c r="K157" i="43"/>
  <c r="J157" i="43"/>
  <c r="I157" i="43"/>
  <c r="H157" i="43"/>
  <c r="G157" i="43"/>
  <c r="F157" i="43"/>
  <c r="E157" i="43"/>
  <c r="D157" i="43"/>
  <c r="L155" i="43"/>
  <c r="L160" i="43" s="1"/>
  <c r="L2" i="43" s="1"/>
  <c r="K155" i="43"/>
  <c r="J155" i="43"/>
  <c r="I155" i="43"/>
  <c r="H155" i="43"/>
  <c r="G155" i="43"/>
  <c r="F155" i="43"/>
  <c r="E155" i="43"/>
  <c r="D155" i="43"/>
  <c r="D160" i="43" s="1"/>
  <c r="D2" i="43" s="1"/>
  <c r="L156" i="43"/>
  <c r="L162" i="43" s="1"/>
  <c r="K156" i="43"/>
  <c r="K162" i="43" s="1"/>
  <c r="J156" i="43"/>
  <c r="J162" i="43" s="1"/>
  <c r="I156" i="43"/>
  <c r="I162" i="43" s="1"/>
  <c r="H156" i="43"/>
  <c r="H162" i="43" s="1"/>
  <c r="G156" i="43"/>
  <c r="G162" i="43" s="1"/>
  <c r="F156" i="43"/>
  <c r="F162" i="43" s="1"/>
  <c r="E156" i="43"/>
  <c r="E162" i="43" s="1"/>
  <c r="D156" i="43"/>
  <c r="D162" i="43" s="1"/>
  <c r="D13" i="43" s="1"/>
  <c r="D74" i="43" s="1"/>
  <c r="E153" i="43"/>
  <c r="F153" i="43"/>
  <c r="G153" i="43"/>
  <c r="H153" i="43"/>
  <c r="I153" i="43"/>
  <c r="J153" i="43"/>
  <c r="K153" i="43"/>
  <c r="L153" i="43"/>
  <c r="M153" i="43"/>
  <c r="N153" i="43"/>
  <c r="O153" i="43"/>
  <c r="P153" i="43"/>
  <c r="Q153" i="43"/>
  <c r="R153" i="43"/>
  <c r="S153" i="43"/>
  <c r="T153" i="43"/>
  <c r="U153" i="43"/>
  <c r="V153" i="43"/>
  <c r="W153" i="43"/>
  <c r="X153" i="43"/>
  <c r="Y153" i="43"/>
  <c r="Z153" i="43"/>
  <c r="AA153" i="43"/>
  <c r="AB153" i="43"/>
  <c r="AC153" i="43"/>
  <c r="AD153" i="43"/>
  <c r="AE153" i="43"/>
  <c r="AF153" i="43"/>
  <c r="AG153" i="43"/>
  <c r="AH153" i="43"/>
  <c r="AI153" i="43"/>
  <c r="AJ153" i="43"/>
  <c r="AK153" i="43"/>
  <c r="AL153" i="43"/>
  <c r="AM153" i="43"/>
  <c r="AN153" i="43"/>
  <c r="AO153" i="43"/>
  <c r="AP153" i="43"/>
  <c r="AQ153" i="43"/>
  <c r="AR153" i="43"/>
  <c r="AS153" i="43"/>
  <c r="AT153" i="43"/>
  <c r="AU153" i="43"/>
  <c r="AV153" i="43"/>
  <c r="D153" i="43"/>
  <c r="E152" i="43"/>
  <c r="F152" i="43"/>
  <c r="G152" i="43"/>
  <c r="H152" i="43"/>
  <c r="I152" i="43"/>
  <c r="J152" i="43"/>
  <c r="K152" i="43"/>
  <c r="L152" i="43"/>
  <c r="M152" i="43"/>
  <c r="N152" i="43"/>
  <c r="O152" i="43"/>
  <c r="P152" i="43"/>
  <c r="Q152" i="43"/>
  <c r="R152" i="43"/>
  <c r="S152" i="43"/>
  <c r="T152" i="43"/>
  <c r="U152" i="43"/>
  <c r="V152" i="43"/>
  <c r="W152" i="43"/>
  <c r="X152" i="43"/>
  <c r="Y152" i="43"/>
  <c r="Z152" i="43"/>
  <c r="AA152" i="43"/>
  <c r="AB152" i="43"/>
  <c r="AC152" i="43"/>
  <c r="AD152" i="43"/>
  <c r="AE152" i="43"/>
  <c r="AF152" i="43"/>
  <c r="AG152" i="43"/>
  <c r="AH152" i="43"/>
  <c r="AI152" i="43"/>
  <c r="AJ152" i="43"/>
  <c r="AK152" i="43"/>
  <c r="AL152" i="43"/>
  <c r="AM152" i="43"/>
  <c r="AN152" i="43"/>
  <c r="AO152" i="43"/>
  <c r="AP152" i="43"/>
  <c r="AQ152" i="43"/>
  <c r="AR152" i="43"/>
  <c r="AS152" i="43"/>
  <c r="AT152" i="43"/>
  <c r="AU152" i="43"/>
  <c r="AV152" i="43"/>
  <c r="D152" i="43"/>
  <c r="E143" i="43"/>
  <c r="F143" i="43" s="1"/>
  <c r="G143" i="43" s="1"/>
  <c r="H143" i="43" s="1"/>
  <c r="I143" i="43" s="1"/>
  <c r="J143" i="43" s="1"/>
  <c r="K143" i="43" s="1"/>
  <c r="L143" i="43" s="1"/>
  <c r="M143" i="43" s="1"/>
  <c r="N143" i="43" s="1"/>
  <c r="O143" i="43" s="1"/>
  <c r="P143" i="43" s="1"/>
  <c r="Q143" i="43" s="1"/>
  <c r="R143" i="43" s="1"/>
  <c r="S143" i="43" s="1"/>
  <c r="T143" i="43" s="1"/>
  <c r="U143" i="43" s="1"/>
  <c r="V143" i="43" s="1"/>
  <c r="W143" i="43" s="1"/>
  <c r="X143" i="43" s="1"/>
  <c r="Y143" i="43" s="1"/>
  <c r="Z143" i="43" s="1"/>
  <c r="AA143" i="43" s="1"/>
  <c r="AB143" i="43" s="1"/>
  <c r="AC143" i="43" s="1"/>
  <c r="AD143" i="43" s="1"/>
  <c r="AE143" i="43" s="1"/>
  <c r="AF143" i="43" s="1"/>
  <c r="AG143" i="43" s="1"/>
  <c r="AH143" i="43" s="1"/>
  <c r="AI143" i="43" s="1"/>
  <c r="AJ143" i="43" s="1"/>
  <c r="AK143" i="43" s="1"/>
  <c r="AL143" i="43" s="1"/>
  <c r="AM143" i="43" s="1"/>
  <c r="AN143" i="43" s="1"/>
  <c r="AO143" i="43" s="1"/>
  <c r="AP143" i="43" s="1"/>
  <c r="AQ143" i="43" s="1"/>
  <c r="AR143" i="43" s="1"/>
  <c r="AS143" i="43" s="1"/>
  <c r="AT143" i="43" s="1"/>
  <c r="AU143" i="43" s="1"/>
  <c r="AV143" i="43" s="1"/>
  <c r="L12" i="43"/>
  <c r="H12" i="43"/>
  <c r="K12" i="43"/>
  <c r="J12" i="43"/>
  <c r="G12" i="43"/>
  <c r="D12" i="43"/>
  <c r="E12" i="43"/>
  <c r="F12" i="43"/>
  <c r="I12" i="43"/>
  <c r="F51" i="124" l="1"/>
  <c r="G51" i="124" s="1"/>
  <c r="B94" i="124" s="1"/>
  <c r="AF47" i="127"/>
  <c r="B24" i="124"/>
  <c r="F47" i="124" s="1"/>
  <c r="G47" i="124" s="1"/>
  <c r="C27" i="124"/>
  <c r="C91" i="124"/>
  <c r="AF42" i="127"/>
  <c r="AG41" i="127"/>
  <c r="AG46" i="127" s="1"/>
  <c r="F91" i="124"/>
  <c r="J91" i="124"/>
  <c r="N91" i="124"/>
  <c r="R91" i="124"/>
  <c r="V91" i="124"/>
  <c r="Z91" i="124"/>
  <c r="AD91" i="124"/>
  <c r="AH91" i="124"/>
  <c r="G91" i="124"/>
  <c r="O91" i="124"/>
  <c r="S91" i="124"/>
  <c r="AA91" i="124"/>
  <c r="AI91" i="124"/>
  <c r="K91" i="124"/>
  <c r="W91" i="124"/>
  <c r="AE91" i="124"/>
  <c r="H91" i="124"/>
  <c r="P91" i="124"/>
  <c r="X91" i="124"/>
  <c r="AF91" i="124"/>
  <c r="E91" i="124"/>
  <c r="U91" i="124"/>
  <c r="AC91" i="124"/>
  <c r="AK91" i="124"/>
  <c r="I91" i="124"/>
  <c r="Q91" i="124"/>
  <c r="Y91" i="124"/>
  <c r="AG91" i="124"/>
  <c r="D91" i="124"/>
  <c r="L91" i="124"/>
  <c r="T91" i="124"/>
  <c r="AB91" i="124"/>
  <c r="AJ91" i="124"/>
  <c r="M91" i="124"/>
  <c r="AF78" i="124"/>
  <c r="AE85" i="124"/>
  <c r="AE93" i="124"/>
  <c r="AE90" i="124"/>
  <c r="C94" i="124"/>
  <c r="G94" i="124"/>
  <c r="K94" i="124"/>
  <c r="O94" i="124"/>
  <c r="S94" i="124"/>
  <c r="W94" i="124"/>
  <c r="AA94" i="124"/>
  <c r="AE94" i="124"/>
  <c r="AI94" i="124"/>
  <c r="H94" i="124"/>
  <c r="L94" i="124"/>
  <c r="P94" i="124"/>
  <c r="T94" i="124"/>
  <c r="X94" i="124"/>
  <c r="AB94" i="124"/>
  <c r="AF94" i="124"/>
  <c r="AJ94" i="124"/>
  <c r="D94" i="124"/>
  <c r="E94" i="124"/>
  <c r="M94" i="124"/>
  <c r="U94" i="124"/>
  <c r="AC94" i="124"/>
  <c r="AK94" i="124"/>
  <c r="J94" i="124"/>
  <c r="R94" i="124"/>
  <c r="Z94" i="124"/>
  <c r="AH94" i="124"/>
  <c r="F94" i="124"/>
  <c r="N94" i="124"/>
  <c r="V94" i="124"/>
  <c r="AD94" i="124"/>
  <c r="I94" i="124"/>
  <c r="Q94" i="124"/>
  <c r="Y94" i="124"/>
  <c r="AG94" i="124"/>
  <c r="AD13" i="30"/>
  <c r="AD16" i="30"/>
  <c r="D73" i="43"/>
  <c r="I164" i="43"/>
  <c r="I160" i="43"/>
  <c r="I2" i="43" s="1"/>
  <c r="E164" i="43"/>
  <c r="G163" i="43"/>
  <c r="H163" i="43"/>
  <c r="K164" i="43"/>
  <c r="K163" i="43"/>
  <c r="J163" i="43"/>
  <c r="I163" i="43"/>
  <c r="D164" i="43"/>
  <c r="L163" i="43"/>
  <c r="E163" i="43"/>
  <c r="J164" i="43"/>
  <c r="F164" i="43"/>
  <c r="H164" i="43"/>
  <c r="L164" i="43"/>
  <c r="D163" i="43"/>
  <c r="F163" i="43"/>
  <c r="G164" i="43"/>
  <c r="Q150" i="43"/>
  <c r="G160" i="43"/>
  <c r="G2" i="43" s="1"/>
  <c r="H161" i="43"/>
  <c r="H5" i="43" s="1"/>
  <c r="J160" i="43"/>
  <c r="J2" i="43" s="1"/>
  <c r="K160" i="43"/>
  <c r="K2" i="43" s="1"/>
  <c r="L161" i="43"/>
  <c r="L5" i="43" s="1"/>
  <c r="D161" i="43"/>
  <c r="D5" i="43" s="1"/>
  <c r="I161" i="43"/>
  <c r="I5" i="43" s="1"/>
  <c r="E161" i="43"/>
  <c r="E5" i="43" s="1"/>
  <c r="F161" i="43"/>
  <c r="F5" i="43" s="1"/>
  <c r="G161" i="43"/>
  <c r="G5" i="43" s="1"/>
  <c r="K161" i="43"/>
  <c r="K5" i="43" s="1"/>
  <c r="H160" i="43"/>
  <c r="H2" i="43" s="1"/>
  <c r="J161" i="43"/>
  <c r="J5" i="43" s="1"/>
  <c r="F160" i="43"/>
  <c r="F2" i="43" s="1"/>
  <c r="E160" i="43"/>
  <c r="E2" i="43" s="1"/>
  <c r="M156" i="43"/>
  <c r="M162" i="43" s="1"/>
  <c r="M157" i="43"/>
  <c r="M155" i="43"/>
  <c r="AG47" i="127" l="1"/>
  <c r="B27" i="124"/>
  <c r="AG42" i="127"/>
  <c r="AH41" i="127"/>
  <c r="AH46" i="127" s="1"/>
  <c r="D92" i="124"/>
  <c r="H92" i="124"/>
  <c r="L92" i="124"/>
  <c r="L12" i="30" s="1"/>
  <c r="P92" i="124"/>
  <c r="T92" i="124"/>
  <c r="X92" i="124"/>
  <c r="AB92" i="124"/>
  <c r="AB12" i="30" s="1"/>
  <c r="AF92" i="124"/>
  <c r="E92" i="124"/>
  <c r="I92" i="124"/>
  <c r="I12" i="30" s="1"/>
  <c r="M92" i="124"/>
  <c r="Q92" i="124"/>
  <c r="U92" i="124"/>
  <c r="Y92" i="124"/>
  <c r="Y12" i="30" s="1"/>
  <c r="AC92" i="124"/>
  <c r="F92" i="124"/>
  <c r="F12" i="30" s="1"/>
  <c r="J92" i="124"/>
  <c r="N92" i="124"/>
  <c r="R92" i="124"/>
  <c r="V92" i="124"/>
  <c r="Z92" i="124"/>
  <c r="AD92" i="124"/>
  <c r="B92" i="124"/>
  <c r="C92" i="124"/>
  <c r="G92" i="124"/>
  <c r="K92" i="124"/>
  <c r="O92" i="124"/>
  <c r="S92" i="124"/>
  <c r="W92" i="124"/>
  <c r="AA92" i="124"/>
  <c r="AA12" i="30" s="1"/>
  <c r="AE92" i="124"/>
  <c r="AE12" i="30" s="1"/>
  <c r="F89" i="124"/>
  <c r="F11" i="30" s="1"/>
  <c r="J89" i="124"/>
  <c r="J11" i="30" s="1"/>
  <c r="N89" i="124"/>
  <c r="N11" i="30" s="1"/>
  <c r="R89" i="124"/>
  <c r="R11" i="30" s="1"/>
  <c r="V89" i="124"/>
  <c r="V11" i="30" s="1"/>
  <c r="Z89" i="124"/>
  <c r="Z11" i="30" s="1"/>
  <c r="AD89" i="124"/>
  <c r="AD11" i="30" s="1"/>
  <c r="C89" i="124"/>
  <c r="G89" i="124"/>
  <c r="G11" i="30" s="1"/>
  <c r="K89" i="124"/>
  <c r="K11" i="30" s="1"/>
  <c r="O89" i="124"/>
  <c r="O11" i="30" s="1"/>
  <c r="S89" i="124"/>
  <c r="S11" i="30" s="1"/>
  <c r="W89" i="124"/>
  <c r="W11" i="30" s="1"/>
  <c r="AA89" i="124"/>
  <c r="AE89" i="124"/>
  <c r="AE11" i="30" s="1"/>
  <c r="D89" i="124"/>
  <c r="D11" i="30" s="1"/>
  <c r="H89" i="124"/>
  <c r="L89" i="124"/>
  <c r="L11" i="30" s="1"/>
  <c r="P89" i="124"/>
  <c r="P11" i="30" s="1"/>
  <c r="T89" i="124"/>
  <c r="T11" i="30" s="1"/>
  <c r="X89" i="124"/>
  <c r="X11" i="30" s="1"/>
  <c r="AB89" i="124"/>
  <c r="AB11" i="30" s="1"/>
  <c r="AB9" i="30" s="1"/>
  <c r="AF89" i="124"/>
  <c r="E89" i="124"/>
  <c r="E11" i="30" s="1"/>
  <c r="I89" i="124"/>
  <c r="I11" i="30" s="1"/>
  <c r="M89" i="124"/>
  <c r="M11" i="30" s="1"/>
  <c r="Q89" i="124"/>
  <c r="Q11" i="30" s="1"/>
  <c r="U89" i="124"/>
  <c r="U11" i="30" s="1"/>
  <c r="Y89" i="124"/>
  <c r="Y11" i="30" s="1"/>
  <c r="AC89" i="124"/>
  <c r="AC11" i="30" s="1"/>
  <c r="AG78" i="124"/>
  <c r="AG92" i="124" s="1"/>
  <c r="AF85" i="124"/>
  <c r="AF93" i="124"/>
  <c r="AF90" i="124"/>
  <c r="AE16" i="30"/>
  <c r="AE13" i="30"/>
  <c r="H11" i="30"/>
  <c r="AA11" i="30"/>
  <c r="M164" i="43"/>
  <c r="M163" i="43"/>
  <c r="R150" i="43"/>
  <c r="M161" i="43"/>
  <c r="M5" i="43" s="1"/>
  <c r="D66" i="43" s="1"/>
  <c r="M160" i="43"/>
  <c r="M2" i="43" s="1"/>
  <c r="D63" i="43" s="1"/>
  <c r="AH47" i="127" l="1"/>
  <c r="AF11" i="30"/>
  <c r="AH42" i="127"/>
  <c r="AI41" i="127"/>
  <c r="AI46" i="127" s="1"/>
  <c r="AG89" i="124"/>
  <c r="C11" i="30"/>
  <c r="C9" i="30" s="1"/>
  <c r="AH78" i="124"/>
  <c r="AG85" i="124"/>
  <c r="AG93" i="124"/>
  <c r="AG90" i="124"/>
  <c r="AF13" i="30"/>
  <c r="AF16" i="30"/>
  <c r="B12" i="30"/>
  <c r="B10" i="30" s="1"/>
  <c r="AD12" i="30"/>
  <c r="P12" i="30"/>
  <c r="R12" i="30"/>
  <c r="S12" i="30"/>
  <c r="N12" i="30"/>
  <c r="O12" i="30"/>
  <c r="H12" i="30"/>
  <c r="X12" i="30"/>
  <c r="E12" i="30"/>
  <c r="U12" i="30"/>
  <c r="W12" i="30"/>
  <c r="AC12" i="30"/>
  <c r="Z12" i="30"/>
  <c r="V12" i="30"/>
  <c r="C12" i="30"/>
  <c r="M12" i="30"/>
  <c r="J12" i="30"/>
  <c r="K12" i="30"/>
  <c r="G12" i="30"/>
  <c r="D12" i="30"/>
  <c r="T12" i="30"/>
  <c r="Q12" i="30"/>
  <c r="S150" i="43"/>
  <c r="AI47" i="127" l="1"/>
  <c r="B115" i="124"/>
  <c r="AF12" i="30"/>
  <c r="AH92" i="124"/>
  <c r="AH89" i="124"/>
  <c r="AJ41" i="127"/>
  <c r="AJ46" i="127" s="1"/>
  <c r="AI42" i="127"/>
  <c r="AG11" i="30"/>
  <c r="AI78" i="124"/>
  <c r="AH85" i="124"/>
  <c r="AH93" i="124"/>
  <c r="AH90" i="124"/>
  <c r="AG16" i="30"/>
  <c r="AG13" i="30"/>
  <c r="T150" i="43"/>
  <c r="AJ47" i="127" l="1"/>
  <c r="AI89" i="124"/>
  <c r="AI92" i="124"/>
  <c r="AK41" i="127"/>
  <c r="AK46" i="127" s="1"/>
  <c r="AJ42" i="127"/>
  <c r="AH11" i="30"/>
  <c r="AJ78" i="124"/>
  <c r="AI85" i="124"/>
  <c r="AI93" i="124"/>
  <c r="AI90" i="124"/>
  <c r="AG12" i="30"/>
  <c r="AH13" i="30"/>
  <c r="AH16" i="30"/>
  <c r="U150" i="43"/>
  <c r="AK47" i="127" l="1"/>
  <c r="AK42" i="127"/>
  <c r="AJ92" i="124"/>
  <c r="AJ89" i="124"/>
  <c r="AI11" i="30"/>
  <c r="AH12" i="30"/>
  <c r="AK78" i="124"/>
  <c r="AJ85" i="124"/>
  <c r="AJ93" i="124"/>
  <c r="AJ90" i="124"/>
  <c r="AI16" i="30"/>
  <c r="AI13" i="30"/>
  <c r="V150" i="43"/>
  <c r="AK92" i="124" l="1"/>
  <c r="AK89" i="124"/>
  <c r="AI12" i="30"/>
  <c r="AJ11" i="30"/>
  <c r="AK85" i="124"/>
  <c r="AK93" i="124"/>
  <c r="AK90" i="124"/>
  <c r="AK13" i="30"/>
  <c r="AJ13" i="30"/>
  <c r="AK16" i="30"/>
  <c r="AJ16" i="30"/>
  <c r="W150" i="43"/>
  <c r="AK11" i="30" l="1"/>
  <c r="AK12" i="30"/>
  <c r="AJ12" i="30"/>
  <c r="X150" i="43"/>
  <c r="Y150" i="43" l="1"/>
  <c r="Z150" i="43" l="1"/>
  <c r="AA150" i="43" l="1"/>
  <c r="AB150" i="43" l="1"/>
  <c r="AC150" i="43" l="1"/>
  <c r="AD150" i="43" l="1"/>
  <c r="AE150" i="43" l="1"/>
  <c r="AF150" i="43" l="1"/>
  <c r="AG150" i="43" l="1"/>
  <c r="AH150" i="43" l="1"/>
  <c r="AI150" i="43" l="1"/>
  <c r="AJ150" i="43" l="1"/>
  <c r="AK150" i="43" l="1"/>
  <c r="AL150" i="43" l="1"/>
  <c r="AM150" i="43" l="1"/>
  <c r="AN150" i="43" l="1"/>
  <c r="AO150" i="43" s="1"/>
  <c r="AP150" i="43" s="1"/>
  <c r="AQ150" i="43" s="1"/>
  <c r="AR150" i="43" s="1"/>
  <c r="AS150" i="43" s="1"/>
  <c r="AT150" i="43" s="1"/>
  <c r="AU150" i="43" s="1"/>
  <c r="AV150" i="43" s="1"/>
  <c r="B32" i="28" l="1"/>
  <c r="B31" i="28"/>
  <c r="B30" i="28"/>
  <c r="D30" i="28"/>
  <c r="B58" i="30" l="1"/>
  <c r="B57" i="30"/>
  <c r="B55" i="30"/>
  <c r="B27" i="18"/>
  <c r="B26" i="18"/>
  <c r="B25" i="18"/>
  <c r="B24" i="18"/>
  <c r="B23" i="18"/>
  <c r="B57" i="18"/>
  <c r="B29" i="18" l="1"/>
  <c r="A2" i="17" l="1"/>
  <c r="M39" i="43" l="1"/>
  <c r="L39" i="43"/>
  <c r="K39" i="43"/>
  <c r="J39" i="43"/>
  <c r="I39" i="43"/>
  <c r="H39" i="43"/>
  <c r="G39" i="43"/>
  <c r="F39" i="43"/>
  <c r="E39" i="43"/>
  <c r="D39" i="43"/>
  <c r="D100" i="43" l="1"/>
  <c r="E2" i="17"/>
  <c r="P8" i="6"/>
  <c r="P5" i="6"/>
  <c r="X2" i="6"/>
  <c r="P15" i="6"/>
  <c r="AW9" i="103"/>
  <c r="AX9" i="103"/>
  <c r="AY9" i="103"/>
  <c r="AZ9" i="103"/>
  <c r="BA9" i="103"/>
  <c r="AV9" i="103"/>
  <c r="AH9" i="103"/>
  <c r="AI9" i="103"/>
  <c r="AJ9" i="103"/>
  <c r="AK9" i="103"/>
  <c r="AL9" i="103"/>
  <c r="AM9" i="103"/>
  <c r="AN9" i="103"/>
  <c r="AO9" i="103"/>
  <c r="AP9" i="103"/>
  <c r="AQ9" i="103"/>
  <c r="AR9" i="103"/>
  <c r="AS9" i="103"/>
  <c r="AT9" i="103"/>
  <c r="AU9" i="103"/>
  <c r="AG9" i="103"/>
  <c r="AH8" i="103"/>
  <c r="AI8" i="103" s="1"/>
  <c r="AJ8" i="103" s="1"/>
  <c r="AK8" i="103" s="1"/>
  <c r="AL8" i="103" s="1"/>
  <c r="AM8" i="103" s="1"/>
  <c r="AN8" i="103" s="1"/>
  <c r="AO8" i="103" s="1"/>
  <c r="AP8" i="103" s="1"/>
  <c r="AQ8" i="103" s="1"/>
  <c r="AR8" i="103" s="1"/>
  <c r="AS8" i="103" s="1"/>
  <c r="AT8" i="103" s="1"/>
  <c r="AU8" i="103" s="1"/>
  <c r="AV8" i="103" s="1"/>
  <c r="AW8" i="103" s="1"/>
  <c r="AX8" i="103" s="1"/>
  <c r="AY8" i="103" s="1"/>
  <c r="AZ8" i="103" s="1"/>
  <c r="BA8" i="103" s="1"/>
  <c r="AF9" i="103"/>
  <c r="AE9" i="103"/>
  <c r="AD9" i="103"/>
  <c r="AC9" i="103"/>
  <c r="B8" i="103"/>
  <c r="C8" i="103"/>
  <c r="D8" i="103"/>
  <c r="E8" i="103"/>
  <c r="F8" i="103"/>
  <c r="G8" i="103"/>
  <c r="H8" i="103"/>
  <c r="I8" i="103"/>
  <c r="J8" i="103"/>
  <c r="K8" i="103"/>
  <c r="L8" i="103"/>
  <c r="M8" i="103"/>
  <c r="N8" i="103"/>
  <c r="O8" i="103"/>
  <c r="P8" i="103"/>
  <c r="Q8" i="103"/>
  <c r="R8" i="103"/>
  <c r="S8" i="103"/>
  <c r="T8" i="103"/>
  <c r="U8" i="103"/>
  <c r="V8" i="103"/>
  <c r="W8" i="103"/>
  <c r="X8" i="103"/>
  <c r="Y8" i="103"/>
  <c r="Z8" i="103"/>
  <c r="AA8" i="103"/>
  <c r="B17" i="103"/>
  <c r="C17" i="103"/>
  <c r="D17" i="103"/>
  <c r="E17" i="103"/>
  <c r="F17" i="103"/>
  <c r="G17" i="103"/>
  <c r="G25" i="103" s="1"/>
  <c r="G30" i="103" s="1"/>
  <c r="G23" i="103"/>
  <c r="G36" i="103"/>
  <c r="H17" i="103"/>
  <c r="I17" i="103"/>
  <c r="J17" i="103"/>
  <c r="K17" i="103"/>
  <c r="L17" i="103"/>
  <c r="M17" i="103"/>
  <c r="N17" i="103"/>
  <c r="O17" i="103"/>
  <c r="O23" i="103"/>
  <c r="O36" i="103"/>
  <c r="P17" i="103"/>
  <c r="Q17" i="103"/>
  <c r="R17" i="103"/>
  <c r="S17" i="103"/>
  <c r="T17" i="103"/>
  <c r="U17" i="103"/>
  <c r="V17" i="103"/>
  <c r="W17" i="103"/>
  <c r="W23" i="103"/>
  <c r="W36" i="103"/>
  <c r="X17" i="103"/>
  <c r="Y17" i="103"/>
  <c r="Z17" i="103"/>
  <c r="AA17" i="103"/>
  <c r="B23" i="103"/>
  <c r="C23" i="103"/>
  <c r="D23" i="103"/>
  <c r="D25" i="103" s="1"/>
  <c r="D30" i="103" s="1"/>
  <c r="D36" i="103"/>
  <c r="E23" i="103"/>
  <c r="E36" i="103"/>
  <c r="F23" i="103"/>
  <c r="H23" i="103"/>
  <c r="I23" i="103"/>
  <c r="J23" i="103"/>
  <c r="K23" i="103"/>
  <c r="L23" i="103"/>
  <c r="M23" i="103"/>
  <c r="M36" i="103"/>
  <c r="N23" i="103"/>
  <c r="P23" i="103"/>
  <c r="Q23" i="103"/>
  <c r="R23" i="103"/>
  <c r="S23" i="103"/>
  <c r="T23" i="103"/>
  <c r="U23" i="103"/>
  <c r="U36" i="103"/>
  <c r="V23" i="103"/>
  <c r="X23" i="103"/>
  <c r="Y23" i="103"/>
  <c r="Z23" i="103"/>
  <c r="AA23" i="103"/>
  <c r="C36" i="103"/>
  <c r="K36" i="103"/>
  <c r="S36" i="103"/>
  <c r="AA36" i="103"/>
  <c r="I36" i="103"/>
  <c r="Q36" i="103"/>
  <c r="Y36" i="103"/>
  <c r="B36" i="103"/>
  <c r="F36" i="103"/>
  <c r="H36" i="103"/>
  <c r="J36" i="103"/>
  <c r="L36" i="103"/>
  <c r="N36" i="103"/>
  <c r="P36" i="103"/>
  <c r="R36" i="103"/>
  <c r="T36" i="103"/>
  <c r="V36" i="103"/>
  <c r="X36" i="103"/>
  <c r="Z36" i="103"/>
  <c r="B46" i="103"/>
  <c r="C46" i="103"/>
  <c r="D46" i="103"/>
  <c r="E46" i="103"/>
  <c r="F46" i="103"/>
  <c r="G46" i="103"/>
  <c r="H46" i="103"/>
  <c r="I46" i="103"/>
  <c r="J46" i="103"/>
  <c r="K46" i="103"/>
  <c r="L46" i="103"/>
  <c r="M46" i="103"/>
  <c r="N46" i="103"/>
  <c r="O46" i="103"/>
  <c r="P46" i="103"/>
  <c r="Q46" i="103"/>
  <c r="R46" i="103"/>
  <c r="S46" i="103"/>
  <c r="T46" i="103"/>
  <c r="U46" i="103"/>
  <c r="V46" i="103"/>
  <c r="W46" i="103"/>
  <c r="X46" i="103"/>
  <c r="Y46" i="103"/>
  <c r="Z46" i="103"/>
  <c r="AA46" i="103"/>
  <c r="Q16" i="6"/>
  <c r="Q8" i="6"/>
  <c r="Q6" i="6"/>
  <c r="R16" i="6"/>
  <c r="R8" i="6"/>
  <c r="R6" i="6"/>
  <c r="S16" i="6"/>
  <c r="S8" i="6"/>
  <c r="S6" i="6"/>
  <c r="T16" i="6"/>
  <c r="T8" i="6"/>
  <c r="T6" i="6"/>
  <c r="P16" i="6"/>
  <c r="P6" i="6"/>
  <c r="P9" i="6" s="1"/>
  <c r="Q5" i="6"/>
  <c r="Q15" i="6"/>
  <c r="R5" i="6"/>
  <c r="R15" i="6"/>
  <c r="S5" i="6"/>
  <c r="S15" i="6"/>
  <c r="T5" i="6"/>
  <c r="T15" i="6"/>
  <c r="Q7" i="6"/>
  <c r="R7" i="6"/>
  <c r="S7" i="6"/>
  <c r="T7" i="6"/>
  <c r="P7" i="6"/>
  <c r="Y29" i="46"/>
  <c r="Z29" i="46"/>
  <c r="AA29" i="46"/>
  <c r="AB29" i="46"/>
  <c r="AC29" i="46"/>
  <c r="AD29" i="46"/>
  <c r="AE29" i="46"/>
  <c r="AF29" i="46"/>
  <c r="AG29" i="46"/>
  <c r="AH29" i="46"/>
  <c r="AI29" i="46"/>
  <c r="AJ29" i="46"/>
  <c r="AK29" i="46"/>
  <c r="X29" i="46"/>
  <c r="P29" i="46"/>
  <c r="O29" i="46"/>
  <c r="N29" i="46"/>
  <c r="M29" i="46"/>
  <c r="X27" i="46"/>
  <c r="N21" i="6" s="1"/>
  <c r="P27" i="46"/>
  <c r="O27" i="46"/>
  <c r="C25" i="46"/>
  <c r="D25" i="46" s="1"/>
  <c r="E25" i="46" s="1"/>
  <c r="F25" i="46" s="1"/>
  <c r="G25" i="46" s="1"/>
  <c r="H25" i="46" s="1"/>
  <c r="I25" i="46" s="1"/>
  <c r="J25" i="46" s="1"/>
  <c r="K25" i="46" s="1"/>
  <c r="L25" i="46" s="1"/>
  <c r="L27" i="46"/>
  <c r="B21" i="6" s="1"/>
  <c r="M27" i="46"/>
  <c r="N27" i="46"/>
  <c r="D21" i="6" s="1"/>
  <c r="M28" i="46"/>
  <c r="B3" i="27"/>
  <c r="B47" i="30" s="1"/>
  <c r="B4" i="27"/>
  <c r="I4" i="27" s="1"/>
  <c r="I44" i="30" s="1"/>
  <c r="B3" i="13"/>
  <c r="B2" i="13"/>
  <c r="R7" i="13" s="1"/>
  <c r="B3" i="1"/>
  <c r="B4" i="1"/>
  <c r="B2" i="1"/>
  <c r="B5" i="17"/>
  <c r="B30" i="30" s="1"/>
  <c r="C62" i="30"/>
  <c r="C50" i="30" s="1"/>
  <c r="H3" i="31" s="1"/>
  <c r="D62" i="30"/>
  <c r="D50" i="30" s="1"/>
  <c r="H4" i="31" s="1"/>
  <c r="E62" i="30"/>
  <c r="E50" i="30" s="1"/>
  <c r="H5" i="31" s="1"/>
  <c r="F62" i="30"/>
  <c r="F50" i="30" s="1"/>
  <c r="H6" i="31" s="1"/>
  <c r="G62" i="30"/>
  <c r="G50" i="30" s="1"/>
  <c r="H7" i="31" s="1"/>
  <c r="H62" i="30"/>
  <c r="H50" i="30" s="1"/>
  <c r="H8" i="31" s="1"/>
  <c r="I62" i="30"/>
  <c r="I50" i="30" s="1"/>
  <c r="H9" i="31" s="1"/>
  <c r="J62" i="30"/>
  <c r="J50" i="30" s="1"/>
  <c r="H10" i="31" s="1"/>
  <c r="K62" i="30"/>
  <c r="K50" i="30" s="1"/>
  <c r="H11" i="31" s="1"/>
  <c r="L62" i="30"/>
  <c r="L50" i="30" s="1"/>
  <c r="H12" i="31" s="1"/>
  <c r="M62" i="30"/>
  <c r="M50" i="30" s="1"/>
  <c r="H13" i="31" s="1"/>
  <c r="N62" i="30"/>
  <c r="N50" i="30" s="1"/>
  <c r="H14" i="31" s="1"/>
  <c r="O62" i="30"/>
  <c r="O50" i="30" s="1"/>
  <c r="H15" i="31" s="1"/>
  <c r="P62" i="30"/>
  <c r="P50" i="30" s="1"/>
  <c r="H16" i="31" s="1"/>
  <c r="Q62" i="30"/>
  <c r="Q50" i="30" s="1"/>
  <c r="H17" i="31" s="1"/>
  <c r="R62" i="30"/>
  <c r="R50" i="30" s="1"/>
  <c r="H18" i="31" s="1"/>
  <c r="S62" i="30"/>
  <c r="S50" i="30" s="1"/>
  <c r="H19" i="31" s="1"/>
  <c r="T62" i="30"/>
  <c r="T50" i="30" s="1"/>
  <c r="H20" i="31" s="1"/>
  <c r="U62" i="30"/>
  <c r="U50" i="30" s="1"/>
  <c r="H21" i="31" s="1"/>
  <c r="V62" i="30"/>
  <c r="V50" i="30" s="1"/>
  <c r="H22" i="31" s="1"/>
  <c r="W62" i="30"/>
  <c r="W50" i="30" s="1"/>
  <c r="H23" i="31" s="1"/>
  <c r="X62" i="30"/>
  <c r="X50" i="30" s="1"/>
  <c r="H24" i="31" s="1"/>
  <c r="Y62" i="30"/>
  <c r="Y50" i="30" s="1"/>
  <c r="H25" i="31" s="1"/>
  <c r="Z62" i="30"/>
  <c r="Z50" i="30" s="1"/>
  <c r="H26" i="31" s="1"/>
  <c r="AA62" i="30"/>
  <c r="AA50" i="30" s="1"/>
  <c r="H27" i="31" s="1"/>
  <c r="AB62" i="30"/>
  <c r="AB50" i="30" s="1"/>
  <c r="H28" i="31" s="1"/>
  <c r="AC62" i="30"/>
  <c r="AC50" i="30" s="1"/>
  <c r="H29" i="31" s="1"/>
  <c r="AD62" i="30"/>
  <c r="AD50" i="30" s="1"/>
  <c r="H30" i="31" s="1"/>
  <c r="AE62" i="30"/>
  <c r="AE50" i="30" s="1"/>
  <c r="H31" i="31" s="1"/>
  <c r="AF62" i="30"/>
  <c r="AF50" i="30" s="1"/>
  <c r="H32" i="31" s="1"/>
  <c r="AG62" i="30"/>
  <c r="AG50" i="30" s="1"/>
  <c r="H33" i="31" s="1"/>
  <c r="AH62" i="30"/>
  <c r="AH50" i="30" s="1"/>
  <c r="H34" i="31" s="1"/>
  <c r="AI62" i="30"/>
  <c r="AI50" i="30" s="1"/>
  <c r="H35" i="31" s="1"/>
  <c r="AJ62" i="30"/>
  <c r="AJ50" i="30" s="1"/>
  <c r="H36" i="31" s="1"/>
  <c r="AK62" i="30"/>
  <c r="AK50" i="30" s="1"/>
  <c r="H37" i="31" s="1"/>
  <c r="B62" i="30"/>
  <c r="B50" i="30" s="1"/>
  <c r="H2" i="31" s="1"/>
  <c r="C73" i="30"/>
  <c r="C76" i="30"/>
  <c r="D73" i="30"/>
  <c r="D76" i="30"/>
  <c r="E73" i="30"/>
  <c r="E76" i="30"/>
  <c r="F73" i="30"/>
  <c r="F76" i="30"/>
  <c r="G73" i="30"/>
  <c r="G76" i="30"/>
  <c r="H73" i="30"/>
  <c r="H76" i="30"/>
  <c r="I73" i="30"/>
  <c r="I76" i="30"/>
  <c r="J73" i="30"/>
  <c r="J76" i="30"/>
  <c r="K73" i="30"/>
  <c r="K76" i="30"/>
  <c r="L73" i="30"/>
  <c r="L76" i="30"/>
  <c r="M73" i="30"/>
  <c r="M76" i="30"/>
  <c r="N73" i="30"/>
  <c r="N76" i="30"/>
  <c r="O73" i="30"/>
  <c r="O76" i="30"/>
  <c r="P73" i="30"/>
  <c r="P76" i="30"/>
  <c r="Q73" i="30"/>
  <c r="Q76" i="30"/>
  <c r="R73" i="30"/>
  <c r="R76" i="30"/>
  <c r="S73" i="30"/>
  <c r="S76" i="30"/>
  <c r="T73" i="30"/>
  <c r="T76" i="30"/>
  <c r="U73" i="30"/>
  <c r="U76" i="30"/>
  <c r="V73" i="30"/>
  <c r="V76" i="30"/>
  <c r="W73" i="30"/>
  <c r="W76" i="30"/>
  <c r="X73" i="30"/>
  <c r="X76" i="30"/>
  <c r="Y73" i="30"/>
  <c r="Y76" i="30"/>
  <c r="Z73" i="30"/>
  <c r="Z76" i="30"/>
  <c r="AA73" i="30"/>
  <c r="AA76" i="30"/>
  <c r="AB73" i="30"/>
  <c r="AB76" i="30"/>
  <c r="AC73" i="30"/>
  <c r="AC76" i="30"/>
  <c r="AD73" i="30"/>
  <c r="AD76" i="30"/>
  <c r="AE73" i="30"/>
  <c r="AE76" i="30"/>
  <c r="AF73" i="30"/>
  <c r="AF76" i="30"/>
  <c r="AG73" i="30"/>
  <c r="AG76" i="30"/>
  <c r="AH73" i="30"/>
  <c r="AH76" i="30"/>
  <c r="AI73" i="30"/>
  <c r="AI76" i="30"/>
  <c r="AJ73" i="30"/>
  <c r="AJ76" i="30"/>
  <c r="AK73" i="30"/>
  <c r="AK76" i="30"/>
  <c r="C74" i="30"/>
  <c r="D74" i="30"/>
  <c r="E74" i="30"/>
  <c r="F74" i="30"/>
  <c r="G74" i="30"/>
  <c r="H74" i="30"/>
  <c r="I74" i="30"/>
  <c r="J74" i="30"/>
  <c r="K74" i="30"/>
  <c r="L74" i="30"/>
  <c r="M74" i="30"/>
  <c r="N74" i="30"/>
  <c r="O74" i="30"/>
  <c r="P74" i="30"/>
  <c r="Q74" i="30"/>
  <c r="R74" i="30"/>
  <c r="S74" i="30"/>
  <c r="T74" i="30"/>
  <c r="U74" i="30"/>
  <c r="V74" i="30"/>
  <c r="W74" i="30"/>
  <c r="X74" i="30"/>
  <c r="Y74" i="30"/>
  <c r="Z74" i="30"/>
  <c r="AA74" i="30"/>
  <c r="AB74" i="30"/>
  <c r="AC74" i="30"/>
  <c r="AD74" i="30"/>
  <c r="AE74" i="30"/>
  <c r="AF74" i="30"/>
  <c r="AG74" i="30"/>
  <c r="AH74" i="30"/>
  <c r="AI74" i="30"/>
  <c r="AJ74" i="30"/>
  <c r="AK74" i="30"/>
  <c r="C75" i="30"/>
  <c r="C67" i="30" s="1"/>
  <c r="I3" i="33" s="1"/>
  <c r="D75" i="30"/>
  <c r="D67" i="30" s="1"/>
  <c r="I4" i="33" s="1"/>
  <c r="E75" i="30"/>
  <c r="E67" i="30" s="1"/>
  <c r="I5" i="33" s="1"/>
  <c r="F75" i="30"/>
  <c r="F67" i="30" s="1"/>
  <c r="I6" i="33" s="1"/>
  <c r="G75" i="30"/>
  <c r="G67" i="30" s="1"/>
  <c r="I7" i="33" s="1"/>
  <c r="H75" i="30"/>
  <c r="H67" i="30" s="1"/>
  <c r="I8" i="33" s="1"/>
  <c r="I75" i="30"/>
  <c r="I67" i="30" s="1"/>
  <c r="I9" i="33" s="1"/>
  <c r="J75" i="30"/>
  <c r="J67" i="30" s="1"/>
  <c r="I10" i="33" s="1"/>
  <c r="K75" i="30"/>
  <c r="K67" i="30" s="1"/>
  <c r="I11" i="33" s="1"/>
  <c r="L75" i="30"/>
  <c r="L67" i="30" s="1"/>
  <c r="I12" i="33" s="1"/>
  <c r="M75" i="30"/>
  <c r="M67" i="30" s="1"/>
  <c r="I13" i="33" s="1"/>
  <c r="N75" i="30"/>
  <c r="N67" i="30" s="1"/>
  <c r="I14" i="33" s="1"/>
  <c r="O75" i="30"/>
  <c r="O67" i="30" s="1"/>
  <c r="I15" i="33" s="1"/>
  <c r="P75" i="30"/>
  <c r="P67" i="30" s="1"/>
  <c r="I16" i="33" s="1"/>
  <c r="Q75" i="30"/>
  <c r="Q67" i="30" s="1"/>
  <c r="I17" i="33" s="1"/>
  <c r="R75" i="30"/>
  <c r="R67" i="30" s="1"/>
  <c r="I18" i="33" s="1"/>
  <c r="S75" i="30"/>
  <c r="S67" i="30" s="1"/>
  <c r="I19" i="33" s="1"/>
  <c r="T75" i="30"/>
  <c r="T67" i="30" s="1"/>
  <c r="I20" i="33" s="1"/>
  <c r="U75" i="30"/>
  <c r="U67" i="30" s="1"/>
  <c r="I21" i="33" s="1"/>
  <c r="V75" i="30"/>
  <c r="V67" i="30" s="1"/>
  <c r="I22" i="33" s="1"/>
  <c r="W75" i="30"/>
  <c r="W67" i="30" s="1"/>
  <c r="I23" i="33" s="1"/>
  <c r="X75" i="30"/>
  <c r="X67" i="30" s="1"/>
  <c r="I24" i="33" s="1"/>
  <c r="Y75" i="30"/>
  <c r="Y67" i="30" s="1"/>
  <c r="I25" i="33" s="1"/>
  <c r="Z75" i="30"/>
  <c r="Z67" i="30" s="1"/>
  <c r="I26" i="33" s="1"/>
  <c r="AA75" i="30"/>
  <c r="AA67" i="30" s="1"/>
  <c r="I27" i="33" s="1"/>
  <c r="AB75" i="30"/>
  <c r="AB67" i="30" s="1"/>
  <c r="I28" i="33" s="1"/>
  <c r="AC75" i="30"/>
  <c r="AC67" i="30" s="1"/>
  <c r="I29" i="33" s="1"/>
  <c r="AD75" i="30"/>
  <c r="AD67" i="30" s="1"/>
  <c r="I30" i="33" s="1"/>
  <c r="AE75" i="30"/>
  <c r="AE67" i="30" s="1"/>
  <c r="I31" i="33" s="1"/>
  <c r="AF75" i="30"/>
  <c r="AF67" i="30" s="1"/>
  <c r="I32" i="33" s="1"/>
  <c r="AG75" i="30"/>
  <c r="AG67" i="30" s="1"/>
  <c r="I33" i="33" s="1"/>
  <c r="AH75" i="30"/>
  <c r="AH67" i="30" s="1"/>
  <c r="I34" i="33" s="1"/>
  <c r="AI75" i="30"/>
  <c r="AI67" i="30" s="1"/>
  <c r="I35" i="33" s="1"/>
  <c r="AJ75" i="30"/>
  <c r="AJ67" i="30" s="1"/>
  <c r="I36" i="33" s="1"/>
  <c r="AK75" i="30"/>
  <c r="AK67" i="30" s="1"/>
  <c r="I37" i="33" s="1"/>
  <c r="B75" i="30"/>
  <c r="B67" i="30" s="1"/>
  <c r="I2" i="33" s="1"/>
  <c r="B72" i="30"/>
  <c r="B74" i="30"/>
  <c r="B71" i="30"/>
  <c r="B73" i="30"/>
  <c r="B76" i="30"/>
  <c r="C32" i="30"/>
  <c r="C26" i="30" s="1"/>
  <c r="E3" i="33" s="1"/>
  <c r="D32" i="30"/>
  <c r="D26" i="30" s="1"/>
  <c r="E4" i="33" s="1"/>
  <c r="E32" i="30"/>
  <c r="E26" i="30" s="1"/>
  <c r="E5" i="33" s="1"/>
  <c r="F32" i="30"/>
  <c r="F26" i="30" s="1"/>
  <c r="E6" i="33" s="1"/>
  <c r="G32" i="30"/>
  <c r="G26" i="30" s="1"/>
  <c r="E7" i="33" s="1"/>
  <c r="H32" i="30"/>
  <c r="H26" i="30" s="1"/>
  <c r="E8" i="33" s="1"/>
  <c r="I32" i="30"/>
  <c r="I26" i="30" s="1"/>
  <c r="E9" i="33" s="1"/>
  <c r="J32" i="30"/>
  <c r="J26" i="30" s="1"/>
  <c r="E10" i="33" s="1"/>
  <c r="K32" i="30"/>
  <c r="K26" i="30" s="1"/>
  <c r="E11" i="33" s="1"/>
  <c r="L32" i="30"/>
  <c r="L26" i="30" s="1"/>
  <c r="E12" i="33" s="1"/>
  <c r="M32" i="30"/>
  <c r="M26" i="30" s="1"/>
  <c r="E13" i="33" s="1"/>
  <c r="N32" i="30"/>
  <c r="N26" i="30" s="1"/>
  <c r="E14" i="33" s="1"/>
  <c r="O32" i="30"/>
  <c r="O26" i="30" s="1"/>
  <c r="E15" i="33" s="1"/>
  <c r="P32" i="30"/>
  <c r="P26" i="30" s="1"/>
  <c r="E16" i="33" s="1"/>
  <c r="Q32" i="30"/>
  <c r="Q26" i="30" s="1"/>
  <c r="E17" i="33" s="1"/>
  <c r="R32" i="30"/>
  <c r="R26" i="30" s="1"/>
  <c r="E18" i="33" s="1"/>
  <c r="S32" i="30"/>
  <c r="S26" i="30" s="1"/>
  <c r="E19" i="33" s="1"/>
  <c r="T32" i="30"/>
  <c r="T26" i="30" s="1"/>
  <c r="E20" i="33" s="1"/>
  <c r="U32" i="30"/>
  <c r="U26" i="30" s="1"/>
  <c r="E21" i="33" s="1"/>
  <c r="V32" i="30"/>
  <c r="V26" i="30" s="1"/>
  <c r="E22" i="33" s="1"/>
  <c r="W32" i="30"/>
  <c r="W26" i="30" s="1"/>
  <c r="E23" i="33" s="1"/>
  <c r="X32" i="30"/>
  <c r="X26" i="30" s="1"/>
  <c r="E24" i="33" s="1"/>
  <c r="Y32" i="30"/>
  <c r="Y26" i="30" s="1"/>
  <c r="E25" i="33" s="1"/>
  <c r="Z32" i="30"/>
  <c r="Z26" i="30" s="1"/>
  <c r="E26" i="33" s="1"/>
  <c r="AA32" i="30"/>
  <c r="AA26" i="30" s="1"/>
  <c r="E27" i="33" s="1"/>
  <c r="AB32" i="30"/>
  <c r="AB26" i="30" s="1"/>
  <c r="E28" i="33" s="1"/>
  <c r="AC32" i="30"/>
  <c r="AC26" i="30" s="1"/>
  <c r="E29" i="33" s="1"/>
  <c r="AD32" i="30"/>
  <c r="AD26" i="30" s="1"/>
  <c r="E30" i="33" s="1"/>
  <c r="AE32" i="30"/>
  <c r="AE26" i="30" s="1"/>
  <c r="E31" i="33" s="1"/>
  <c r="AF32" i="30"/>
  <c r="AF26" i="30" s="1"/>
  <c r="E32" i="33" s="1"/>
  <c r="AG32" i="30"/>
  <c r="AG26" i="30" s="1"/>
  <c r="E33" i="33" s="1"/>
  <c r="AH32" i="30"/>
  <c r="AH26" i="30" s="1"/>
  <c r="E34" i="33" s="1"/>
  <c r="AI32" i="30"/>
  <c r="AI26" i="30" s="1"/>
  <c r="E35" i="33" s="1"/>
  <c r="AJ32" i="30"/>
  <c r="AJ26" i="30" s="1"/>
  <c r="E36" i="33" s="1"/>
  <c r="AK32" i="30"/>
  <c r="AK26" i="30" s="1"/>
  <c r="E37" i="33" s="1"/>
  <c r="C31" i="30"/>
  <c r="C28" i="30" s="1"/>
  <c r="E3" i="31" s="1"/>
  <c r="D31" i="30"/>
  <c r="D28" i="30" s="1"/>
  <c r="E4" i="31" s="1"/>
  <c r="E31" i="30"/>
  <c r="E28" i="30" s="1"/>
  <c r="E5" i="31" s="1"/>
  <c r="F31" i="30"/>
  <c r="F28" i="30" s="1"/>
  <c r="E6" i="31" s="1"/>
  <c r="G31" i="30"/>
  <c r="G28" i="30" s="1"/>
  <c r="E7" i="31" s="1"/>
  <c r="H31" i="30"/>
  <c r="H28" i="30" s="1"/>
  <c r="E8" i="31" s="1"/>
  <c r="I31" i="30"/>
  <c r="I28" i="30" s="1"/>
  <c r="E9" i="31" s="1"/>
  <c r="J31" i="30"/>
  <c r="J28" i="30" s="1"/>
  <c r="E10" i="31" s="1"/>
  <c r="K31" i="30"/>
  <c r="K28" i="30" s="1"/>
  <c r="E11" i="31" s="1"/>
  <c r="L31" i="30"/>
  <c r="L28" i="30" s="1"/>
  <c r="E12" i="31" s="1"/>
  <c r="M31" i="30"/>
  <c r="M28" i="30" s="1"/>
  <c r="E13" i="31" s="1"/>
  <c r="N31" i="30"/>
  <c r="N28" i="30" s="1"/>
  <c r="E14" i="31" s="1"/>
  <c r="O31" i="30"/>
  <c r="O28" i="30" s="1"/>
  <c r="E15" i="31" s="1"/>
  <c r="P31" i="30"/>
  <c r="P28" i="30" s="1"/>
  <c r="E16" i="31" s="1"/>
  <c r="Q31" i="30"/>
  <c r="Q28" i="30" s="1"/>
  <c r="E17" i="31" s="1"/>
  <c r="R31" i="30"/>
  <c r="R28" i="30" s="1"/>
  <c r="E18" i="31" s="1"/>
  <c r="S31" i="30"/>
  <c r="S28" i="30" s="1"/>
  <c r="E19" i="31" s="1"/>
  <c r="T31" i="30"/>
  <c r="T28" i="30" s="1"/>
  <c r="E20" i="31" s="1"/>
  <c r="U31" i="30"/>
  <c r="U28" i="30" s="1"/>
  <c r="E21" i="31" s="1"/>
  <c r="V31" i="30"/>
  <c r="V28" i="30" s="1"/>
  <c r="E22" i="31" s="1"/>
  <c r="W31" i="30"/>
  <c r="W28" i="30" s="1"/>
  <c r="E23" i="31" s="1"/>
  <c r="X31" i="30"/>
  <c r="X28" i="30" s="1"/>
  <c r="E24" i="31" s="1"/>
  <c r="Y31" i="30"/>
  <c r="Y28" i="30" s="1"/>
  <c r="E25" i="31" s="1"/>
  <c r="Z31" i="30"/>
  <c r="Z28" i="30" s="1"/>
  <c r="E26" i="31" s="1"/>
  <c r="AA31" i="30"/>
  <c r="AA28" i="30" s="1"/>
  <c r="E27" i="31" s="1"/>
  <c r="AB31" i="30"/>
  <c r="AB28" i="30" s="1"/>
  <c r="E28" i="31" s="1"/>
  <c r="AC31" i="30"/>
  <c r="AC28" i="30" s="1"/>
  <c r="E29" i="31" s="1"/>
  <c r="AD31" i="30"/>
  <c r="AD28" i="30" s="1"/>
  <c r="E30" i="31" s="1"/>
  <c r="AE31" i="30"/>
  <c r="AE28" i="30" s="1"/>
  <c r="E31" i="31" s="1"/>
  <c r="AF31" i="30"/>
  <c r="AF28" i="30" s="1"/>
  <c r="E32" i="31" s="1"/>
  <c r="AG31" i="30"/>
  <c r="AG28" i="30" s="1"/>
  <c r="E33" i="31" s="1"/>
  <c r="AH31" i="30"/>
  <c r="AH28" i="30" s="1"/>
  <c r="E34" i="31" s="1"/>
  <c r="AI31" i="30"/>
  <c r="AI28" i="30" s="1"/>
  <c r="E35" i="31" s="1"/>
  <c r="AJ31" i="30"/>
  <c r="AJ28" i="30" s="1"/>
  <c r="E36" i="31" s="1"/>
  <c r="AK31" i="30"/>
  <c r="AK28" i="30" s="1"/>
  <c r="E37" i="31" s="1"/>
  <c r="C33" i="30"/>
  <c r="D33" i="30"/>
  <c r="E33" i="30"/>
  <c r="F33" i="30"/>
  <c r="G33" i="30"/>
  <c r="H33" i="30"/>
  <c r="I33" i="30"/>
  <c r="J33" i="30"/>
  <c r="K33" i="30"/>
  <c r="L33" i="30"/>
  <c r="M33" i="30"/>
  <c r="N33" i="30"/>
  <c r="O33" i="30"/>
  <c r="P33" i="30"/>
  <c r="Q33" i="30"/>
  <c r="R33" i="30"/>
  <c r="S33" i="30"/>
  <c r="T33" i="30"/>
  <c r="U33" i="30"/>
  <c r="V33" i="30"/>
  <c r="W33" i="30"/>
  <c r="X33" i="30"/>
  <c r="Y33" i="30"/>
  <c r="Z33" i="30"/>
  <c r="AA33" i="30"/>
  <c r="AB33" i="30"/>
  <c r="AC33" i="30"/>
  <c r="AD33" i="30"/>
  <c r="AE33" i="30"/>
  <c r="AF33" i="30"/>
  <c r="AG33" i="30"/>
  <c r="AH33" i="30"/>
  <c r="AI33" i="30"/>
  <c r="AJ33" i="30"/>
  <c r="AK33" i="30"/>
  <c r="B28" i="30"/>
  <c r="E2" i="31" s="1"/>
  <c r="B26" i="30"/>
  <c r="E2" i="33" s="1"/>
  <c r="C61" i="30"/>
  <c r="D61" i="30"/>
  <c r="E61" i="30"/>
  <c r="F61" i="30"/>
  <c r="G61" i="30"/>
  <c r="H61" i="30"/>
  <c r="I61" i="30"/>
  <c r="J61" i="30"/>
  <c r="K61" i="30"/>
  <c r="L61" i="30"/>
  <c r="M61" i="30"/>
  <c r="N61" i="30"/>
  <c r="O61" i="30"/>
  <c r="P61" i="30"/>
  <c r="Q61" i="30"/>
  <c r="R61" i="30"/>
  <c r="S61" i="30"/>
  <c r="T61" i="30"/>
  <c r="U61" i="30"/>
  <c r="V61" i="30"/>
  <c r="W61" i="30"/>
  <c r="X61" i="30"/>
  <c r="Y61" i="30"/>
  <c r="Z61" i="30"/>
  <c r="AA61" i="30"/>
  <c r="AB61" i="30"/>
  <c r="AC61" i="30"/>
  <c r="AD61" i="30"/>
  <c r="AE61" i="30"/>
  <c r="AF61" i="30"/>
  <c r="AG61" i="30"/>
  <c r="AH61" i="30"/>
  <c r="AI61" i="30"/>
  <c r="AJ61" i="30"/>
  <c r="AK61" i="30"/>
  <c r="C56" i="30"/>
  <c r="C60" i="30"/>
  <c r="D56" i="30"/>
  <c r="D60" i="30"/>
  <c r="E56" i="30"/>
  <c r="E60" i="30"/>
  <c r="F56" i="30"/>
  <c r="F60" i="30"/>
  <c r="G56" i="30"/>
  <c r="G60" i="30"/>
  <c r="H56" i="30"/>
  <c r="H60" i="30"/>
  <c r="I56" i="30"/>
  <c r="I60" i="30"/>
  <c r="J56" i="30"/>
  <c r="J60" i="30"/>
  <c r="K56" i="30"/>
  <c r="K60" i="30"/>
  <c r="L56" i="30"/>
  <c r="L60" i="30"/>
  <c r="M56" i="30"/>
  <c r="M60" i="30"/>
  <c r="N56" i="30"/>
  <c r="N60" i="30"/>
  <c r="O56" i="30"/>
  <c r="O60" i="30"/>
  <c r="P56" i="30"/>
  <c r="P60" i="30"/>
  <c r="Q56" i="30"/>
  <c r="Q60" i="30"/>
  <c r="R56" i="30"/>
  <c r="R60" i="30"/>
  <c r="S56" i="30"/>
  <c r="S60" i="30"/>
  <c r="T56" i="30"/>
  <c r="T60" i="30"/>
  <c r="U56" i="30"/>
  <c r="U60" i="30"/>
  <c r="V56" i="30"/>
  <c r="V60" i="30"/>
  <c r="W56" i="30"/>
  <c r="W60" i="30"/>
  <c r="X56" i="30"/>
  <c r="X60" i="30"/>
  <c r="Y56" i="30"/>
  <c r="Y60" i="30"/>
  <c r="Z56" i="30"/>
  <c r="Z60" i="30"/>
  <c r="AA56" i="30"/>
  <c r="AA60" i="30"/>
  <c r="AB56" i="30"/>
  <c r="AB60" i="30"/>
  <c r="AC56" i="30"/>
  <c r="AC60" i="30"/>
  <c r="AD56" i="30"/>
  <c r="AD60" i="30"/>
  <c r="AE56" i="30"/>
  <c r="AE60" i="30"/>
  <c r="AF56" i="30"/>
  <c r="AF60" i="30"/>
  <c r="AG56" i="30"/>
  <c r="AG60" i="30"/>
  <c r="AH56" i="30"/>
  <c r="AH60" i="30"/>
  <c r="AI56" i="30"/>
  <c r="AI60" i="30"/>
  <c r="AJ56" i="30"/>
  <c r="AJ60" i="30"/>
  <c r="AK56" i="30"/>
  <c r="AK60" i="30"/>
  <c r="B56" i="30"/>
  <c r="B60" i="30"/>
  <c r="B3" i="28"/>
  <c r="C3" i="28"/>
  <c r="D3" i="28"/>
  <c r="E3" i="28"/>
  <c r="B4" i="28"/>
  <c r="C4" i="28"/>
  <c r="D4" i="28"/>
  <c r="E4" i="28"/>
  <c r="B5" i="28"/>
  <c r="C5" i="28"/>
  <c r="D5" i="28"/>
  <c r="E5" i="28"/>
  <c r="F5" i="28"/>
  <c r="F3" i="28"/>
  <c r="F4" i="28"/>
  <c r="R8" i="13"/>
  <c r="R23" i="30" s="1"/>
  <c r="R20" i="30" s="1"/>
  <c r="D18" i="32" s="1"/>
  <c r="D7" i="13"/>
  <c r="D22" i="30" s="1"/>
  <c r="O20" i="43"/>
  <c r="P20" i="43"/>
  <c r="Q20" i="43"/>
  <c r="R20" i="43"/>
  <c r="S20" i="43"/>
  <c r="T20" i="43"/>
  <c r="U20" i="43"/>
  <c r="V20" i="43"/>
  <c r="W20" i="43"/>
  <c r="X20" i="43"/>
  <c r="Y20" i="43"/>
  <c r="Z20" i="43"/>
  <c r="AA20" i="43"/>
  <c r="AB20" i="43"/>
  <c r="AC20" i="43"/>
  <c r="AD20" i="43"/>
  <c r="AE20" i="43"/>
  <c r="AF20" i="43"/>
  <c r="AG20" i="43"/>
  <c r="AH20" i="43"/>
  <c r="AI20" i="43"/>
  <c r="AJ20" i="43"/>
  <c r="AK20" i="43"/>
  <c r="AL20" i="43"/>
  <c r="AM20" i="43"/>
  <c r="AN20" i="43"/>
  <c r="AO20" i="43"/>
  <c r="AP20" i="43"/>
  <c r="AQ20" i="43"/>
  <c r="AR20" i="43"/>
  <c r="N20" i="43"/>
  <c r="B102" i="20"/>
  <c r="B103" i="20"/>
  <c r="C13" i="20"/>
  <c r="C17" i="20" s="1"/>
  <c r="D13" i="20"/>
  <c r="D18" i="20" s="1"/>
  <c r="E13" i="20"/>
  <c r="E17" i="20" s="1"/>
  <c r="F13" i="20"/>
  <c r="F18" i="20" s="1"/>
  <c r="G13" i="20"/>
  <c r="G18" i="20" s="1"/>
  <c r="H13" i="20"/>
  <c r="H18" i="20" s="1"/>
  <c r="I13" i="20"/>
  <c r="I17" i="20" s="1"/>
  <c r="J13" i="20"/>
  <c r="J18" i="20" s="1"/>
  <c r="K13" i="20"/>
  <c r="K18" i="20" s="1"/>
  <c r="L13" i="20"/>
  <c r="M13" i="20"/>
  <c r="M17" i="20" s="1"/>
  <c r="N13" i="20"/>
  <c r="N18" i="20" s="1"/>
  <c r="O13" i="20"/>
  <c r="O18" i="20" s="1"/>
  <c r="P13" i="20"/>
  <c r="P18" i="20" s="1"/>
  <c r="Q13" i="20"/>
  <c r="Q17" i="20" s="1"/>
  <c r="R13" i="20"/>
  <c r="R18" i="20" s="1"/>
  <c r="S13" i="20"/>
  <c r="S17" i="20" s="1"/>
  <c r="T13" i="20"/>
  <c r="T18" i="20" s="1"/>
  <c r="U13" i="20"/>
  <c r="U17" i="20" s="1"/>
  <c r="V13" i="20"/>
  <c r="V18" i="20" s="1"/>
  <c r="W13" i="20"/>
  <c r="W17" i="20" s="1"/>
  <c r="X13" i="20"/>
  <c r="X18" i="20" s="1"/>
  <c r="Y13" i="20"/>
  <c r="Y18" i="20" s="1"/>
  <c r="Z13" i="20"/>
  <c r="AA13" i="20"/>
  <c r="AA18" i="20" s="1"/>
  <c r="AB13" i="20"/>
  <c r="AC13" i="20"/>
  <c r="AC18" i="20" s="1"/>
  <c r="AD13" i="20"/>
  <c r="AE13" i="20"/>
  <c r="AE17" i="20" s="1"/>
  <c r="AF13" i="20"/>
  <c r="AF18" i="20" s="1"/>
  <c r="AG13" i="20"/>
  <c r="AG18" i="20" s="1"/>
  <c r="AH13" i="20"/>
  <c r="AH18" i="20" s="1"/>
  <c r="AI13" i="20"/>
  <c r="AI18" i="20" s="1"/>
  <c r="AJ13" i="20"/>
  <c r="AJ18" i="20" s="1"/>
  <c r="AK13" i="20"/>
  <c r="AK17" i="20" s="1"/>
  <c r="B13" i="20"/>
  <c r="B18" i="20" s="1"/>
  <c r="C39" i="20"/>
  <c r="D39" i="20" s="1"/>
  <c r="C28" i="20"/>
  <c r="C37" i="20"/>
  <c r="D37" i="20" s="1"/>
  <c r="E37" i="20" s="1"/>
  <c r="F37" i="20" s="1"/>
  <c r="C38" i="20"/>
  <c r="D38" i="20" s="1"/>
  <c r="E38" i="20" s="1"/>
  <c r="F38" i="20" s="1"/>
  <c r="G38" i="20" s="1"/>
  <c r="H38" i="20" s="1"/>
  <c r="I38" i="20" s="1"/>
  <c r="C26" i="20"/>
  <c r="D26" i="20" s="1"/>
  <c r="C27" i="20"/>
  <c r="D27" i="20" s="1"/>
  <c r="E27" i="20" s="1"/>
  <c r="F27" i="20" s="1"/>
  <c r="G27" i="20" s="1"/>
  <c r="H27" i="20" s="1"/>
  <c r="I27" i="20" s="1"/>
  <c r="C36" i="20"/>
  <c r="D36" i="20" s="1"/>
  <c r="E36" i="20" s="1"/>
  <c r="F36" i="20" s="1"/>
  <c r="G36" i="20" s="1"/>
  <c r="H36" i="20" s="1"/>
  <c r="I36" i="20" s="1"/>
  <c r="C24" i="20"/>
  <c r="D24" i="20" s="1"/>
  <c r="E24" i="20" s="1"/>
  <c r="F24" i="20" s="1"/>
  <c r="G24" i="20" s="1"/>
  <c r="H24" i="20" s="1"/>
  <c r="I24" i="20" s="1"/>
  <c r="C25" i="20"/>
  <c r="D25" i="20" s="1"/>
  <c r="E25" i="20" s="1"/>
  <c r="F25" i="20" s="1"/>
  <c r="G25" i="20" s="1"/>
  <c r="H25" i="20" s="1"/>
  <c r="I25" i="20" s="1"/>
  <c r="B62" i="20"/>
  <c r="C34" i="20"/>
  <c r="D34" i="20" s="1"/>
  <c r="E34" i="20" s="1"/>
  <c r="F34" i="20" s="1"/>
  <c r="G34" i="20" s="1"/>
  <c r="H34" i="20" s="1"/>
  <c r="I34" i="20" s="1"/>
  <c r="C23" i="20"/>
  <c r="D23" i="20" s="1"/>
  <c r="E23" i="20" s="1"/>
  <c r="F23" i="20" s="1"/>
  <c r="C41" i="20"/>
  <c r="D41" i="20" s="1"/>
  <c r="E41" i="20" s="1"/>
  <c r="F41" i="20" s="1"/>
  <c r="C30" i="20"/>
  <c r="C40" i="20"/>
  <c r="D40" i="20" s="1"/>
  <c r="E40" i="20" s="1"/>
  <c r="F40" i="20" s="1"/>
  <c r="C29" i="20"/>
  <c r="D29" i="20" s="1"/>
  <c r="B95" i="20"/>
  <c r="B96" i="20" s="1"/>
  <c r="B101" i="20" s="1"/>
  <c r="B39" i="20"/>
  <c r="B28" i="20"/>
  <c r="B37" i="20"/>
  <c r="B38" i="20"/>
  <c r="B26" i="20"/>
  <c r="B27" i="20"/>
  <c r="B36" i="20"/>
  <c r="B24" i="20"/>
  <c r="B25" i="20"/>
  <c r="B34" i="20"/>
  <c r="B23" i="20"/>
  <c r="B41" i="20"/>
  <c r="B30" i="20"/>
  <c r="B40" i="20"/>
  <c r="B29" i="20"/>
  <c r="C18" i="18"/>
  <c r="B18" i="18"/>
  <c r="B4" i="18"/>
  <c r="D18" i="18"/>
  <c r="E18" i="18"/>
  <c r="F18" i="18"/>
  <c r="G18" i="18"/>
  <c r="H18" i="18"/>
  <c r="I18" i="18"/>
  <c r="C14" i="18"/>
  <c r="B14" i="18"/>
  <c r="D14" i="18"/>
  <c r="E14" i="18"/>
  <c r="F14" i="18"/>
  <c r="G14" i="18"/>
  <c r="H14" i="18"/>
  <c r="I14" i="18"/>
  <c r="C16" i="18"/>
  <c r="B16" i="18"/>
  <c r="B7" i="18"/>
  <c r="D16" i="18"/>
  <c r="E16" i="18"/>
  <c r="F16" i="18"/>
  <c r="G16" i="18"/>
  <c r="H16" i="18"/>
  <c r="I16" i="18"/>
  <c r="C15" i="18"/>
  <c r="B15" i="18"/>
  <c r="B6" i="18"/>
  <c r="D15" i="18"/>
  <c r="E15" i="18"/>
  <c r="F15" i="18"/>
  <c r="G15" i="18"/>
  <c r="H15" i="18"/>
  <c r="I15" i="18"/>
  <c r="B8" i="18"/>
  <c r="B43" i="18"/>
  <c r="C3" i="23"/>
  <c r="B70" i="30"/>
  <c r="C1" i="16"/>
  <c r="C2" i="16" s="1"/>
  <c r="C29" i="30" s="1"/>
  <c r="D1" i="16"/>
  <c r="E1" i="16"/>
  <c r="E2" i="16" s="1"/>
  <c r="E29" i="30" s="1"/>
  <c r="F1" i="16"/>
  <c r="F2" i="16" s="1"/>
  <c r="F29" i="30" s="1"/>
  <c r="G1" i="16"/>
  <c r="G2" i="16" s="1"/>
  <c r="G29" i="30" s="1"/>
  <c r="H1" i="16"/>
  <c r="H2" i="16" s="1"/>
  <c r="H29" i="30" s="1"/>
  <c r="I1" i="16"/>
  <c r="I2" i="16" s="1"/>
  <c r="I29" i="30" s="1"/>
  <c r="J1" i="16"/>
  <c r="J2" i="16" s="1"/>
  <c r="J29" i="30" s="1"/>
  <c r="K1" i="16"/>
  <c r="K2" i="16" s="1"/>
  <c r="K29" i="30" s="1"/>
  <c r="L1" i="16"/>
  <c r="L2" i="16" s="1"/>
  <c r="L29" i="30" s="1"/>
  <c r="M1" i="16"/>
  <c r="M2" i="16" s="1"/>
  <c r="M29" i="30" s="1"/>
  <c r="N1" i="16"/>
  <c r="N2" i="16" s="1"/>
  <c r="N29" i="30" s="1"/>
  <c r="O1" i="16"/>
  <c r="O2" i="16" s="1"/>
  <c r="O29" i="30" s="1"/>
  <c r="P1" i="16"/>
  <c r="P2" i="16" s="1"/>
  <c r="P29" i="30" s="1"/>
  <c r="Q1" i="16"/>
  <c r="Q2" i="16" s="1"/>
  <c r="Q29" i="30" s="1"/>
  <c r="R1" i="16"/>
  <c r="R2" i="16" s="1"/>
  <c r="R29" i="30" s="1"/>
  <c r="S1" i="16"/>
  <c r="S2" i="16" s="1"/>
  <c r="S29" i="30" s="1"/>
  <c r="T1" i="16"/>
  <c r="T2" i="16" s="1"/>
  <c r="T29" i="30" s="1"/>
  <c r="U1" i="16"/>
  <c r="U2" i="16" s="1"/>
  <c r="U29" i="30" s="1"/>
  <c r="V1" i="16"/>
  <c r="V2" i="16" s="1"/>
  <c r="V29" i="30" s="1"/>
  <c r="W1" i="16"/>
  <c r="W2" i="16" s="1"/>
  <c r="W29" i="30" s="1"/>
  <c r="X1" i="16"/>
  <c r="X2" i="16" s="1"/>
  <c r="X29" i="30" s="1"/>
  <c r="Y1" i="16"/>
  <c r="Y2" i="16" s="1"/>
  <c r="Y29" i="30" s="1"/>
  <c r="Z1" i="16"/>
  <c r="Z2" i="16" s="1"/>
  <c r="Z29" i="30" s="1"/>
  <c r="AA1" i="16"/>
  <c r="AA2" i="16" s="1"/>
  <c r="AA29" i="30" s="1"/>
  <c r="AB1" i="16"/>
  <c r="AB2" i="16" s="1"/>
  <c r="AB29" i="30" s="1"/>
  <c r="AC1" i="16"/>
  <c r="AC2" i="16" s="1"/>
  <c r="AC29" i="30" s="1"/>
  <c r="AD1" i="16"/>
  <c r="AD2" i="16" s="1"/>
  <c r="AD29" i="30" s="1"/>
  <c r="AE1" i="16"/>
  <c r="AE2" i="16" s="1"/>
  <c r="AE29" i="30" s="1"/>
  <c r="AF1" i="16"/>
  <c r="AF2" i="16" s="1"/>
  <c r="AF29" i="30" s="1"/>
  <c r="AG1" i="16"/>
  <c r="AG2" i="16" s="1"/>
  <c r="AG29" i="30" s="1"/>
  <c r="AH1" i="16"/>
  <c r="AH2" i="16" s="1"/>
  <c r="AH29" i="30" s="1"/>
  <c r="AI1" i="16"/>
  <c r="AI2" i="16" s="1"/>
  <c r="AI29" i="30" s="1"/>
  <c r="AJ1" i="16"/>
  <c r="AJ2" i="16" s="1"/>
  <c r="AJ29" i="30" s="1"/>
  <c r="AK1" i="16"/>
  <c r="AK2" i="16" s="1"/>
  <c r="AK29" i="30" s="1"/>
  <c r="B1" i="16"/>
  <c r="B2" i="16" s="1"/>
  <c r="B29" i="30" s="1"/>
  <c r="C17" i="18"/>
  <c r="B17" i="18"/>
  <c r="B9" i="18"/>
  <c r="D17" i="18"/>
  <c r="E17" i="18"/>
  <c r="F17" i="18"/>
  <c r="G17" i="18"/>
  <c r="H17" i="18"/>
  <c r="I17" i="18"/>
  <c r="B10" i="18"/>
  <c r="C35" i="20"/>
  <c r="D35" i="20" s="1"/>
  <c r="E35" i="20" s="1"/>
  <c r="F35" i="20" s="1"/>
  <c r="G35" i="20" s="1"/>
  <c r="H35" i="20" s="1"/>
  <c r="I35" i="20" s="1"/>
  <c r="B35" i="20"/>
  <c r="B7" i="25"/>
  <c r="C7" i="25" s="1"/>
  <c r="C68" i="30" s="1"/>
  <c r="T8" i="13"/>
  <c r="T23" i="30" s="1"/>
  <c r="T20" i="30" s="1"/>
  <c r="D20" i="32" s="1"/>
  <c r="B8" i="13"/>
  <c r="B23" i="30" s="1"/>
  <c r="B20" i="30" s="1"/>
  <c r="D2" i="32" s="1"/>
  <c r="C21" i="6"/>
  <c r="E21" i="6"/>
  <c r="F21" i="6"/>
  <c r="D2" i="16"/>
  <c r="D29" i="30" s="1"/>
  <c r="G17" i="6"/>
  <c r="C4" i="24"/>
  <c r="C3" i="24"/>
  <c r="C72" i="30" s="1"/>
  <c r="B69" i="30"/>
  <c r="C4" i="23"/>
  <c r="C4" i="27"/>
  <c r="C44" i="30" s="1"/>
  <c r="G4" i="27"/>
  <c r="G44" i="30" s="1"/>
  <c r="K4" i="27"/>
  <c r="K44" i="30" s="1"/>
  <c r="O4" i="27"/>
  <c r="O44" i="30" s="1"/>
  <c r="S4" i="27"/>
  <c r="S44" i="30" s="1"/>
  <c r="W4" i="27"/>
  <c r="W44" i="30" s="1"/>
  <c r="D4" i="27"/>
  <c r="D44" i="30" s="1"/>
  <c r="H4" i="27"/>
  <c r="H44" i="30" s="1"/>
  <c r="L4" i="27"/>
  <c r="L44" i="30" s="1"/>
  <c r="P4" i="27"/>
  <c r="P44" i="30" s="1"/>
  <c r="T4" i="27"/>
  <c r="T44" i="30" s="1"/>
  <c r="X4" i="27"/>
  <c r="X44" i="30" s="1"/>
  <c r="J3" i="27"/>
  <c r="J47" i="30" s="1"/>
  <c r="Y4" i="27"/>
  <c r="Y44" i="30" s="1"/>
  <c r="R4" i="27"/>
  <c r="R44" i="30" s="1"/>
  <c r="J4" i="27"/>
  <c r="J44" i="30" s="1"/>
  <c r="O3" i="27"/>
  <c r="O47" i="30" s="1"/>
  <c r="U4" i="27"/>
  <c r="U44" i="30" s="1"/>
  <c r="M4" i="27"/>
  <c r="M44" i="30" s="1"/>
  <c r="E4" i="27"/>
  <c r="E44" i="30" s="1"/>
  <c r="M8" i="13"/>
  <c r="M23" i="30" s="1"/>
  <c r="M20" i="30" s="1"/>
  <c r="D13" i="32" s="1"/>
  <c r="N8" i="13"/>
  <c r="N23" i="30" s="1"/>
  <c r="N20" i="30" s="1"/>
  <c r="D14" i="32" s="1"/>
  <c r="C7" i="13"/>
  <c r="C22" i="30" s="1"/>
  <c r="K7" i="13"/>
  <c r="K22" i="30" s="1"/>
  <c r="V8" i="13"/>
  <c r="V23" i="30" s="1"/>
  <c r="V20" i="30" s="1"/>
  <c r="D22" i="32" s="1"/>
  <c r="G8" i="13"/>
  <c r="G23" i="30" s="1"/>
  <c r="G20" i="30" s="1"/>
  <c r="D7" i="32" s="1"/>
  <c r="U8" i="13"/>
  <c r="U23" i="30" s="1"/>
  <c r="U20" i="30" s="1"/>
  <c r="D21" i="32" s="1"/>
  <c r="AA8" i="13"/>
  <c r="AA23" i="30" s="1"/>
  <c r="AA20" i="30" s="1"/>
  <c r="D27" i="32" s="1"/>
  <c r="L8" i="13"/>
  <c r="L23" i="30" s="1"/>
  <c r="L20" i="30" s="1"/>
  <c r="D12" i="32" s="1"/>
  <c r="Z7" i="13"/>
  <c r="Z22" i="30" s="1"/>
  <c r="H8" i="13"/>
  <c r="H23" i="30" s="1"/>
  <c r="H20" i="30" s="1"/>
  <c r="D8" i="32" s="1"/>
  <c r="Q7" i="13"/>
  <c r="Q22" i="30" s="1"/>
  <c r="B7" i="13"/>
  <c r="B22" i="30" s="1"/>
  <c r="P8" i="13"/>
  <c r="P23" i="30" s="1"/>
  <c r="P20" i="30" s="1"/>
  <c r="D16" i="32" s="1"/>
  <c r="J8" i="13"/>
  <c r="J23" i="30" s="1"/>
  <c r="J20" i="30" s="1"/>
  <c r="D10" i="32" s="1"/>
  <c r="D8" i="13"/>
  <c r="D23" i="30" s="1"/>
  <c r="D20" i="30" s="1"/>
  <c r="D4" i="32" s="1"/>
  <c r="F7" i="13"/>
  <c r="F22" i="30" s="1"/>
  <c r="I7" i="13"/>
  <c r="I22" i="30" s="1"/>
  <c r="Z8" i="13"/>
  <c r="Z23" i="30" s="1"/>
  <c r="Z20" i="30" s="1"/>
  <c r="D26" i="32" s="1"/>
  <c r="Y8" i="13"/>
  <c r="Y23" i="30" s="1"/>
  <c r="Y20" i="30" s="1"/>
  <c r="D25" i="32" s="1"/>
  <c r="Q8" i="13"/>
  <c r="Q23" i="30" s="1"/>
  <c r="Q20" i="30" s="1"/>
  <c r="D17" i="32" s="1"/>
  <c r="K8" i="13"/>
  <c r="K23" i="30" s="1"/>
  <c r="K20" i="30" s="1"/>
  <c r="D11" i="32" s="1"/>
  <c r="E8" i="13"/>
  <c r="E23" i="30" s="1"/>
  <c r="E20" i="30" s="1"/>
  <c r="D5" i="32" s="1"/>
  <c r="O7" i="13"/>
  <c r="O22" i="30" s="1"/>
  <c r="X8" i="13"/>
  <c r="X23" i="30" s="1"/>
  <c r="X20" i="30" s="1"/>
  <c r="D24" i="32" s="1"/>
  <c r="C8" i="13"/>
  <c r="C23" i="30" s="1"/>
  <c r="C20" i="30" s="1"/>
  <c r="D3" i="32" s="1"/>
  <c r="M7" i="13"/>
  <c r="M22" i="30" s="1"/>
  <c r="E7" i="13"/>
  <c r="E22" i="30" s="1"/>
  <c r="S8" i="13"/>
  <c r="S23" i="30" s="1"/>
  <c r="S20" i="30" s="1"/>
  <c r="D19" i="32" s="1"/>
  <c r="F8" i="13"/>
  <c r="F23" i="30" s="1"/>
  <c r="F20" i="30" s="1"/>
  <c r="D6" i="32" s="1"/>
  <c r="X7" i="13"/>
  <c r="X22" i="30" s="1"/>
  <c r="W8" i="13"/>
  <c r="W23" i="30" s="1"/>
  <c r="W20" i="30" s="1"/>
  <c r="D23" i="32" s="1"/>
  <c r="O8" i="13"/>
  <c r="O23" i="30" s="1"/>
  <c r="O20" i="30" s="1"/>
  <c r="D15" i="32" s="1"/>
  <c r="I8" i="13"/>
  <c r="I23" i="30" s="1"/>
  <c r="I20" i="30" s="1"/>
  <c r="D9" i="32" s="1"/>
  <c r="T7" i="13"/>
  <c r="T22" i="30" s="1"/>
  <c r="L7" i="13"/>
  <c r="L22" i="30" s="1"/>
  <c r="AK18" i="20"/>
  <c r="O17" i="20"/>
  <c r="O100" i="20" s="1"/>
  <c r="G17" i="20"/>
  <c r="G100" i="20" s="1"/>
  <c r="AA4" i="27"/>
  <c r="V4" i="27"/>
  <c r="V44" i="30" s="1"/>
  <c r="N4" i="27"/>
  <c r="N44" i="30" s="1"/>
  <c r="F4" i="27"/>
  <c r="F44" i="30" s="1"/>
  <c r="Z4" i="27"/>
  <c r="Z44" i="30" s="1"/>
  <c r="Q4" i="27"/>
  <c r="Q44" i="30" s="1"/>
  <c r="G44" i="43"/>
  <c r="G6" i="43"/>
  <c r="E20" i="43"/>
  <c r="D7" i="43"/>
  <c r="K49" i="43"/>
  <c r="J16" i="43"/>
  <c r="J9" i="43"/>
  <c r="K24" i="43"/>
  <c r="L23" i="43"/>
  <c r="D14" i="43"/>
  <c r="L48" i="43"/>
  <c r="G8" i="43"/>
  <c r="G17" i="43"/>
  <c r="I7" i="43"/>
  <c r="D22" i="43"/>
  <c r="G22" i="43"/>
  <c r="H49" i="43"/>
  <c r="E22" i="43"/>
  <c r="F9" i="43"/>
  <c r="D15" i="43"/>
  <c r="F15" i="43"/>
  <c r="L24" i="43"/>
  <c r="I15" i="43"/>
  <c r="D8" i="43"/>
  <c r="F20" i="43"/>
  <c r="D46" i="43"/>
  <c r="K48" i="43"/>
  <c r="J7" i="43"/>
  <c r="I14" i="43"/>
  <c r="H9" i="43"/>
  <c r="H22" i="43"/>
  <c r="F24" i="43"/>
  <c r="G15" i="43"/>
  <c r="D17" i="43"/>
  <c r="K47" i="43"/>
  <c r="F44" i="43"/>
  <c r="F47" i="43"/>
  <c r="K16" i="43"/>
  <c r="D6" i="43"/>
  <c r="H47" i="43"/>
  <c r="G23" i="43"/>
  <c r="M16" i="43"/>
  <c r="J46" i="43"/>
  <c r="K17" i="43"/>
  <c r="J23" i="43"/>
  <c r="K8" i="43"/>
  <c r="D23" i="43"/>
  <c r="K44" i="43"/>
  <c r="E23" i="43"/>
  <c r="I8" i="43"/>
  <c r="I49" i="43"/>
  <c r="I46" i="43"/>
  <c r="E25" i="43"/>
  <c r="F49" i="43"/>
  <c r="K6" i="43"/>
  <c r="L7" i="43"/>
  <c r="H48" i="43"/>
  <c r="E16" i="43"/>
  <c r="K25" i="43"/>
  <c r="G7" i="43"/>
  <c r="E7" i="43"/>
  <c r="I23" i="43"/>
  <c r="I22" i="43"/>
  <c r="D47" i="43"/>
  <c r="L17" i="43"/>
  <c r="J47" i="43"/>
  <c r="H23" i="43"/>
  <c r="G46" i="43"/>
  <c r="G4" i="43"/>
  <c r="K4" i="43"/>
  <c r="L6" i="43"/>
  <c r="J22" i="43"/>
  <c r="K7" i="43"/>
  <c r="E14" i="43"/>
  <c r="K22" i="43"/>
  <c r="L14" i="43"/>
  <c r="J17" i="43"/>
  <c r="I20" i="43"/>
  <c r="E44" i="43"/>
  <c r="I16" i="43"/>
  <c r="L25" i="43"/>
  <c r="E6" i="43"/>
  <c r="I24" i="43"/>
  <c r="F8" i="43"/>
  <c r="I17" i="43"/>
  <c r="D25" i="43"/>
  <c r="K23" i="43"/>
  <c r="L46" i="43"/>
  <c r="H7" i="43"/>
  <c r="L8" i="43"/>
  <c r="E24" i="43"/>
  <c r="K20" i="43"/>
  <c r="D4" i="43"/>
  <c r="F7" i="43"/>
  <c r="D20" i="43"/>
  <c r="L44" i="43"/>
  <c r="M47" i="43"/>
  <c r="H46" i="43"/>
  <c r="I44" i="43"/>
  <c r="J24" i="43"/>
  <c r="F16" i="43"/>
  <c r="J44" i="43"/>
  <c r="J20" i="43"/>
  <c r="D9" i="43"/>
  <c r="M9" i="43"/>
  <c r="I4" i="43"/>
  <c r="J6" i="43"/>
  <c r="G25" i="43"/>
  <c r="E46" i="43"/>
  <c r="J48" i="43"/>
  <c r="F25" i="43"/>
  <c r="G16" i="43"/>
  <c r="G48" i="43"/>
  <c r="M24" i="43"/>
  <c r="I48" i="43"/>
  <c r="H44" i="43"/>
  <c r="E47" i="43"/>
  <c r="H6" i="43"/>
  <c r="J25" i="43"/>
  <c r="H24" i="43"/>
  <c r="M7" i="43"/>
  <c r="I9" i="43"/>
  <c r="J14" i="43"/>
  <c r="F17" i="43"/>
  <c r="F23" i="43"/>
  <c r="E8" i="43"/>
  <c r="L16" i="43"/>
  <c r="G20" i="43"/>
  <c r="E4" i="43"/>
  <c r="G24" i="43"/>
  <c r="J4" i="43"/>
  <c r="H17" i="43"/>
  <c r="L15" i="43"/>
  <c r="L22" i="43"/>
  <c r="F22" i="43"/>
  <c r="D16" i="43"/>
  <c r="I6" i="43"/>
  <c r="L9" i="43"/>
  <c r="E17" i="43"/>
  <c r="H8" i="43"/>
  <c r="E48" i="43"/>
  <c r="H14" i="43"/>
  <c r="D24" i="43"/>
  <c r="M23" i="43"/>
  <c r="H16" i="43"/>
  <c r="F6" i="43"/>
  <c r="G49" i="43"/>
  <c r="E9" i="43"/>
  <c r="G47" i="43"/>
  <c r="F46" i="43"/>
  <c r="H20" i="43"/>
  <c r="F14" i="43"/>
  <c r="J8" i="43"/>
  <c r="I25" i="43"/>
  <c r="E49" i="43"/>
  <c r="K9" i="43"/>
  <c r="I47" i="43"/>
  <c r="H25" i="43"/>
  <c r="J49" i="43"/>
  <c r="L4" i="43"/>
  <c r="E15" i="43"/>
  <c r="L49" i="43"/>
  <c r="F4" i="43"/>
  <c r="K15" i="43"/>
  <c r="H15" i="43"/>
  <c r="G14" i="43"/>
  <c r="K14" i="43"/>
  <c r="L20" i="43"/>
  <c r="H4" i="43"/>
  <c r="J15" i="43"/>
  <c r="K46" i="43"/>
  <c r="G9" i="43"/>
  <c r="F48" i="43"/>
  <c r="L47" i="43"/>
  <c r="Z3" i="27" l="1"/>
  <c r="Z47" i="30" s="1"/>
  <c r="X3" i="27"/>
  <c r="X47" i="30" s="1"/>
  <c r="Q3" i="27"/>
  <c r="Q47" i="30" s="1"/>
  <c r="P3" i="27"/>
  <c r="P47" i="30" s="1"/>
  <c r="D3" i="27"/>
  <c r="D47" i="30" s="1"/>
  <c r="R17" i="20"/>
  <c r="M18" i="20"/>
  <c r="AA7" i="13"/>
  <c r="AA22" i="30" s="1"/>
  <c r="W7" i="13"/>
  <c r="W22" i="30" s="1"/>
  <c r="U7" i="13"/>
  <c r="U22" i="30" s="1"/>
  <c r="H7" i="13"/>
  <c r="H22" i="30" s="1"/>
  <c r="N7" i="13"/>
  <c r="N22" i="30" s="1"/>
  <c r="S7" i="13"/>
  <c r="S22" i="30" s="1"/>
  <c r="J7" i="13"/>
  <c r="J22" i="30" s="1"/>
  <c r="G3" i="27"/>
  <c r="G47" i="30" s="1"/>
  <c r="W3" i="27"/>
  <c r="W47" i="30" s="1"/>
  <c r="R3" i="27"/>
  <c r="R47" i="30" s="1"/>
  <c r="I3" i="27"/>
  <c r="I47" i="30" s="1"/>
  <c r="Y3" i="27"/>
  <c r="Y47" i="30" s="1"/>
  <c r="T3" i="27"/>
  <c r="T47" i="30" s="1"/>
  <c r="S3" i="27"/>
  <c r="S47" i="30" s="1"/>
  <c r="N3" i="27"/>
  <c r="N47" i="30" s="1"/>
  <c r="E3" i="27"/>
  <c r="E47" i="30" s="1"/>
  <c r="U3" i="27"/>
  <c r="U47" i="30" s="1"/>
  <c r="E18" i="20"/>
  <c r="E100" i="20" s="1"/>
  <c r="U18" i="20"/>
  <c r="U100" i="20" s="1"/>
  <c r="P7" i="13"/>
  <c r="P22" i="30" s="1"/>
  <c r="Y7" i="13"/>
  <c r="Y22" i="30" s="1"/>
  <c r="V7" i="13"/>
  <c r="V22" i="30" s="1"/>
  <c r="G7" i="13"/>
  <c r="G22" i="30" s="1"/>
  <c r="C3" i="27"/>
  <c r="C47" i="30" s="1"/>
  <c r="K3" i="27"/>
  <c r="K47" i="30" s="1"/>
  <c r="AA3" i="27"/>
  <c r="F3" i="27"/>
  <c r="F47" i="30" s="1"/>
  <c r="V3" i="27"/>
  <c r="V47" i="30" s="1"/>
  <c r="M3" i="27"/>
  <c r="M47" i="30" s="1"/>
  <c r="H17" i="20"/>
  <c r="P17" i="20"/>
  <c r="P100" i="20" s="1"/>
  <c r="J17" i="20"/>
  <c r="AI17" i="20"/>
  <c r="AI100" i="20" s="1"/>
  <c r="T17" i="20"/>
  <c r="T100" i="20" s="1"/>
  <c r="D17" i="20"/>
  <c r="D100" i="20" s="1"/>
  <c r="D76" i="43"/>
  <c r="E76" i="43" s="1" a="1"/>
  <c r="D86" i="43"/>
  <c r="E86" i="43" s="1" a="1"/>
  <c r="D108" i="43"/>
  <c r="E108" i="43" s="1" a="1"/>
  <c r="D65" i="43"/>
  <c r="E65" i="43" s="1" a="1"/>
  <c r="D81" i="43"/>
  <c r="E81" i="43" s="1" a="1"/>
  <c r="D68" i="43"/>
  <c r="E68" i="43" s="1" a="1"/>
  <c r="D69" i="43"/>
  <c r="E69" i="43" s="1" a="1"/>
  <c r="D78" i="43"/>
  <c r="E78" i="43" s="1" a="1"/>
  <c r="D70" i="43"/>
  <c r="E70" i="43" s="1" a="1"/>
  <c r="D107" i="43"/>
  <c r="E107" i="43" s="1" a="1"/>
  <c r="D77" i="43"/>
  <c r="E77" i="43" s="1" a="1"/>
  <c r="D85" i="43"/>
  <c r="E85" i="43" s="1" a="1"/>
  <c r="D84" i="43"/>
  <c r="E84" i="43" s="1" a="1"/>
  <c r="N17" i="20"/>
  <c r="N100" i="20" s="1"/>
  <c r="B88" i="20"/>
  <c r="S10" i="6"/>
  <c r="V17" i="20"/>
  <c r="V100" i="20" s="1"/>
  <c r="F17" i="20"/>
  <c r="F100" i="20" s="1"/>
  <c r="B68" i="30"/>
  <c r="B65" i="30" s="1"/>
  <c r="I2" i="34" s="1"/>
  <c r="I18" i="20"/>
  <c r="I100" i="20" s="1"/>
  <c r="C89" i="20"/>
  <c r="D26" i="6"/>
  <c r="Q18" i="20"/>
  <c r="Q100" i="20" s="1"/>
  <c r="D3" i="24"/>
  <c r="E3" i="24" s="1"/>
  <c r="F3" i="24" s="1"/>
  <c r="F72" i="30" s="1"/>
  <c r="Q9" i="6"/>
  <c r="S25" i="103"/>
  <c r="S30" i="103" s="1"/>
  <c r="S39" i="103" s="1"/>
  <c r="S41" i="103" s="1"/>
  <c r="AB8" i="13"/>
  <c r="AB23" i="30" s="1"/>
  <c r="AB20" i="30" s="1"/>
  <c r="D28" i="32" s="1"/>
  <c r="B89" i="20"/>
  <c r="P11" i="6"/>
  <c r="B4" i="6" s="1"/>
  <c r="B9" i="6" s="1"/>
  <c r="J100" i="20"/>
  <c r="D39" i="103"/>
  <c r="D41" i="103" s="1"/>
  <c r="V25" i="103"/>
  <c r="V30" i="103" s="1"/>
  <c r="V39" i="103" s="1"/>
  <c r="V41" i="103" s="1"/>
  <c r="C26" i="6"/>
  <c r="B6" i="28"/>
  <c r="B22" i="28" s="1"/>
  <c r="B24" i="28" s="1"/>
  <c r="Q10" i="6"/>
  <c r="Q12" i="6" s="1"/>
  <c r="C3" i="6" s="1"/>
  <c r="C8" i="6" s="1"/>
  <c r="P25" i="103"/>
  <c r="P30" i="103" s="1"/>
  <c r="P39" i="103" s="1"/>
  <c r="P41" i="103" s="1"/>
  <c r="R9" i="6"/>
  <c r="R11" i="6" s="1"/>
  <c r="D4" i="6" s="1"/>
  <c r="D9" i="6" s="1"/>
  <c r="M22" i="43"/>
  <c r="M14" i="43"/>
  <c r="D75" i="43" s="1"/>
  <c r="M6" i="43"/>
  <c r="C6" i="28"/>
  <c r="C22" i="28" s="1"/>
  <c r="F7" i="28"/>
  <c r="F25" i="28" s="1"/>
  <c r="F26" i="28" s="1"/>
  <c r="D7" i="28"/>
  <c r="D25" i="28" s="1"/>
  <c r="D26" i="28" s="1"/>
  <c r="E7" i="28"/>
  <c r="E25" i="28" s="1"/>
  <c r="E26" i="28" s="1"/>
  <c r="F6" i="28"/>
  <c r="F22" i="28" s="1"/>
  <c r="C7" i="28"/>
  <c r="C25" i="28" s="1"/>
  <c r="C26" i="28" s="1"/>
  <c r="B7" i="28"/>
  <c r="B25" i="28" s="1"/>
  <c r="B26" i="28" s="1"/>
  <c r="E6" i="28"/>
  <c r="E22" i="28" s="1"/>
  <c r="D6" i="28"/>
  <c r="D22" i="28" s="1"/>
  <c r="B44" i="30"/>
  <c r="I25" i="103"/>
  <c r="I30" i="103" s="1"/>
  <c r="B90" i="20"/>
  <c r="O25" i="103"/>
  <c r="O30" i="103" s="1"/>
  <c r="O39" i="103" s="1"/>
  <c r="O41" i="103" s="1"/>
  <c r="B25" i="103"/>
  <c r="B30" i="103" s="1"/>
  <c r="B39" i="103" s="1"/>
  <c r="B41" i="103" s="1"/>
  <c r="C8" i="18"/>
  <c r="D8" i="18" s="1"/>
  <c r="E8" i="18" s="1"/>
  <c r="F8" i="18" s="1"/>
  <c r="G8" i="18" s="1"/>
  <c r="H8" i="18" s="1"/>
  <c r="I8" i="18" s="1"/>
  <c r="J8" i="18" s="1"/>
  <c r="K8" i="18" s="1"/>
  <c r="L8" i="18" s="1"/>
  <c r="M8" i="18" s="1"/>
  <c r="N8" i="18" s="1"/>
  <c r="O8" i="18" s="1"/>
  <c r="P8" i="18" s="1"/>
  <c r="Q8" i="18" s="1"/>
  <c r="R8" i="18" s="1"/>
  <c r="S8" i="18" s="1"/>
  <c r="T8" i="18" s="1"/>
  <c r="U8" i="18" s="1"/>
  <c r="V8" i="18" s="1"/>
  <c r="W8" i="18" s="1"/>
  <c r="X8" i="18" s="1"/>
  <c r="Y8" i="18" s="1"/>
  <c r="Z8" i="18" s="1"/>
  <c r="AA8" i="18" s="1"/>
  <c r="AB8" i="18" s="1"/>
  <c r="AC8" i="18" s="1"/>
  <c r="AD8" i="18" s="1"/>
  <c r="AE8" i="18" s="1"/>
  <c r="AF8" i="18" s="1"/>
  <c r="AG8" i="18" s="1"/>
  <c r="AH8" i="18" s="1"/>
  <c r="AI8" i="18" s="1"/>
  <c r="AJ8" i="18" s="1"/>
  <c r="AK8" i="18" s="1"/>
  <c r="Z25" i="103"/>
  <c r="Z30" i="103" s="1"/>
  <c r="Z39" i="103" s="1"/>
  <c r="Z41" i="103" s="1"/>
  <c r="D72" i="30"/>
  <c r="AB7" i="13"/>
  <c r="AB22" i="30" s="1"/>
  <c r="N26" i="6"/>
  <c r="B9" i="1"/>
  <c r="F25" i="103"/>
  <c r="F30" i="103" s="1"/>
  <c r="F39" i="103" s="1"/>
  <c r="F41" i="103" s="1"/>
  <c r="C87" i="20"/>
  <c r="B91" i="20"/>
  <c r="E25" i="103"/>
  <c r="E30" i="103" s="1"/>
  <c r="E39" i="103" s="1"/>
  <c r="E41" i="103" s="1"/>
  <c r="C10" i="18"/>
  <c r="D10" i="18" s="1"/>
  <c r="E10" i="18" s="1"/>
  <c r="F10" i="18" s="1"/>
  <c r="G10" i="18" s="1"/>
  <c r="H10" i="18" s="1"/>
  <c r="I10" i="18" s="1"/>
  <c r="J10" i="18" s="1"/>
  <c r="K10" i="18" s="1"/>
  <c r="L10" i="18" s="1"/>
  <c r="M10" i="18" s="1"/>
  <c r="N10" i="18" s="1"/>
  <c r="O10" i="18" s="1"/>
  <c r="P10" i="18" s="1"/>
  <c r="Q10" i="18" s="1"/>
  <c r="R10" i="18" s="1"/>
  <c r="S10" i="18" s="1"/>
  <c r="T10" i="18" s="1"/>
  <c r="U10" i="18" s="1"/>
  <c r="V10" i="18" s="1"/>
  <c r="W10" i="18" s="1"/>
  <c r="X10" i="18" s="1"/>
  <c r="Y10" i="18" s="1"/>
  <c r="Z10" i="18" s="1"/>
  <c r="AA10" i="18" s="1"/>
  <c r="AB10" i="18" s="1"/>
  <c r="AC10" i="18" s="1"/>
  <c r="AD10" i="18" s="1"/>
  <c r="AE10" i="18" s="1"/>
  <c r="AF10" i="18" s="1"/>
  <c r="AG10" i="18" s="1"/>
  <c r="AH10" i="18" s="1"/>
  <c r="AI10" i="18" s="1"/>
  <c r="AJ10" i="18" s="1"/>
  <c r="AK10" i="18" s="1"/>
  <c r="C6" i="18"/>
  <c r="C53" i="18" s="1"/>
  <c r="J36" i="20"/>
  <c r="K36" i="20" s="1"/>
  <c r="L36" i="20" s="1"/>
  <c r="J34" i="20"/>
  <c r="K34" i="20" s="1"/>
  <c r="AB4" i="27"/>
  <c r="C91" i="20"/>
  <c r="B26" i="6"/>
  <c r="AG17" i="20"/>
  <c r="AG100" i="20" s="1"/>
  <c r="AA17" i="20"/>
  <c r="AA100" i="20" s="1"/>
  <c r="M100" i="20"/>
  <c r="J25" i="103"/>
  <c r="J30" i="103" s="1"/>
  <c r="J39" i="103" s="1"/>
  <c r="J41" i="103" s="1"/>
  <c r="W25" i="103"/>
  <c r="W30" i="103" s="1"/>
  <c r="W39" i="103" s="1"/>
  <c r="W41" i="103" s="1"/>
  <c r="I39" i="103"/>
  <c r="I41" i="103" s="1"/>
  <c r="J35" i="20"/>
  <c r="K35" i="20" s="1"/>
  <c r="L35" i="20" s="1"/>
  <c r="M35" i="20" s="1"/>
  <c r="N35" i="20" s="1"/>
  <c r="O35" i="20" s="1"/>
  <c r="P35" i="20" s="1"/>
  <c r="Q35" i="20" s="1"/>
  <c r="R35" i="20" s="1"/>
  <c r="S35" i="20" s="1"/>
  <c r="T35" i="20" s="1"/>
  <c r="U35" i="20" s="1"/>
  <c r="V35" i="20" s="1"/>
  <c r="W35" i="20" s="1"/>
  <c r="X35" i="20" s="1"/>
  <c r="Y35" i="20" s="1"/>
  <c r="Z35" i="20" s="1"/>
  <c r="AA35" i="20" s="1"/>
  <c r="AB35" i="20" s="1"/>
  <c r="AC35" i="20" s="1"/>
  <c r="AD35" i="20" s="1"/>
  <c r="AE35" i="20" s="1"/>
  <c r="AF35" i="20" s="1"/>
  <c r="AG35" i="20" s="1"/>
  <c r="AH35" i="20" s="1"/>
  <c r="AI35" i="20" s="1"/>
  <c r="AJ35" i="20" s="1"/>
  <c r="AK35" i="20" s="1"/>
  <c r="E89" i="20"/>
  <c r="S12" i="6"/>
  <c r="E3" i="6" s="1"/>
  <c r="E8" i="6" s="1"/>
  <c r="Q11" i="6"/>
  <c r="C4" i="6" s="1"/>
  <c r="C9" i="6" s="1"/>
  <c r="N25" i="103"/>
  <c r="N30" i="103" s="1"/>
  <c r="N39" i="103" s="1"/>
  <c r="N41" i="103" s="1"/>
  <c r="E88" i="20"/>
  <c r="K17" i="20"/>
  <c r="K100" i="20" s="1"/>
  <c r="Y25" i="103"/>
  <c r="Y30" i="103" s="1"/>
  <c r="Y39" i="103" s="1"/>
  <c r="Y41" i="103" s="1"/>
  <c r="M25" i="103"/>
  <c r="M30" i="103" s="1"/>
  <c r="M39" i="103" s="1"/>
  <c r="M41" i="103" s="1"/>
  <c r="C18" i="20"/>
  <c r="C100" i="20" s="1"/>
  <c r="AF17" i="20"/>
  <c r="AF100" i="20" s="1"/>
  <c r="E26" i="6"/>
  <c r="B87" i="20"/>
  <c r="AC17" i="20"/>
  <c r="AC100" i="20" s="1"/>
  <c r="B17" i="20"/>
  <c r="B100" i="20" s="1"/>
  <c r="B52" i="30"/>
  <c r="H2" i="32" s="1"/>
  <c r="C7" i="18"/>
  <c r="C25" i="18" s="1"/>
  <c r="B86" i="20"/>
  <c r="M5" i="17"/>
  <c r="M30" i="30" s="1"/>
  <c r="M27" i="30" s="1"/>
  <c r="E13" i="34" s="1"/>
  <c r="E5" i="17"/>
  <c r="C5" i="17" s="1"/>
  <c r="B27" i="30"/>
  <c r="E2" i="34" s="1"/>
  <c r="D4" i="23"/>
  <c r="C69" i="30"/>
  <c r="C9" i="18"/>
  <c r="D9" i="18" s="1"/>
  <c r="E9" i="18" s="1"/>
  <c r="F9" i="18" s="1"/>
  <c r="G9" i="18" s="1"/>
  <c r="H9" i="18" s="1"/>
  <c r="I9" i="18" s="1"/>
  <c r="J9" i="18" s="1"/>
  <c r="K9" i="18" s="1"/>
  <c r="L9" i="18" s="1"/>
  <c r="M9" i="18" s="1"/>
  <c r="N9" i="18" s="1"/>
  <c r="O9" i="18" s="1"/>
  <c r="P9" i="18" s="1"/>
  <c r="Q9" i="18" s="1"/>
  <c r="R9" i="18" s="1"/>
  <c r="S9" i="18" s="1"/>
  <c r="T9" i="18" s="1"/>
  <c r="U9" i="18" s="1"/>
  <c r="V9" i="18" s="1"/>
  <c r="W9" i="18" s="1"/>
  <c r="X9" i="18" s="1"/>
  <c r="Y9" i="18" s="1"/>
  <c r="Z9" i="18" s="1"/>
  <c r="AA9" i="18" s="1"/>
  <c r="AB9" i="18" s="1"/>
  <c r="AC9" i="18" s="1"/>
  <c r="AD9" i="18" s="1"/>
  <c r="AE9" i="18" s="1"/>
  <c r="AF9" i="18" s="1"/>
  <c r="AG9" i="18" s="1"/>
  <c r="AH9" i="18" s="1"/>
  <c r="AI9" i="18" s="1"/>
  <c r="AJ9" i="18" s="1"/>
  <c r="AK9" i="18" s="1"/>
  <c r="F88" i="20"/>
  <c r="G37" i="20"/>
  <c r="H37" i="20" s="1"/>
  <c r="D30" i="20"/>
  <c r="C90" i="20"/>
  <c r="D3" i="23"/>
  <c r="D70" i="30" s="1"/>
  <c r="C70" i="30"/>
  <c r="C66" i="30" s="1"/>
  <c r="I3" i="31" s="1"/>
  <c r="G23" i="20"/>
  <c r="G89" i="20" s="1"/>
  <c r="F89" i="20"/>
  <c r="R22" i="30"/>
  <c r="AB3" i="27"/>
  <c r="AA47" i="30"/>
  <c r="D88" i="20"/>
  <c r="C71" i="30"/>
  <c r="D4" i="24"/>
  <c r="D71" i="30" s="1"/>
  <c r="C4" i="18"/>
  <c r="D4" i="18" s="1"/>
  <c r="D23" i="18" s="1"/>
  <c r="B5" i="18"/>
  <c r="C5" i="18" s="1"/>
  <c r="C24" i="18" s="1"/>
  <c r="Y17" i="20"/>
  <c r="Y100" i="20" s="1"/>
  <c r="S18" i="20"/>
  <c r="S100" i="20" s="1"/>
  <c r="AA44" i="30"/>
  <c r="B66" i="30"/>
  <c r="I2" i="31" s="1"/>
  <c r="G39" i="103"/>
  <c r="G41" i="103" s="1"/>
  <c r="S9" i="6"/>
  <c r="S11" i="6" s="1"/>
  <c r="E4" i="6" s="1"/>
  <c r="R25" i="103"/>
  <c r="R30" i="103" s="1"/>
  <c r="R39" i="103" s="1"/>
  <c r="R41" i="103" s="1"/>
  <c r="W18" i="20"/>
  <c r="W100" i="20" s="1"/>
  <c r="Q25" i="103"/>
  <c r="Q30" i="103" s="1"/>
  <c r="Q39" i="103" s="1"/>
  <c r="Q41" i="103" s="1"/>
  <c r="K25" i="103"/>
  <c r="K30" i="103" s="1"/>
  <c r="P10" i="6"/>
  <c r="P12" i="6" s="1"/>
  <c r="B3" i="6" s="1"/>
  <c r="B8" i="6" s="1"/>
  <c r="AH17" i="20"/>
  <c r="AH100" i="20" s="1"/>
  <c r="AE18" i="20"/>
  <c r="AE100" i="20" s="1"/>
  <c r="R10" i="6"/>
  <c r="R12" i="6" s="1"/>
  <c r="D3" i="6" s="1"/>
  <c r="D8" i="6" s="1"/>
  <c r="AA25" i="103"/>
  <c r="AA30" i="103" s="1"/>
  <c r="AA39" i="103" s="1"/>
  <c r="AA41" i="103" s="1"/>
  <c r="AK100" i="20"/>
  <c r="H100" i="20"/>
  <c r="C88" i="20"/>
  <c r="T25" i="103"/>
  <c r="T30" i="103" s="1"/>
  <c r="T39" i="103" s="1"/>
  <c r="T41" i="103" s="1"/>
  <c r="U25" i="103"/>
  <c r="U30" i="103" s="1"/>
  <c r="U39" i="103" s="1"/>
  <c r="U41" i="103" s="1"/>
  <c r="C25" i="103"/>
  <c r="C30" i="103" s="1"/>
  <c r="C39" i="103" s="1"/>
  <c r="C41" i="103" s="1"/>
  <c r="N17" i="43"/>
  <c r="O17" i="43" s="1"/>
  <c r="P17" i="43" s="1"/>
  <c r="Q17" i="43" s="1"/>
  <c r="R17" i="43" s="1"/>
  <c r="S17" i="43" s="1"/>
  <c r="T17" i="43" s="1"/>
  <c r="U17" i="43" s="1"/>
  <c r="V17" i="43" s="1"/>
  <c r="W17" i="43" s="1"/>
  <c r="X17" i="43" s="1"/>
  <c r="Y17" i="43" s="1"/>
  <c r="Z17" i="43" s="1"/>
  <c r="AA17" i="43" s="1"/>
  <c r="AB17" i="43" s="1"/>
  <c r="AC17" i="43" s="1"/>
  <c r="AD17" i="43" s="1"/>
  <c r="AE17" i="43" s="1"/>
  <c r="AF17" i="43" s="1"/>
  <c r="AG17" i="43" s="1"/>
  <c r="AH17" i="43" s="1"/>
  <c r="AI17" i="43" s="1"/>
  <c r="AJ17" i="43" s="1"/>
  <c r="AK17" i="43" s="1"/>
  <c r="AL17" i="43" s="1"/>
  <c r="AM17" i="43" s="1"/>
  <c r="AN17" i="43" s="1"/>
  <c r="AO17" i="43" s="1"/>
  <c r="AP17" i="43" s="1"/>
  <c r="AQ17" i="43" s="1"/>
  <c r="AR17" i="43" s="1"/>
  <c r="AS17" i="43" s="1"/>
  <c r="AT17" i="43" s="1"/>
  <c r="AU17" i="43" s="1"/>
  <c r="AV17" i="43" s="1"/>
  <c r="E112" i="43" a="1"/>
  <c r="N51" i="43"/>
  <c r="O51" i="43" s="1"/>
  <c r="P51" i="43" s="1"/>
  <c r="Q51" i="43" s="1"/>
  <c r="R51" i="43" s="1"/>
  <c r="S51" i="43" s="1"/>
  <c r="T51" i="43" s="1"/>
  <c r="U51" i="43" s="1"/>
  <c r="V51" i="43" s="1"/>
  <c r="W51" i="43" s="1"/>
  <c r="X51" i="43" s="1"/>
  <c r="Y51" i="43" s="1"/>
  <c r="Z51" i="43" s="1"/>
  <c r="AA51" i="43" s="1"/>
  <c r="AB51" i="43" s="1"/>
  <c r="AC51" i="43" s="1"/>
  <c r="AD51" i="43" s="1"/>
  <c r="AE51" i="43" s="1"/>
  <c r="AF51" i="43" s="1"/>
  <c r="AG51" i="43" s="1"/>
  <c r="AH51" i="43" s="1"/>
  <c r="AI51" i="43" s="1"/>
  <c r="AJ51" i="43" s="1"/>
  <c r="AK51" i="43" s="1"/>
  <c r="AL51" i="43" s="1"/>
  <c r="AM51" i="43" s="1"/>
  <c r="AN51" i="43" s="1"/>
  <c r="AO51" i="43" s="1"/>
  <c r="AP51" i="43" s="1"/>
  <c r="AQ51" i="43" s="1"/>
  <c r="AR51" i="43" s="1"/>
  <c r="AS51" i="43" s="1"/>
  <c r="AT51" i="43" s="1"/>
  <c r="AU51" i="43" s="1"/>
  <c r="AV51" i="43" s="1"/>
  <c r="N37" i="43"/>
  <c r="O37" i="43" s="1"/>
  <c r="P37" i="43" s="1"/>
  <c r="Q37" i="43" s="1"/>
  <c r="R37" i="43" s="1"/>
  <c r="S37" i="43" s="1"/>
  <c r="T37" i="43" s="1"/>
  <c r="U37" i="43" s="1"/>
  <c r="V37" i="43" s="1"/>
  <c r="W37" i="43" s="1"/>
  <c r="X37" i="43" s="1"/>
  <c r="Y37" i="43" s="1"/>
  <c r="Z37" i="43" s="1"/>
  <c r="AA37" i="43" s="1"/>
  <c r="AB37" i="43" s="1"/>
  <c r="AC37" i="43" s="1"/>
  <c r="AD37" i="43" s="1"/>
  <c r="AE37" i="43" s="1"/>
  <c r="AF37" i="43" s="1"/>
  <c r="AG37" i="43" s="1"/>
  <c r="AH37" i="43" s="1"/>
  <c r="AI37" i="43" s="1"/>
  <c r="AJ37" i="43" s="1"/>
  <c r="AK37" i="43" s="1"/>
  <c r="AL37" i="43" s="1"/>
  <c r="AM37" i="43" s="1"/>
  <c r="AN37" i="43" s="1"/>
  <c r="AO37" i="43" s="1"/>
  <c r="AP37" i="43" s="1"/>
  <c r="AQ37" i="43" s="1"/>
  <c r="AR37" i="43" s="1"/>
  <c r="AS37" i="43" s="1"/>
  <c r="AT37" i="43" s="1"/>
  <c r="AU37" i="43" s="1"/>
  <c r="AV37" i="43" s="1"/>
  <c r="E98" i="43" a="1"/>
  <c r="N56" i="43"/>
  <c r="O56" i="43" s="1"/>
  <c r="P56" i="43" s="1"/>
  <c r="Q56" i="43" s="1"/>
  <c r="R56" i="43" s="1"/>
  <c r="S56" i="43" s="1"/>
  <c r="T56" i="43" s="1"/>
  <c r="U56" i="43" s="1"/>
  <c r="V56" i="43" s="1"/>
  <c r="W56" i="43" s="1"/>
  <c r="X56" i="43" s="1"/>
  <c r="Y56" i="43" s="1"/>
  <c r="Z56" i="43" s="1"/>
  <c r="AA56" i="43" s="1"/>
  <c r="AB56" i="43" s="1"/>
  <c r="AC56" i="43" s="1"/>
  <c r="AD56" i="43" s="1"/>
  <c r="AE56" i="43" s="1"/>
  <c r="AF56" i="43" s="1"/>
  <c r="AG56" i="43" s="1"/>
  <c r="AH56" i="43" s="1"/>
  <c r="AI56" i="43" s="1"/>
  <c r="AJ56" i="43" s="1"/>
  <c r="AK56" i="43" s="1"/>
  <c r="AL56" i="43" s="1"/>
  <c r="AM56" i="43" s="1"/>
  <c r="AN56" i="43" s="1"/>
  <c r="AO56" i="43" s="1"/>
  <c r="AP56" i="43" s="1"/>
  <c r="AQ56" i="43" s="1"/>
  <c r="AR56" i="43" s="1"/>
  <c r="AS56" i="43" s="1"/>
  <c r="AT56" i="43" s="1"/>
  <c r="AU56" i="43" s="1"/>
  <c r="AV56" i="43" s="1"/>
  <c r="E117" i="43" a="1"/>
  <c r="E97" i="43" a="1"/>
  <c r="N36" i="43"/>
  <c r="O36" i="43" s="1"/>
  <c r="P36" i="43" s="1"/>
  <c r="Q36" i="43" s="1"/>
  <c r="R36" i="43" s="1"/>
  <c r="S36" i="43" s="1"/>
  <c r="T36" i="43" s="1"/>
  <c r="U36" i="43" s="1"/>
  <c r="V36" i="43" s="1"/>
  <c r="W36" i="43" s="1"/>
  <c r="X36" i="43" s="1"/>
  <c r="Y36" i="43" s="1"/>
  <c r="Z36" i="43" s="1"/>
  <c r="AA36" i="43" s="1"/>
  <c r="AB36" i="43" s="1"/>
  <c r="AC36" i="43" s="1"/>
  <c r="AD36" i="43" s="1"/>
  <c r="AE36" i="43" s="1"/>
  <c r="AF36" i="43" s="1"/>
  <c r="AG36" i="43" s="1"/>
  <c r="AH36" i="43" s="1"/>
  <c r="AI36" i="43" s="1"/>
  <c r="AJ36" i="43" s="1"/>
  <c r="AK36" i="43" s="1"/>
  <c r="AL36" i="43" s="1"/>
  <c r="AM36" i="43" s="1"/>
  <c r="AN36" i="43" s="1"/>
  <c r="AO36" i="43" s="1"/>
  <c r="AP36" i="43" s="1"/>
  <c r="AQ36" i="43" s="1"/>
  <c r="AR36" i="43" s="1"/>
  <c r="AS36" i="43" s="1"/>
  <c r="AT36" i="43" s="1"/>
  <c r="AU36" i="43" s="1"/>
  <c r="AV36" i="43" s="1"/>
  <c r="N15" i="43"/>
  <c r="O15" i="43" s="1"/>
  <c r="P15" i="43" s="1"/>
  <c r="Q15" i="43" s="1"/>
  <c r="R15" i="43" s="1"/>
  <c r="S15" i="43" s="1"/>
  <c r="T15" i="43" s="1"/>
  <c r="U15" i="43" s="1"/>
  <c r="V15" i="43" s="1"/>
  <c r="W15" i="43" s="1"/>
  <c r="X15" i="43" s="1"/>
  <c r="Y15" i="43" s="1"/>
  <c r="Z15" i="43" s="1"/>
  <c r="AA15" i="43" s="1"/>
  <c r="AB15" i="43" s="1"/>
  <c r="AC15" i="43" s="1"/>
  <c r="AD15" i="43" s="1"/>
  <c r="AE15" i="43" s="1"/>
  <c r="AF15" i="43" s="1"/>
  <c r="AG15" i="43" s="1"/>
  <c r="AH15" i="43" s="1"/>
  <c r="AI15" i="43" s="1"/>
  <c r="AJ15" i="43" s="1"/>
  <c r="AK15" i="43" s="1"/>
  <c r="AL15" i="43" s="1"/>
  <c r="AM15" i="43" s="1"/>
  <c r="AN15" i="43" s="1"/>
  <c r="AO15" i="43" s="1"/>
  <c r="AP15" i="43" s="1"/>
  <c r="AQ15" i="43" s="1"/>
  <c r="AR15" i="43" s="1"/>
  <c r="AS15" i="43" s="1"/>
  <c r="AT15" i="43" s="1"/>
  <c r="AU15" i="43" s="1"/>
  <c r="AV15" i="43" s="1"/>
  <c r="AS20" i="43"/>
  <c r="AT20" i="43" s="1"/>
  <c r="AU20" i="43" s="1"/>
  <c r="AV20" i="43" s="1"/>
  <c r="N8" i="43"/>
  <c r="O8" i="43" s="1"/>
  <c r="P8" i="43" s="1"/>
  <c r="Q8" i="43" s="1"/>
  <c r="R8" i="43" s="1"/>
  <c r="S8" i="43" s="1"/>
  <c r="T8" i="43" s="1"/>
  <c r="U8" i="43" s="1"/>
  <c r="V8" i="43" s="1"/>
  <c r="W8" i="43" s="1"/>
  <c r="X8" i="43" s="1"/>
  <c r="Y8" i="43" s="1"/>
  <c r="Z8" i="43" s="1"/>
  <c r="AA8" i="43" s="1"/>
  <c r="AB8" i="43" s="1"/>
  <c r="AC8" i="43" s="1"/>
  <c r="AD8" i="43" s="1"/>
  <c r="AE8" i="43" s="1"/>
  <c r="AF8" i="43" s="1"/>
  <c r="AG8" i="43" s="1"/>
  <c r="AH8" i="43" s="1"/>
  <c r="AI8" i="43" s="1"/>
  <c r="AJ8" i="43" s="1"/>
  <c r="AK8" i="43" s="1"/>
  <c r="AL8" i="43" s="1"/>
  <c r="AM8" i="43" s="1"/>
  <c r="AN8" i="43" s="1"/>
  <c r="AO8" i="43" s="1"/>
  <c r="AP8" i="43" s="1"/>
  <c r="AQ8" i="43" s="1"/>
  <c r="AR8" i="43" s="1"/>
  <c r="AS8" i="43" s="1"/>
  <c r="AT8" i="43" s="1"/>
  <c r="AU8" i="43" s="1"/>
  <c r="AV8" i="43" s="1"/>
  <c r="N29" i="43"/>
  <c r="O29" i="43" s="1"/>
  <c r="P29" i="43" s="1"/>
  <c r="Q29" i="43" s="1"/>
  <c r="R29" i="43" s="1"/>
  <c r="S29" i="43" s="1"/>
  <c r="T29" i="43" s="1"/>
  <c r="U29" i="43" s="1"/>
  <c r="V29" i="43" s="1"/>
  <c r="W29" i="43" s="1"/>
  <c r="X29" i="43" s="1"/>
  <c r="Y29" i="43" s="1"/>
  <c r="Z29" i="43" s="1"/>
  <c r="AA29" i="43" s="1"/>
  <c r="AB29" i="43" s="1"/>
  <c r="AC29" i="43" s="1"/>
  <c r="AD29" i="43" s="1"/>
  <c r="AE29" i="43" s="1"/>
  <c r="AF29" i="43" s="1"/>
  <c r="AG29" i="43" s="1"/>
  <c r="AH29" i="43" s="1"/>
  <c r="AI29" i="43" s="1"/>
  <c r="AJ29" i="43" s="1"/>
  <c r="AK29" i="43" s="1"/>
  <c r="AL29" i="43" s="1"/>
  <c r="AM29" i="43" s="1"/>
  <c r="AN29" i="43" s="1"/>
  <c r="AO29" i="43" s="1"/>
  <c r="AP29" i="43" s="1"/>
  <c r="AQ29" i="43" s="1"/>
  <c r="AR29" i="43" s="1"/>
  <c r="AS29" i="43" s="1"/>
  <c r="AT29" i="43" s="1"/>
  <c r="AU29" i="43" s="1"/>
  <c r="AV29" i="43" s="1"/>
  <c r="E90" i="43" a="1"/>
  <c r="N32" i="43"/>
  <c r="O32" i="43" s="1"/>
  <c r="P32" i="43" s="1"/>
  <c r="Q32" i="43" s="1"/>
  <c r="R32" i="43" s="1"/>
  <c r="S32" i="43" s="1"/>
  <c r="T32" i="43" s="1"/>
  <c r="U32" i="43" s="1"/>
  <c r="V32" i="43" s="1"/>
  <c r="W32" i="43" s="1"/>
  <c r="X32" i="43" s="1"/>
  <c r="Y32" i="43" s="1"/>
  <c r="Z32" i="43" s="1"/>
  <c r="AA32" i="43" s="1"/>
  <c r="AB32" i="43" s="1"/>
  <c r="AC32" i="43" s="1"/>
  <c r="AD32" i="43" s="1"/>
  <c r="AE32" i="43" s="1"/>
  <c r="AF32" i="43" s="1"/>
  <c r="AG32" i="43" s="1"/>
  <c r="AH32" i="43" s="1"/>
  <c r="AI32" i="43" s="1"/>
  <c r="AJ32" i="43" s="1"/>
  <c r="AK32" i="43" s="1"/>
  <c r="AL32" i="43" s="1"/>
  <c r="AM32" i="43" s="1"/>
  <c r="AN32" i="43" s="1"/>
  <c r="AO32" i="43" s="1"/>
  <c r="AP32" i="43" s="1"/>
  <c r="AQ32" i="43" s="1"/>
  <c r="AR32" i="43" s="1"/>
  <c r="AS32" i="43" s="1"/>
  <c r="AT32" i="43" s="1"/>
  <c r="AU32" i="43" s="1"/>
  <c r="AV32" i="43" s="1"/>
  <c r="E93" i="43" a="1"/>
  <c r="N41" i="43"/>
  <c r="O41" i="43" s="1"/>
  <c r="P41" i="43" s="1"/>
  <c r="Q41" i="43" s="1"/>
  <c r="R41" i="43" s="1"/>
  <c r="S41" i="43" s="1"/>
  <c r="T41" i="43" s="1"/>
  <c r="U41" i="43" s="1"/>
  <c r="V41" i="43" s="1"/>
  <c r="W41" i="43" s="1"/>
  <c r="X41" i="43" s="1"/>
  <c r="Y41" i="43" s="1"/>
  <c r="Z41" i="43" s="1"/>
  <c r="AA41" i="43" s="1"/>
  <c r="AB41" i="43" s="1"/>
  <c r="AC41" i="43" s="1"/>
  <c r="AD41" i="43" s="1"/>
  <c r="AE41" i="43" s="1"/>
  <c r="AF41" i="43" s="1"/>
  <c r="AG41" i="43" s="1"/>
  <c r="AH41" i="43" s="1"/>
  <c r="AI41" i="43" s="1"/>
  <c r="AJ41" i="43" s="1"/>
  <c r="AK41" i="43" s="1"/>
  <c r="AL41" i="43" s="1"/>
  <c r="AM41" i="43" s="1"/>
  <c r="AN41" i="43" s="1"/>
  <c r="AO41" i="43" s="1"/>
  <c r="AP41" i="43" s="1"/>
  <c r="AQ41" i="43" s="1"/>
  <c r="AR41" i="43" s="1"/>
  <c r="AS41" i="43" s="1"/>
  <c r="AT41" i="43" s="1"/>
  <c r="AU41" i="43" s="1"/>
  <c r="AV41" i="43" s="1"/>
  <c r="E102" i="43" a="1"/>
  <c r="N40" i="43"/>
  <c r="O40" i="43" s="1"/>
  <c r="P40" i="43" s="1"/>
  <c r="Q40" i="43" s="1"/>
  <c r="R40" i="43" s="1"/>
  <c r="S40" i="43" s="1"/>
  <c r="T40" i="43" s="1"/>
  <c r="U40" i="43" s="1"/>
  <c r="V40" i="43" s="1"/>
  <c r="W40" i="43" s="1"/>
  <c r="X40" i="43" s="1"/>
  <c r="Y40" i="43" s="1"/>
  <c r="Z40" i="43" s="1"/>
  <c r="AA40" i="43" s="1"/>
  <c r="AB40" i="43" s="1"/>
  <c r="AC40" i="43" s="1"/>
  <c r="AD40" i="43" s="1"/>
  <c r="AE40" i="43" s="1"/>
  <c r="AF40" i="43" s="1"/>
  <c r="AG40" i="43" s="1"/>
  <c r="AH40" i="43" s="1"/>
  <c r="AI40" i="43" s="1"/>
  <c r="AJ40" i="43" s="1"/>
  <c r="AK40" i="43" s="1"/>
  <c r="AL40" i="43" s="1"/>
  <c r="AM40" i="43" s="1"/>
  <c r="AN40" i="43" s="1"/>
  <c r="AO40" i="43" s="1"/>
  <c r="AP40" i="43" s="1"/>
  <c r="AQ40" i="43" s="1"/>
  <c r="AR40" i="43" s="1"/>
  <c r="AS40" i="43" s="1"/>
  <c r="AT40" i="43" s="1"/>
  <c r="AU40" i="43" s="1"/>
  <c r="AV40" i="43" s="1"/>
  <c r="E101" i="43" a="1"/>
  <c r="E74" i="43" a="1"/>
  <c r="N27" i="43"/>
  <c r="O27" i="43" s="1"/>
  <c r="P27" i="43" s="1"/>
  <c r="Q27" i="43" s="1"/>
  <c r="R27" i="43" s="1"/>
  <c r="S27" i="43" s="1"/>
  <c r="T27" i="43" s="1"/>
  <c r="U27" i="43" s="1"/>
  <c r="V27" i="43" s="1"/>
  <c r="W27" i="43" s="1"/>
  <c r="X27" i="43" s="1"/>
  <c r="Y27" i="43" s="1"/>
  <c r="Z27" i="43" s="1"/>
  <c r="AA27" i="43" s="1"/>
  <c r="AB27" i="43" s="1"/>
  <c r="AC27" i="43" s="1"/>
  <c r="AD27" i="43" s="1"/>
  <c r="AE27" i="43" s="1"/>
  <c r="AF27" i="43" s="1"/>
  <c r="AG27" i="43" s="1"/>
  <c r="AH27" i="43" s="1"/>
  <c r="AI27" i="43" s="1"/>
  <c r="AJ27" i="43" s="1"/>
  <c r="AK27" i="43" s="1"/>
  <c r="AL27" i="43" s="1"/>
  <c r="AM27" i="43" s="1"/>
  <c r="AN27" i="43" s="1"/>
  <c r="AO27" i="43" s="1"/>
  <c r="AP27" i="43" s="1"/>
  <c r="AQ27" i="43" s="1"/>
  <c r="AR27" i="43" s="1"/>
  <c r="AS27" i="43" s="1"/>
  <c r="AT27" i="43" s="1"/>
  <c r="AU27" i="43" s="1"/>
  <c r="AV27" i="43" s="1"/>
  <c r="E88" i="43" a="1"/>
  <c r="N34" i="43"/>
  <c r="O34" i="43" s="1"/>
  <c r="P34" i="43" s="1"/>
  <c r="Q34" i="43" s="1"/>
  <c r="R34" i="43" s="1"/>
  <c r="S34" i="43" s="1"/>
  <c r="T34" i="43" s="1"/>
  <c r="U34" i="43" s="1"/>
  <c r="V34" i="43" s="1"/>
  <c r="W34" i="43" s="1"/>
  <c r="X34" i="43" s="1"/>
  <c r="Y34" i="43" s="1"/>
  <c r="Z34" i="43" s="1"/>
  <c r="AA34" i="43" s="1"/>
  <c r="AB34" i="43" s="1"/>
  <c r="AC34" i="43" s="1"/>
  <c r="AD34" i="43" s="1"/>
  <c r="AE34" i="43" s="1"/>
  <c r="AF34" i="43" s="1"/>
  <c r="AG34" i="43" s="1"/>
  <c r="AH34" i="43" s="1"/>
  <c r="AI34" i="43" s="1"/>
  <c r="AJ34" i="43" s="1"/>
  <c r="AK34" i="43" s="1"/>
  <c r="AL34" i="43" s="1"/>
  <c r="AM34" i="43" s="1"/>
  <c r="AN34" i="43" s="1"/>
  <c r="AO34" i="43" s="1"/>
  <c r="AP34" i="43" s="1"/>
  <c r="AQ34" i="43" s="1"/>
  <c r="AR34" i="43" s="1"/>
  <c r="AS34" i="43" s="1"/>
  <c r="AT34" i="43" s="1"/>
  <c r="AU34" i="43" s="1"/>
  <c r="AV34" i="43" s="1"/>
  <c r="E95" i="43" a="1"/>
  <c r="N33" i="43"/>
  <c r="O33" i="43" s="1"/>
  <c r="P33" i="43" s="1"/>
  <c r="Q33" i="43" s="1"/>
  <c r="R33" i="43" s="1"/>
  <c r="S33" i="43" s="1"/>
  <c r="T33" i="43" s="1"/>
  <c r="U33" i="43" s="1"/>
  <c r="V33" i="43" s="1"/>
  <c r="W33" i="43" s="1"/>
  <c r="X33" i="43" s="1"/>
  <c r="Y33" i="43" s="1"/>
  <c r="Z33" i="43" s="1"/>
  <c r="AA33" i="43" s="1"/>
  <c r="AB33" i="43" s="1"/>
  <c r="AC33" i="43" s="1"/>
  <c r="AD33" i="43" s="1"/>
  <c r="AE33" i="43" s="1"/>
  <c r="AF33" i="43" s="1"/>
  <c r="AG33" i="43" s="1"/>
  <c r="AH33" i="43" s="1"/>
  <c r="AI33" i="43" s="1"/>
  <c r="AJ33" i="43" s="1"/>
  <c r="AK33" i="43" s="1"/>
  <c r="AL33" i="43" s="1"/>
  <c r="AM33" i="43" s="1"/>
  <c r="AN33" i="43" s="1"/>
  <c r="AO33" i="43" s="1"/>
  <c r="AP33" i="43" s="1"/>
  <c r="AQ33" i="43" s="1"/>
  <c r="AR33" i="43" s="1"/>
  <c r="AS33" i="43" s="1"/>
  <c r="AT33" i="43" s="1"/>
  <c r="AU33" i="43" s="1"/>
  <c r="AV33" i="43" s="1"/>
  <c r="E94" i="43" a="1"/>
  <c r="N47" i="43"/>
  <c r="O47" i="43" s="1"/>
  <c r="P47" i="43" s="1"/>
  <c r="Q47" i="43" s="1"/>
  <c r="R47" i="43" s="1"/>
  <c r="S47" i="43" s="1"/>
  <c r="T47" i="43" s="1"/>
  <c r="U47" i="43" s="1"/>
  <c r="V47" i="43" s="1"/>
  <c r="W47" i="43" s="1"/>
  <c r="X47" i="43" s="1"/>
  <c r="Y47" i="43" s="1"/>
  <c r="Z47" i="43" s="1"/>
  <c r="AA47" i="43" s="1"/>
  <c r="AB47" i="43" s="1"/>
  <c r="AC47" i="43" s="1"/>
  <c r="AD47" i="43" s="1"/>
  <c r="AE47" i="43" s="1"/>
  <c r="AF47" i="43" s="1"/>
  <c r="AG47" i="43" s="1"/>
  <c r="AH47" i="43" s="1"/>
  <c r="AI47" i="43" s="1"/>
  <c r="AJ47" i="43" s="1"/>
  <c r="AK47" i="43" s="1"/>
  <c r="AL47" i="43" s="1"/>
  <c r="AM47" i="43" s="1"/>
  <c r="AN47" i="43" s="1"/>
  <c r="AO47" i="43" s="1"/>
  <c r="AP47" i="43" s="1"/>
  <c r="AQ47" i="43" s="1"/>
  <c r="AR47" i="43" s="1"/>
  <c r="AS47" i="43" s="1"/>
  <c r="AT47" i="43" s="1"/>
  <c r="AU47" i="43" s="1"/>
  <c r="AV47" i="43" s="1"/>
  <c r="E73" i="43" a="1"/>
  <c r="N12" i="43"/>
  <c r="O12" i="43" s="1"/>
  <c r="P12" i="43" s="1"/>
  <c r="Q12" i="43" s="1"/>
  <c r="R12" i="43" s="1"/>
  <c r="S12" i="43" s="1"/>
  <c r="T12" i="43" s="1"/>
  <c r="U12" i="43" s="1"/>
  <c r="V12" i="43" s="1"/>
  <c r="W12" i="43" s="1"/>
  <c r="X12" i="43" s="1"/>
  <c r="Y12" i="43" s="1"/>
  <c r="Z12" i="43" s="1"/>
  <c r="AA12" i="43" s="1"/>
  <c r="AB12" i="43" s="1"/>
  <c r="AC12" i="43" s="1"/>
  <c r="AD12" i="43" s="1"/>
  <c r="AE12" i="43" s="1"/>
  <c r="AF12" i="43" s="1"/>
  <c r="AG12" i="43" s="1"/>
  <c r="AH12" i="43" s="1"/>
  <c r="AI12" i="43" s="1"/>
  <c r="AJ12" i="43" s="1"/>
  <c r="AK12" i="43" s="1"/>
  <c r="AL12" i="43" s="1"/>
  <c r="AM12" i="43" s="1"/>
  <c r="AN12" i="43" s="1"/>
  <c r="AO12" i="43" s="1"/>
  <c r="AP12" i="43" s="1"/>
  <c r="AQ12" i="43" s="1"/>
  <c r="AR12" i="43" s="1"/>
  <c r="AS12" i="43" s="1"/>
  <c r="AT12" i="43" s="1"/>
  <c r="AU12" i="43" s="1"/>
  <c r="AV12" i="43" s="1"/>
  <c r="E89" i="43" a="1"/>
  <c r="N28" i="43"/>
  <c r="O28" i="43" s="1"/>
  <c r="P28" i="43" s="1"/>
  <c r="Q28" i="43" s="1"/>
  <c r="R28" i="43" s="1"/>
  <c r="S28" i="43" s="1"/>
  <c r="T28" i="43" s="1"/>
  <c r="U28" i="43" s="1"/>
  <c r="V28" i="43" s="1"/>
  <c r="W28" i="43" s="1"/>
  <c r="X28" i="43" s="1"/>
  <c r="Y28" i="43" s="1"/>
  <c r="Z28" i="43" s="1"/>
  <c r="AA28" i="43" s="1"/>
  <c r="AB28" i="43" s="1"/>
  <c r="AC28" i="43" s="1"/>
  <c r="AD28" i="43" s="1"/>
  <c r="AE28" i="43" s="1"/>
  <c r="AF28" i="43" s="1"/>
  <c r="AG28" i="43" s="1"/>
  <c r="AH28" i="43" s="1"/>
  <c r="AI28" i="43" s="1"/>
  <c r="AJ28" i="43" s="1"/>
  <c r="AK28" i="43" s="1"/>
  <c r="AL28" i="43" s="1"/>
  <c r="AM28" i="43" s="1"/>
  <c r="AN28" i="43" s="1"/>
  <c r="AO28" i="43" s="1"/>
  <c r="AP28" i="43" s="1"/>
  <c r="AQ28" i="43" s="1"/>
  <c r="AR28" i="43" s="1"/>
  <c r="AS28" i="43" s="1"/>
  <c r="AT28" i="43" s="1"/>
  <c r="AU28" i="43" s="1"/>
  <c r="AV28" i="43" s="1"/>
  <c r="N24" i="43"/>
  <c r="O24" i="43" s="1"/>
  <c r="P24" i="43" s="1"/>
  <c r="Q24" i="43" s="1"/>
  <c r="R24" i="43" s="1"/>
  <c r="S24" i="43" s="1"/>
  <c r="T24" i="43" s="1"/>
  <c r="U24" i="43" s="1"/>
  <c r="V24" i="43" s="1"/>
  <c r="W24" i="43" s="1"/>
  <c r="X24" i="43" s="1"/>
  <c r="Y24" i="43" s="1"/>
  <c r="Z24" i="43" s="1"/>
  <c r="AA24" i="43" s="1"/>
  <c r="AB24" i="43" s="1"/>
  <c r="AC24" i="43" s="1"/>
  <c r="AD24" i="43" s="1"/>
  <c r="AE24" i="43" s="1"/>
  <c r="AF24" i="43" s="1"/>
  <c r="AG24" i="43" s="1"/>
  <c r="AH24" i="43" s="1"/>
  <c r="AI24" i="43" s="1"/>
  <c r="AJ24" i="43" s="1"/>
  <c r="AK24" i="43" s="1"/>
  <c r="AL24" i="43" s="1"/>
  <c r="AM24" i="43" s="1"/>
  <c r="AN24" i="43" s="1"/>
  <c r="AO24" i="43" s="1"/>
  <c r="AP24" i="43" s="1"/>
  <c r="AQ24" i="43" s="1"/>
  <c r="AR24" i="43" s="1"/>
  <c r="AS24" i="43" s="1"/>
  <c r="AT24" i="43" s="1"/>
  <c r="AU24" i="43" s="1"/>
  <c r="AV24" i="43" s="1"/>
  <c r="E80" i="43" a="1"/>
  <c r="E114" i="43" a="1"/>
  <c r="N53" i="43"/>
  <c r="O53" i="43" s="1"/>
  <c r="P53" i="43" s="1"/>
  <c r="Q53" i="43" s="1"/>
  <c r="R53" i="43" s="1"/>
  <c r="S53" i="43" s="1"/>
  <c r="T53" i="43" s="1"/>
  <c r="U53" i="43" s="1"/>
  <c r="V53" i="43" s="1"/>
  <c r="W53" i="43" s="1"/>
  <c r="X53" i="43" s="1"/>
  <c r="Y53" i="43" s="1"/>
  <c r="Z53" i="43" s="1"/>
  <c r="AA53" i="43" s="1"/>
  <c r="AB53" i="43" s="1"/>
  <c r="AC53" i="43" s="1"/>
  <c r="AD53" i="43" s="1"/>
  <c r="AE53" i="43" s="1"/>
  <c r="AF53" i="43" s="1"/>
  <c r="AG53" i="43" s="1"/>
  <c r="AH53" i="43" s="1"/>
  <c r="AI53" i="43" s="1"/>
  <c r="AJ53" i="43" s="1"/>
  <c r="AK53" i="43" s="1"/>
  <c r="AL53" i="43" s="1"/>
  <c r="AM53" i="43" s="1"/>
  <c r="AN53" i="43" s="1"/>
  <c r="AO53" i="43" s="1"/>
  <c r="AP53" i="43" s="1"/>
  <c r="AQ53" i="43" s="1"/>
  <c r="AR53" i="43" s="1"/>
  <c r="AS53" i="43" s="1"/>
  <c r="AT53" i="43" s="1"/>
  <c r="AU53" i="43" s="1"/>
  <c r="AV53" i="43" s="1"/>
  <c r="N2" i="43"/>
  <c r="O2" i="43" s="1"/>
  <c r="P2" i="43" s="1"/>
  <c r="Q2" i="43" s="1"/>
  <c r="R2" i="43" s="1"/>
  <c r="S2" i="43" s="1"/>
  <c r="T2" i="43" s="1"/>
  <c r="U2" i="43" s="1"/>
  <c r="V2" i="43" s="1"/>
  <c r="W2" i="43" s="1"/>
  <c r="X2" i="43" s="1"/>
  <c r="Y2" i="43" s="1"/>
  <c r="Z2" i="43" s="1"/>
  <c r="AA2" i="43" s="1"/>
  <c r="AB2" i="43" s="1"/>
  <c r="AC2" i="43" s="1"/>
  <c r="AD2" i="43" s="1"/>
  <c r="AE2" i="43" s="1"/>
  <c r="AF2" i="43" s="1"/>
  <c r="AG2" i="43" s="1"/>
  <c r="AH2" i="43" s="1"/>
  <c r="AI2" i="43" s="1"/>
  <c r="AJ2" i="43" s="1"/>
  <c r="AK2" i="43" s="1"/>
  <c r="AL2" i="43" s="1"/>
  <c r="AM2" i="43" s="1"/>
  <c r="AN2" i="43" s="1"/>
  <c r="AO2" i="43" s="1"/>
  <c r="AP2" i="43" s="1"/>
  <c r="AQ2" i="43" s="1"/>
  <c r="AR2" i="43" s="1"/>
  <c r="AS2" i="43" s="1"/>
  <c r="AT2" i="43" s="1"/>
  <c r="AU2" i="43" s="1"/>
  <c r="AV2" i="43" s="1"/>
  <c r="E63" i="43" a="1"/>
  <c r="N25" i="43"/>
  <c r="O25" i="43" s="1"/>
  <c r="P25" i="43" s="1"/>
  <c r="Q25" i="43" s="1"/>
  <c r="R25" i="43" s="1"/>
  <c r="S25" i="43" s="1"/>
  <c r="T25" i="43" s="1"/>
  <c r="U25" i="43" s="1"/>
  <c r="V25" i="43" s="1"/>
  <c r="W25" i="43" s="1"/>
  <c r="X25" i="43" s="1"/>
  <c r="Y25" i="43" s="1"/>
  <c r="Z25" i="43" s="1"/>
  <c r="AA25" i="43" s="1"/>
  <c r="AB25" i="43" s="1"/>
  <c r="AC25" i="43" s="1"/>
  <c r="AD25" i="43" s="1"/>
  <c r="AE25" i="43" s="1"/>
  <c r="AF25" i="43" s="1"/>
  <c r="AG25" i="43" s="1"/>
  <c r="AH25" i="43" s="1"/>
  <c r="AI25" i="43" s="1"/>
  <c r="AJ25" i="43" s="1"/>
  <c r="AK25" i="43" s="1"/>
  <c r="AL25" i="43" s="1"/>
  <c r="AM25" i="43" s="1"/>
  <c r="AN25" i="43" s="1"/>
  <c r="AO25" i="43" s="1"/>
  <c r="AP25" i="43" s="1"/>
  <c r="AQ25" i="43" s="1"/>
  <c r="AR25" i="43" s="1"/>
  <c r="AS25" i="43" s="1"/>
  <c r="AT25" i="43" s="1"/>
  <c r="AU25" i="43" s="1"/>
  <c r="AV25" i="43" s="1"/>
  <c r="N7" i="43"/>
  <c r="O7" i="43" s="1"/>
  <c r="P7" i="43" s="1"/>
  <c r="Q7" i="43" s="1"/>
  <c r="R7" i="43" s="1"/>
  <c r="S7" i="43" s="1"/>
  <c r="T7" i="43" s="1"/>
  <c r="U7" i="43" s="1"/>
  <c r="V7" i="43" s="1"/>
  <c r="W7" i="43" s="1"/>
  <c r="X7" i="43" s="1"/>
  <c r="Y7" i="43" s="1"/>
  <c r="Z7" i="43" s="1"/>
  <c r="AA7" i="43" s="1"/>
  <c r="AB7" i="43" s="1"/>
  <c r="AC7" i="43" s="1"/>
  <c r="AD7" i="43" s="1"/>
  <c r="AE7" i="43" s="1"/>
  <c r="AF7" i="43" s="1"/>
  <c r="AG7" i="43" s="1"/>
  <c r="AH7" i="43" s="1"/>
  <c r="AI7" i="43" s="1"/>
  <c r="AJ7" i="43" s="1"/>
  <c r="AK7" i="43" s="1"/>
  <c r="AL7" i="43" s="1"/>
  <c r="AM7" i="43" s="1"/>
  <c r="AN7" i="43" s="1"/>
  <c r="AO7" i="43" s="1"/>
  <c r="AP7" i="43" s="1"/>
  <c r="AQ7" i="43" s="1"/>
  <c r="AR7" i="43" s="1"/>
  <c r="AS7" i="43" s="1"/>
  <c r="AT7" i="43" s="1"/>
  <c r="AU7" i="43" s="1"/>
  <c r="AV7" i="43" s="1"/>
  <c r="N43" i="43"/>
  <c r="O43" i="43" s="1"/>
  <c r="P43" i="43" s="1"/>
  <c r="Q43" i="43" s="1"/>
  <c r="R43" i="43" s="1"/>
  <c r="S43" i="43" s="1"/>
  <c r="T43" i="43" s="1"/>
  <c r="U43" i="43" s="1"/>
  <c r="V43" i="43" s="1"/>
  <c r="W43" i="43" s="1"/>
  <c r="X43" i="43" s="1"/>
  <c r="Y43" i="43" s="1"/>
  <c r="Z43" i="43" s="1"/>
  <c r="AA43" i="43" s="1"/>
  <c r="AB43" i="43" s="1"/>
  <c r="AC43" i="43" s="1"/>
  <c r="AD43" i="43" s="1"/>
  <c r="AE43" i="43" s="1"/>
  <c r="AF43" i="43" s="1"/>
  <c r="AG43" i="43" s="1"/>
  <c r="AH43" i="43" s="1"/>
  <c r="AI43" i="43" s="1"/>
  <c r="AJ43" i="43" s="1"/>
  <c r="AK43" i="43" s="1"/>
  <c r="AL43" i="43" s="1"/>
  <c r="AM43" i="43" s="1"/>
  <c r="AN43" i="43" s="1"/>
  <c r="AO43" i="43" s="1"/>
  <c r="AP43" i="43" s="1"/>
  <c r="AQ43" i="43" s="1"/>
  <c r="AR43" i="43" s="1"/>
  <c r="AS43" i="43" s="1"/>
  <c r="AT43" i="43" s="1"/>
  <c r="AU43" i="43" s="1"/>
  <c r="AV43" i="43" s="1"/>
  <c r="E104" i="43" a="1"/>
  <c r="N9" i="43"/>
  <c r="O9" i="43" s="1"/>
  <c r="P9" i="43" s="1"/>
  <c r="Q9" i="43" s="1"/>
  <c r="R9" i="43" s="1"/>
  <c r="S9" i="43" s="1"/>
  <c r="T9" i="43" s="1"/>
  <c r="U9" i="43" s="1"/>
  <c r="V9" i="43" s="1"/>
  <c r="W9" i="43" s="1"/>
  <c r="X9" i="43" s="1"/>
  <c r="Y9" i="43" s="1"/>
  <c r="Z9" i="43" s="1"/>
  <c r="AA9" i="43" s="1"/>
  <c r="AB9" i="43" s="1"/>
  <c r="AC9" i="43" s="1"/>
  <c r="AD9" i="43" s="1"/>
  <c r="AE9" i="43" s="1"/>
  <c r="AF9" i="43" s="1"/>
  <c r="AG9" i="43" s="1"/>
  <c r="AH9" i="43" s="1"/>
  <c r="AI9" i="43" s="1"/>
  <c r="AJ9" i="43" s="1"/>
  <c r="AK9" i="43" s="1"/>
  <c r="AL9" i="43" s="1"/>
  <c r="AM9" i="43" s="1"/>
  <c r="AN9" i="43" s="1"/>
  <c r="AO9" i="43" s="1"/>
  <c r="AP9" i="43" s="1"/>
  <c r="AQ9" i="43" s="1"/>
  <c r="AR9" i="43" s="1"/>
  <c r="AS9" i="43" s="1"/>
  <c r="AT9" i="43" s="1"/>
  <c r="AU9" i="43" s="1"/>
  <c r="AV9" i="43" s="1"/>
  <c r="E66" i="43" a="1"/>
  <c r="N35" i="43"/>
  <c r="O35" i="43" s="1"/>
  <c r="P35" i="43" s="1"/>
  <c r="Q35" i="43" s="1"/>
  <c r="R35" i="43" s="1"/>
  <c r="S35" i="43" s="1"/>
  <c r="T35" i="43" s="1"/>
  <c r="U35" i="43" s="1"/>
  <c r="V35" i="43" s="1"/>
  <c r="W35" i="43" s="1"/>
  <c r="X35" i="43" s="1"/>
  <c r="Y35" i="43" s="1"/>
  <c r="Z35" i="43" s="1"/>
  <c r="AA35" i="43" s="1"/>
  <c r="AB35" i="43" s="1"/>
  <c r="AC35" i="43" s="1"/>
  <c r="AD35" i="43" s="1"/>
  <c r="AE35" i="43" s="1"/>
  <c r="AF35" i="43" s="1"/>
  <c r="AG35" i="43" s="1"/>
  <c r="AH35" i="43" s="1"/>
  <c r="AI35" i="43" s="1"/>
  <c r="AJ35" i="43" s="1"/>
  <c r="AK35" i="43" s="1"/>
  <c r="AL35" i="43" s="1"/>
  <c r="AM35" i="43" s="1"/>
  <c r="AN35" i="43" s="1"/>
  <c r="AO35" i="43" s="1"/>
  <c r="AP35" i="43" s="1"/>
  <c r="AQ35" i="43" s="1"/>
  <c r="AR35" i="43" s="1"/>
  <c r="AS35" i="43" s="1"/>
  <c r="AT35" i="43" s="1"/>
  <c r="AU35" i="43" s="1"/>
  <c r="AV35" i="43" s="1"/>
  <c r="E96" i="43" a="1"/>
  <c r="E79" i="43" a="1"/>
  <c r="N18" i="43"/>
  <c r="O18" i="43" s="1"/>
  <c r="P18" i="43" s="1"/>
  <c r="Q18" i="43" s="1"/>
  <c r="R18" i="43" s="1"/>
  <c r="S18" i="43" s="1"/>
  <c r="T18" i="43" s="1"/>
  <c r="U18" i="43" s="1"/>
  <c r="V18" i="43" s="1"/>
  <c r="W18" i="43" s="1"/>
  <c r="X18" i="43" s="1"/>
  <c r="Y18" i="43" s="1"/>
  <c r="Z18" i="43" s="1"/>
  <c r="AA18" i="43" s="1"/>
  <c r="AB18" i="43" s="1"/>
  <c r="AC18" i="43" s="1"/>
  <c r="AD18" i="43" s="1"/>
  <c r="AE18" i="43" s="1"/>
  <c r="AF18" i="43" s="1"/>
  <c r="AG18" i="43" s="1"/>
  <c r="AH18" i="43" s="1"/>
  <c r="AI18" i="43" s="1"/>
  <c r="AJ18" i="43" s="1"/>
  <c r="AK18" i="43" s="1"/>
  <c r="AL18" i="43" s="1"/>
  <c r="AM18" i="43" s="1"/>
  <c r="AN18" i="43" s="1"/>
  <c r="AO18" i="43" s="1"/>
  <c r="AP18" i="43" s="1"/>
  <c r="AQ18" i="43" s="1"/>
  <c r="AR18" i="43" s="1"/>
  <c r="AS18" i="43" s="1"/>
  <c r="AT18" i="43" s="1"/>
  <c r="AU18" i="43" s="1"/>
  <c r="AV18" i="43" s="1"/>
  <c r="N42" i="43"/>
  <c r="O42" i="43" s="1"/>
  <c r="P42" i="43" s="1"/>
  <c r="Q42" i="43" s="1"/>
  <c r="R42" i="43" s="1"/>
  <c r="S42" i="43" s="1"/>
  <c r="T42" i="43" s="1"/>
  <c r="U42" i="43" s="1"/>
  <c r="V42" i="43" s="1"/>
  <c r="W42" i="43" s="1"/>
  <c r="X42" i="43" s="1"/>
  <c r="Y42" i="43" s="1"/>
  <c r="Z42" i="43" s="1"/>
  <c r="AA42" i="43" s="1"/>
  <c r="AB42" i="43" s="1"/>
  <c r="AC42" i="43" s="1"/>
  <c r="AD42" i="43" s="1"/>
  <c r="AE42" i="43" s="1"/>
  <c r="AF42" i="43" s="1"/>
  <c r="AG42" i="43" s="1"/>
  <c r="AH42" i="43" s="1"/>
  <c r="AI42" i="43" s="1"/>
  <c r="AJ42" i="43" s="1"/>
  <c r="AK42" i="43" s="1"/>
  <c r="AL42" i="43" s="1"/>
  <c r="AM42" i="43" s="1"/>
  <c r="AN42" i="43" s="1"/>
  <c r="AO42" i="43" s="1"/>
  <c r="AP42" i="43" s="1"/>
  <c r="AQ42" i="43" s="1"/>
  <c r="AR42" i="43" s="1"/>
  <c r="AS42" i="43" s="1"/>
  <c r="AT42" i="43" s="1"/>
  <c r="AU42" i="43" s="1"/>
  <c r="AV42" i="43" s="1"/>
  <c r="E103" i="43" a="1"/>
  <c r="N49" i="43"/>
  <c r="O49" i="43" s="1"/>
  <c r="P49" i="43" s="1"/>
  <c r="Q49" i="43" s="1"/>
  <c r="R49" i="43" s="1"/>
  <c r="S49" i="43" s="1"/>
  <c r="T49" i="43" s="1"/>
  <c r="U49" i="43" s="1"/>
  <c r="V49" i="43" s="1"/>
  <c r="W49" i="43" s="1"/>
  <c r="X49" i="43" s="1"/>
  <c r="Y49" i="43" s="1"/>
  <c r="Z49" i="43" s="1"/>
  <c r="AA49" i="43" s="1"/>
  <c r="AB49" i="43" s="1"/>
  <c r="AC49" i="43" s="1"/>
  <c r="AD49" i="43" s="1"/>
  <c r="AE49" i="43" s="1"/>
  <c r="AF49" i="43" s="1"/>
  <c r="AG49" i="43" s="1"/>
  <c r="AH49" i="43" s="1"/>
  <c r="AI49" i="43" s="1"/>
  <c r="AJ49" i="43" s="1"/>
  <c r="AK49" i="43" s="1"/>
  <c r="AL49" i="43" s="1"/>
  <c r="AM49" i="43" s="1"/>
  <c r="AN49" i="43" s="1"/>
  <c r="AO49" i="43" s="1"/>
  <c r="AP49" i="43" s="1"/>
  <c r="AQ49" i="43" s="1"/>
  <c r="AR49" i="43" s="1"/>
  <c r="AS49" i="43" s="1"/>
  <c r="AT49" i="43" s="1"/>
  <c r="AU49" i="43" s="1"/>
  <c r="AV49" i="43" s="1"/>
  <c r="E110" i="43" a="1"/>
  <c r="N46" i="43"/>
  <c r="O46" i="43" s="1"/>
  <c r="P46" i="43" s="1"/>
  <c r="Q46" i="43" s="1"/>
  <c r="R46" i="43" s="1"/>
  <c r="S46" i="43" s="1"/>
  <c r="T46" i="43" s="1"/>
  <c r="U46" i="43" s="1"/>
  <c r="V46" i="43" s="1"/>
  <c r="W46" i="43" s="1"/>
  <c r="X46" i="43" s="1"/>
  <c r="Y46" i="43" s="1"/>
  <c r="Z46" i="43" s="1"/>
  <c r="AA46" i="43" s="1"/>
  <c r="AB46" i="43" s="1"/>
  <c r="AC46" i="43" s="1"/>
  <c r="AD46" i="43" s="1"/>
  <c r="AE46" i="43" s="1"/>
  <c r="AF46" i="43" s="1"/>
  <c r="AG46" i="43" s="1"/>
  <c r="AH46" i="43" s="1"/>
  <c r="AI46" i="43" s="1"/>
  <c r="AJ46" i="43" s="1"/>
  <c r="AK46" i="43" s="1"/>
  <c r="AL46" i="43" s="1"/>
  <c r="AM46" i="43" s="1"/>
  <c r="AN46" i="43" s="1"/>
  <c r="AO46" i="43" s="1"/>
  <c r="AP46" i="43" s="1"/>
  <c r="AQ46" i="43" s="1"/>
  <c r="AR46" i="43" s="1"/>
  <c r="AS46" i="43" s="1"/>
  <c r="AT46" i="43" s="1"/>
  <c r="AU46" i="43" s="1"/>
  <c r="AV46" i="43" s="1"/>
  <c r="E113" i="43" a="1"/>
  <c r="N52" i="43"/>
  <c r="O52" i="43" s="1"/>
  <c r="P52" i="43" s="1"/>
  <c r="Q52" i="43" s="1"/>
  <c r="R52" i="43" s="1"/>
  <c r="S52" i="43" s="1"/>
  <c r="T52" i="43" s="1"/>
  <c r="U52" i="43" s="1"/>
  <c r="V52" i="43" s="1"/>
  <c r="W52" i="43" s="1"/>
  <c r="X52" i="43" s="1"/>
  <c r="Y52" i="43" s="1"/>
  <c r="Z52" i="43" s="1"/>
  <c r="AA52" i="43" s="1"/>
  <c r="AB52" i="43" s="1"/>
  <c r="AC52" i="43" s="1"/>
  <c r="AD52" i="43" s="1"/>
  <c r="AE52" i="43" s="1"/>
  <c r="AF52" i="43" s="1"/>
  <c r="AG52" i="43" s="1"/>
  <c r="AH52" i="43" s="1"/>
  <c r="AI52" i="43" s="1"/>
  <c r="AJ52" i="43" s="1"/>
  <c r="AK52" i="43" s="1"/>
  <c r="AL52" i="43" s="1"/>
  <c r="AM52" i="43" s="1"/>
  <c r="AN52" i="43" s="1"/>
  <c r="AO52" i="43" s="1"/>
  <c r="AP52" i="43" s="1"/>
  <c r="AQ52" i="43" s="1"/>
  <c r="AR52" i="43" s="1"/>
  <c r="AS52" i="43" s="1"/>
  <c r="AT52" i="43" s="1"/>
  <c r="AU52" i="43" s="1"/>
  <c r="AV52" i="43" s="1"/>
  <c r="E106" i="43" a="1"/>
  <c r="N45" i="43"/>
  <c r="O45" i="43" s="1"/>
  <c r="P45" i="43" s="1"/>
  <c r="Q45" i="43" s="1"/>
  <c r="R45" i="43" s="1"/>
  <c r="S45" i="43" s="1"/>
  <c r="T45" i="43" s="1"/>
  <c r="U45" i="43" s="1"/>
  <c r="V45" i="43" s="1"/>
  <c r="W45" i="43" s="1"/>
  <c r="X45" i="43" s="1"/>
  <c r="Y45" i="43" s="1"/>
  <c r="Z45" i="43" s="1"/>
  <c r="AA45" i="43" s="1"/>
  <c r="AB45" i="43" s="1"/>
  <c r="AC45" i="43" s="1"/>
  <c r="AD45" i="43" s="1"/>
  <c r="AE45" i="43" s="1"/>
  <c r="AF45" i="43" s="1"/>
  <c r="AG45" i="43" s="1"/>
  <c r="AH45" i="43" s="1"/>
  <c r="AI45" i="43" s="1"/>
  <c r="AJ45" i="43" s="1"/>
  <c r="AK45" i="43" s="1"/>
  <c r="AL45" i="43" s="1"/>
  <c r="AM45" i="43" s="1"/>
  <c r="AN45" i="43" s="1"/>
  <c r="AO45" i="43" s="1"/>
  <c r="AP45" i="43" s="1"/>
  <c r="AQ45" i="43" s="1"/>
  <c r="AR45" i="43" s="1"/>
  <c r="AS45" i="43" s="1"/>
  <c r="AT45" i="43" s="1"/>
  <c r="AU45" i="43" s="1"/>
  <c r="AV45" i="43" s="1"/>
  <c r="N16" i="43"/>
  <c r="O16" i="43" s="1"/>
  <c r="P16" i="43" s="1"/>
  <c r="Q16" i="43" s="1"/>
  <c r="R16" i="43" s="1"/>
  <c r="S16" i="43" s="1"/>
  <c r="T16" i="43" s="1"/>
  <c r="U16" i="43" s="1"/>
  <c r="V16" i="43" s="1"/>
  <c r="W16" i="43" s="1"/>
  <c r="X16" i="43" s="1"/>
  <c r="Y16" i="43" s="1"/>
  <c r="Z16" i="43" s="1"/>
  <c r="AA16" i="43" s="1"/>
  <c r="AB16" i="43" s="1"/>
  <c r="AC16" i="43" s="1"/>
  <c r="AD16" i="43" s="1"/>
  <c r="AE16" i="43" s="1"/>
  <c r="AF16" i="43" s="1"/>
  <c r="AG16" i="43" s="1"/>
  <c r="AH16" i="43" s="1"/>
  <c r="AI16" i="43" s="1"/>
  <c r="AJ16" i="43" s="1"/>
  <c r="AK16" i="43" s="1"/>
  <c r="AL16" i="43" s="1"/>
  <c r="AM16" i="43" s="1"/>
  <c r="AN16" i="43" s="1"/>
  <c r="AO16" i="43" s="1"/>
  <c r="AP16" i="43" s="1"/>
  <c r="AQ16" i="43" s="1"/>
  <c r="AR16" i="43" s="1"/>
  <c r="AS16" i="43" s="1"/>
  <c r="AT16" i="43" s="1"/>
  <c r="AU16" i="43" s="1"/>
  <c r="AV16" i="43" s="1"/>
  <c r="E64" i="43" a="1"/>
  <c r="N3" i="43"/>
  <c r="O3" i="43" s="1"/>
  <c r="P3" i="43" s="1"/>
  <c r="Q3" i="43" s="1"/>
  <c r="R3" i="43" s="1"/>
  <c r="S3" i="43" s="1"/>
  <c r="T3" i="43" s="1"/>
  <c r="U3" i="43" s="1"/>
  <c r="V3" i="43" s="1"/>
  <c r="W3" i="43" s="1"/>
  <c r="X3" i="43" s="1"/>
  <c r="Y3" i="43" s="1"/>
  <c r="Z3" i="43" s="1"/>
  <c r="AA3" i="43" s="1"/>
  <c r="AB3" i="43" s="1"/>
  <c r="AC3" i="43" s="1"/>
  <c r="AD3" i="43" s="1"/>
  <c r="AE3" i="43" s="1"/>
  <c r="AF3" i="43" s="1"/>
  <c r="AG3" i="43" s="1"/>
  <c r="AH3" i="43" s="1"/>
  <c r="AI3" i="43" s="1"/>
  <c r="AJ3" i="43" s="1"/>
  <c r="AK3" i="43" s="1"/>
  <c r="AL3" i="43" s="1"/>
  <c r="AM3" i="43" s="1"/>
  <c r="AN3" i="43" s="1"/>
  <c r="AO3" i="43" s="1"/>
  <c r="AP3" i="43" s="1"/>
  <c r="AQ3" i="43" s="1"/>
  <c r="AR3" i="43" s="1"/>
  <c r="AS3" i="43" s="1"/>
  <c r="AT3" i="43" s="1"/>
  <c r="AU3" i="43" s="1"/>
  <c r="AV3" i="43" s="1"/>
  <c r="E72" i="43" a="1"/>
  <c r="N11" i="43"/>
  <c r="O11" i="43" s="1"/>
  <c r="P11" i="43" s="1"/>
  <c r="Q11" i="43" s="1"/>
  <c r="R11" i="43" s="1"/>
  <c r="S11" i="43" s="1"/>
  <c r="T11" i="43" s="1"/>
  <c r="U11" i="43" s="1"/>
  <c r="V11" i="43" s="1"/>
  <c r="W11" i="43" s="1"/>
  <c r="X11" i="43" s="1"/>
  <c r="Y11" i="43" s="1"/>
  <c r="Z11" i="43" s="1"/>
  <c r="AA11" i="43" s="1"/>
  <c r="AB11" i="43" s="1"/>
  <c r="AC11" i="43" s="1"/>
  <c r="AD11" i="43" s="1"/>
  <c r="AE11" i="43" s="1"/>
  <c r="AF11" i="43" s="1"/>
  <c r="AG11" i="43" s="1"/>
  <c r="AH11" i="43" s="1"/>
  <c r="AI11" i="43" s="1"/>
  <c r="AJ11" i="43" s="1"/>
  <c r="AK11" i="43" s="1"/>
  <c r="AL11" i="43" s="1"/>
  <c r="AM11" i="43" s="1"/>
  <c r="AN11" i="43" s="1"/>
  <c r="AO11" i="43" s="1"/>
  <c r="AP11" i="43" s="1"/>
  <c r="AQ11" i="43" s="1"/>
  <c r="AR11" i="43" s="1"/>
  <c r="AS11" i="43" s="1"/>
  <c r="AT11" i="43" s="1"/>
  <c r="AU11" i="43" s="1"/>
  <c r="AV11" i="43" s="1"/>
  <c r="N57" i="43"/>
  <c r="O57" i="43" s="1"/>
  <c r="P57" i="43" s="1"/>
  <c r="Q57" i="43" s="1"/>
  <c r="R57" i="43" s="1"/>
  <c r="S57" i="43" s="1"/>
  <c r="T57" i="43" s="1"/>
  <c r="U57" i="43" s="1"/>
  <c r="V57" i="43" s="1"/>
  <c r="W57" i="43" s="1"/>
  <c r="X57" i="43" s="1"/>
  <c r="Y57" i="43" s="1"/>
  <c r="Z57" i="43" s="1"/>
  <c r="AA57" i="43" s="1"/>
  <c r="AB57" i="43" s="1"/>
  <c r="AC57" i="43" s="1"/>
  <c r="AD57" i="43" s="1"/>
  <c r="AE57" i="43" s="1"/>
  <c r="AF57" i="43" s="1"/>
  <c r="AG57" i="43" s="1"/>
  <c r="AH57" i="43" s="1"/>
  <c r="AI57" i="43" s="1"/>
  <c r="AJ57" i="43" s="1"/>
  <c r="AK57" i="43" s="1"/>
  <c r="AL57" i="43" s="1"/>
  <c r="AM57" i="43" s="1"/>
  <c r="AN57" i="43" s="1"/>
  <c r="AO57" i="43" s="1"/>
  <c r="AP57" i="43" s="1"/>
  <c r="AQ57" i="43" s="1"/>
  <c r="AR57" i="43" s="1"/>
  <c r="AS57" i="43" s="1"/>
  <c r="AT57" i="43" s="1"/>
  <c r="AU57" i="43" s="1"/>
  <c r="AV57" i="43" s="1"/>
  <c r="E118" i="43" a="1"/>
  <c r="N55" i="43"/>
  <c r="O55" i="43" s="1"/>
  <c r="P55" i="43" s="1"/>
  <c r="Q55" i="43" s="1"/>
  <c r="R55" i="43" s="1"/>
  <c r="S55" i="43" s="1"/>
  <c r="T55" i="43" s="1"/>
  <c r="U55" i="43" s="1"/>
  <c r="V55" i="43" s="1"/>
  <c r="W55" i="43" s="1"/>
  <c r="X55" i="43" s="1"/>
  <c r="Y55" i="43" s="1"/>
  <c r="Z55" i="43" s="1"/>
  <c r="AA55" i="43" s="1"/>
  <c r="AB55" i="43" s="1"/>
  <c r="AC55" i="43" s="1"/>
  <c r="AD55" i="43" s="1"/>
  <c r="AE55" i="43" s="1"/>
  <c r="AF55" i="43" s="1"/>
  <c r="AG55" i="43" s="1"/>
  <c r="AH55" i="43" s="1"/>
  <c r="AI55" i="43" s="1"/>
  <c r="AJ55" i="43" s="1"/>
  <c r="AK55" i="43" s="1"/>
  <c r="AL55" i="43" s="1"/>
  <c r="AM55" i="43" s="1"/>
  <c r="AN55" i="43" s="1"/>
  <c r="AO55" i="43" s="1"/>
  <c r="AP55" i="43" s="1"/>
  <c r="AQ55" i="43" s="1"/>
  <c r="AR55" i="43" s="1"/>
  <c r="AS55" i="43" s="1"/>
  <c r="AT55" i="43" s="1"/>
  <c r="AU55" i="43" s="1"/>
  <c r="AV55" i="43" s="1"/>
  <c r="E116" i="43" a="1"/>
  <c r="E87" i="43" a="1"/>
  <c r="N26" i="43"/>
  <c r="O26" i="43" s="1"/>
  <c r="P26" i="43" s="1"/>
  <c r="Q26" i="43" s="1"/>
  <c r="R26" i="43" s="1"/>
  <c r="S26" i="43" s="1"/>
  <c r="T26" i="43" s="1"/>
  <c r="U26" i="43" s="1"/>
  <c r="V26" i="43" s="1"/>
  <c r="W26" i="43" s="1"/>
  <c r="X26" i="43" s="1"/>
  <c r="Y26" i="43" s="1"/>
  <c r="Z26" i="43" s="1"/>
  <c r="AA26" i="43" s="1"/>
  <c r="AB26" i="43" s="1"/>
  <c r="AC26" i="43" s="1"/>
  <c r="AD26" i="43" s="1"/>
  <c r="AE26" i="43" s="1"/>
  <c r="AF26" i="43" s="1"/>
  <c r="AG26" i="43" s="1"/>
  <c r="AH26" i="43" s="1"/>
  <c r="AI26" i="43" s="1"/>
  <c r="AJ26" i="43" s="1"/>
  <c r="AK26" i="43" s="1"/>
  <c r="AL26" i="43" s="1"/>
  <c r="AM26" i="43" s="1"/>
  <c r="AN26" i="43" s="1"/>
  <c r="AO26" i="43" s="1"/>
  <c r="AP26" i="43" s="1"/>
  <c r="AQ26" i="43" s="1"/>
  <c r="AR26" i="43" s="1"/>
  <c r="AS26" i="43" s="1"/>
  <c r="AT26" i="43" s="1"/>
  <c r="AU26" i="43" s="1"/>
  <c r="AV26" i="43" s="1"/>
  <c r="E109" i="43" a="1"/>
  <c r="N48" i="43"/>
  <c r="O48" i="43" s="1"/>
  <c r="P48" i="43" s="1"/>
  <c r="Q48" i="43" s="1"/>
  <c r="R48" i="43" s="1"/>
  <c r="S48" i="43" s="1"/>
  <c r="T48" i="43" s="1"/>
  <c r="U48" i="43" s="1"/>
  <c r="V48" i="43" s="1"/>
  <c r="W48" i="43" s="1"/>
  <c r="X48" i="43" s="1"/>
  <c r="Y48" i="43" s="1"/>
  <c r="Z48" i="43" s="1"/>
  <c r="AA48" i="43" s="1"/>
  <c r="AB48" i="43" s="1"/>
  <c r="AC48" i="43" s="1"/>
  <c r="AD48" i="43" s="1"/>
  <c r="AE48" i="43" s="1"/>
  <c r="AF48" i="43" s="1"/>
  <c r="AG48" i="43" s="1"/>
  <c r="AH48" i="43" s="1"/>
  <c r="AI48" i="43" s="1"/>
  <c r="AJ48" i="43" s="1"/>
  <c r="AK48" i="43" s="1"/>
  <c r="AL48" i="43" s="1"/>
  <c r="AM48" i="43" s="1"/>
  <c r="AN48" i="43" s="1"/>
  <c r="AO48" i="43" s="1"/>
  <c r="AP48" i="43" s="1"/>
  <c r="AQ48" i="43" s="1"/>
  <c r="AR48" i="43" s="1"/>
  <c r="AS48" i="43" s="1"/>
  <c r="AT48" i="43" s="1"/>
  <c r="AU48" i="43" s="1"/>
  <c r="AV48" i="43" s="1"/>
  <c r="N50" i="43"/>
  <c r="O50" i="43" s="1"/>
  <c r="P50" i="43" s="1"/>
  <c r="Q50" i="43" s="1"/>
  <c r="R50" i="43" s="1"/>
  <c r="S50" i="43" s="1"/>
  <c r="T50" i="43" s="1"/>
  <c r="U50" i="43" s="1"/>
  <c r="V50" i="43" s="1"/>
  <c r="W50" i="43" s="1"/>
  <c r="X50" i="43" s="1"/>
  <c r="Y50" i="43" s="1"/>
  <c r="Z50" i="43" s="1"/>
  <c r="AA50" i="43" s="1"/>
  <c r="AB50" i="43" s="1"/>
  <c r="AC50" i="43" s="1"/>
  <c r="AD50" i="43" s="1"/>
  <c r="AE50" i="43" s="1"/>
  <c r="AF50" i="43" s="1"/>
  <c r="AG50" i="43" s="1"/>
  <c r="AH50" i="43" s="1"/>
  <c r="AI50" i="43" s="1"/>
  <c r="AJ50" i="43" s="1"/>
  <c r="AK50" i="43" s="1"/>
  <c r="AL50" i="43" s="1"/>
  <c r="AM50" i="43" s="1"/>
  <c r="AN50" i="43" s="1"/>
  <c r="AO50" i="43" s="1"/>
  <c r="AP50" i="43" s="1"/>
  <c r="AQ50" i="43" s="1"/>
  <c r="AR50" i="43" s="1"/>
  <c r="AS50" i="43" s="1"/>
  <c r="AT50" i="43" s="1"/>
  <c r="AU50" i="43" s="1"/>
  <c r="AV50" i="43" s="1"/>
  <c r="E111" i="43" a="1"/>
  <c r="N4" i="43"/>
  <c r="O4" i="43" s="1"/>
  <c r="P4" i="43" s="1"/>
  <c r="Q4" i="43" s="1"/>
  <c r="R4" i="43" s="1"/>
  <c r="S4" i="43" s="1"/>
  <c r="T4" i="43" s="1"/>
  <c r="U4" i="43" s="1"/>
  <c r="V4" i="43" s="1"/>
  <c r="W4" i="43" s="1"/>
  <c r="X4" i="43" s="1"/>
  <c r="Y4" i="43" s="1"/>
  <c r="Z4" i="43" s="1"/>
  <c r="AA4" i="43" s="1"/>
  <c r="AB4" i="43" s="1"/>
  <c r="AC4" i="43" s="1"/>
  <c r="AD4" i="43" s="1"/>
  <c r="AE4" i="43" s="1"/>
  <c r="AF4" i="43" s="1"/>
  <c r="AG4" i="43" s="1"/>
  <c r="AH4" i="43" s="1"/>
  <c r="AI4" i="43" s="1"/>
  <c r="AJ4" i="43" s="1"/>
  <c r="AK4" i="43" s="1"/>
  <c r="AL4" i="43" s="1"/>
  <c r="AM4" i="43" s="1"/>
  <c r="AN4" i="43" s="1"/>
  <c r="AO4" i="43" s="1"/>
  <c r="AP4" i="43" s="1"/>
  <c r="AQ4" i="43" s="1"/>
  <c r="AR4" i="43" s="1"/>
  <c r="AS4" i="43" s="1"/>
  <c r="AT4" i="43" s="1"/>
  <c r="AU4" i="43" s="1"/>
  <c r="AV4" i="43" s="1"/>
  <c r="E99" i="43" a="1"/>
  <c r="N38" i="43"/>
  <c r="O38" i="43" s="1"/>
  <c r="P38" i="43" s="1"/>
  <c r="Q38" i="43" s="1"/>
  <c r="R38" i="43" s="1"/>
  <c r="S38" i="43" s="1"/>
  <c r="T38" i="43" s="1"/>
  <c r="U38" i="43" s="1"/>
  <c r="V38" i="43" s="1"/>
  <c r="W38" i="43" s="1"/>
  <c r="X38" i="43" s="1"/>
  <c r="Y38" i="43" s="1"/>
  <c r="Z38" i="43" s="1"/>
  <c r="AA38" i="43" s="1"/>
  <c r="AB38" i="43" s="1"/>
  <c r="AC38" i="43" s="1"/>
  <c r="AD38" i="43" s="1"/>
  <c r="AE38" i="43" s="1"/>
  <c r="AF38" i="43" s="1"/>
  <c r="AG38" i="43" s="1"/>
  <c r="AH38" i="43" s="1"/>
  <c r="AI38" i="43" s="1"/>
  <c r="AJ38" i="43" s="1"/>
  <c r="AK38" i="43" s="1"/>
  <c r="AL38" i="43" s="1"/>
  <c r="AM38" i="43" s="1"/>
  <c r="AN38" i="43" s="1"/>
  <c r="AO38" i="43" s="1"/>
  <c r="AP38" i="43" s="1"/>
  <c r="AQ38" i="43" s="1"/>
  <c r="AR38" i="43" s="1"/>
  <c r="AS38" i="43" s="1"/>
  <c r="AT38" i="43" s="1"/>
  <c r="AU38" i="43" s="1"/>
  <c r="AV38" i="43" s="1"/>
  <c r="N10" i="43"/>
  <c r="O10" i="43" s="1"/>
  <c r="P10" i="43" s="1"/>
  <c r="Q10" i="43" s="1"/>
  <c r="R10" i="43" s="1"/>
  <c r="S10" i="43" s="1"/>
  <c r="T10" i="43" s="1"/>
  <c r="U10" i="43" s="1"/>
  <c r="V10" i="43" s="1"/>
  <c r="W10" i="43" s="1"/>
  <c r="X10" i="43" s="1"/>
  <c r="Y10" i="43" s="1"/>
  <c r="Z10" i="43" s="1"/>
  <c r="AA10" i="43" s="1"/>
  <c r="AB10" i="43" s="1"/>
  <c r="AC10" i="43" s="1"/>
  <c r="AD10" i="43" s="1"/>
  <c r="AE10" i="43" s="1"/>
  <c r="AF10" i="43" s="1"/>
  <c r="AG10" i="43" s="1"/>
  <c r="AH10" i="43" s="1"/>
  <c r="AI10" i="43" s="1"/>
  <c r="AJ10" i="43" s="1"/>
  <c r="AK10" i="43" s="1"/>
  <c r="AL10" i="43" s="1"/>
  <c r="AM10" i="43" s="1"/>
  <c r="AN10" i="43" s="1"/>
  <c r="AO10" i="43" s="1"/>
  <c r="AP10" i="43" s="1"/>
  <c r="AQ10" i="43" s="1"/>
  <c r="AR10" i="43" s="1"/>
  <c r="AS10" i="43" s="1"/>
  <c r="AT10" i="43" s="1"/>
  <c r="AU10" i="43" s="1"/>
  <c r="AV10" i="43" s="1"/>
  <c r="E71" i="43" a="1"/>
  <c r="N54" i="43"/>
  <c r="O54" i="43" s="1"/>
  <c r="P54" i="43" s="1"/>
  <c r="Q54" i="43" s="1"/>
  <c r="R54" i="43" s="1"/>
  <c r="S54" i="43" s="1"/>
  <c r="T54" i="43" s="1"/>
  <c r="U54" i="43" s="1"/>
  <c r="V54" i="43" s="1"/>
  <c r="W54" i="43" s="1"/>
  <c r="X54" i="43" s="1"/>
  <c r="Y54" i="43" s="1"/>
  <c r="Z54" i="43" s="1"/>
  <c r="AA54" i="43" s="1"/>
  <c r="AB54" i="43" s="1"/>
  <c r="AC54" i="43" s="1"/>
  <c r="AD54" i="43" s="1"/>
  <c r="AE54" i="43" s="1"/>
  <c r="AF54" i="43" s="1"/>
  <c r="AG54" i="43" s="1"/>
  <c r="AH54" i="43" s="1"/>
  <c r="AI54" i="43" s="1"/>
  <c r="AJ54" i="43" s="1"/>
  <c r="AK54" i="43" s="1"/>
  <c r="AL54" i="43" s="1"/>
  <c r="AM54" i="43" s="1"/>
  <c r="AN54" i="43" s="1"/>
  <c r="AO54" i="43" s="1"/>
  <c r="AP54" i="43" s="1"/>
  <c r="AQ54" i="43" s="1"/>
  <c r="AR54" i="43" s="1"/>
  <c r="AS54" i="43" s="1"/>
  <c r="AT54" i="43" s="1"/>
  <c r="AU54" i="43" s="1"/>
  <c r="AV54" i="43" s="1"/>
  <c r="E115" i="43" a="1"/>
  <c r="E91" i="43" a="1"/>
  <c r="N30" i="43"/>
  <c r="O30" i="43" s="1"/>
  <c r="P30" i="43" s="1"/>
  <c r="Q30" i="43" s="1"/>
  <c r="R30" i="43" s="1"/>
  <c r="S30" i="43" s="1"/>
  <c r="T30" i="43" s="1"/>
  <c r="U30" i="43" s="1"/>
  <c r="V30" i="43" s="1"/>
  <c r="W30" i="43" s="1"/>
  <c r="X30" i="43" s="1"/>
  <c r="Y30" i="43" s="1"/>
  <c r="Z30" i="43" s="1"/>
  <c r="AA30" i="43" s="1"/>
  <c r="AB30" i="43" s="1"/>
  <c r="AC30" i="43" s="1"/>
  <c r="AD30" i="43" s="1"/>
  <c r="AE30" i="43" s="1"/>
  <c r="AF30" i="43" s="1"/>
  <c r="AG30" i="43" s="1"/>
  <c r="AH30" i="43" s="1"/>
  <c r="AI30" i="43" s="1"/>
  <c r="AJ30" i="43" s="1"/>
  <c r="AK30" i="43" s="1"/>
  <c r="AL30" i="43" s="1"/>
  <c r="AM30" i="43" s="1"/>
  <c r="AN30" i="43" s="1"/>
  <c r="AO30" i="43" s="1"/>
  <c r="AP30" i="43" s="1"/>
  <c r="AQ30" i="43" s="1"/>
  <c r="AR30" i="43" s="1"/>
  <c r="AS30" i="43" s="1"/>
  <c r="AT30" i="43" s="1"/>
  <c r="AU30" i="43" s="1"/>
  <c r="AV30" i="43" s="1"/>
  <c r="N44" i="43"/>
  <c r="O44" i="43" s="1"/>
  <c r="P44" i="43" s="1"/>
  <c r="Q44" i="43" s="1"/>
  <c r="R44" i="43" s="1"/>
  <c r="S44" i="43" s="1"/>
  <c r="T44" i="43" s="1"/>
  <c r="U44" i="43" s="1"/>
  <c r="V44" i="43" s="1"/>
  <c r="W44" i="43" s="1"/>
  <c r="X44" i="43" s="1"/>
  <c r="Y44" i="43" s="1"/>
  <c r="Z44" i="43" s="1"/>
  <c r="AA44" i="43" s="1"/>
  <c r="AB44" i="43" s="1"/>
  <c r="AC44" i="43" s="1"/>
  <c r="AD44" i="43" s="1"/>
  <c r="AE44" i="43" s="1"/>
  <c r="AF44" i="43" s="1"/>
  <c r="AG44" i="43" s="1"/>
  <c r="AH44" i="43" s="1"/>
  <c r="AI44" i="43" s="1"/>
  <c r="AJ44" i="43" s="1"/>
  <c r="AK44" i="43" s="1"/>
  <c r="AL44" i="43" s="1"/>
  <c r="AM44" i="43" s="1"/>
  <c r="AN44" i="43" s="1"/>
  <c r="AO44" i="43" s="1"/>
  <c r="AP44" i="43" s="1"/>
  <c r="AQ44" i="43" s="1"/>
  <c r="AR44" i="43" s="1"/>
  <c r="AS44" i="43" s="1"/>
  <c r="AT44" i="43" s="1"/>
  <c r="AU44" i="43" s="1"/>
  <c r="AV44" i="43" s="1"/>
  <c r="E105" i="43" a="1"/>
  <c r="N31" i="43"/>
  <c r="O31" i="43" s="1"/>
  <c r="P31" i="43" s="1"/>
  <c r="Q31" i="43" s="1"/>
  <c r="R31" i="43" s="1"/>
  <c r="S31" i="43" s="1"/>
  <c r="T31" i="43" s="1"/>
  <c r="U31" i="43" s="1"/>
  <c r="V31" i="43" s="1"/>
  <c r="W31" i="43" s="1"/>
  <c r="X31" i="43" s="1"/>
  <c r="Y31" i="43" s="1"/>
  <c r="Z31" i="43" s="1"/>
  <c r="AA31" i="43" s="1"/>
  <c r="AB31" i="43" s="1"/>
  <c r="AC31" i="43" s="1"/>
  <c r="AD31" i="43" s="1"/>
  <c r="AE31" i="43" s="1"/>
  <c r="AF31" i="43" s="1"/>
  <c r="AG31" i="43" s="1"/>
  <c r="AH31" i="43" s="1"/>
  <c r="AI31" i="43" s="1"/>
  <c r="AJ31" i="43" s="1"/>
  <c r="AK31" i="43" s="1"/>
  <c r="AL31" i="43" s="1"/>
  <c r="AM31" i="43" s="1"/>
  <c r="AN31" i="43" s="1"/>
  <c r="AO31" i="43" s="1"/>
  <c r="AP31" i="43" s="1"/>
  <c r="AQ31" i="43" s="1"/>
  <c r="AR31" i="43" s="1"/>
  <c r="AS31" i="43" s="1"/>
  <c r="AT31" i="43" s="1"/>
  <c r="AU31" i="43" s="1"/>
  <c r="AV31" i="43" s="1"/>
  <c r="E92" i="43" a="1"/>
  <c r="E100" i="43" a="1"/>
  <c r="N39" i="43"/>
  <c r="O39" i="43" s="1"/>
  <c r="P39" i="43" s="1"/>
  <c r="Q39" i="43" s="1"/>
  <c r="R39" i="43" s="1"/>
  <c r="S39" i="43" s="1"/>
  <c r="T39" i="43" s="1"/>
  <c r="U39" i="43" s="1"/>
  <c r="V39" i="43" s="1"/>
  <c r="W39" i="43" s="1"/>
  <c r="X39" i="43" s="1"/>
  <c r="Y39" i="43" s="1"/>
  <c r="Z39" i="43" s="1"/>
  <c r="AA39" i="43" s="1"/>
  <c r="AB39" i="43" s="1"/>
  <c r="AC39" i="43" s="1"/>
  <c r="AD39" i="43" s="1"/>
  <c r="AE39" i="43" s="1"/>
  <c r="AF39" i="43" s="1"/>
  <c r="AG39" i="43" s="1"/>
  <c r="AH39" i="43" s="1"/>
  <c r="AI39" i="43" s="1"/>
  <c r="AJ39" i="43" s="1"/>
  <c r="AK39" i="43" s="1"/>
  <c r="AL39" i="43" s="1"/>
  <c r="AM39" i="43" s="1"/>
  <c r="AN39" i="43" s="1"/>
  <c r="AO39" i="43" s="1"/>
  <c r="AP39" i="43" s="1"/>
  <c r="AQ39" i="43" s="1"/>
  <c r="AR39" i="43" s="1"/>
  <c r="AS39" i="43" s="1"/>
  <c r="AT39" i="43" s="1"/>
  <c r="AU39" i="43" s="1"/>
  <c r="AV39" i="43" s="1"/>
  <c r="G41" i="20"/>
  <c r="G88" i="20"/>
  <c r="G40" i="20"/>
  <c r="E26" i="20"/>
  <c r="D87" i="20"/>
  <c r="R100" i="20"/>
  <c r="Z18" i="20"/>
  <c r="Z17" i="20"/>
  <c r="E29" i="20"/>
  <c r="D91" i="20"/>
  <c r="C2" i="32"/>
  <c r="AD18" i="20"/>
  <c r="AD17" i="20"/>
  <c r="D89" i="20"/>
  <c r="D7" i="25"/>
  <c r="J38" i="20"/>
  <c r="K38" i="20" s="1"/>
  <c r="L38" i="20" s="1"/>
  <c r="M38" i="20" s="1"/>
  <c r="N38" i="20" s="1"/>
  <c r="O38" i="20" s="1"/>
  <c r="P38" i="20" s="1"/>
  <c r="Q38" i="20" s="1"/>
  <c r="R38" i="20" s="1"/>
  <c r="S38" i="20" s="1"/>
  <c r="T38" i="20" s="1"/>
  <c r="U38" i="20" s="1"/>
  <c r="V38" i="20" s="1"/>
  <c r="W38" i="20" s="1"/>
  <c r="X38" i="20" s="1"/>
  <c r="Y38" i="20" s="1"/>
  <c r="Z38" i="20" s="1"/>
  <c r="AA38" i="20" s="1"/>
  <c r="AB38" i="20" s="1"/>
  <c r="AC38" i="20" s="1"/>
  <c r="AD38" i="20" s="1"/>
  <c r="AE38" i="20" s="1"/>
  <c r="AF38" i="20" s="1"/>
  <c r="AG38" i="20" s="1"/>
  <c r="AH38" i="20" s="1"/>
  <c r="AI38" i="20" s="1"/>
  <c r="AJ38" i="20" s="1"/>
  <c r="AK38" i="20" s="1"/>
  <c r="D28" i="20"/>
  <c r="E28" i="20" s="1"/>
  <c r="F28" i="20" s="1"/>
  <c r="G28" i="20" s="1"/>
  <c r="H28" i="20" s="1"/>
  <c r="I28" i="20" s="1"/>
  <c r="C86" i="20"/>
  <c r="M25" i="46"/>
  <c r="E39" i="20"/>
  <c r="AJ17" i="20"/>
  <c r="AJ100" i="20" s="1"/>
  <c r="E9" i="6"/>
  <c r="X25" i="103"/>
  <c r="X30" i="103" s="1"/>
  <c r="X39" i="103" s="1"/>
  <c r="X41" i="103" s="1"/>
  <c r="F26" i="6"/>
  <c r="L25" i="103"/>
  <c r="L30" i="103" s="1"/>
  <c r="L39" i="103" s="1"/>
  <c r="L41" i="103" s="1"/>
  <c r="AB18" i="20"/>
  <c r="AB17" i="20"/>
  <c r="X17" i="20"/>
  <c r="X100" i="20" s="1"/>
  <c r="H3" i="27"/>
  <c r="H47" i="30" s="1"/>
  <c r="L3" i="27"/>
  <c r="L47" i="30" s="1"/>
  <c r="T9" i="6"/>
  <c r="T11" i="6" s="1"/>
  <c r="F4" i="6" s="1"/>
  <c r="F9" i="6" s="1"/>
  <c r="T10" i="6"/>
  <c r="T12" i="6" s="1"/>
  <c r="F3" i="6" s="1"/>
  <c r="F8" i="6" s="1"/>
  <c r="K39" i="103"/>
  <c r="K41" i="103" s="1"/>
  <c r="L17" i="20"/>
  <c r="L18" i="20"/>
  <c r="H25" i="103"/>
  <c r="H30" i="103" s="1"/>
  <c r="H39" i="103" s="1"/>
  <c r="H41" i="103" s="1"/>
  <c r="U5" i="17"/>
  <c r="U30" i="30" s="1"/>
  <c r="U27" i="30" s="1"/>
  <c r="E21" i="34" s="1"/>
  <c r="T5" i="17"/>
  <c r="T30" i="30" s="1"/>
  <c r="T27" i="30" s="1"/>
  <c r="E20" i="34" s="1"/>
  <c r="L5" i="17"/>
  <c r="L30" i="30" s="1"/>
  <c r="L27" i="30" s="1"/>
  <c r="E12" i="34" s="1"/>
  <c r="AA5" i="17"/>
  <c r="S5" i="17"/>
  <c r="S30" i="30" s="1"/>
  <c r="S27" i="30" s="1"/>
  <c r="E19" i="34" s="1"/>
  <c r="K5" i="17"/>
  <c r="K30" i="30" s="1"/>
  <c r="K27" i="30" s="1"/>
  <c r="E11" i="34" s="1"/>
  <c r="Z5" i="17"/>
  <c r="Z30" i="30" s="1"/>
  <c r="Z27" i="30" s="1"/>
  <c r="E26" i="34" s="1"/>
  <c r="R5" i="17"/>
  <c r="R30" i="30" s="1"/>
  <c r="R27" i="30" s="1"/>
  <c r="E18" i="34" s="1"/>
  <c r="J5" i="17"/>
  <c r="J30" i="30" s="1"/>
  <c r="J27" i="30" s="1"/>
  <c r="E10" i="34" s="1"/>
  <c r="Y5" i="17"/>
  <c r="Y30" i="30" s="1"/>
  <c r="Y27" i="30" s="1"/>
  <c r="E25" i="34" s="1"/>
  <c r="Q5" i="17"/>
  <c r="Q30" i="30" s="1"/>
  <c r="Q27" i="30" s="1"/>
  <c r="E17" i="34" s="1"/>
  <c r="I5" i="17"/>
  <c r="I30" i="30" s="1"/>
  <c r="I27" i="30" s="1"/>
  <c r="E9" i="34" s="1"/>
  <c r="X5" i="17"/>
  <c r="X30" i="30" s="1"/>
  <c r="X27" i="30" s="1"/>
  <c r="E24" i="34" s="1"/>
  <c r="P5" i="17"/>
  <c r="P30" i="30" s="1"/>
  <c r="P27" i="30" s="1"/>
  <c r="E16" i="34" s="1"/>
  <c r="H5" i="17"/>
  <c r="H30" i="30" s="1"/>
  <c r="H27" i="30" s="1"/>
  <c r="E8" i="34" s="1"/>
  <c r="W5" i="17"/>
  <c r="W30" i="30" s="1"/>
  <c r="W27" i="30" s="1"/>
  <c r="E23" i="34" s="1"/>
  <c r="O5" i="17"/>
  <c r="O30" i="30" s="1"/>
  <c r="O27" i="30" s="1"/>
  <c r="E15" i="34" s="1"/>
  <c r="G5" i="17"/>
  <c r="G30" i="30" s="1"/>
  <c r="G27" i="30" s="1"/>
  <c r="E7" i="34" s="1"/>
  <c r="V5" i="17"/>
  <c r="V30" i="30" s="1"/>
  <c r="V27" i="30" s="1"/>
  <c r="E22" i="34" s="1"/>
  <c r="N5" i="17"/>
  <c r="N30" i="30" s="1"/>
  <c r="N27" i="30" s="1"/>
  <c r="E14" i="34" s="1"/>
  <c r="F5" i="17"/>
  <c r="F30" i="30" s="1"/>
  <c r="F27" i="30" s="1"/>
  <c r="E6" i="34" s="1"/>
  <c r="C65" i="30" l="1"/>
  <c r="I3" i="34" s="1"/>
  <c r="G3" i="24"/>
  <c r="H3" i="24" s="1"/>
  <c r="I3" i="24" s="1"/>
  <c r="I72" i="30" s="1"/>
  <c r="E72" i="30"/>
  <c r="D6" i="18"/>
  <c r="D26" i="18" s="1"/>
  <c r="E3" i="23"/>
  <c r="E4" i="24"/>
  <c r="E71" i="30" s="1"/>
  <c r="B21" i="30"/>
  <c r="B19" i="30" s="1"/>
  <c r="D2" i="31" s="1"/>
  <c r="D83" i="43"/>
  <c r="E83" i="43" s="1" a="1"/>
  <c r="E83" i="43" s="1"/>
  <c r="D67" i="43"/>
  <c r="E67" i="43" s="1" a="1"/>
  <c r="D66" i="30"/>
  <c r="I4" i="31" s="1"/>
  <c r="AC8" i="13"/>
  <c r="AD8" i="13" s="1"/>
  <c r="H23" i="20"/>
  <c r="I23" i="20" s="1"/>
  <c r="B23" i="28"/>
  <c r="Z100" i="20"/>
  <c r="AC7" i="13"/>
  <c r="AD7" i="13" s="1"/>
  <c r="B16" i="28"/>
  <c r="C16" i="28" s="1"/>
  <c r="F13" i="6"/>
  <c r="C2" i="31"/>
  <c r="E75" i="43" a="1"/>
  <c r="F75" i="43" s="1"/>
  <c r="D24" i="28"/>
  <c r="D23" i="28"/>
  <c r="E23" i="28"/>
  <c r="E24" i="28"/>
  <c r="C23" i="28"/>
  <c r="C24" i="28"/>
  <c r="F23" i="28"/>
  <c r="B11" i="28" s="1"/>
  <c r="F24" i="28"/>
  <c r="B12" i="28" s="1"/>
  <c r="AB100" i="20"/>
  <c r="B13" i="6"/>
  <c r="C9" i="1"/>
  <c r="B10" i="1"/>
  <c r="B5" i="30" s="1"/>
  <c r="B4" i="30" s="1"/>
  <c r="B2" i="31" s="1"/>
  <c r="C94" i="20"/>
  <c r="B94" i="20"/>
  <c r="AD100" i="20"/>
  <c r="B105" i="20"/>
  <c r="B107" i="20" s="1"/>
  <c r="B53" i="30" s="1"/>
  <c r="D7" i="18"/>
  <c r="D39" i="18" s="1"/>
  <c r="C52" i="18"/>
  <c r="C39" i="18"/>
  <c r="C40" i="18"/>
  <c r="C26" i="18"/>
  <c r="C50" i="18"/>
  <c r="C23" i="18"/>
  <c r="C37" i="18"/>
  <c r="AC4" i="27"/>
  <c r="AB44" i="30"/>
  <c r="C13" i="6"/>
  <c r="E30" i="30"/>
  <c r="E27" i="30" s="1"/>
  <c r="E5" i="34" s="1"/>
  <c r="D86" i="20"/>
  <c r="E4" i="23"/>
  <c r="D69" i="30"/>
  <c r="D13" i="6"/>
  <c r="E30" i="20"/>
  <c r="D90" i="20"/>
  <c r="L100" i="20"/>
  <c r="E13" i="6"/>
  <c r="C51" i="18"/>
  <c r="D5" i="18"/>
  <c r="D24" i="18" s="1"/>
  <c r="C38" i="18"/>
  <c r="AB47" i="30"/>
  <c r="AC3" i="27"/>
  <c r="H40" i="20"/>
  <c r="F91" i="43"/>
  <c r="E91" i="43"/>
  <c r="E68" i="43"/>
  <c r="F68" i="43"/>
  <c r="F101" i="43"/>
  <c r="E101" i="43"/>
  <c r="E102" i="43"/>
  <c r="F102" i="43"/>
  <c r="F69" i="43"/>
  <c r="E69" i="43"/>
  <c r="D68" i="30"/>
  <c r="E7" i="25"/>
  <c r="M36" i="20"/>
  <c r="F100" i="43"/>
  <c r="E100" i="43"/>
  <c r="E87" i="43"/>
  <c r="F87" i="43"/>
  <c r="F64" i="43"/>
  <c r="E64" i="43"/>
  <c r="F96" i="43"/>
  <c r="E96" i="43"/>
  <c r="E66" i="43"/>
  <c r="F66" i="43"/>
  <c r="F73" i="43"/>
  <c r="E73" i="43"/>
  <c r="F88" i="43"/>
  <c r="E88" i="43"/>
  <c r="F92" i="43"/>
  <c r="E92" i="43"/>
  <c r="E114" i="43"/>
  <c r="F114" i="43"/>
  <c r="AA30" i="30"/>
  <c r="AA27" i="30" s="1"/>
  <c r="E27" i="34" s="1"/>
  <c r="AB5" i="17"/>
  <c r="F39" i="20"/>
  <c r="E86" i="20"/>
  <c r="L34" i="20"/>
  <c r="F3" i="23"/>
  <c r="E70" i="30"/>
  <c r="E66" i="30" s="1"/>
  <c r="I5" i="31" s="1"/>
  <c r="E113" i="43"/>
  <c r="F113" i="43"/>
  <c r="F107" i="43"/>
  <c r="E107" i="43"/>
  <c r="F103" i="43"/>
  <c r="E103" i="43"/>
  <c r="F70" i="43"/>
  <c r="E70" i="43"/>
  <c r="E63" i="43"/>
  <c r="F63" i="43"/>
  <c r="F85" i="43"/>
  <c r="E85" i="43"/>
  <c r="E108" i="43"/>
  <c r="F108" i="43"/>
  <c r="E95" i="43"/>
  <c r="F95" i="43"/>
  <c r="F93" i="43"/>
  <c r="E93" i="43"/>
  <c r="E76" i="43"/>
  <c r="F76" i="43"/>
  <c r="F89" i="43"/>
  <c r="E89" i="43"/>
  <c r="F4" i="24"/>
  <c r="F99" i="43"/>
  <c r="E99" i="43"/>
  <c r="E104" i="43"/>
  <c r="F104" i="43"/>
  <c r="F94" i="43"/>
  <c r="E94" i="43"/>
  <c r="E117" i="43"/>
  <c r="F117" i="43"/>
  <c r="E115" i="43"/>
  <c r="F115" i="43"/>
  <c r="F111" i="43"/>
  <c r="E111" i="43"/>
  <c r="F116" i="43"/>
  <c r="E116" i="43"/>
  <c r="E106" i="43"/>
  <c r="F106" i="43"/>
  <c r="E79" i="43"/>
  <c r="F79" i="43"/>
  <c r="E65" i="43"/>
  <c r="F65" i="43"/>
  <c r="E110" i="43"/>
  <c r="F110" i="43"/>
  <c r="I37" i="20"/>
  <c r="H88" i="20"/>
  <c r="E77" i="43"/>
  <c r="F77" i="43"/>
  <c r="F86" i="43"/>
  <c r="E86" i="43"/>
  <c r="F80" i="43"/>
  <c r="E80" i="43"/>
  <c r="F74" i="43"/>
  <c r="E74" i="43"/>
  <c r="E90" i="43"/>
  <c r="F90" i="43"/>
  <c r="E97" i="43"/>
  <c r="F97" i="43"/>
  <c r="E78" i="43"/>
  <c r="F78" i="43"/>
  <c r="E105" i="43"/>
  <c r="F105" i="43"/>
  <c r="N25" i="46"/>
  <c r="D50" i="18"/>
  <c r="E4" i="18"/>
  <c r="E23" i="18" s="1"/>
  <c r="D37" i="18"/>
  <c r="F29" i="20"/>
  <c r="E91" i="20"/>
  <c r="F26" i="20"/>
  <c r="E87" i="20"/>
  <c r="H41" i="20"/>
  <c r="E71" i="43"/>
  <c r="F71" i="43"/>
  <c r="F109" i="43"/>
  <c r="E109" i="43"/>
  <c r="F118" i="43"/>
  <c r="E118" i="43"/>
  <c r="F72" i="43"/>
  <c r="E72" i="43"/>
  <c r="E81" i="43"/>
  <c r="F81" i="43"/>
  <c r="F98" i="43"/>
  <c r="E98" i="43"/>
  <c r="E112" i="43"/>
  <c r="F112" i="43"/>
  <c r="E84" i="43"/>
  <c r="F84" i="43"/>
  <c r="G72" i="30" l="1"/>
  <c r="J3" i="24"/>
  <c r="K3" i="24" s="1"/>
  <c r="K72" i="30" s="1"/>
  <c r="H72" i="30"/>
  <c r="D40" i="18"/>
  <c r="D53" i="18"/>
  <c r="E6" i="18"/>
  <c r="E26" i="18" s="1"/>
  <c r="H89" i="20"/>
  <c r="AC23" i="30"/>
  <c r="AC20" i="30" s="1"/>
  <c r="D29" i="32" s="1"/>
  <c r="AC22" i="30"/>
  <c r="X10" i="30"/>
  <c r="C24" i="31" s="1"/>
  <c r="S10" i="30"/>
  <c r="C19" i="31" s="1"/>
  <c r="L10" i="30"/>
  <c r="C12" i="31" s="1"/>
  <c r="H10" i="30"/>
  <c r="C8" i="31" s="1"/>
  <c r="E10" i="30"/>
  <c r="C5" i="31" s="1"/>
  <c r="E67" i="43"/>
  <c r="F67" i="43"/>
  <c r="F83" i="43"/>
  <c r="N19" i="43" s="1"/>
  <c r="O19" i="43" s="1"/>
  <c r="P19" i="43" s="1"/>
  <c r="Q19" i="43" s="1"/>
  <c r="R19" i="43" s="1"/>
  <c r="S19" i="43" s="1"/>
  <c r="T19" i="43" s="1"/>
  <c r="U19" i="43" s="1"/>
  <c r="V19" i="43" s="1"/>
  <c r="W19" i="43" s="1"/>
  <c r="X19" i="43" s="1"/>
  <c r="Y19" i="43" s="1"/>
  <c r="Z19" i="43" s="1"/>
  <c r="AA19" i="43" s="1"/>
  <c r="AB19" i="43" s="1"/>
  <c r="AC19" i="43" s="1"/>
  <c r="AD19" i="43" s="1"/>
  <c r="AE19" i="43" s="1"/>
  <c r="AF19" i="43" s="1"/>
  <c r="AG19" i="43" s="1"/>
  <c r="AH19" i="43" s="1"/>
  <c r="AI19" i="43" s="1"/>
  <c r="AJ19" i="43" s="1"/>
  <c r="AK19" i="43" s="1"/>
  <c r="AL19" i="43" s="1"/>
  <c r="AM19" i="43" s="1"/>
  <c r="AN19" i="43" s="1"/>
  <c r="AO19" i="43" s="1"/>
  <c r="AP19" i="43" s="1"/>
  <c r="AQ19" i="43" s="1"/>
  <c r="AR19" i="43" s="1"/>
  <c r="AS19" i="43" s="1"/>
  <c r="AT19" i="43" s="1"/>
  <c r="AU19" i="43" s="1"/>
  <c r="AV19" i="43" s="1"/>
  <c r="C96" i="20"/>
  <c r="C103" i="20" s="1"/>
  <c r="B46" i="30"/>
  <c r="F10" i="30"/>
  <c r="C6" i="31" s="1"/>
  <c r="G10" i="30"/>
  <c r="C7" i="31" s="1"/>
  <c r="I10" i="30"/>
  <c r="C9" i="31" s="1"/>
  <c r="R10" i="30"/>
  <c r="C18" i="31" s="1"/>
  <c r="W10" i="30"/>
  <c r="C23" i="31" s="1"/>
  <c r="T10" i="30"/>
  <c r="C20" i="31" s="1"/>
  <c r="D10" i="30"/>
  <c r="C4" i="31" s="1"/>
  <c r="M10" i="30"/>
  <c r="C13" i="31" s="1"/>
  <c r="U10" i="30"/>
  <c r="C21" i="31" s="1"/>
  <c r="O10" i="30"/>
  <c r="C15" i="31" s="1"/>
  <c r="V10" i="30"/>
  <c r="C22" i="31" s="1"/>
  <c r="Z53" i="30"/>
  <c r="D65" i="30"/>
  <c r="I4" i="34" s="1"/>
  <c r="C46" i="30"/>
  <c r="D16" i="28"/>
  <c r="AJ53" i="30"/>
  <c r="L53" i="30"/>
  <c r="C53" i="30"/>
  <c r="S53" i="30"/>
  <c r="E75" i="43"/>
  <c r="N21" i="43"/>
  <c r="E82" i="43" a="1"/>
  <c r="O21" i="43"/>
  <c r="P21" i="43" s="1"/>
  <c r="Q21" i="43" s="1"/>
  <c r="R21" i="43" s="1"/>
  <c r="S21" i="43" s="1"/>
  <c r="T21" i="43" s="1"/>
  <c r="U21" i="43" s="1"/>
  <c r="V21" i="43" s="1"/>
  <c r="W21" i="43" s="1"/>
  <c r="X21" i="43" s="1"/>
  <c r="Y21" i="43" s="1"/>
  <c r="Z21" i="43" s="1"/>
  <c r="AA21" i="43" s="1"/>
  <c r="AB21" i="43" s="1"/>
  <c r="AC21" i="43" s="1"/>
  <c r="AD21" i="43" s="1"/>
  <c r="AE21" i="43" s="1"/>
  <c r="AF21" i="43" s="1"/>
  <c r="AG21" i="43" s="1"/>
  <c r="AH21" i="43" s="1"/>
  <c r="AI21" i="43" s="1"/>
  <c r="AJ21" i="43" s="1"/>
  <c r="AK21" i="43" s="1"/>
  <c r="AL21" i="43" s="1"/>
  <c r="AM21" i="43" s="1"/>
  <c r="AN21" i="43" s="1"/>
  <c r="AO21" i="43" s="1"/>
  <c r="AP21" i="43" s="1"/>
  <c r="AQ21" i="43" s="1"/>
  <c r="AR21" i="43" s="1"/>
  <c r="AS21" i="43" s="1"/>
  <c r="AT21" i="43" s="1"/>
  <c r="AU21" i="43" s="1"/>
  <c r="AV21" i="43" s="1"/>
  <c r="N13" i="43"/>
  <c r="O13" i="43" s="1"/>
  <c r="P13" i="43" s="1"/>
  <c r="Q13" i="43" s="1"/>
  <c r="R13" i="43" s="1"/>
  <c r="S13" i="43" s="1"/>
  <c r="T13" i="43" s="1"/>
  <c r="U13" i="43" s="1"/>
  <c r="V13" i="43" s="1"/>
  <c r="W13" i="43" s="1"/>
  <c r="X13" i="43" s="1"/>
  <c r="Y13" i="43" s="1"/>
  <c r="Z13" i="43" s="1"/>
  <c r="AA13" i="43" s="1"/>
  <c r="AB13" i="43" s="1"/>
  <c r="AC13" i="43" s="1"/>
  <c r="AD13" i="43" s="1"/>
  <c r="AE13" i="43" s="1"/>
  <c r="AF13" i="43" s="1"/>
  <c r="AG13" i="43" s="1"/>
  <c r="AH13" i="43" s="1"/>
  <c r="AI13" i="43" s="1"/>
  <c r="AJ13" i="43" s="1"/>
  <c r="AK13" i="43" s="1"/>
  <c r="AL13" i="43" s="1"/>
  <c r="AM13" i="43" s="1"/>
  <c r="AN13" i="43" s="1"/>
  <c r="AO13" i="43" s="1"/>
  <c r="AP13" i="43" s="1"/>
  <c r="AQ13" i="43" s="1"/>
  <c r="AR13" i="43" s="1"/>
  <c r="AS13" i="43" s="1"/>
  <c r="AT13" i="43" s="1"/>
  <c r="AU13" i="43" s="1"/>
  <c r="AV13" i="43" s="1"/>
  <c r="AH22" i="43"/>
  <c r="U22" i="43"/>
  <c r="AC22" i="43"/>
  <c r="AQ22" i="43"/>
  <c r="Q22" i="43"/>
  <c r="T22" i="43"/>
  <c r="AF22" i="43"/>
  <c r="N22" i="43"/>
  <c r="O22" i="43"/>
  <c r="Y22" i="43"/>
  <c r="AB22" i="43"/>
  <c r="AA22" i="43"/>
  <c r="S22" i="43"/>
  <c r="AR22" i="43"/>
  <c r="X22" i="43"/>
  <c r="AS22" i="43"/>
  <c r="AO22" i="43"/>
  <c r="AK22" i="43"/>
  <c r="AE22" i="43"/>
  <c r="R22" i="43"/>
  <c r="AG22" i="43"/>
  <c r="AJ22" i="43"/>
  <c r="V22" i="43"/>
  <c r="AM22" i="43"/>
  <c r="AU22" i="43"/>
  <c r="AD22" i="43"/>
  <c r="AI22" i="43"/>
  <c r="P22" i="43"/>
  <c r="AT22" i="43"/>
  <c r="AN22" i="43"/>
  <c r="Z22" i="43"/>
  <c r="AP22" i="43"/>
  <c r="AL22" i="43"/>
  <c r="W22" i="43"/>
  <c r="AV22" i="43"/>
  <c r="AL14" i="43"/>
  <c r="AA14" i="43"/>
  <c r="S14" i="43"/>
  <c r="O14" i="43"/>
  <c r="AB14" i="43"/>
  <c r="V14" i="43"/>
  <c r="AH14" i="43"/>
  <c r="AT14" i="43"/>
  <c r="AK14" i="43"/>
  <c r="AE14" i="43"/>
  <c r="AN14" i="43"/>
  <c r="Q14" i="43"/>
  <c r="AQ14" i="43"/>
  <c r="R14" i="43"/>
  <c r="Z14" i="43"/>
  <c r="AV14" i="43"/>
  <c r="X14" i="43"/>
  <c r="Y14" i="43"/>
  <c r="W14" i="43"/>
  <c r="T14" i="43"/>
  <c r="AP14" i="43"/>
  <c r="AG14" i="43"/>
  <c r="AI14" i="43"/>
  <c r="AF14" i="43"/>
  <c r="U14" i="43"/>
  <c r="N14" i="43"/>
  <c r="AO14" i="43"/>
  <c r="AU14" i="43"/>
  <c r="AR14" i="43"/>
  <c r="AS14" i="43"/>
  <c r="AD14" i="43"/>
  <c r="P14" i="43"/>
  <c r="AJ14" i="43"/>
  <c r="AM14" i="43"/>
  <c r="AC14" i="43"/>
  <c r="N6" i="43"/>
  <c r="AA5" i="43"/>
  <c r="AN5" i="43"/>
  <c r="P5" i="43"/>
  <c r="AV5" i="43"/>
  <c r="AG5" i="43"/>
  <c r="Z5" i="43"/>
  <c r="AS5" i="43"/>
  <c r="V5" i="43"/>
  <c r="AP5" i="43"/>
  <c r="W5" i="43"/>
  <c r="AO5" i="43"/>
  <c r="AJ5" i="43"/>
  <c r="AK5" i="43"/>
  <c r="N5" i="43"/>
  <c r="AM5" i="43"/>
  <c r="Q5" i="43"/>
  <c r="AF5" i="43"/>
  <c r="AQ5" i="43"/>
  <c r="R5" i="43"/>
  <c r="AU5" i="43"/>
  <c r="O5" i="43"/>
  <c r="X5" i="43"/>
  <c r="AI5" i="43"/>
  <c r="AB5" i="43"/>
  <c r="AH5" i="43"/>
  <c r="T5" i="43"/>
  <c r="AE5" i="43"/>
  <c r="AL5" i="43"/>
  <c r="Y5" i="43"/>
  <c r="AC5" i="43"/>
  <c r="S5" i="43"/>
  <c r="AT5" i="43"/>
  <c r="AR5" i="43"/>
  <c r="AD5" i="43"/>
  <c r="U5" i="43"/>
  <c r="B45" i="30"/>
  <c r="C11" i="28"/>
  <c r="B43" i="30"/>
  <c r="B41" i="30" s="1"/>
  <c r="G2" i="33" s="1"/>
  <c r="C12" i="28"/>
  <c r="B59" i="30"/>
  <c r="J53" i="30"/>
  <c r="P53" i="30"/>
  <c r="Q53" i="30"/>
  <c r="U53" i="30"/>
  <c r="AI53" i="30"/>
  <c r="G53" i="30"/>
  <c r="D53" i="30"/>
  <c r="O53" i="30"/>
  <c r="B54" i="30"/>
  <c r="T53" i="30"/>
  <c r="E53" i="30"/>
  <c r="W53" i="30"/>
  <c r="H53" i="30"/>
  <c r="K53" i="30"/>
  <c r="R53" i="30"/>
  <c r="Y53" i="30"/>
  <c r="AC53" i="30"/>
  <c r="C10" i="1"/>
  <c r="C5" i="30" s="1"/>
  <c r="C4" i="30" s="1"/>
  <c r="B3" i="31" s="1"/>
  <c r="D9" i="1"/>
  <c r="AD53" i="30"/>
  <c r="AK53" i="30"/>
  <c r="I53" i="30"/>
  <c r="V53" i="30"/>
  <c r="X53" i="30"/>
  <c r="AH53" i="30"/>
  <c r="F53" i="30"/>
  <c r="M53" i="30"/>
  <c r="N53" i="30"/>
  <c r="AB53" i="30"/>
  <c r="AA53" i="30"/>
  <c r="AF53" i="30"/>
  <c r="AG53" i="30"/>
  <c r="AE53" i="30"/>
  <c r="C54" i="18"/>
  <c r="C57" i="18" s="1"/>
  <c r="C58" i="18" s="1"/>
  <c r="D25" i="18"/>
  <c r="D27" i="18" s="1"/>
  <c r="D29" i="18" s="1"/>
  <c r="D52" i="18"/>
  <c r="E7" i="18"/>
  <c r="C41" i="18"/>
  <c r="C43" i="18" s="1"/>
  <c r="C55" i="18"/>
  <c r="C27" i="18"/>
  <c r="C29" i="18" s="1"/>
  <c r="C30" i="18" s="1"/>
  <c r="Q10" i="30"/>
  <c r="C17" i="31" s="1"/>
  <c r="N10" i="30"/>
  <c r="C14" i="31" s="1"/>
  <c r="C10" i="30"/>
  <c r="C3" i="31" s="1"/>
  <c r="J10" i="30"/>
  <c r="C10" i="31" s="1"/>
  <c r="E9" i="30"/>
  <c r="C5" i="32" s="1"/>
  <c r="G13" i="6"/>
  <c r="AD23" i="30"/>
  <c r="AD20" i="30" s="1"/>
  <c r="D30" i="32" s="1"/>
  <c r="AE8" i="13"/>
  <c r="C30" i="30"/>
  <c r="C27" i="30" s="1"/>
  <c r="E3" i="34" s="1"/>
  <c r="D5" i="17"/>
  <c r="D30" i="30" s="1"/>
  <c r="D27" i="30" s="1"/>
  <c r="E4" i="34" s="1"/>
  <c r="AC44" i="30"/>
  <c r="AD4" i="27"/>
  <c r="E5" i="18"/>
  <c r="E24" i="18" s="1"/>
  <c r="D51" i="18"/>
  <c r="D38" i="18"/>
  <c r="F4" i="23"/>
  <c r="E69" i="30"/>
  <c r="AD22" i="30"/>
  <c r="AE7" i="13"/>
  <c r="AC47" i="30"/>
  <c r="AD3" i="27"/>
  <c r="L3" i="24"/>
  <c r="F30" i="20"/>
  <c r="E90" i="20"/>
  <c r="E94" i="20" s="1"/>
  <c r="E96" i="20" s="1"/>
  <c r="E101" i="20" s="1"/>
  <c r="E54" i="30" s="1"/>
  <c r="D94" i="20"/>
  <c r="D96" i="20" s="1"/>
  <c r="D101" i="20" s="1"/>
  <c r="D54" i="30" s="1"/>
  <c r="AL23" i="43"/>
  <c r="AV23" i="43"/>
  <c r="O23" i="43"/>
  <c r="W23" i="43"/>
  <c r="AI23" i="43"/>
  <c r="AP23" i="43"/>
  <c r="N23" i="43"/>
  <c r="AQ23" i="43"/>
  <c r="AH23" i="43"/>
  <c r="P23" i="43"/>
  <c r="Q23" i="43"/>
  <c r="V23" i="43"/>
  <c r="S23" i="43"/>
  <c r="AB23" i="43"/>
  <c r="AS23" i="43"/>
  <c r="U23" i="43"/>
  <c r="AK23" i="43"/>
  <c r="T23" i="43"/>
  <c r="AD23" i="43"/>
  <c r="Z23" i="43"/>
  <c r="AG23" i="43"/>
  <c r="Y23" i="43"/>
  <c r="AO23" i="43"/>
  <c r="AC23" i="43"/>
  <c r="AA23" i="43"/>
  <c r="X23" i="43"/>
  <c r="AT23" i="43"/>
  <c r="AF23" i="43"/>
  <c r="AR23" i="43"/>
  <c r="AM23" i="43"/>
  <c r="AN23" i="43"/>
  <c r="AJ23" i="43"/>
  <c r="AE23" i="43"/>
  <c r="R23" i="43"/>
  <c r="AU23" i="43"/>
  <c r="G29" i="20"/>
  <c r="F91" i="20"/>
  <c r="G4" i="24"/>
  <c r="F71" i="30"/>
  <c r="J23" i="20"/>
  <c r="J89" i="20" s="1"/>
  <c r="J24" i="20"/>
  <c r="K24" i="20" s="1"/>
  <c r="L24" i="20" s="1"/>
  <c r="M24" i="20" s="1"/>
  <c r="N24" i="20" s="1"/>
  <c r="O24" i="20" s="1"/>
  <c r="P24" i="20" s="1"/>
  <c r="Q24" i="20" s="1"/>
  <c r="R24" i="20" s="1"/>
  <c r="S24" i="20" s="1"/>
  <c r="T24" i="20" s="1"/>
  <c r="U24" i="20" s="1"/>
  <c r="V24" i="20" s="1"/>
  <c r="W24" i="20" s="1"/>
  <c r="X24" i="20" s="1"/>
  <c r="Y24" i="20" s="1"/>
  <c r="Z24" i="20" s="1"/>
  <c r="AA24" i="20" s="1"/>
  <c r="AB24" i="20" s="1"/>
  <c r="AC24" i="20" s="1"/>
  <c r="AD24" i="20" s="1"/>
  <c r="AE24" i="20" s="1"/>
  <c r="AF24" i="20" s="1"/>
  <c r="AG24" i="20" s="1"/>
  <c r="AH24" i="20" s="1"/>
  <c r="AI24" i="20" s="1"/>
  <c r="AJ24" i="20" s="1"/>
  <c r="AK24" i="20" s="1"/>
  <c r="I89" i="20"/>
  <c r="J25" i="20"/>
  <c r="K25" i="20" s="1"/>
  <c r="L25" i="20" s="1"/>
  <c r="M25" i="20" s="1"/>
  <c r="N25" i="20" s="1"/>
  <c r="O25" i="20" s="1"/>
  <c r="P25" i="20" s="1"/>
  <c r="Q25" i="20" s="1"/>
  <c r="R25" i="20" s="1"/>
  <c r="S25" i="20" s="1"/>
  <c r="T25" i="20" s="1"/>
  <c r="U25" i="20" s="1"/>
  <c r="V25" i="20" s="1"/>
  <c r="W25" i="20" s="1"/>
  <c r="X25" i="20" s="1"/>
  <c r="Y25" i="20" s="1"/>
  <c r="Z25" i="20" s="1"/>
  <c r="AA25" i="20" s="1"/>
  <c r="AB25" i="20" s="1"/>
  <c r="AC25" i="20" s="1"/>
  <c r="AD25" i="20" s="1"/>
  <c r="AE25" i="20" s="1"/>
  <c r="AF25" i="20" s="1"/>
  <c r="AG25" i="20" s="1"/>
  <c r="AH25" i="20" s="1"/>
  <c r="AI25" i="20" s="1"/>
  <c r="AJ25" i="20" s="1"/>
  <c r="AK25" i="20" s="1"/>
  <c r="J28" i="20"/>
  <c r="K28" i="20" s="1"/>
  <c r="L28" i="20" s="1"/>
  <c r="M28" i="20" s="1"/>
  <c r="N28" i="20" s="1"/>
  <c r="O28" i="20" s="1"/>
  <c r="P28" i="20" s="1"/>
  <c r="Q28" i="20" s="1"/>
  <c r="R28" i="20" s="1"/>
  <c r="S28" i="20" s="1"/>
  <c r="T28" i="20" s="1"/>
  <c r="U28" i="20" s="1"/>
  <c r="V28" i="20" s="1"/>
  <c r="W28" i="20" s="1"/>
  <c r="X28" i="20" s="1"/>
  <c r="Y28" i="20" s="1"/>
  <c r="Z28" i="20" s="1"/>
  <c r="AA28" i="20" s="1"/>
  <c r="AB28" i="20" s="1"/>
  <c r="AC28" i="20" s="1"/>
  <c r="AD28" i="20" s="1"/>
  <c r="AE28" i="20" s="1"/>
  <c r="AF28" i="20" s="1"/>
  <c r="AG28" i="20" s="1"/>
  <c r="AH28" i="20" s="1"/>
  <c r="AI28" i="20" s="1"/>
  <c r="AJ28" i="20" s="1"/>
  <c r="AK28" i="20" s="1"/>
  <c r="J27" i="20"/>
  <c r="K27" i="20" s="1"/>
  <c r="L27" i="20" s="1"/>
  <c r="M27" i="20" s="1"/>
  <c r="N27" i="20" s="1"/>
  <c r="O27" i="20" s="1"/>
  <c r="P27" i="20" s="1"/>
  <c r="Q27" i="20" s="1"/>
  <c r="R27" i="20" s="1"/>
  <c r="S27" i="20" s="1"/>
  <c r="T27" i="20" s="1"/>
  <c r="U27" i="20" s="1"/>
  <c r="V27" i="20" s="1"/>
  <c r="W27" i="20" s="1"/>
  <c r="X27" i="20" s="1"/>
  <c r="Y27" i="20" s="1"/>
  <c r="Z27" i="20" s="1"/>
  <c r="AA27" i="20" s="1"/>
  <c r="AB27" i="20" s="1"/>
  <c r="AC27" i="20" s="1"/>
  <c r="AD27" i="20" s="1"/>
  <c r="AE27" i="20" s="1"/>
  <c r="AF27" i="20" s="1"/>
  <c r="AG27" i="20" s="1"/>
  <c r="AH27" i="20" s="1"/>
  <c r="AI27" i="20" s="1"/>
  <c r="AJ27" i="20" s="1"/>
  <c r="AK27" i="20" s="1"/>
  <c r="G3" i="23"/>
  <c r="F70" i="30"/>
  <c r="F66" i="30" s="1"/>
  <c r="I6" i="31" s="1"/>
  <c r="I40" i="20"/>
  <c r="F6" i="18"/>
  <c r="F26" i="18" s="1"/>
  <c r="E40" i="18"/>
  <c r="E53" i="18"/>
  <c r="I41" i="20"/>
  <c r="O25" i="46"/>
  <c r="AB30" i="30"/>
  <c r="AB27" i="30" s="1"/>
  <c r="E28" i="34" s="1"/>
  <c r="AC5" i="17"/>
  <c r="E50" i="18"/>
  <c r="F4" i="18"/>
  <c r="F23" i="18" s="1"/>
  <c r="E37" i="18"/>
  <c r="M34" i="20"/>
  <c r="G26" i="20"/>
  <c r="F87" i="20"/>
  <c r="J37" i="20"/>
  <c r="I88" i="20"/>
  <c r="F7" i="25"/>
  <c r="E68" i="30"/>
  <c r="G39" i="20"/>
  <c r="F86" i="20"/>
  <c r="N36" i="20"/>
  <c r="J72" i="30" l="1"/>
  <c r="B42" i="30"/>
  <c r="G2" i="32" s="1"/>
  <c r="D41" i="18"/>
  <c r="D43" i="18" s="1"/>
  <c r="C3" i="32"/>
  <c r="Y10" i="30"/>
  <c r="C25" i="31" s="1"/>
  <c r="Z10" i="30"/>
  <c r="C26" i="31" s="1"/>
  <c r="K10" i="30"/>
  <c r="C11" i="31" s="1"/>
  <c r="E25" i="6"/>
  <c r="E37" i="30" s="1"/>
  <c r="E36" i="30" s="1"/>
  <c r="F5" i="32" s="1"/>
  <c r="B25" i="6"/>
  <c r="B37" i="30" s="1"/>
  <c r="B36" i="30" s="1"/>
  <c r="F2" i="32" s="1"/>
  <c r="C102" i="20"/>
  <c r="C59" i="30" s="1"/>
  <c r="C101" i="20"/>
  <c r="C54" i="30" s="1"/>
  <c r="P10" i="30"/>
  <c r="C16" i="31" s="1"/>
  <c r="O6" i="43"/>
  <c r="D55" i="18"/>
  <c r="E65" i="30"/>
  <c r="I5" i="34" s="1"/>
  <c r="B51" i="30"/>
  <c r="H2" i="33" s="1"/>
  <c r="D25" i="6"/>
  <c r="D37" i="30" s="1"/>
  <c r="D36" i="30" s="1"/>
  <c r="F4" i="32" s="1"/>
  <c r="E16" i="28"/>
  <c r="D46" i="30"/>
  <c r="E82" i="43"/>
  <c r="F82" i="43"/>
  <c r="D12" i="28"/>
  <c r="C43" i="30"/>
  <c r="C41" i="30" s="1"/>
  <c r="G3" i="33" s="1"/>
  <c r="C45" i="30"/>
  <c r="C42" i="30" s="1"/>
  <c r="G3" i="32" s="1"/>
  <c r="D11" i="28"/>
  <c r="C25" i="6"/>
  <c r="C37" i="30" s="1"/>
  <c r="C36" i="30" s="1"/>
  <c r="F3" i="32" s="1"/>
  <c r="N25" i="6"/>
  <c r="N37" i="30" s="1"/>
  <c r="N36" i="30" s="1"/>
  <c r="F14" i="32" s="1"/>
  <c r="F25" i="6"/>
  <c r="F37" i="30" s="1"/>
  <c r="F36" i="30" s="1"/>
  <c r="F6" i="32" s="1"/>
  <c r="C55" i="30"/>
  <c r="D10" i="1"/>
  <c r="D5" i="30" s="1"/>
  <c r="D4" i="30" s="1"/>
  <c r="B4" i="31" s="1"/>
  <c r="E9" i="1"/>
  <c r="D54" i="18"/>
  <c r="D57" i="18" s="1"/>
  <c r="D58" i="18" s="1"/>
  <c r="C44" i="18"/>
  <c r="C58" i="30" s="1"/>
  <c r="E25" i="18"/>
  <c r="E27" i="18" s="1"/>
  <c r="E29" i="18" s="1"/>
  <c r="F7" i="18"/>
  <c r="E39" i="18"/>
  <c r="E52" i="18"/>
  <c r="D30" i="18"/>
  <c r="C57" i="30"/>
  <c r="D9" i="30"/>
  <c r="C4" i="32" s="1"/>
  <c r="K23" i="20"/>
  <c r="K89" i="20" s="1"/>
  <c r="AE4" i="27"/>
  <c r="AD44" i="30"/>
  <c r="AA10" i="30"/>
  <c r="C27" i="31" s="1"/>
  <c r="AF8" i="13"/>
  <c r="AE23" i="30"/>
  <c r="AE20" i="30" s="1"/>
  <c r="D31" i="32" s="1"/>
  <c r="D103" i="20"/>
  <c r="E103" i="20" s="1"/>
  <c r="L72" i="30"/>
  <c r="M3" i="24"/>
  <c r="AE22" i="30"/>
  <c r="AF7" i="13"/>
  <c r="E51" i="18"/>
  <c r="F5" i="18"/>
  <c r="F24" i="18" s="1"/>
  <c r="E38" i="18"/>
  <c r="AE3" i="27"/>
  <c r="AD47" i="30"/>
  <c r="G30" i="20"/>
  <c r="F90" i="20"/>
  <c r="F94" i="20" s="1"/>
  <c r="F96" i="20" s="1"/>
  <c r="F101" i="20" s="1"/>
  <c r="F54" i="30" s="1"/>
  <c r="F69" i="30"/>
  <c r="G4" i="23"/>
  <c r="K37" i="20"/>
  <c r="J88" i="20"/>
  <c r="N34" i="20"/>
  <c r="P25" i="46"/>
  <c r="G71" i="30"/>
  <c r="H4" i="24"/>
  <c r="H29" i="20"/>
  <c r="G91" i="20"/>
  <c r="H39" i="20"/>
  <c r="G86" i="20"/>
  <c r="J40" i="20"/>
  <c r="AD5" i="17"/>
  <c r="AC30" i="30"/>
  <c r="AC27" i="30" s="1"/>
  <c r="E29" i="34" s="1"/>
  <c r="H3" i="23"/>
  <c r="G70" i="30"/>
  <c r="G66" i="30" s="1"/>
  <c r="I7" i="31" s="1"/>
  <c r="F68" i="30"/>
  <c r="G7" i="25"/>
  <c r="F9" i="30"/>
  <c r="C6" i="32" s="1"/>
  <c r="O36" i="20"/>
  <c r="F53" i="18"/>
  <c r="G6" i="18"/>
  <c r="G26" i="18" s="1"/>
  <c r="F40" i="18"/>
  <c r="H26" i="20"/>
  <c r="G87" i="20"/>
  <c r="F37" i="18"/>
  <c r="G4" i="18"/>
  <c r="G23" i="18" s="1"/>
  <c r="F50" i="18"/>
  <c r="J41" i="20"/>
  <c r="D102" i="20" l="1"/>
  <c r="E102" i="20" s="1"/>
  <c r="C51" i="30"/>
  <c r="H3" i="33" s="1"/>
  <c r="C105" i="20"/>
  <c r="C106" i="20" s="1"/>
  <c r="C21" i="30"/>
  <c r="C19" i="30" s="1"/>
  <c r="D3" i="31" s="1"/>
  <c r="P6" i="43"/>
  <c r="F65" i="30"/>
  <c r="I6" i="34" s="1"/>
  <c r="L23" i="20"/>
  <c r="L89" i="20" s="1"/>
  <c r="D105" i="20"/>
  <c r="F16" i="28"/>
  <c r="G16" i="28" s="1"/>
  <c r="H16" i="28" s="1"/>
  <c r="I16" i="28" s="1"/>
  <c r="J16" i="28" s="1"/>
  <c r="K16" i="28" s="1"/>
  <c r="L16" i="28" s="1"/>
  <c r="M16" i="28" s="1"/>
  <c r="N16" i="28" s="1"/>
  <c r="O16" i="28" s="1"/>
  <c r="P16" i="28" s="1"/>
  <c r="Q16" i="28" s="1"/>
  <c r="R16" i="28" s="1"/>
  <c r="S16" i="28" s="1"/>
  <c r="T16" i="28" s="1"/>
  <c r="U16" i="28" s="1"/>
  <c r="V16" i="28" s="1"/>
  <c r="W16" i="28" s="1"/>
  <c r="X16" i="28" s="1"/>
  <c r="Y16" i="28" s="1"/>
  <c r="Z16" i="28" s="1"/>
  <c r="AA16" i="28" s="1"/>
  <c r="AB16" i="28" s="1"/>
  <c r="AC16" i="28" s="1"/>
  <c r="AD16" i="28" s="1"/>
  <c r="AE16" i="28" s="1"/>
  <c r="AF16" i="28" s="1"/>
  <c r="AG16" i="28" s="1"/>
  <c r="AH16" i="28" s="1"/>
  <c r="AI16" i="28" s="1"/>
  <c r="AJ16" i="28" s="1"/>
  <c r="AK16" i="28" s="1"/>
  <c r="E46" i="30"/>
  <c r="E55" i="18"/>
  <c r="D43" i="30"/>
  <c r="D41" i="30" s="1"/>
  <c r="G4" i="33" s="1"/>
  <c r="E12" i="28"/>
  <c r="D45" i="30"/>
  <c r="D42" i="30" s="1"/>
  <c r="G4" i="32" s="1"/>
  <c r="E11" i="28"/>
  <c r="D55" i="30"/>
  <c r="E105" i="20"/>
  <c r="E59" i="30"/>
  <c r="E41" i="18"/>
  <c r="E43" i="18" s="1"/>
  <c r="C52" i="30"/>
  <c r="H3" i="32" s="1"/>
  <c r="E10" i="1"/>
  <c r="E5" i="30" s="1"/>
  <c r="E4" i="30" s="1"/>
  <c r="B5" i="31" s="1"/>
  <c r="F9" i="1"/>
  <c r="D59" i="30"/>
  <c r="F25" i="18"/>
  <c r="F27" i="18" s="1"/>
  <c r="F29" i="18" s="1"/>
  <c r="G7" i="18"/>
  <c r="F52" i="18"/>
  <c r="F39" i="18"/>
  <c r="D44" i="18"/>
  <c r="E30" i="18"/>
  <c r="D57" i="30"/>
  <c r="AB10" i="30"/>
  <c r="C28" i="31" s="1"/>
  <c r="AC10" i="30"/>
  <c r="C29" i="31" s="1"/>
  <c r="AG8" i="13"/>
  <c r="AF23" i="30"/>
  <c r="AF20" i="30" s="1"/>
  <c r="D32" i="32" s="1"/>
  <c r="AE44" i="30"/>
  <c r="AF4" i="27"/>
  <c r="E54" i="18"/>
  <c r="E57" i="18" s="1"/>
  <c r="E58" i="18" s="1"/>
  <c r="F103" i="20"/>
  <c r="AE47" i="30"/>
  <c r="AF3" i="27"/>
  <c r="M72" i="30"/>
  <c r="N3" i="24"/>
  <c r="F51" i="18"/>
  <c r="G5" i="18"/>
  <c r="G24" i="18" s="1"/>
  <c r="F38" i="18"/>
  <c r="G69" i="30"/>
  <c r="H4" i="23"/>
  <c r="H30" i="20"/>
  <c r="G90" i="20"/>
  <c r="G94" i="20" s="1"/>
  <c r="G96" i="20" s="1"/>
  <c r="G101" i="20" s="1"/>
  <c r="G54" i="30" s="1"/>
  <c r="AG7" i="13"/>
  <c r="AF22" i="30"/>
  <c r="K40" i="20"/>
  <c r="L37" i="20"/>
  <c r="K88" i="20"/>
  <c r="P36" i="20"/>
  <c r="F102" i="20"/>
  <c r="G53" i="18"/>
  <c r="G40" i="18"/>
  <c r="H6" i="18"/>
  <c r="H26" i="18" s="1"/>
  <c r="H4" i="18"/>
  <c r="H23" i="18" s="1"/>
  <c r="G50" i="18"/>
  <c r="G37" i="18"/>
  <c r="G9" i="30"/>
  <c r="C7" i="32" s="1"/>
  <c r="Q25" i="46"/>
  <c r="Q27" i="46" s="1"/>
  <c r="G21" i="6" s="1"/>
  <c r="H7" i="25"/>
  <c r="G68" i="30"/>
  <c r="I29" i="20"/>
  <c r="H91" i="20"/>
  <c r="I3" i="23"/>
  <c r="H70" i="30"/>
  <c r="H66" i="30" s="1"/>
  <c r="I8" i="31" s="1"/>
  <c r="H71" i="30"/>
  <c r="I4" i="24"/>
  <c r="O34" i="20"/>
  <c r="K41" i="20"/>
  <c r="I39" i="20"/>
  <c r="H86" i="20"/>
  <c r="I26" i="20"/>
  <c r="H87" i="20"/>
  <c r="AE5" i="17"/>
  <c r="AD30" i="30"/>
  <c r="AD27" i="30" s="1"/>
  <c r="E30" i="34" s="1"/>
  <c r="M23" i="20" l="1"/>
  <c r="G65" i="30"/>
  <c r="I7" i="34" s="1"/>
  <c r="D106" i="20"/>
  <c r="E106" i="20" s="1"/>
  <c r="D21" i="30"/>
  <c r="D19" i="30" s="1"/>
  <c r="D4" i="31" s="1"/>
  <c r="Q6" i="43"/>
  <c r="F46" i="30"/>
  <c r="G46" i="30"/>
  <c r="D51" i="30"/>
  <c r="H4" i="33" s="1"/>
  <c r="E45" i="30"/>
  <c r="E42" i="30" s="1"/>
  <c r="G5" i="32" s="1"/>
  <c r="F11" i="28"/>
  <c r="F12" i="28"/>
  <c r="E43" i="30"/>
  <c r="E41" i="30" s="1"/>
  <c r="G5" i="33" s="1"/>
  <c r="E55" i="30"/>
  <c r="E51" i="30" s="1"/>
  <c r="H5" i="33" s="1"/>
  <c r="E44" i="18"/>
  <c r="E58" i="30" s="1"/>
  <c r="D58" i="30"/>
  <c r="D52" i="30" s="1"/>
  <c r="H4" i="32" s="1"/>
  <c r="F41" i="18"/>
  <c r="F43" i="18" s="1"/>
  <c r="F105" i="20"/>
  <c r="F59" i="30"/>
  <c r="F10" i="1"/>
  <c r="F5" i="30" s="1"/>
  <c r="F4" i="30" s="1"/>
  <c r="B6" i="31" s="1"/>
  <c r="G9" i="1"/>
  <c r="G25" i="18"/>
  <c r="G27" i="18" s="1"/>
  <c r="G29" i="18" s="1"/>
  <c r="G39" i="18"/>
  <c r="G52" i="18"/>
  <c r="H7" i="18"/>
  <c r="F55" i="18"/>
  <c r="F30" i="18"/>
  <c r="F57" i="30" s="1"/>
  <c r="E57" i="30"/>
  <c r="AG4" i="27"/>
  <c r="AF44" i="30"/>
  <c r="AH8" i="13"/>
  <c r="AG23" i="30"/>
  <c r="AG20" i="30" s="1"/>
  <c r="D33" i="32" s="1"/>
  <c r="AD10" i="30"/>
  <c r="C30" i="31" s="1"/>
  <c r="H46" i="30"/>
  <c r="N72" i="30"/>
  <c r="O3" i="24"/>
  <c r="N23" i="20"/>
  <c r="M89" i="20"/>
  <c r="I30" i="20"/>
  <c r="H90" i="20"/>
  <c r="H94" i="20" s="1"/>
  <c r="H96" i="20" s="1"/>
  <c r="H101" i="20" s="1"/>
  <c r="H54" i="30" s="1"/>
  <c r="I4" i="23"/>
  <c r="H69" i="30"/>
  <c r="AG22" i="30"/>
  <c r="AH7" i="13"/>
  <c r="F54" i="18"/>
  <c r="F57" i="18" s="1"/>
  <c r="F58" i="18" s="1"/>
  <c r="AF47" i="30"/>
  <c r="AG3" i="27"/>
  <c r="G38" i="18"/>
  <c r="G51" i="18"/>
  <c r="H5" i="18"/>
  <c r="H24" i="18" s="1"/>
  <c r="I7" i="25"/>
  <c r="H68" i="30"/>
  <c r="G103" i="20"/>
  <c r="M37" i="20"/>
  <c r="L88" i="20"/>
  <c r="J26" i="20"/>
  <c r="I87" i="20"/>
  <c r="L41" i="20"/>
  <c r="I6" i="18"/>
  <c r="I26" i="18" s="1"/>
  <c r="H40" i="18"/>
  <c r="H53" i="18"/>
  <c r="L40" i="20"/>
  <c r="J3" i="23"/>
  <c r="I70" i="30"/>
  <c r="I66" i="30" s="1"/>
  <c r="I9" i="31" s="1"/>
  <c r="J29" i="20"/>
  <c r="I91" i="20"/>
  <c r="G25" i="6"/>
  <c r="G37" i="30" s="1"/>
  <c r="G36" i="30" s="1"/>
  <c r="F7" i="32" s="1"/>
  <c r="G26" i="6"/>
  <c r="J4" i="24"/>
  <c r="I71" i="30"/>
  <c r="Q36" i="20"/>
  <c r="H9" i="30"/>
  <c r="C8" i="32" s="1"/>
  <c r="AF5" i="17"/>
  <c r="AE30" i="30"/>
  <c r="AE27" i="30" s="1"/>
  <c r="E31" i="34" s="1"/>
  <c r="R25" i="46"/>
  <c r="H50" i="18"/>
  <c r="H37" i="18"/>
  <c r="I4" i="18"/>
  <c r="I23" i="18" s="1"/>
  <c r="G102" i="20"/>
  <c r="I86" i="20"/>
  <c r="J39" i="20"/>
  <c r="P34" i="20"/>
  <c r="H65" i="30" l="1"/>
  <c r="I8" i="34" s="1"/>
  <c r="F106" i="20"/>
  <c r="E21" i="30"/>
  <c r="E19" i="30" s="1"/>
  <c r="D5" i="31" s="1"/>
  <c r="R6" i="43"/>
  <c r="E52" i="30"/>
  <c r="H5" i="32" s="1"/>
  <c r="G41" i="18"/>
  <c r="G43" i="18" s="1"/>
  <c r="F44" i="18"/>
  <c r="F58" i="30" s="1"/>
  <c r="F52" i="30" s="1"/>
  <c r="H6" i="32" s="1"/>
  <c r="F43" i="30"/>
  <c r="F41" i="30" s="1"/>
  <c r="G6" i="33" s="1"/>
  <c r="G12" i="28"/>
  <c r="F45" i="30"/>
  <c r="F42" i="30" s="1"/>
  <c r="G6" i="32" s="1"/>
  <c r="G11" i="28"/>
  <c r="F55" i="30"/>
  <c r="F51" i="30" s="1"/>
  <c r="H6" i="33" s="1"/>
  <c r="G59" i="30"/>
  <c r="G54" i="18"/>
  <c r="G57" i="18" s="1"/>
  <c r="G58" i="18" s="1"/>
  <c r="H9" i="1"/>
  <c r="G10" i="1"/>
  <c r="G5" i="30" s="1"/>
  <c r="G4" i="30" s="1"/>
  <c r="B7" i="31" s="1"/>
  <c r="H25" i="18"/>
  <c r="H27" i="18" s="1"/>
  <c r="H29" i="18" s="1"/>
  <c r="I7" i="18"/>
  <c r="H39" i="18"/>
  <c r="H52" i="18"/>
  <c r="G30" i="18"/>
  <c r="G55" i="18"/>
  <c r="AE10" i="30"/>
  <c r="C31" i="31" s="1"/>
  <c r="AI8" i="13"/>
  <c r="AH23" i="30"/>
  <c r="AH20" i="30" s="1"/>
  <c r="D34" i="32" s="1"/>
  <c r="AG44" i="30"/>
  <c r="AH4" i="27"/>
  <c r="AH22" i="30"/>
  <c r="AI7" i="13"/>
  <c r="J30" i="20"/>
  <c r="I90" i="20"/>
  <c r="I94" i="20" s="1"/>
  <c r="I96" i="20" s="1"/>
  <c r="I101" i="20" s="1"/>
  <c r="I54" i="30" s="1"/>
  <c r="AG47" i="30"/>
  <c r="AH3" i="27"/>
  <c r="O23" i="20"/>
  <c r="N89" i="20"/>
  <c r="P3" i="24"/>
  <c r="O72" i="30"/>
  <c r="I5" i="18"/>
  <c r="I24" i="18" s="1"/>
  <c r="H38" i="18"/>
  <c r="H51" i="18"/>
  <c r="I46" i="30"/>
  <c r="I69" i="30"/>
  <c r="J4" i="23"/>
  <c r="S25" i="46"/>
  <c r="R27" i="46"/>
  <c r="H21" i="6" s="1"/>
  <c r="K39" i="20"/>
  <c r="J86" i="20"/>
  <c r="H102" i="20"/>
  <c r="J71" i="30"/>
  <c r="K4" i="24"/>
  <c r="I40" i="18"/>
  <c r="I53" i="18"/>
  <c r="J6" i="18"/>
  <c r="J26" i="18" s="1"/>
  <c r="H103" i="20"/>
  <c r="N37" i="20"/>
  <c r="M88" i="20"/>
  <c r="Q34" i="20"/>
  <c r="AF30" i="30"/>
  <c r="AF27" i="30" s="1"/>
  <c r="E32" i="34" s="1"/>
  <c r="AG5" i="17"/>
  <c r="M40" i="20"/>
  <c r="G105" i="20"/>
  <c r="I9" i="30"/>
  <c r="C9" i="32" s="1"/>
  <c r="J70" i="30"/>
  <c r="J66" i="30" s="1"/>
  <c r="I10" i="31" s="1"/>
  <c r="K3" i="23"/>
  <c r="I50" i="18"/>
  <c r="J4" i="18"/>
  <c r="J23" i="18" s="1"/>
  <c r="I37" i="18"/>
  <c r="M41" i="20"/>
  <c r="R36" i="20"/>
  <c r="I68" i="30"/>
  <c r="J7" i="25"/>
  <c r="K29" i="20"/>
  <c r="J91" i="20"/>
  <c r="K26" i="20"/>
  <c r="J87" i="20"/>
  <c r="G106" i="20" l="1"/>
  <c r="F21" i="30"/>
  <c r="F19" i="30" s="1"/>
  <c r="D6" i="31" s="1"/>
  <c r="S6" i="43"/>
  <c r="H41" i="18"/>
  <c r="H43" i="18" s="1"/>
  <c r="G44" i="18"/>
  <c r="G58" i="30" s="1"/>
  <c r="H59" i="30"/>
  <c r="G45" i="30"/>
  <c r="G42" i="30" s="1"/>
  <c r="G7" i="32" s="1"/>
  <c r="H11" i="28"/>
  <c r="H12" i="28"/>
  <c r="G43" i="30"/>
  <c r="G41" i="30" s="1"/>
  <c r="G7" i="33" s="1"/>
  <c r="G55" i="30"/>
  <c r="G51" i="30" s="1"/>
  <c r="H7" i="33" s="1"/>
  <c r="I9" i="1"/>
  <c r="H10" i="1"/>
  <c r="H5" i="30" s="1"/>
  <c r="H4" i="30" s="1"/>
  <c r="B8" i="31" s="1"/>
  <c r="I25" i="18"/>
  <c r="I27" i="18" s="1"/>
  <c r="J7" i="18"/>
  <c r="I52" i="18"/>
  <c r="I39" i="18"/>
  <c r="H30" i="18"/>
  <c r="G57" i="30"/>
  <c r="H55" i="18"/>
  <c r="H54" i="18"/>
  <c r="H57" i="18" s="1"/>
  <c r="H58" i="18" s="1"/>
  <c r="AF10" i="30"/>
  <c r="C32" i="31" s="1"/>
  <c r="AI23" i="30"/>
  <c r="AI20" i="30" s="1"/>
  <c r="D35" i="32" s="1"/>
  <c r="AJ8" i="13"/>
  <c r="AH44" i="30"/>
  <c r="AI4" i="27"/>
  <c r="J46" i="30"/>
  <c r="J5" i="18"/>
  <c r="J24" i="18" s="1"/>
  <c r="I38" i="18"/>
  <c r="I51" i="18"/>
  <c r="K30" i="20"/>
  <c r="J90" i="20"/>
  <c r="J94" i="20" s="1"/>
  <c r="J96" i="20" s="1"/>
  <c r="J101" i="20" s="1"/>
  <c r="J54" i="30" s="1"/>
  <c r="Q3" i="24"/>
  <c r="P72" i="30"/>
  <c r="AI22" i="30"/>
  <c r="AJ7" i="13"/>
  <c r="I103" i="20"/>
  <c r="P23" i="20"/>
  <c r="O89" i="20"/>
  <c r="I65" i="30"/>
  <c r="I9" i="34" s="1"/>
  <c r="J69" i="30"/>
  <c r="K4" i="23"/>
  <c r="AI3" i="27"/>
  <c r="AH47" i="30"/>
  <c r="R34" i="20"/>
  <c r="K70" i="30"/>
  <c r="K66" i="30" s="1"/>
  <c r="I11" i="31" s="1"/>
  <c r="L3" i="23"/>
  <c r="K6" i="18"/>
  <c r="K26" i="18" s="1"/>
  <c r="J53" i="18"/>
  <c r="J40" i="18"/>
  <c r="L26" i="20"/>
  <c r="K87" i="20"/>
  <c r="S36" i="20"/>
  <c r="I102" i="20"/>
  <c r="O37" i="20"/>
  <c r="N88" i="20"/>
  <c r="L39" i="20"/>
  <c r="K86" i="20"/>
  <c r="J68" i="30"/>
  <c r="K7" i="25"/>
  <c r="AG30" i="30"/>
  <c r="AG27" i="30" s="1"/>
  <c r="E33" i="34" s="1"/>
  <c r="AH5" i="17"/>
  <c r="N41" i="20"/>
  <c r="J50" i="18"/>
  <c r="K4" i="18"/>
  <c r="K23" i="18" s="1"/>
  <c r="J37" i="18"/>
  <c r="H105" i="20"/>
  <c r="H106" i="20" s="1"/>
  <c r="K71" i="30"/>
  <c r="L4" i="24"/>
  <c r="J9" i="30"/>
  <c r="C10" i="32" s="1"/>
  <c r="H26" i="6"/>
  <c r="H25" i="6"/>
  <c r="H37" i="30" s="1"/>
  <c r="H36" i="30" s="1"/>
  <c r="F8" i="32" s="1"/>
  <c r="L29" i="20"/>
  <c r="K91" i="20"/>
  <c r="N40" i="20"/>
  <c r="T25" i="46"/>
  <c r="S27" i="46"/>
  <c r="I21" i="6" s="1"/>
  <c r="I59" i="30" l="1"/>
  <c r="G21" i="30"/>
  <c r="G19" i="30" s="1"/>
  <c r="D7" i="31" s="1"/>
  <c r="H44" i="18"/>
  <c r="H58" i="30" s="1"/>
  <c r="G52" i="30"/>
  <c r="H7" i="32" s="1"/>
  <c r="T6" i="43"/>
  <c r="J65" i="30"/>
  <c r="I10" i="34" s="1"/>
  <c r="I12" i="28"/>
  <c r="H43" i="30"/>
  <c r="H41" i="30" s="1"/>
  <c r="G8" i="33" s="1"/>
  <c r="I11" i="28"/>
  <c r="H45" i="30"/>
  <c r="H42" i="30" s="1"/>
  <c r="G8" i="32" s="1"/>
  <c r="H55" i="30"/>
  <c r="H51" i="30" s="1"/>
  <c r="H8" i="33" s="1"/>
  <c r="I10" i="1"/>
  <c r="I5" i="30" s="1"/>
  <c r="I4" i="30" s="1"/>
  <c r="B9" i="31" s="1"/>
  <c r="J9" i="1"/>
  <c r="I41" i="18"/>
  <c r="I43" i="18" s="1"/>
  <c r="I55" i="18"/>
  <c r="J25" i="18"/>
  <c r="J27" i="18" s="1"/>
  <c r="J29" i="18" s="1"/>
  <c r="K7" i="18"/>
  <c r="J52" i="18"/>
  <c r="J39" i="18"/>
  <c r="I29" i="18"/>
  <c r="I30" i="18" s="1"/>
  <c r="H57" i="30"/>
  <c r="I54" i="18"/>
  <c r="I57" i="18" s="1"/>
  <c r="I58" i="18" s="1"/>
  <c r="J103" i="20"/>
  <c r="AJ4" i="27"/>
  <c r="AI44" i="30"/>
  <c r="AG10" i="30"/>
  <c r="C33" i="31" s="1"/>
  <c r="AK8" i="13"/>
  <c r="AK23" i="30" s="1"/>
  <c r="AK20" i="30" s="1"/>
  <c r="D37" i="32" s="1"/>
  <c r="AJ23" i="30"/>
  <c r="AJ20" i="30" s="1"/>
  <c r="D36" i="32" s="1"/>
  <c r="AK7" i="13"/>
  <c r="AK22" i="30" s="1"/>
  <c r="AJ22" i="30"/>
  <c r="R3" i="24"/>
  <c r="Q72" i="30"/>
  <c r="J51" i="18"/>
  <c r="J38" i="18"/>
  <c r="K5" i="18"/>
  <c r="K24" i="18" s="1"/>
  <c r="AI47" i="30"/>
  <c r="AJ3" i="27"/>
  <c r="Q23" i="20"/>
  <c r="P89" i="20"/>
  <c r="L4" i="23"/>
  <c r="K69" i="30"/>
  <c r="L30" i="20"/>
  <c r="K90" i="20"/>
  <c r="K94" i="20" s="1"/>
  <c r="K96" i="20" s="1"/>
  <c r="K46" i="30"/>
  <c r="U25" i="46"/>
  <c r="T27" i="46"/>
  <c r="J21" i="6" s="1"/>
  <c r="M4" i="24"/>
  <c r="L71" i="30"/>
  <c r="O40" i="20"/>
  <c r="M39" i="20"/>
  <c r="L86" i="20"/>
  <c r="O41" i="20"/>
  <c r="K53" i="18"/>
  <c r="L6" i="18"/>
  <c r="L26" i="18" s="1"/>
  <c r="K40" i="18"/>
  <c r="J102" i="20"/>
  <c r="I105" i="20"/>
  <c r="I106" i="20" s="1"/>
  <c r="AI5" i="17"/>
  <c r="AH30" i="30"/>
  <c r="AH27" i="30" s="1"/>
  <c r="E34" i="34" s="1"/>
  <c r="T36" i="20"/>
  <c r="L70" i="30"/>
  <c r="L66" i="30" s="1"/>
  <c r="I12" i="31" s="1"/>
  <c r="M3" i="23"/>
  <c r="P37" i="20"/>
  <c r="O88" i="20"/>
  <c r="K9" i="30"/>
  <c r="C11" i="32" s="1"/>
  <c r="M29" i="20"/>
  <c r="L91" i="20"/>
  <c r="K68" i="30"/>
  <c r="L7" i="25"/>
  <c r="M26" i="20"/>
  <c r="L87" i="20"/>
  <c r="I26" i="6"/>
  <c r="I25" i="6"/>
  <c r="I37" i="30" s="1"/>
  <c r="I36" i="30" s="1"/>
  <c r="F9" i="32" s="1"/>
  <c r="K50" i="18"/>
  <c r="L4" i="18"/>
  <c r="L23" i="18" s="1"/>
  <c r="K37" i="18"/>
  <c r="S34" i="20"/>
  <c r="H52" i="30" l="1"/>
  <c r="H8" i="32" s="1"/>
  <c r="H21" i="30"/>
  <c r="H19" i="30" s="1"/>
  <c r="D8" i="31" s="1"/>
  <c r="J54" i="18"/>
  <c r="J57" i="18" s="1"/>
  <c r="J58" i="18" s="1"/>
  <c r="U6" i="43"/>
  <c r="K65" i="30"/>
  <c r="I11" i="34" s="1"/>
  <c r="J11" i="28"/>
  <c r="I45" i="30"/>
  <c r="I42" i="30" s="1"/>
  <c r="G9" i="32" s="1"/>
  <c r="I43" i="30"/>
  <c r="I41" i="30" s="1"/>
  <c r="G9" i="33" s="1"/>
  <c r="J12" i="28"/>
  <c r="I55" i="30"/>
  <c r="I51" i="30" s="1"/>
  <c r="H9" i="33" s="1"/>
  <c r="J10" i="1"/>
  <c r="J5" i="30" s="1"/>
  <c r="J4" i="30" s="1"/>
  <c r="B10" i="31" s="1"/>
  <c r="K9" i="1"/>
  <c r="J105" i="20"/>
  <c r="J106" i="20" s="1"/>
  <c r="J59" i="30"/>
  <c r="I44" i="18"/>
  <c r="I58" i="30" s="1"/>
  <c r="J41" i="18"/>
  <c r="J43" i="18" s="1"/>
  <c r="J55" i="18"/>
  <c r="K25" i="18"/>
  <c r="K27" i="18" s="1"/>
  <c r="K29" i="18" s="1"/>
  <c r="L7" i="18"/>
  <c r="K39" i="18"/>
  <c r="K52" i="18"/>
  <c r="J30" i="18"/>
  <c r="I57" i="30"/>
  <c r="I52" i="30" s="1"/>
  <c r="H9" i="32" s="1"/>
  <c r="AK4" i="27"/>
  <c r="AK44" i="30" s="1"/>
  <c r="AJ44" i="30"/>
  <c r="AH10" i="30"/>
  <c r="C34" i="31" s="1"/>
  <c r="K101" i="20"/>
  <c r="K54" i="30" s="1"/>
  <c r="K103" i="20"/>
  <c r="R23" i="20"/>
  <c r="Q89" i="20"/>
  <c r="S3" i="24"/>
  <c r="R72" i="30"/>
  <c r="AK3" i="27"/>
  <c r="AK47" i="30" s="1"/>
  <c r="AJ47" i="30"/>
  <c r="L69" i="30"/>
  <c r="M4" i="23"/>
  <c r="M30" i="20"/>
  <c r="L90" i="20"/>
  <c r="L94" i="20" s="1"/>
  <c r="L96" i="20" s="1"/>
  <c r="L46" i="30"/>
  <c r="L5" i="18"/>
  <c r="L24" i="18" s="1"/>
  <c r="K51" i="18"/>
  <c r="K38" i="18"/>
  <c r="N39" i="20"/>
  <c r="M86" i="20"/>
  <c r="M70" i="30"/>
  <c r="M66" i="30" s="1"/>
  <c r="I13" i="31" s="1"/>
  <c r="N3" i="23"/>
  <c r="N29" i="20"/>
  <c r="M91" i="20"/>
  <c r="U36" i="20"/>
  <c r="J26" i="6"/>
  <c r="J25" i="6"/>
  <c r="J37" i="30" s="1"/>
  <c r="J36" i="30" s="1"/>
  <c r="F10" i="32" s="1"/>
  <c r="M71" i="30"/>
  <c r="N4" i="24"/>
  <c r="K102" i="20"/>
  <c r="L40" i="18"/>
  <c r="L53" i="18"/>
  <c r="M6" i="18"/>
  <c r="M26" i="18" s="1"/>
  <c r="V25" i="46"/>
  <c r="U27" i="46"/>
  <c r="K21" i="6" s="1"/>
  <c r="P41" i="20"/>
  <c r="T34" i="20"/>
  <c r="N26" i="20"/>
  <c r="M87" i="20"/>
  <c r="M4" i="18"/>
  <c r="M23" i="18" s="1"/>
  <c r="L50" i="18"/>
  <c r="L37" i="18"/>
  <c r="L9" i="30"/>
  <c r="C12" i="32" s="1"/>
  <c r="Q37" i="20"/>
  <c r="P88" i="20"/>
  <c r="AJ5" i="17"/>
  <c r="AI30" i="30"/>
  <c r="AI27" i="30" s="1"/>
  <c r="E35" i="34" s="1"/>
  <c r="L68" i="30"/>
  <c r="L65" i="30" s="1"/>
  <c r="I12" i="34" s="1"/>
  <c r="M7" i="25"/>
  <c r="P40" i="20"/>
  <c r="K55" i="18" l="1"/>
  <c r="I21" i="30"/>
  <c r="I19" i="30" s="1"/>
  <c r="D9" i="31" s="1"/>
  <c r="K59" i="30"/>
  <c r="V6" i="43"/>
  <c r="J43" i="30"/>
  <c r="J41" i="30" s="1"/>
  <c r="G10" i="33" s="1"/>
  <c r="K12" i="28"/>
  <c r="K11" i="28"/>
  <c r="J45" i="30"/>
  <c r="J42" i="30" s="1"/>
  <c r="G10" i="32" s="1"/>
  <c r="L9" i="1"/>
  <c r="K10" i="1"/>
  <c r="K5" i="30" s="1"/>
  <c r="K4" i="30" s="1"/>
  <c r="B11" i="31" s="1"/>
  <c r="J55" i="30"/>
  <c r="J51" i="30" s="1"/>
  <c r="H10" i="33" s="1"/>
  <c r="K41" i="18"/>
  <c r="K43" i="18" s="1"/>
  <c r="L25" i="18"/>
  <c r="L27" i="18" s="1"/>
  <c r="L29" i="18" s="1"/>
  <c r="L52" i="18"/>
  <c r="L39" i="18"/>
  <c r="M7" i="18"/>
  <c r="J44" i="18"/>
  <c r="J58" i="30" s="1"/>
  <c r="K30" i="18"/>
  <c r="K57" i="30" s="1"/>
  <c r="J57" i="30"/>
  <c r="L101" i="20"/>
  <c r="L54" i="30" s="1"/>
  <c r="L103" i="20"/>
  <c r="AI10" i="30"/>
  <c r="C35" i="31" s="1"/>
  <c r="L51" i="18"/>
  <c r="M5" i="18"/>
  <c r="M24" i="18" s="1"/>
  <c r="L38" i="18"/>
  <c r="S72" i="30"/>
  <c r="T3" i="24"/>
  <c r="K54" i="18"/>
  <c r="K57" i="18" s="1"/>
  <c r="K58" i="18" s="1"/>
  <c r="M46" i="30"/>
  <c r="M69" i="30"/>
  <c r="N4" i="23"/>
  <c r="S23" i="20"/>
  <c r="R89" i="20"/>
  <c r="N30" i="20"/>
  <c r="M90" i="20"/>
  <c r="M94" i="20" s="1"/>
  <c r="M96" i="20" s="1"/>
  <c r="M40" i="18"/>
  <c r="M53" i="18"/>
  <c r="N6" i="18"/>
  <c r="N26" i="18" s="1"/>
  <c r="V36" i="20"/>
  <c r="U34" i="20"/>
  <c r="N70" i="30"/>
  <c r="N66" i="30" s="1"/>
  <c r="I14" i="31" s="1"/>
  <c r="O3" i="23"/>
  <c r="M68" i="30"/>
  <c r="N7" i="25"/>
  <c r="AK5" i="17"/>
  <c r="AK30" i="30" s="1"/>
  <c r="AK27" i="30" s="1"/>
  <c r="E37" i="34" s="1"/>
  <c r="AJ30" i="30"/>
  <c r="AJ27" i="30" s="1"/>
  <c r="E36" i="34" s="1"/>
  <c r="O29" i="20"/>
  <c r="N91" i="20"/>
  <c r="K25" i="6"/>
  <c r="K37" i="30" s="1"/>
  <c r="K36" i="30" s="1"/>
  <c r="F11" i="32" s="1"/>
  <c r="K26" i="6"/>
  <c r="N86" i="20"/>
  <c r="O39" i="20"/>
  <c r="Q41" i="20"/>
  <c r="N71" i="30"/>
  <c r="O4" i="24"/>
  <c r="R37" i="20"/>
  <c r="Q88" i="20"/>
  <c r="W25" i="46"/>
  <c r="V27" i="46"/>
  <c r="L21" i="6" s="1"/>
  <c r="L102" i="20"/>
  <c r="K105" i="20"/>
  <c r="K106" i="20" s="1"/>
  <c r="M50" i="18"/>
  <c r="M37" i="18"/>
  <c r="N4" i="18"/>
  <c r="N23" i="18" s="1"/>
  <c r="Q40" i="20"/>
  <c r="M9" i="30"/>
  <c r="C13" i="32" s="1"/>
  <c r="O26" i="20"/>
  <c r="N87" i="20"/>
  <c r="L41" i="18" l="1"/>
  <c r="L43" i="18" s="1"/>
  <c r="J21" i="30"/>
  <c r="J19" i="30" s="1"/>
  <c r="D10" i="31" s="1"/>
  <c r="J52" i="30"/>
  <c r="H10" i="32" s="1"/>
  <c r="W6" i="43"/>
  <c r="K45" i="30"/>
  <c r="K42" i="30" s="1"/>
  <c r="G11" i="32" s="1"/>
  <c r="L11" i="28"/>
  <c r="K43" i="30"/>
  <c r="K41" i="30" s="1"/>
  <c r="G11" i="33" s="1"/>
  <c r="L12" i="28"/>
  <c r="K55" i="30"/>
  <c r="K51" i="30" s="1"/>
  <c r="H11" i="33" s="1"/>
  <c r="L54" i="18"/>
  <c r="L57" i="18" s="1"/>
  <c r="L58" i="18" s="1"/>
  <c r="L10" i="1"/>
  <c r="L5" i="30" s="1"/>
  <c r="L4" i="30" s="1"/>
  <c r="B12" i="31" s="1"/>
  <c r="M9" i="1"/>
  <c r="L59" i="30"/>
  <c r="K44" i="18"/>
  <c r="M25" i="18"/>
  <c r="M27" i="18" s="1"/>
  <c r="M29" i="18" s="1"/>
  <c r="N7" i="18"/>
  <c r="M52" i="18"/>
  <c r="M39" i="18"/>
  <c r="L30" i="18"/>
  <c r="AJ10" i="30"/>
  <c r="C36" i="31" s="1"/>
  <c r="L55" i="18"/>
  <c r="M65" i="30"/>
  <c r="I13" i="34" s="1"/>
  <c r="M101" i="20"/>
  <c r="M54" i="30" s="1"/>
  <c r="M103" i="20"/>
  <c r="T23" i="20"/>
  <c r="S89" i="20"/>
  <c r="N46" i="30"/>
  <c r="O30" i="20"/>
  <c r="N90" i="20"/>
  <c r="N94" i="20" s="1"/>
  <c r="N96" i="20" s="1"/>
  <c r="N69" i="30"/>
  <c r="O4" i="23"/>
  <c r="U3" i="24"/>
  <c r="T72" i="30"/>
  <c r="N5" i="18"/>
  <c r="N24" i="18" s="1"/>
  <c r="M51" i="18"/>
  <c r="M38" i="18"/>
  <c r="S37" i="20"/>
  <c r="R88" i="20"/>
  <c r="O70" i="30"/>
  <c r="O66" i="30" s="1"/>
  <c r="I15" i="31" s="1"/>
  <c r="P3" i="23"/>
  <c r="W36" i="20"/>
  <c r="N37" i="18"/>
  <c r="O4" i="18"/>
  <c r="O23" i="18" s="1"/>
  <c r="N50" i="18"/>
  <c r="N53" i="18"/>
  <c r="O6" i="18"/>
  <c r="O26" i="18" s="1"/>
  <c r="N40" i="18"/>
  <c r="L25" i="6"/>
  <c r="L37" i="30" s="1"/>
  <c r="L36" i="30" s="1"/>
  <c r="F12" i="32" s="1"/>
  <c r="L26" i="6"/>
  <c r="P29" i="20"/>
  <c r="O91" i="20"/>
  <c r="N9" i="30"/>
  <c r="C14" i="32" s="1"/>
  <c r="X25" i="46"/>
  <c r="W27" i="46"/>
  <c r="M21" i="6" s="1"/>
  <c r="O7" i="25"/>
  <c r="N68" i="30"/>
  <c r="M102" i="20"/>
  <c r="L105" i="20"/>
  <c r="L106" i="20" s="1"/>
  <c r="P4" i="24"/>
  <c r="O71" i="30"/>
  <c r="V34" i="20"/>
  <c r="R41" i="20"/>
  <c r="R40" i="20"/>
  <c r="P26" i="20"/>
  <c r="O87" i="20"/>
  <c r="O86" i="20"/>
  <c r="P39" i="20"/>
  <c r="K21" i="30" l="1"/>
  <c r="K19" i="30" s="1"/>
  <c r="D11" i="31" s="1"/>
  <c r="X6" i="43"/>
  <c r="M12" i="28"/>
  <c r="L43" i="30"/>
  <c r="L41" i="30" s="1"/>
  <c r="G12" i="33" s="1"/>
  <c r="L45" i="30"/>
  <c r="L42" i="30" s="1"/>
  <c r="G12" i="32" s="1"/>
  <c r="M11" i="28"/>
  <c r="L55" i="30"/>
  <c r="L51" i="30" s="1"/>
  <c r="H12" i="33" s="1"/>
  <c r="M10" i="1"/>
  <c r="M5" i="30" s="1"/>
  <c r="M4" i="30" s="1"/>
  <c r="B13" i="31" s="1"/>
  <c r="N9" i="1"/>
  <c r="M59" i="30"/>
  <c r="L44" i="18"/>
  <c r="L58" i="30" s="1"/>
  <c r="K58" i="30"/>
  <c r="K52" i="30" s="1"/>
  <c r="H11" i="32" s="1"/>
  <c r="M41" i="18"/>
  <c r="M43" i="18" s="1"/>
  <c r="N25" i="18"/>
  <c r="N27" i="18" s="1"/>
  <c r="N29" i="18" s="1"/>
  <c r="O7" i="18"/>
  <c r="N52" i="18"/>
  <c r="N39" i="18"/>
  <c r="M55" i="18"/>
  <c r="M54" i="18"/>
  <c r="M57" i="18" s="1"/>
  <c r="M58" i="18" s="1"/>
  <c r="M30" i="18"/>
  <c r="L57" i="30"/>
  <c r="N101" i="20"/>
  <c r="N54" i="30" s="1"/>
  <c r="N103" i="20"/>
  <c r="AK10" i="30"/>
  <c r="C37" i="31" s="1"/>
  <c r="O46" i="30"/>
  <c r="N38" i="18"/>
  <c r="N51" i="18"/>
  <c r="O5" i="18"/>
  <c r="O24" i="18" s="1"/>
  <c r="N65" i="30"/>
  <c r="I14" i="34" s="1"/>
  <c r="U23" i="20"/>
  <c r="T89" i="20"/>
  <c r="U72" i="30"/>
  <c r="V3" i="24"/>
  <c r="P30" i="20"/>
  <c r="O90" i="20"/>
  <c r="O94" i="20" s="1"/>
  <c r="O96" i="20" s="1"/>
  <c r="O101" i="20" s="1"/>
  <c r="O54" i="30" s="1"/>
  <c r="O69" i="30"/>
  <c r="P4" i="23"/>
  <c r="P7" i="25"/>
  <c r="O68" i="30"/>
  <c r="Q29" i="20"/>
  <c r="P91" i="20"/>
  <c r="T37" i="20"/>
  <c r="S88" i="20"/>
  <c r="P70" i="30"/>
  <c r="P66" i="30" s="1"/>
  <c r="I16" i="31" s="1"/>
  <c r="Q3" i="23"/>
  <c r="S41" i="20"/>
  <c r="Q4" i="24"/>
  <c r="P71" i="30"/>
  <c r="P86" i="20"/>
  <c r="Q39" i="20"/>
  <c r="O37" i="18"/>
  <c r="P4" i="18"/>
  <c r="P23" i="18" s="1"/>
  <c r="O50" i="18"/>
  <c r="Q26" i="20"/>
  <c r="P87" i="20"/>
  <c r="S40" i="20"/>
  <c r="N102" i="20"/>
  <c r="M105" i="20"/>
  <c r="M106" i="20" s="1"/>
  <c r="O9" i="30"/>
  <c r="C15" i="32" s="1"/>
  <c r="M26" i="6"/>
  <c r="M25" i="6"/>
  <c r="M37" i="30" s="1"/>
  <c r="M36" i="30" s="1"/>
  <c r="F13" i="32" s="1"/>
  <c r="W34" i="20"/>
  <c r="Y25" i="46"/>
  <c r="Z25" i="46" s="1"/>
  <c r="AA25" i="46" s="1"/>
  <c r="AB25" i="46" s="1"/>
  <c r="AC25" i="46" s="1"/>
  <c r="AD25" i="46" s="1"/>
  <c r="AE25" i="46" s="1"/>
  <c r="AF25" i="46" s="1"/>
  <c r="AG25" i="46" s="1"/>
  <c r="AH25" i="46" s="1"/>
  <c r="AI25" i="46" s="1"/>
  <c r="AJ25" i="46" s="1"/>
  <c r="AK25" i="46" s="1"/>
  <c r="AK27" i="46" s="1"/>
  <c r="AA21" i="6" s="1"/>
  <c r="AB27" i="46"/>
  <c r="R21" i="6" s="1"/>
  <c r="O40" i="18"/>
  <c r="O53" i="18"/>
  <c r="P6" i="18"/>
  <c r="P26" i="18" s="1"/>
  <c r="X36" i="20"/>
  <c r="AH27" i="46" l="1"/>
  <c r="X21" i="6" s="1"/>
  <c r="Y27" i="46"/>
  <c r="O21" i="6" s="1"/>
  <c r="O25" i="6" s="1"/>
  <c r="O37" i="30" s="1"/>
  <c r="O36" i="30" s="1"/>
  <c r="F15" i="32" s="1"/>
  <c r="AJ27" i="46"/>
  <c r="Z21" i="6" s="1"/>
  <c r="Z26" i="6" s="1"/>
  <c r="AE27" i="46"/>
  <c r="U21" i="6" s="1"/>
  <c r="U26" i="6" s="1"/>
  <c r="AC27" i="46"/>
  <c r="S21" i="6" s="1"/>
  <c r="L21" i="30"/>
  <c r="L19" i="30" s="1"/>
  <c r="D12" i="31" s="1"/>
  <c r="AF27" i="46"/>
  <c r="V21" i="6" s="1"/>
  <c r="V26" i="6" s="1"/>
  <c r="Y6" i="43"/>
  <c r="N55" i="18"/>
  <c r="O65" i="30"/>
  <c r="I15" i="34" s="1"/>
  <c r="N41" i="18"/>
  <c r="N43" i="18" s="1"/>
  <c r="N11" i="28"/>
  <c r="M45" i="30"/>
  <c r="M42" i="30" s="1"/>
  <c r="G13" i="32" s="1"/>
  <c r="N12" i="28"/>
  <c r="M43" i="30"/>
  <c r="M41" i="30" s="1"/>
  <c r="G13" i="33" s="1"/>
  <c r="M55" i="30"/>
  <c r="N105" i="20"/>
  <c r="N106" i="20" s="1"/>
  <c r="N59" i="30"/>
  <c r="O9" i="1"/>
  <c r="N10" i="1"/>
  <c r="N5" i="30" s="1"/>
  <c r="N4" i="30" s="1"/>
  <c r="B14" i="31" s="1"/>
  <c r="L52" i="30"/>
  <c r="H12" i="32" s="1"/>
  <c r="O25" i="18"/>
  <c r="O27" i="18" s="1"/>
  <c r="O29" i="18" s="1"/>
  <c r="P7" i="18"/>
  <c r="O52" i="18"/>
  <c r="O39" i="18"/>
  <c r="M44" i="18"/>
  <c r="N30" i="18"/>
  <c r="N57" i="30" s="1"/>
  <c r="M57" i="30"/>
  <c r="AD27" i="46"/>
  <c r="T21" i="6" s="1"/>
  <c r="T25" i="6" s="1"/>
  <c r="T37" i="30" s="1"/>
  <c r="T36" i="30" s="1"/>
  <c r="F20" i="32" s="1"/>
  <c r="AG27" i="46"/>
  <c r="W21" i="6" s="1"/>
  <c r="W26" i="6" s="1"/>
  <c r="V23" i="20"/>
  <c r="U89" i="20"/>
  <c r="AI27" i="46"/>
  <c r="Y21" i="6" s="1"/>
  <c r="Y26" i="6" s="1"/>
  <c r="N54" i="18"/>
  <c r="N57" i="18" s="1"/>
  <c r="N58" i="18" s="1"/>
  <c r="Q4" i="23"/>
  <c r="P69" i="30"/>
  <c r="Q30" i="20"/>
  <c r="P90" i="20"/>
  <c r="P94" i="20" s="1"/>
  <c r="P96" i="20" s="1"/>
  <c r="P101" i="20" s="1"/>
  <c r="P54" i="30" s="1"/>
  <c r="Z27" i="46"/>
  <c r="P21" i="6" s="1"/>
  <c r="P25" i="6" s="1"/>
  <c r="P37" i="30" s="1"/>
  <c r="P36" i="30" s="1"/>
  <c r="F16" i="32" s="1"/>
  <c r="M51" i="30"/>
  <c r="H13" i="33" s="1"/>
  <c r="W3" i="24"/>
  <c r="V72" i="30"/>
  <c r="O51" i="18"/>
  <c r="O38" i="18"/>
  <c r="P5" i="18"/>
  <c r="P24" i="18" s="1"/>
  <c r="P46" i="30"/>
  <c r="AA27" i="46"/>
  <c r="Q21" i="6" s="1"/>
  <c r="Q26" i="6" s="1"/>
  <c r="X26" i="6"/>
  <c r="X25" i="6"/>
  <c r="X37" i="30" s="1"/>
  <c r="X36" i="30" s="1"/>
  <c r="F24" i="32" s="1"/>
  <c r="X34" i="20"/>
  <c r="P9" i="30"/>
  <c r="C16" i="32" s="1"/>
  <c r="T40" i="20"/>
  <c r="U37" i="20"/>
  <c r="T88" i="20"/>
  <c r="V25" i="6"/>
  <c r="V37" i="30" s="1"/>
  <c r="V36" i="30" s="1"/>
  <c r="F22" i="32" s="1"/>
  <c r="T41" i="20"/>
  <c r="R26" i="6"/>
  <c r="R25" i="6"/>
  <c r="R37" i="30" s="1"/>
  <c r="R36" i="30" s="1"/>
  <c r="F18" i="32" s="1"/>
  <c r="S26" i="6"/>
  <c r="S25" i="6"/>
  <c r="S37" i="30" s="1"/>
  <c r="S36" i="30" s="1"/>
  <c r="F19" i="32" s="1"/>
  <c r="Q4" i="18"/>
  <c r="Q23" i="18" s="1"/>
  <c r="P37" i="18"/>
  <c r="P50" i="18"/>
  <c r="O103" i="20"/>
  <c r="R29" i="20"/>
  <c r="Q91" i="20"/>
  <c r="AA26" i="6"/>
  <c r="AB21" i="6"/>
  <c r="AA25" i="6"/>
  <c r="AA37" i="30" s="1"/>
  <c r="AA36" i="30" s="1"/>
  <c r="F27" i="32" s="1"/>
  <c r="R26" i="20"/>
  <c r="Q87" i="20"/>
  <c r="Q71" i="30"/>
  <c r="R4" i="24"/>
  <c r="P53" i="18"/>
  <c r="P40" i="18"/>
  <c r="Q6" i="18"/>
  <c r="Q26" i="18" s="1"/>
  <c r="R3" i="23"/>
  <c r="Q70" i="30"/>
  <c r="Q66" i="30" s="1"/>
  <c r="I17" i="31" s="1"/>
  <c r="Q7" i="25"/>
  <c r="P68" i="30"/>
  <c r="O102" i="20"/>
  <c r="Y36" i="20"/>
  <c r="R39" i="20"/>
  <c r="Q86" i="20"/>
  <c r="O26" i="6" l="1"/>
  <c r="U25" i="6"/>
  <c r="U37" i="30" s="1"/>
  <c r="U36" i="30" s="1"/>
  <c r="F21" i="32" s="1"/>
  <c r="Z25" i="6"/>
  <c r="Z37" i="30" s="1"/>
  <c r="Z36" i="30" s="1"/>
  <c r="F26" i="32" s="1"/>
  <c r="M21" i="30"/>
  <c r="M19" i="30" s="1"/>
  <c r="D13" i="31" s="1"/>
  <c r="Z6" i="43"/>
  <c r="W25" i="6"/>
  <c r="W37" i="30" s="1"/>
  <c r="W36" i="30" s="1"/>
  <c r="F23" i="32" s="1"/>
  <c r="Y25" i="6"/>
  <c r="Y37" i="30" s="1"/>
  <c r="Y36" i="30" s="1"/>
  <c r="F25" i="32" s="1"/>
  <c r="O59" i="30"/>
  <c r="T26" i="6"/>
  <c r="O54" i="18"/>
  <c r="O57" i="18" s="1"/>
  <c r="O58" i="18" s="1"/>
  <c r="O12" i="28"/>
  <c r="N43" i="30"/>
  <c r="N41" i="30" s="1"/>
  <c r="G14" i="33" s="1"/>
  <c r="O11" i="28"/>
  <c r="N45" i="30"/>
  <c r="N42" i="30" s="1"/>
  <c r="G14" i="32" s="1"/>
  <c r="N55" i="30"/>
  <c r="N51" i="30" s="1"/>
  <c r="H14" i="33" s="1"/>
  <c r="P9" i="1"/>
  <c r="O10" i="1"/>
  <c r="O5" i="30" s="1"/>
  <c r="O4" i="30" s="1"/>
  <c r="B15" i="31" s="1"/>
  <c r="N44" i="18"/>
  <c r="N58" i="30" s="1"/>
  <c r="N52" i="30" s="1"/>
  <c r="H14" i="32" s="1"/>
  <c r="M58" i="30"/>
  <c r="M52" i="30" s="1"/>
  <c r="H13" i="32" s="1"/>
  <c r="P25" i="18"/>
  <c r="P27" i="18" s="1"/>
  <c r="P29" i="18" s="1"/>
  <c r="P52" i="18"/>
  <c r="Q7" i="18"/>
  <c r="P39" i="18"/>
  <c r="O41" i="18"/>
  <c r="O43" i="18" s="1"/>
  <c r="O30" i="18"/>
  <c r="O57" i="30" s="1"/>
  <c r="O55" i="18"/>
  <c r="P65" i="30"/>
  <c r="I16" i="34" s="1"/>
  <c r="P26" i="6"/>
  <c r="R30" i="20"/>
  <c r="Q90" i="20"/>
  <c r="Q94" i="20" s="1"/>
  <c r="Q96" i="20" s="1"/>
  <c r="R4" i="23"/>
  <c r="Q69" i="30"/>
  <c r="Q5" i="18"/>
  <c r="Q24" i="18" s="1"/>
  <c r="P51" i="18"/>
  <c r="P38" i="18"/>
  <c r="O105" i="20"/>
  <c r="O106" i="20" s="1"/>
  <c r="P103" i="20"/>
  <c r="Q25" i="6"/>
  <c r="Q37" i="30" s="1"/>
  <c r="Q36" i="30" s="1"/>
  <c r="F17" i="32" s="1"/>
  <c r="X3" i="24"/>
  <c r="W72" i="30"/>
  <c r="Q46" i="30"/>
  <c r="W23" i="20"/>
  <c r="V89" i="20"/>
  <c r="S3" i="23"/>
  <c r="R70" i="30"/>
  <c r="R66" i="30" s="1"/>
  <c r="I18" i="31" s="1"/>
  <c r="S26" i="20"/>
  <c r="R87" i="20"/>
  <c r="S29" i="20"/>
  <c r="R91" i="20"/>
  <c r="U40" i="20"/>
  <c r="S39" i="20"/>
  <c r="R86" i="20"/>
  <c r="Q53" i="18"/>
  <c r="Q40" i="18"/>
  <c r="R6" i="18"/>
  <c r="R26" i="18" s="1"/>
  <c r="U41" i="20"/>
  <c r="Y34" i="20"/>
  <c r="Q50" i="18"/>
  <c r="R4" i="18"/>
  <c r="R23" i="18" s="1"/>
  <c r="Q37" i="18"/>
  <c r="V37" i="20"/>
  <c r="U88" i="20"/>
  <c r="AC21" i="6"/>
  <c r="AB25" i="6"/>
  <c r="AB37" i="30" s="1"/>
  <c r="AB36" i="30" s="1"/>
  <c r="F28" i="32" s="1"/>
  <c r="AB26" i="6"/>
  <c r="Q9" i="30"/>
  <c r="C17" i="32" s="1"/>
  <c r="R71" i="30"/>
  <c r="S4" i="24"/>
  <c r="Z36" i="20"/>
  <c r="P102" i="20"/>
  <c r="Q68" i="30"/>
  <c r="R7" i="25"/>
  <c r="P59" i="30" l="1"/>
  <c r="P41" i="18"/>
  <c r="P43" i="18" s="1"/>
  <c r="N21" i="30"/>
  <c r="N19" i="30" s="1"/>
  <c r="D14" i="31" s="1"/>
  <c r="AA6" i="43"/>
  <c r="P54" i="18"/>
  <c r="P57" i="18" s="1"/>
  <c r="P58" i="18" s="1"/>
  <c r="P11" i="28"/>
  <c r="O45" i="30"/>
  <c r="O42" i="30" s="1"/>
  <c r="G15" i="32" s="1"/>
  <c r="O43" i="30"/>
  <c r="O41" i="30" s="1"/>
  <c r="G15" i="33" s="1"/>
  <c r="P12" i="28"/>
  <c r="P10" i="1"/>
  <c r="P5" i="30" s="1"/>
  <c r="P4" i="30" s="1"/>
  <c r="B16" i="31" s="1"/>
  <c r="Q9" i="1"/>
  <c r="O55" i="30"/>
  <c r="O51" i="30" s="1"/>
  <c r="H15" i="33" s="1"/>
  <c r="Q25" i="18"/>
  <c r="Q27" i="18" s="1"/>
  <c r="Q29" i="18" s="1"/>
  <c r="Q39" i="18"/>
  <c r="Q52" i="18"/>
  <c r="R7" i="18"/>
  <c r="O44" i="18"/>
  <c r="P30" i="18"/>
  <c r="P57" i="30" s="1"/>
  <c r="P55" i="18"/>
  <c r="Q101" i="20"/>
  <c r="Q54" i="30" s="1"/>
  <c r="Q103" i="20"/>
  <c r="Y3" i="24"/>
  <c r="X72" i="30"/>
  <c r="S4" i="23"/>
  <c r="R69" i="30"/>
  <c r="R46" i="30"/>
  <c r="S30" i="20"/>
  <c r="R90" i="20"/>
  <c r="R94" i="20" s="1"/>
  <c r="R96" i="20" s="1"/>
  <c r="R101" i="20" s="1"/>
  <c r="R54" i="30" s="1"/>
  <c r="Q65" i="30"/>
  <c r="I17" i="34" s="1"/>
  <c r="X23" i="20"/>
  <c r="W89" i="20"/>
  <c r="R5" i="18"/>
  <c r="R24" i="18" s="1"/>
  <c r="Q38" i="18"/>
  <c r="Q51" i="18"/>
  <c r="R68" i="30"/>
  <c r="S7" i="25"/>
  <c r="Z34" i="20"/>
  <c r="T29" i="20"/>
  <c r="S91" i="20"/>
  <c r="S4" i="18"/>
  <c r="S23" i="18" s="1"/>
  <c r="R37" i="18"/>
  <c r="R50" i="18"/>
  <c r="Q102" i="20"/>
  <c r="P105" i="20"/>
  <c r="P106" i="20" s="1"/>
  <c r="T4" i="24"/>
  <c r="S71" i="30"/>
  <c r="AD21" i="6"/>
  <c r="AC25" i="6"/>
  <c r="AC37" i="30" s="1"/>
  <c r="AC36" i="30" s="1"/>
  <c r="F29" i="32" s="1"/>
  <c r="AC26" i="6"/>
  <c r="V41" i="20"/>
  <c r="R40" i="18"/>
  <c r="R53" i="18"/>
  <c r="S6" i="18"/>
  <c r="S26" i="18" s="1"/>
  <c r="T3" i="23"/>
  <c r="S70" i="30"/>
  <c r="S66" i="30" s="1"/>
  <c r="I19" i="31" s="1"/>
  <c r="T26" i="20"/>
  <c r="S87" i="20"/>
  <c r="T39" i="20"/>
  <c r="S86" i="20"/>
  <c r="AA36" i="20"/>
  <c r="R9" i="30"/>
  <c r="C18" i="32" s="1"/>
  <c r="W37" i="20"/>
  <c r="V88" i="20"/>
  <c r="V40" i="20"/>
  <c r="O21" i="30" l="1"/>
  <c r="O19" i="30" s="1"/>
  <c r="D15" i="31" s="1"/>
  <c r="AB6" i="43"/>
  <c r="P43" i="30"/>
  <c r="P41" i="30" s="1"/>
  <c r="G16" i="33" s="1"/>
  <c r="Q12" i="28"/>
  <c r="P45" i="30"/>
  <c r="P42" i="30" s="1"/>
  <c r="G16" i="32" s="1"/>
  <c r="Q11" i="28"/>
  <c r="Q59" i="30"/>
  <c r="Q41" i="18"/>
  <c r="Q43" i="18" s="1"/>
  <c r="P55" i="30"/>
  <c r="P51" i="30" s="1"/>
  <c r="H16" i="33" s="1"/>
  <c r="P44" i="18"/>
  <c r="P58" i="30" s="1"/>
  <c r="P52" i="30" s="1"/>
  <c r="H16" i="32" s="1"/>
  <c r="O58" i="30"/>
  <c r="O52" i="30" s="1"/>
  <c r="H15" i="32" s="1"/>
  <c r="R9" i="1"/>
  <c r="Q10" i="1"/>
  <c r="Q5" i="30" s="1"/>
  <c r="Q4" i="30" s="1"/>
  <c r="B17" i="31" s="1"/>
  <c r="Q54" i="18"/>
  <c r="Q57" i="18" s="1"/>
  <c r="Q58" i="18" s="1"/>
  <c r="R25" i="18"/>
  <c r="R27" i="18" s="1"/>
  <c r="R29" i="18" s="1"/>
  <c r="R52" i="18"/>
  <c r="S7" i="18"/>
  <c r="R39" i="18"/>
  <c r="Q30" i="18"/>
  <c r="Q55" i="18"/>
  <c r="R51" i="18"/>
  <c r="S5" i="18"/>
  <c r="S24" i="18" s="1"/>
  <c r="R38" i="18"/>
  <c r="S69" i="30"/>
  <c r="T4" i="23"/>
  <c r="R103" i="20"/>
  <c r="T30" i="20"/>
  <c r="S90" i="20"/>
  <c r="S94" i="20" s="1"/>
  <c r="S96" i="20" s="1"/>
  <c r="S101" i="20" s="1"/>
  <c r="S54" i="30" s="1"/>
  <c r="Z3" i="24"/>
  <c r="Y72" i="30"/>
  <c r="R65" i="30"/>
  <c r="I18" i="34" s="1"/>
  <c r="Y23" i="20"/>
  <c r="X89" i="20"/>
  <c r="S46" i="30"/>
  <c r="U39" i="20"/>
  <c r="T86" i="20"/>
  <c r="AE21" i="6"/>
  <c r="AD26" i="6"/>
  <c r="AD25" i="6"/>
  <c r="AD37" i="30" s="1"/>
  <c r="AD36" i="30" s="1"/>
  <c r="F30" i="32" s="1"/>
  <c r="U29" i="20"/>
  <c r="T91" i="20"/>
  <c r="AB36" i="20"/>
  <c r="R102" i="20"/>
  <c r="X37" i="20"/>
  <c r="W88" i="20"/>
  <c r="Q105" i="20"/>
  <c r="Q106" i="20" s="1"/>
  <c r="U26" i="20"/>
  <c r="T87" i="20"/>
  <c r="S68" i="30"/>
  <c r="T7" i="25"/>
  <c r="W40" i="20"/>
  <c r="S50" i="18"/>
  <c r="T4" i="18"/>
  <c r="T23" i="18" s="1"/>
  <c r="S37" i="18"/>
  <c r="W41" i="20"/>
  <c r="U4" i="24"/>
  <c r="T71" i="30"/>
  <c r="AA34" i="20"/>
  <c r="S9" i="30"/>
  <c r="C19" i="32" s="1"/>
  <c r="U3" i="23"/>
  <c r="T70" i="30"/>
  <c r="T66" i="30" s="1"/>
  <c r="I20" i="31" s="1"/>
  <c r="S53" i="18"/>
  <c r="T6" i="18"/>
  <c r="T26" i="18" s="1"/>
  <c r="S40" i="18"/>
  <c r="P21" i="30" l="1"/>
  <c r="P19" i="30" s="1"/>
  <c r="D16" i="31" s="1"/>
  <c r="R41" i="18"/>
  <c r="R43" i="18" s="1"/>
  <c r="AC6" i="43"/>
  <c r="R59" i="30"/>
  <c r="S65" i="30"/>
  <c r="I19" i="34" s="1"/>
  <c r="Q45" i="30"/>
  <c r="Q42" i="30" s="1"/>
  <c r="G17" i="32" s="1"/>
  <c r="R11" i="28"/>
  <c r="Q43" i="30"/>
  <c r="Q41" i="30" s="1"/>
  <c r="G17" i="33" s="1"/>
  <c r="R12" i="28"/>
  <c r="Q55" i="30"/>
  <c r="Q51" i="30" s="1"/>
  <c r="H17" i="33" s="1"/>
  <c r="R55" i="18"/>
  <c r="Q44" i="18"/>
  <c r="Q58" i="30" s="1"/>
  <c r="S9" i="1"/>
  <c r="R10" i="1"/>
  <c r="R5" i="30" s="1"/>
  <c r="R4" i="30" s="1"/>
  <c r="B18" i="31" s="1"/>
  <c r="S25" i="18"/>
  <c r="S39" i="18"/>
  <c r="S52" i="18"/>
  <c r="T7" i="18"/>
  <c r="R30" i="18"/>
  <c r="Q57" i="30"/>
  <c r="Q52" i="30" s="1"/>
  <c r="H17" i="32" s="1"/>
  <c r="R54" i="18"/>
  <c r="R57" i="18" s="1"/>
  <c r="R58" i="18" s="1"/>
  <c r="S38" i="18"/>
  <c r="S51" i="18"/>
  <c r="T5" i="18"/>
  <c r="T24" i="18" s="1"/>
  <c r="U30" i="20"/>
  <c r="T90" i="20"/>
  <c r="T94" i="20" s="1"/>
  <c r="T96" i="20" s="1"/>
  <c r="Z23" i="20"/>
  <c r="Y89" i="20"/>
  <c r="U4" i="23"/>
  <c r="T69" i="30"/>
  <c r="AA3" i="24"/>
  <c r="Z72" i="30"/>
  <c r="T46" i="30"/>
  <c r="S103" i="20"/>
  <c r="Y37" i="20"/>
  <c r="X88" i="20"/>
  <c r="T50" i="18"/>
  <c r="T37" i="18"/>
  <c r="U4" i="18"/>
  <c r="U23" i="18" s="1"/>
  <c r="T68" i="30"/>
  <c r="U7" i="25"/>
  <c r="S102" i="20"/>
  <c r="S59" i="30" s="1"/>
  <c r="T9" i="30"/>
  <c r="C20" i="32" s="1"/>
  <c r="U71" i="30"/>
  <c r="V4" i="24"/>
  <c r="V26" i="20"/>
  <c r="U87" i="20"/>
  <c r="U6" i="18"/>
  <c r="U26" i="18" s="1"/>
  <c r="T40" i="18"/>
  <c r="T53" i="18"/>
  <c r="X40" i="20"/>
  <c r="AC36" i="20"/>
  <c r="AE26" i="6"/>
  <c r="AF21" i="6"/>
  <c r="AE25" i="6"/>
  <c r="AE37" i="30" s="1"/>
  <c r="AE36" i="30" s="1"/>
  <c r="F31" i="32" s="1"/>
  <c r="V3" i="23"/>
  <c r="U70" i="30"/>
  <c r="U66" i="30" s="1"/>
  <c r="I21" i="31" s="1"/>
  <c r="AB34" i="20"/>
  <c r="X41" i="20"/>
  <c r="V39" i="20"/>
  <c r="U86" i="20"/>
  <c r="V29" i="20"/>
  <c r="U91" i="20"/>
  <c r="R105" i="20"/>
  <c r="R106" i="20" s="1"/>
  <c r="T65" i="30" l="1"/>
  <c r="I20" i="34" s="1"/>
  <c r="Q21" i="30"/>
  <c r="Q19" i="30" s="1"/>
  <c r="D17" i="31" s="1"/>
  <c r="AD6" i="43"/>
  <c r="S41" i="18"/>
  <c r="S43" i="18" s="1"/>
  <c r="S54" i="18"/>
  <c r="S57" i="18" s="1"/>
  <c r="S58" i="18" s="1"/>
  <c r="R45" i="30"/>
  <c r="R42" i="30" s="1"/>
  <c r="G18" i="32" s="1"/>
  <c r="S11" i="28"/>
  <c r="R43" i="30"/>
  <c r="R41" i="30" s="1"/>
  <c r="G18" i="33" s="1"/>
  <c r="S12" i="28"/>
  <c r="R55" i="30"/>
  <c r="R51" i="30" s="1"/>
  <c r="H18" i="33" s="1"/>
  <c r="S10" i="1"/>
  <c r="S5" i="30" s="1"/>
  <c r="S4" i="30" s="1"/>
  <c r="B19" i="31" s="1"/>
  <c r="T9" i="1"/>
  <c r="R44" i="18"/>
  <c r="R58" i="30" s="1"/>
  <c r="S27" i="18"/>
  <c r="S29" i="18" s="1"/>
  <c r="S30" i="18" s="1"/>
  <c r="T25" i="18"/>
  <c r="T27" i="18" s="1"/>
  <c r="T29" i="18" s="1"/>
  <c r="U7" i="18"/>
  <c r="T52" i="18"/>
  <c r="T39" i="18"/>
  <c r="R57" i="30"/>
  <c r="S55" i="18"/>
  <c r="AA23" i="20"/>
  <c r="Z89" i="20"/>
  <c r="V30" i="20"/>
  <c r="U90" i="20"/>
  <c r="U94" i="20" s="1"/>
  <c r="U96" i="20" s="1"/>
  <c r="U101" i="20" s="1"/>
  <c r="U54" i="30" s="1"/>
  <c r="U46" i="30"/>
  <c r="U5" i="18"/>
  <c r="U24" i="18" s="1"/>
  <c r="T51" i="18"/>
  <c r="T55" i="18" s="1"/>
  <c r="T38" i="18"/>
  <c r="AB3" i="24"/>
  <c r="AA72" i="30"/>
  <c r="V4" i="23"/>
  <c r="U69" i="30"/>
  <c r="T102" i="20"/>
  <c r="S105" i="20"/>
  <c r="S106" i="20" s="1"/>
  <c r="W29" i="20"/>
  <c r="V91" i="20"/>
  <c r="W26" i="20"/>
  <c r="V87" i="20"/>
  <c r="T101" i="20"/>
  <c r="T54" i="30" s="1"/>
  <c r="T103" i="20"/>
  <c r="AF26" i="6"/>
  <c r="AF25" i="6"/>
  <c r="AF37" i="30" s="1"/>
  <c r="AF36" i="30" s="1"/>
  <c r="F32" i="32" s="1"/>
  <c r="AG21" i="6"/>
  <c r="V71" i="30"/>
  <c r="W4" i="24"/>
  <c r="V70" i="30"/>
  <c r="V66" i="30" s="1"/>
  <c r="I22" i="31" s="1"/>
  <c r="W3" i="23"/>
  <c r="U40" i="18"/>
  <c r="V6" i="18"/>
  <c r="V26" i="18" s="1"/>
  <c r="U53" i="18"/>
  <c r="V7" i="25"/>
  <c r="U68" i="30"/>
  <c r="Y40" i="20"/>
  <c r="V86" i="20"/>
  <c r="W39" i="20"/>
  <c r="AD36" i="20"/>
  <c r="Z37" i="20"/>
  <c r="Y88" i="20"/>
  <c r="AC34" i="20"/>
  <c r="Y41" i="20"/>
  <c r="U9" i="30"/>
  <c r="C21" i="32" s="1"/>
  <c r="V4" i="18"/>
  <c r="V23" i="18" s="1"/>
  <c r="U37" i="18"/>
  <c r="U50" i="18"/>
  <c r="R21" i="30" l="1"/>
  <c r="R19" i="30" s="1"/>
  <c r="D18" i="31" s="1"/>
  <c r="AE6" i="43"/>
  <c r="R52" i="30"/>
  <c r="H18" i="32" s="1"/>
  <c r="S43" i="30"/>
  <c r="S41" i="30" s="1"/>
  <c r="G19" i="33" s="1"/>
  <c r="T12" i="28"/>
  <c r="S45" i="30"/>
  <c r="S42" i="30" s="1"/>
  <c r="G19" i="32" s="1"/>
  <c r="T11" i="28"/>
  <c r="T10" i="1"/>
  <c r="T5" i="30" s="1"/>
  <c r="T4" i="30" s="1"/>
  <c r="B20" i="31" s="1"/>
  <c r="U9" i="1"/>
  <c r="T59" i="30"/>
  <c r="U65" i="30"/>
  <c r="I21" i="34" s="1"/>
  <c r="S44" i="18"/>
  <c r="S58" i="30" s="1"/>
  <c r="S55" i="30"/>
  <c r="S51" i="30" s="1"/>
  <c r="H19" i="33" s="1"/>
  <c r="T41" i="18"/>
  <c r="T43" i="18" s="1"/>
  <c r="U25" i="18"/>
  <c r="U27" i="18" s="1"/>
  <c r="U29" i="18" s="1"/>
  <c r="V7" i="18"/>
  <c r="U52" i="18"/>
  <c r="U39" i="18"/>
  <c r="T30" i="18"/>
  <c r="S57" i="30"/>
  <c r="S52" i="30" s="1"/>
  <c r="H19" i="32" s="1"/>
  <c r="V5" i="18"/>
  <c r="V24" i="18" s="1"/>
  <c r="U38" i="18"/>
  <c r="U51" i="18"/>
  <c r="V46" i="30"/>
  <c r="AB72" i="30"/>
  <c r="AC3" i="24"/>
  <c r="T54" i="18"/>
  <c r="T57" i="18" s="1"/>
  <c r="T58" i="18" s="1"/>
  <c r="V69" i="30"/>
  <c r="W4" i="23"/>
  <c r="W30" i="20"/>
  <c r="V90" i="20"/>
  <c r="V94" i="20" s="1"/>
  <c r="V96" i="20" s="1"/>
  <c r="V101" i="20" s="1"/>
  <c r="V54" i="30" s="1"/>
  <c r="AB23" i="20"/>
  <c r="AA89" i="20"/>
  <c r="AE36" i="20"/>
  <c r="V40" i="18"/>
  <c r="W6" i="18"/>
  <c r="W26" i="18" s="1"/>
  <c r="V53" i="18"/>
  <c r="W71" i="30"/>
  <c r="X4" i="24"/>
  <c r="X39" i="20"/>
  <c r="W86" i="20"/>
  <c r="AD34" i="20"/>
  <c r="U102" i="20"/>
  <c r="AG25" i="6"/>
  <c r="AG37" i="30" s="1"/>
  <c r="AG36" i="30" s="1"/>
  <c r="F33" i="32" s="1"/>
  <c r="AG26" i="6"/>
  <c r="AH21" i="6"/>
  <c r="X26" i="20"/>
  <c r="W87" i="20"/>
  <c r="X3" i="23"/>
  <c r="W70" i="30"/>
  <c r="W66" i="30" s="1"/>
  <c r="I23" i="31" s="1"/>
  <c r="V50" i="18"/>
  <c r="W4" i="18"/>
  <c r="W23" i="18" s="1"/>
  <c r="V37" i="18"/>
  <c r="V9" i="30"/>
  <c r="C22" i="32" s="1"/>
  <c r="W7" i="25"/>
  <c r="V68" i="30"/>
  <c r="U103" i="20"/>
  <c r="Z41" i="20"/>
  <c r="Z40" i="20"/>
  <c r="AA37" i="20"/>
  <c r="Z88" i="20"/>
  <c r="T105" i="20"/>
  <c r="T106" i="20" s="1"/>
  <c r="X29" i="20"/>
  <c r="W91" i="20"/>
  <c r="S21" i="30" l="1"/>
  <c r="S19" i="30" s="1"/>
  <c r="D19" i="31" s="1"/>
  <c r="AF6" i="43"/>
  <c r="U54" i="18"/>
  <c r="U57" i="18" s="1"/>
  <c r="U58" i="18" s="1"/>
  <c r="T44" i="18"/>
  <c r="T58" i="30" s="1"/>
  <c r="U41" i="18"/>
  <c r="U43" i="18" s="1"/>
  <c r="U59" i="30"/>
  <c r="U11" i="28"/>
  <c r="T45" i="30"/>
  <c r="T42" i="30" s="1"/>
  <c r="G20" i="32" s="1"/>
  <c r="T43" i="30"/>
  <c r="T41" i="30" s="1"/>
  <c r="G20" i="33" s="1"/>
  <c r="U12" i="28"/>
  <c r="V65" i="30"/>
  <c r="I22" i="34" s="1"/>
  <c r="T55" i="30"/>
  <c r="T51" i="30" s="1"/>
  <c r="H20" i="33" s="1"/>
  <c r="U10" i="1"/>
  <c r="U5" i="30" s="1"/>
  <c r="U4" i="30" s="1"/>
  <c r="B21" i="31" s="1"/>
  <c r="V9" i="1"/>
  <c r="V25" i="18"/>
  <c r="V27" i="18" s="1"/>
  <c r="V29" i="18" s="1"/>
  <c r="W7" i="18"/>
  <c r="V52" i="18"/>
  <c r="V39" i="18"/>
  <c r="U30" i="18"/>
  <c r="T57" i="30"/>
  <c r="U55" i="18"/>
  <c r="AC23" i="20"/>
  <c r="AB89" i="20"/>
  <c r="W46" i="30"/>
  <c r="V103" i="20"/>
  <c r="X30" i="20"/>
  <c r="W90" i="20"/>
  <c r="W94" i="20" s="1"/>
  <c r="W96" i="20" s="1"/>
  <c r="W101" i="20" s="1"/>
  <c r="W54" i="30" s="1"/>
  <c r="X4" i="23"/>
  <c r="W69" i="30"/>
  <c r="AD3" i="24"/>
  <c r="AC72" i="30"/>
  <c r="W5" i="18"/>
  <c r="W24" i="18" s="1"/>
  <c r="V51" i="18"/>
  <c r="V38" i="18"/>
  <c r="AA40" i="20"/>
  <c r="AE34" i="20"/>
  <c r="AF36" i="20"/>
  <c r="X70" i="30"/>
  <c r="X66" i="30" s="1"/>
  <c r="I24" i="31" s="1"/>
  <c r="Y3" i="23"/>
  <c r="X71" i="30"/>
  <c r="Y4" i="24"/>
  <c r="W9" i="30"/>
  <c r="C23" i="32" s="1"/>
  <c r="Y26" i="20"/>
  <c r="X87" i="20"/>
  <c r="V102" i="20"/>
  <c r="W53" i="18"/>
  <c r="W40" i="18"/>
  <c r="X6" i="18"/>
  <c r="X26" i="18" s="1"/>
  <c r="AB37" i="20"/>
  <c r="AA88" i="20"/>
  <c r="W37" i="18"/>
  <c r="W50" i="18"/>
  <c r="X4" i="18"/>
  <c r="X23" i="18" s="1"/>
  <c r="X86" i="20"/>
  <c r="Y39" i="20"/>
  <c r="AA41" i="20"/>
  <c r="U105" i="20"/>
  <c r="U106" i="20" s="1"/>
  <c r="Y29" i="20"/>
  <c r="X91" i="20"/>
  <c r="W68" i="30"/>
  <c r="W65" i="30" s="1"/>
  <c r="I23" i="34" s="1"/>
  <c r="X7" i="25"/>
  <c r="AH26" i="6"/>
  <c r="AI21" i="6"/>
  <c r="AH25" i="6"/>
  <c r="AH37" i="30" s="1"/>
  <c r="AH36" i="30" s="1"/>
  <c r="F34" i="32" s="1"/>
  <c r="T21" i="30" l="1"/>
  <c r="T19" i="30" s="1"/>
  <c r="D20" i="31" s="1"/>
  <c r="U44" i="18"/>
  <c r="U58" i="30" s="1"/>
  <c r="AG6" i="43"/>
  <c r="T52" i="30"/>
  <c r="H20" i="32" s="1"/>
  <c r="V55" i="18"/>
  <c r="V59" i="30"/>
  <c r="U43" i="30"/>
  <c r="U41" i="30" s="1"/>
  <c r="G21" i="33" s="1"/>
  <c r="V12" i="28"/>
  <c r="V11" i="28"/>
  <c r="U45" i="30"/>
  <c r="U42" i="30" s="1"/>
  <c r="G21" i="32" s="1"/>
  <c r="U55" i="30"/>
  <c r="U51" i="30" s="1"/>
  <c r="H21" i="33" s="1"/>
  <c r="W9" i="1"/>
  <c r="V10" i="1"/>
  <c r="V5" i="30" s="1"/>
  <c r="V4" i="30" s="1"/>
  <c r="B22" i="31" s="1"/>
  <c r="W25" i="18"/>
  <c r="W27" i="18" s="1"/>
  <c r="W29" i="18" s="1"/>
  <c r="W39" i="18"/>
  <c r="X7" i="18"/>
  <c r="W52" i="18"/>
  <c r="V41" i="18"/>
  <c r="V43" i="18" s="1"/>
  <c r="V30" i="18"/>
  <c r="U57" i="30"/>
  <c r="V54" i="18"/>
  <c r="V57" i="18" s="1"/>
  <c r="V58" i="18" s="1"/>
  <c r="X69" i="30"/>
  <c r="Y4" i="23"/>
  <c r="X46" i="30"/>
  <c r="W51" i="18"/>
  <c r="W38" i="18"/>
  <c r="X5" i="18"/>
  <c r="X24" i="18" s="1"/>
  <c r="Y30" i="20"/>
  <c r="X90" i="20"/>
  <c r="X94" i="20" s="1"/>
  <c r="X96" i="20" s="1"/>
  <c r="X101" i="20" s="1"/>
  <c r="X54" i="30" s="1"/>
  <c r="AE3" i="24"/>
  <c r="AD72" i="30"/>
  <c r="AD23" i="20"/>
  <c r="AC89" i="20"/>
  <c r="Y86" i="20"/>
  <c r="Z39" i="20"/>
  <c r="Z26" i="20"/>
  <c r="Y87" i="20"/>
  <c r="AC37" i="20"/>
  <c r="AB88" i="20"/>
  <c r="X9" i="30"/>
  <c r="C24" i="32" s="1"/>
  <c r="AG36" i="20"/>
  <c r="Y71" i="30"/>
  <c r="Z4" i="24"/>
  <c r="X53" i="18"/>
  <c r="Y6" i="18"/>
  <c r="Y26" i="18" s="1"/>
  <c r="X40" i="18"/>
  <c r="AF34" i="20"/>
  <c r="Z29" i="20"/>
  <c r="Y91" i="20"/>
  <c r="AI26" i="6"/>
  <c r="AI25" i="6"/>
  <c r="AI37" i="30" s="1"/>
  <c r="AI36" i="30" s="1"/>
  <c r="F35" i="32" s="1"/>
  <c r="AJ21" i="6"/>
  <c r="X68" i="30"/>
  <c r="Y7" i="25"/>
  <c r="AB41" i="20"/>
  <c r="W102" i="20"/>
  <c r="V105" i="20"/>
  <c r="V106" i="20" s="1"/>
  <c r="Z3" i="23"/>
  <c r="Y70" i="30"/>
  <c r="Y66" i="30" s="1"/>
  <c r="I25" i="31" s="1"/>
  <c r="W103" i="20"/>
  <c r="X50" i="18"/>
  <c r="Y4" i="18"/>
  <c r="Y23" i="18" s="1"/>
  <c r="X37" i="18"/>
  <c r="AB40" i="20"/>
  <c r="U52" i="30" l="1"/>
  <c r="H21" i="32" s="1"/>
  <c r="U21" i="30"/>
  <c r="U19" i="30" s="1"/>
  <c r="D21" i="31" s="1"/>
  <c r="AH6" i="43"/>
  <c r="W55" i="18"/>
  <c r="W54" i="18"/>
  <c r="W57" i="18" s="1"/>
  <c r="W58" i="18" s="1"/>
  <c r="W11" i="28"/>
  <c r="V45" i="30"/>
  <c r="V42" i="30" s="1"/>
  <c r="G22" i="32" s="1"/>
  <c r="V43" i="30"/>
  <c r="V41" i="30" s="1"/>
  <c r="G22" i="33" s="1"/>
  <c r="W12" i="28"/>
  <c r="V55" i="30"/>
  <c r="V51" i="30" s="1"/>
  <c r="H22" i="33" s="1"/>
  <c r="X65" i="30"/>
  <c r="I24" i="34" s="1"/>
  <c r="W41" i="18"/>
  <c r="W43" i="18" s="1"/>
  <c r="X9" i="1"/>
  <c r="W10" i="1"/>
  <c r="W5" i="30" s="1"/>
  <c r="W4" i="30" s="1"/>
  <c r="B23" i="31" s="1"/>
  <c r="W59" i="30"/>
  <c r="V44" i="18"/>
  <c r="V58" i="30" s="1"/>
  <c r="X25" i="18"/>
  <c r="X27" i="18" s="1"/>
  <c r="X29" i="18" s="1"/>
  <c r="X39" i="18"/>
  <c r="Y7" i="18"/>
  <c r="X52" i="18"/>
  <c r="W30" i="18"/>
  <c r="V57" i="30"/>
  <c r="X38" i="18"/>
  <c r="Y5" i="18"/>
  <c r="Y24" i="18" s="1"/>
  <c r="X51" i="18"/>
  <c r="Z30" i="20"/>
  <c r="Y90" i="20"/>
  <c r="Y94" i="20" s="1"/>
  <c r="Y96" i="20" s="1"/>
  <c r="AE23" i="20"/>
  <c r="AD89" i="20"/>
  <c r="AE72" i="30"/>
  <c r="AF3" i="24"/>
  <c r="X103" i="20"/>
  <c r="Y46" i="30"/>
  <c r="Z4" i="23"/>
  <c r="Y69" i="30"/>
  <c r="AC41" i="20"/>
  <c r="Y9" i="30"/>
  <c r="C25" i="32" s="1"/>
  <c r="Y37" i="18"/>
  <c r="Y50" i="18"/>
  <c r="Z4" i="18"/>
  <c r="Z23" i="18" s="1"/>
  <c r="AA4" i="24"/>
  <c r="Z71" i="30"/>
  <c r="AA26" i="20"/>
  <c r="Z87" i="20"/>
  <c r="AC40" i="20"/>
  <c r="Z70" i="30"/>
  <c r="Z66" i="30" s="1"/>
  <c r="I26" i="31" s="1"/>
  <c r="AA3" i="23"/>
  <c r="Z7" i="25"/>
  <c r="Y68" i="30"/>
  <c r="AA29" i="20"/>
  <c r="Z91" i="20"/>
  <c r="AD37" i="20"/>
  <c r="AC88" i="20"/>
  <c r="X102" i="20"/>
  <c r="AG34" i="20"/>
  <c r="AA39" i="20"/>
  <c r="Z86" i="20"/>
  <c r="W105" i="20"/>
  <c r="W106" i="20" s="1"/>
  <c r="AK21" i="6"/>
  <c r="AJ26" i="6"/>
  <c r="AJ25" i="6"/>
  <c r="AJ37" i="30" s="1"/>
  <c r="AJ36" i="30" s="1"/>
  <c r="F36" i="32" s="1"/>
  <c r="AH36" i="20"/>
  <c r="Y40" i="18"/>
  <c r="Y53" i="18"/>
  <c r="Z6" i="18"/>
  <c r="Z26" i="18" s="1"/>
  <c r="V21" i="30" l="1"/>
  <c r="V19" i="30" s="1"/>
  <c r="D22" i="31" s="1"/>
  <c r="AI6" i="43"/>
  <c r="X41" i="18"/>
  <c r="X43" i="18" s="1"/>
  <c r="V52" i="30"/>
  <c r="H22" i="32" s="1"/>
  <c r="Y65" i="30"/>
  <c r="I25" i="34" s="1"/>
  <c r="X11" i="28"/>
  <c r="W45" i="30"/>
  <c r="W42" i="30" s="1"/>
  <c r="G23" i="32" s="1"/>
  <c r="X12" i="28"/>
  <c r="W43" i="30"/>
  <c r="W41" i="30" s="1"/>
  <c r="G23" i="33" s="1"/>
  <c r="W55" i="30"/>
  <c r="W51" i="30" s="1"/>
  <c r="H23" i="33" s="1"/>
  <c r="Y9" i="1"/>
  <c r="X10" i="1"/>
  <c r="X5" i="30" s="1"/>
  <c r="X4" i="30" s="1"/>
  <c r="B24" i="31" s="1"/>
  <c r="X105" i="20"/>
  <c r="X106" i="20" s="1"/>
  <c r="X59" i="30"/>
  <c r="W44" i="18"/>
  <c r="W58" i="30" s="1"/>
  <c r="X55" i="18"/>
  <c r="Y25" i="18"/>
  <c r="Y27" i="18" s="1"/>
  <c r="Y29" i="18" s="1"/>
  <c r="Y52" i="18"/>
  <c r="Y39" i="18"/>
  <c r="Z7" i="18"/>
  <c r="X30" i="18"/>
  <c r="W57" i="30"/>
  <c r="X54" i="18"/>
  <c r="X57" i="18" s="1"/>
  <c r="X58" i="18" s="1"/>
  <c r="Y101" i="20"/>
  <c r="Y54" i="30" s="1"/>
  <c r="Y103" i="20"/>
  <c r="AA30" i="20"/>
  <c r="Z90" i="20"/>
  <c r="Z94" i="20" s="1"/>
  <c r="Z96" i="20" s="1"/>
  <c r="Z101" i="20" s="1"/>
  <c r="Z54" i="30" s="1"/>
  <c r="AA4" i="23"/>
  <c r="Z69" i="30"/>
  <c r="AF72" i="30"/>
  <c r="AG3" i="24"/>
  <c r="Z46" i="30"/>
  <c r="Y38" i="18"/>
  <c r="Z5" i="18"/>
  <c r="Z24" i="18" s="1"/>
  <c r="Y51" i="18"/>
  <c r="AF23" i="20"/>
  <c r="AE89" i="20"/>
  <c r="AA70" i="30"/>
  <c r="AA66" i="30" s="1"/>
  <c r="I27" i="31" s="1"/>
  <c r="AB3" i="23"/>
  <c r="AK26" i="6"/>
  <c r="AK25" i="6"/>
  <c r="AK37" i="30" s="1"/>
  <c r="AK36" i="30" s="1"/>
  <c r="F37" i="32" s="1"/>
  <c r="AA7" i="25"/>
  <c r="Z68" i="30"/>
  <c r="Z50" i="18"/>
  <c r="Z37" i="18"/>
  <c r="AA4" i="18"/>
  <c r="AA23" i="18" s="1"/>
  <c r="AE37" i="20"/>
  <c r="AD88" i="20"/>
  <c r="Y102" i="20"/>
  <c r="Y59" i="30" s="1"/>
  <c r="AI36" i="20"/>
  <c r="AB39" i="20"/>
  <c r="AA86" i="20"/>
  <c r="AB26" i="20"/>
  <c r="AA87" i="20"/>
  <c r="Z9" i="30"/>
  <c r="C26" i="32" s="1"/>
  <c r="Z53" i="18"/>
  <c r="Z40" i="18"/>
  <c r="AA6" i="18"/>
  <c r="AA26" i="18" s="1"/>
  <c r="AH34" i="20"/>
  <c r="AB29" i="20"/>
  <c r="AA91" i="20"/>
  <c r="AD40" i="20"/>
  <c r="AD41" i="20"/>
  <c r="AA71" i="30"/>
  <c r="AB4" i="24"/>
  <c r="W21" i="30" l="1"/>
  <c r="W19" i="30" s="1"/>
  <c r="D23" i="31" s="1"/>
  <c r="AJ6" i="43"/>
  <c r="W52" i="30"/>
  <c r="H23" i="32" s="1"/>
  <c r="Y105" i="20"/>
  <c r="Y106" i="20" s="1"/>
  <c r="X43" i="30"/>
  <c r="X41" i="30" s="1"/>
  <c r="G24" i="33" s="1"/>
  <c r="Y12" i="28"/>
  <c r="X45" i="30"/>
  <c r="X42" i="30" s="1"/>
  <c r="G24" i="32" s="1"/>
  <c r="Y11" i="28"/>
  <c r="Y41" i="18"/>
  <c r="Y43" i="18" s="1"/>
  <c r="Y10" i="1"/>
  <c r="Y5" i="30" s="1"/>
  <c r="Y4" i="30" s="1"/>
  <c r="B25" i="31" s="1"/>
  <c r="Z9" i="1"/>
  <c r="X44" i="18"/>
  <c r="X58" i="30" s="1"/>
  <c r="X55" i="30"/>
  <c r="X51" i="30" s="1"/>
  <c r="H24" i="33" s="1"/>
  <c r="Y55" i="18"/>
  <c r="Z25" i="18"/>
  <c r="Z27" i="18" s="1"/>
  <c r="Z29" i="18" s="1"/>
  <c r="Z39" i="18"/>
  <c r="Z52" i="18"/>
  <c r="AA7" i="18"/>
  <c r="Y30" i="18"/>
  <c r="Y57" i="30" s="1"/>
  <c r="X57" i="30"/>
  <c r="Y54" i="18"/>
  <c r="Y57" i="18" s="1"/>
  <c r="Y58" i="18" s="1"/>
  <c r="Z65" i="30"/>
  <c r="I26" i="34" s="1"/>
  <c r="AG23" i="20"/>
  <c r="AF89" i="20"/>
  <c r="Z103" i="20"/>
  <c r="AA69" i="30"/>
  <c r="AB4" i="23"/>
  <c r="AB30" i="20"/>
  <c r="AA90" i="20"/>
  <c r="AA94" i="20" s="1"/>
  <c r="AA96" i="20" s="1"/>
  <c r="AA5" i="18"/>
  <c r="AA24" i="18" s="1"/>
  <c r="Z51" i="18"/>
  <c r="Z38" i="18"/>
  <c r="Z41" i="18" s="1"/>
  <c r="Z43" i="18" s="1"/>
  <c r="AA46" i="30"/>
  <c r="AG72" i="30"/>
  <c r="AH3" i="24"/>
  <c r="AB71" i="30"/>
  <c r="AC4" i="24"/>
  <c r="AE40" i="20"/>
  <c r="AC39" i="20"/>
  <c r="AB86" i="20"/>
  <c r="Z102" i="20"/>
  <c r="Z59" i="30" s="1"/>
  <c r="AA68" i="30"/>
  <c r="AB7" i="25"/>
  <c r="AC29" i="20"/>
  <c r="AB91" i="20"/>
  <c r="AA50" i="18"/>
  <c r="AB4" i="18"/>
  <c r="AB23" i="18" s="1"/>
  <c r="AA37" i="18"/>
  <c r="AA9" i="30"/>
  <c r="C27" i="32" s="1"/>
  <c r="AF37" i="20"/>
  <c r="AE88" i="20"/>
  <c r="AI34" i="20"/>
  <c r="AC26" i="20"/>
  <c r="AB87" i="20"/>
  <c r="AC3" i="23"/>
  <c r="AB70" i="30"/>
  <c r="AB66" i="30" s="1"/>
  <c r="I28" i="31" s="1"/>
  <c r="AE41" i="20"/>
  <c r="AA53" i="18"/>
  <c r="AA40" i="18"/>
  <c r="AB6" i="18"/>
  <c r="AB26" i="18" s="1"/>
  <c r="AJ36" i="20"/>
  <c r="X52" i="30" l="1"/>
  <c r="H24" i="32" s="1"/>
  <c r="X21" i="30"/>
  <c r="X19" i="30" s="1"/>
  <c r="D24" i="31" s="1"/>
  <c r="AK6" i="43"/>
  <c r="Y44" i="18"/>
  <c r="Y58" i="30" s="1"/>
  <c r="Y52" i="30" s="1"/>
  <c r="H25" i="32" s="1"/>
  <c r="Y45" i="30"/>
  <c r="Y42" i="30" s="1"/>
  <c r="G25" i="32" s="1"/>
  <c r="Z11" i="28"/>
  <c r="Z12" i="28"/>
  <c r="Y43" i="30"/>
  <c r="Y41" i="30" s="1"/>
  <c r="G25" i="33" s="1"/>
  <c r="Y55" i="30"/>
  <c r="Y51" i="30" s="1"/>
  <c r="H25" i="33" s="1"/>
  <c r="AA9" i="1"/>
  <c r="Z10" i="1"/>
  <c r="Z5" i="30" s="1"/>
  <c r="Z4" i="30" s="1"/>
  <c r="B26" i="31" s="1"/>
  <c r="Z44" i="18"/>
  <c r="Z58" i="30" s="1"/>
  <c r="Z55" i="18"/>
  <c r="AA25" i="18"/>
  <c r="AA27" i="18" s="1"/>
  <c r="AB7" i="18"/>
  <c r="AA52" i="18"/>
  <c r="AA39" i="18"/>
  <c r="Z30" i="18"/>
  <c r="AA65" i="30"/>
  <c r="I27" i="34" s="1"/>
  <c r="AA101" i="20"/>
  <c r="AA54" i="30" s="1"/>
  <c r="AA103" i="20"/>
  <c r="AI3" i="24"/>
  <c r="AH72" i="30"/>
  <c r="AB69" i="30"/>
  <c r="AC4" i="23"/>
  <c r="Z54" i="18"/>
  <c r="Z57" i="18" s="1"/>
  <c r="Z58" i="18" s="1"/>
  <c r="AB46" i="30"/>
  <c r="AC30" i="20"/>
  <c r="AB90" i="20"/>
  <c r="AB94" i="20" s="1"/>
  <c r="AB96" i="20" s="1"/>
  <c r="AA51" i="18"/>
  <c r="AA38" i="18"/>
  <c r="AB5" i="18"/>
  <c r="AB24" i="18" s="1"/>
  <c r="AH23" i="20"/>
  <c r="AG89" i="20"/>
  <c r="AF41" i="20"/>
  <c r="AD29" i="20"/>
  <c r="AC91" i="20"/>
  <c r="AC86" i="20"/>
  <c r="AD39" i="20"/>
  <c r="C28" i="32"/>
  <c r="AC7" i="25"/>
  <c r="AB68" i="30"/>
  <c r="AA102" i="20"/>
  <c r="Z105" i="20"/>
  <c r="Z106" i="20" s="1"/>
  <c r="AF40" i="20"/>
  <c r="AB53" i="18"/>
  <c r="AC6" i="18"/>
  <c r="AC26" i="18" s="1"/>
  <c r="AB40" i="18"/>
  <c r="AK36" i="20"/>
  <c r="AD26" i="20"/>
  <c r="AC87" i="20"/>
  <c r="AB50" i="18"/>
  <c r="AC4" i="18"/>
  <c r="AC23" i="18" s="1"/>
  <c r="AB37" i="18"/>
  <c r="AC71" i="30"/>
  <c r="AD4" i="24"/>
  <c r="AJ34" i="20"/>
  <c r="AC70" i="30"/>
  <c r="AC66" i="30" s="1"/>
  <c r="I29" i="31" s="1"/>
  <c r="AD3" i="23"/>
  <c r="AG37" i="20"/>
  <c r="AF88" i="20"/>
  <c r="AA54" i="18" l="1"/>
  <c r="AA57" i="18" s="1"/>
  <c r="AA59" i="30"/>
  <c r="Y21" i="30"/>
  <c r="Y19" i="30" s="1"/>
  <c r="D25" i="31" s="1"/>
  <c r="AL6" i="43"/>
  <c r="AA41" i="18"/>
  <c r="AA43" i="18" s="1"/>
  <c r="AA44" i="18" s="1"/>
  <c r="AA58" i="30" s="1"/>
  <c r="AA55" i="18"/>
  <c r="AB65" i="30"/>
  <c r="I28" i="34" s="1"/>
  <c r="Z45" i="30"/>
  <c r="Z42" i="30" s="1"/>
  <c r="G26" i="32" s="1"/>
  <c r="AA11" i="28"/>
  <c r="Z43" i="30"/>
  <c r="Z41" i="30" s="1"/>
  <c r="G26" i="33" s="1"/>
  <c r="AA12" i="28"/>
  <c r="AB101" i="20"/>
  <c r="AB54" i="30" s="1"/>
  <c r="AB103" i="20"/>
  <c r="AA58" i="18"/>
  <c r="Z55" i="30"/>
  <c r="Z51" i="30" s="1"/>
  <c r="H26" i="33" s="1"/>
  <c r="AA29" i="18"/>
  <c r="AA30" i="18" s="1"/>
  <c r="AB9" i="1"/>
  <c r="AA10" i="1"/>
  <c r="AA5" i="30" s="1"/>
  <c r="AA4" i="30" s="1"/>
  <c r="B27" i="31" s="1"/>
  <c r="AB25" i="18"/>
  <c r="AB27" i="18" s="1"/>
  <c r="AB29" i="18" s="1"/>
  <c r="AB52" i="18"/>
  <c r="AB39" i="18"/>
  <c r="AC7" i="18"/>
  <c r="Z57" i="30"/>
  <c r="Z52" i="30" s="1"/>
  <c r="H26" i="32" s="1"/>
  <c r="AI23" i="20"/>
  <c r="AH89" i="20"/>
  <c r="AC46" i="30"/>
  <c r="AB51" i="18"/>
  <c r="AC5" i="18"/>
  <c r="AC24" i="18" s="1"/>
  <c r="AB38" i="18"/>
  <c r="AI72" i="30"/>
  <c r="AJ3" i="24"/>
  <c r="AC69" i="30"/>
  <c r="AD4" i="23"/>
  <c r="AD30" i="20"/>
  <c r="AC90" i="20"/>
  <c r="AC94" i="20" s="1"/>
  <c r="AC96" i="20" s="1"/>
  <c r="AK34" i="20"/>
  <c r="AD7" i="25"/>
  <c r="AC68" i="30"/>
  <c r="AE26" i="20"/>
  <c r="AD87" i="20"/>
  <c r="AD86" i="20"/>
  <c r="AE39" i="20"/>
  <c r="AC40" i="18"/>
  <c r="AD6" i="18"/>
  <c r="AD26" i="18" s="1"/>
  <c r="AC53" i="18"/>
  <c r="AC9" i="30"/>
  <c r="C29" i="32" s="1"/>
  <c r="AE29" i="20"/>
  <c r="AD91" i="20"/>
  <c r="AG41" i="20"/>
  <c r="AD71" i="30"/>
  <c r="AE4" i="24"/>
  <c r="AG40" i="20"/>
  <c r="AH37" i="20"/>
  <c r="AG88" i="20"/>
  <c r="AD70" i="30"/>
  <c r="AD66" i="30" s="1"/>
  <c r="I30" i="31" s="1"/>
  <c r="AE3" i="23"/>
  <c r="AB102" i="20"/>
  <c r="AA105" i="20"/>
  <c r="AA106" i="20" s="1"/>
  <c r="AC37" i="18"/>
  <c r="AC50" i="18"/>
  <c r="AD4" i="18"/>
  <c r="AD23" i="18" s="1"/>
  <c r="Z21" i="30" l="1"/>
  <c r="Z19" i="30" s="1"/>
  <c r="D26" i="31" s="1"/>
  <c r="AM6" i="43"/>
  <c r="AB41" i="18"/>
  <c r="AB43" i="18" s="1"/>
  <c r="AB44" i="18" s="1"/>
  <c r="AB58" i="30" s="1"/>
  <c r="AB12" i="28"/>
  <c r="AA43" i="30"/>
  <c r="AA41" i="30" s="1"/>
  <c r="G27" i="33" s="1"/>
  <c r="AB11" i="28"/>
  <c r="AA45" i="30"/>
  <c r="AA42" i="30" s="1"/>
  <c r="G27" i="32" s="1"/>
  <c r="AB55" i="18"/>
  <c r="AB10" i="1"/>
  <c r="AB5" i="30" s="1"/>
  <c r="AB4" i="30" s="1"/>
  <c r="B28" i="31" s="1"/>
  <c r="AC9" i="1"/>
  <c r="AB105" i="20"/>
  <c r="AB106" i="20" s="1"/>
  <c r="AB59" i="30"/>
  <c r="AA55" i="30"/>
  <c r="AA51" i="30" s="1"/>
  <c r="H27" i="33" s="1"/>
  <c r="AC25" i="18"/>
  <c r="AC27" i="18" s="1"/>
  <c r="AC29" i="18" s="1"/>
  <c r="AC39" i="18"/>
  <c r="AD7" i="18"/>
  <c r="AC52" i="18"/>
  <c r="AB30" i="18"/>
  <c r="AB57" i="30" s="1"/>
  <c r="AA57" i="30"/>
  <c r="AA52" i="30" s="1"/>
  <c r="H27" i="32" s="1"/>
  <c r="AB54" i="18"/>
  <c r="AB57" i="18" s="1"/>
  <c r="AB58" i="18" s="1"/>
  <c r="AC101" i="20"/>
  <c r="AC54" i="30" s="1"/>
  <c r="AC103" i="20"/>
  <c r="AE4" i="23"/>
  <c r="AD69" i="30"/>
  <c r="AD46" i="30"/>
  <c r="AC65" i="30"/>
  <c r="I29" i="34" s="1"/>
  <c r="AE30" i="20"/>
  <c r="AD90" i="20"/>
  <c r="AD94" i="20" s="1"/>
  <c r="AD96" i="20" s="1"/>
  <c r="AJ72" i="30"/>
  <c r="AK3" i="24"/>
  <c r="AK72" i="30" s="1"/>
  <c r="AD5" i="18"/>
  <c r="AD24" i="18" s="1"/>
  <c r="AC38" i="18"/>
  <c r="AC51" i="18"/>
  <c r="AJ23" i="20"/>
  <c r="AI89" i="20"/>
  <c r="AF39" i="20"/>
  <c r="AE86" i="20"/>
  <c r="AE71" i="30"/>
  <c r="AF4" i="24"/>
  <c r="AD50" i="18"/>
  <c r="AD37" i="18"/>
  <c r="AE4" i="18"/>
  <c r="AE23" i="18" s="1"/>
  <c r="AC102" i="20"/>
  <c r="AF26" i="20"/>
  <c r="AE87" i="20"/>
  <c r="AD68" i="30"/>
  <c r="AE7" i="25"/>
  <c r="AI37" i="20"/>
  <c r="AH88" i="20"/>
  <c r="AF29" i="20"/>
  <c r="AE91" i="20"/>
  <c r="AH41" i="20"/>
  <c r="AH40" i="20"/>
  <c r="AD53" i="18"/>
  <c r="AD40" i="18"/>
  <c r="AE6" i="18"/>
  <c r="AE26" i="18" s="1"/>
  <c r="AF3" i="23"/>
  <c r="AE70" i="30"/>
  <c r="AE66" i="30" s="1"/>
  <c r="I31" i="31" s="1"/>
  <c r="AD9" i="30"/>
  <c r="C30" i="32" s="1"/>
  <c r="AC41" i="18" l="1"/>
  <c r="AC43" i="18" s="1"/>
  <c r="AC44" i="18" s="1"/>
  <c r="AC58" i="30" s="1"/>
  <c r="AA21" i="30"/>
  <c r="AA19" i="30" s="1"/>
  <c r="D27" i="31" s="1"/>
  <c r="AN6" i="43"/>
  <c r="AC59" i="30"/>
  <c r="AB52" i="30"/>
  <c r="H28" i="32" s="1"/>
  <c r="AC12" i="28"/>
  <c r="AB43" i="30"/>
  <c r="AB41" i="30" s="1"/>
  <c r="G28" i="33" s="1"/>
  <c r="AC11" i="28"/>
  <c r="AB45" i="30"/>
  <c r="AB42" i="30" s="1"/>
  <c r="G28" i="32" s="1"/>
  <c r="AB55" i="30"/>
  <c r="AB51" i="30" s="1"/>
  <c r="H28" i="33" s="1"/>
  <c r="AC10" i="1"/>
  <c r="AC5" i="30" s="1"/>
  <c r="AC4" i="30" s="1"/>
  <c r="B29" i="31" s="1"/>
  <c r="AD9" i="1"/>
  <c r="AD65" i="30"/>
  <c r="I30" i="34" s="1"/>
  <c r="AC54" i="18"/>
  <c r="AC57" i="18" s="1"/>
  <c r="AC58" i="18" s="1"/>
  <c r="AD25" i="18"/>
  <c r="AD27" i="18" s="1"/>
  <c r="AE7" i="18"/>
  <c r="AD39" i="18"/>
  <c r="AD52" i="18"/>
  <c r="AC55" i="18"/>
  <c r="AC30" i="18"/>
  <c r="AK23" i="20"/>
  <c r="AK89" i="20" s="1"/>
  <c r="AJ89" i="20"/>
  <c r="AF30" i="20"/>
  <c r="AE90" i="20"/>
  <c r="AE94" i="20" s="1"/>
  <c r="AE96" i="20" s="1"/>
  <c r="AE101" i="20" s="1"/>
  <c r="AE54" i="30" s="1"/>
  <c r="AE69" i="30"/>
  <c r="AF4" i="23"/>
  <c r="AE46" i="30"/>
  <c r="AE5" i="18"/>
  <c r="AE24" i="18" s="1"/>
  <c r="AD38" i="18"/>
  <c r="AD51" i="18"/>
  <c r="AI40" i="20"/>
  <c r="AE9" i="30"/>
  <c r="C31" i="32" s="1"/>
  <c r="AG29" i="20"/>
  <c r="AF91" i="20"/>
  <c r="AF7" i="25"/>
  <c r="AE68" i="30"/>
  <c r="AD101" i="20"/>
  <c r="AD54" i="30" s="1"/>
  <c r="AD103" i="20"/>
  <c r="AF70" i="30"/>
  <c r="AF66" i="30" s="1"/>
  <c r="I32" i="31" s="1"/>
  <c r="AG3" i="23"/>
  <c r="AG4" i="24"/>
  <c r="AF71" i="30"/>
  <c r="AE53" i="18"/>
  <c r="AE40" i="18"/>
  <c r="AF6" i="18"/>
  <c r="AF26" i="18" s="1"/>
  <c r="AI41" i="20"/>
  <c r="AJ37" i="20"/>
  <c r="AI88" i="20"/>
  <c r="AG26" i="20"/>
  <c r="AF87" i="20"/>
  <c r="AE50" i="18"/>
  <c r="AF4" i="18"/>
  <c r="AF23" i="18" s="1"/>
  <c r="AE37" i="18"/>
  <c r="AD102" i="20"/>
  <c r="AD59" i="30" s="1"/>
  <c r="AC105" i="20"/>
  <c r="AC106" i="20" s="1"/>
  <c r="AG39" i="20"/>
  <c r="AF86" i="20"/>
  <c r="AB21" i="30" l="1"/>
  <c r="AB19" i="30" s="1"/>
  <c r="D28" i="31" s="1"/>
  <c r="AO6" i="43"/>
  <c r="AE65" i="30"/>
  <c r="I31" i="34" s="1"/>
  <c r="AC45" i="30"/>
  <c r="AC42" i="30" s="1"/>
  <c r="G29" i="32" s="1"/>
  <c r="AD11" i="28"/>
  <c r="AD12" i="28"/>
  <c r="AC43" i="30"/>
  <c r="AC41" i="30" s="1"/>
  <c r="G29" i="33" s="1"/>
  <c r="AC55" i="30"/>
  <c r="AC51" i="30" s="1"/>
  <c r="H29" i="33" s="1"/>
  <c r="AE9" i="1"/>
  <c r="AD10" i="1"/>
  <c r="AD5" i="30" s="1"/>
  <c r="AD4" i="30" s="1"/>
  <c r="B30" i="31" s="1"/>
  <c r="AD54" i="18"/>
  <c r="AD57" i="18" s="1"/>
  <c r="AD58" i="18" s="1"/>
  <c r="AE25" i="18"/>
  <c r="AE27" i="18" s="1"/>
  <c r="AE29" i="18" s="1"/>
  <c r="AE52" i="18"/>
  <c r="AF7" i="18"/>
  <c r="AE39" i="18"/>
  <c r="AD29" i="18"/>
  <c r="AD30" i="18" s="1"/>
  <c r="AD41" i="18"/>
  <c r="AD43" i="18" s="1"/>
  <c r="AC57" i="30"/>
  <c r="AC52" i="30" s="1"/>
  <c r="H29" i="32" s="1"/>
  <c r="AD55" i="18"/>
  <c r="AF46" i="30"/>
  <c r="AG4" i="23"/>
  <c r="AF69" i="30"/>
  <c r="AG30" i="20"/>
  <c r="AF90" i="20"/>
  <c r="AF94" i="20" s="1"/>
  <c r="AF96" i="20" s="1"/>
  <c r="AF101" i="20" s="1"/>
  <c r="AF54" i="30" s="1"/>
  <c r="AE103" i="20"/>
  <c r="AE51" i="18"/>
  <c r="AE38" i="18"/>
  <c r="AF5" i="18"/>
  <c r="AF24" i="18" s="1"/>
  <c r="AF37" i="18"/>
  <c r="AG4" i="18"/>
  <c r="AG23" i="18" s="1"/>
  <c r="AF50" i="18"/>
  <c r="AJ41" i="20"/>
  <c r="AD105" i="20"/>
  <c r="AD106" i="20" s="1"/>
  <c r="AF40" i="18"/>
  <c r="AG6" i="18"/>
  <c r="AG26" i="18" s="1"/>
  <c r="AF53" i="18"/>
  <c r="AF9" i="30"/>
  <c r="C32" i="32" s="1"/>
  <c r="AG71" i="30"/>
  <c r="AH4" i="24"/>
  <c r="AH26" i="20"/>
  <c r="AG87" i="20"/>
  <c r="AG70" i="30"/>
  <c r="AG66" i="30" s="1"/>
  <c r="I33" i="31" s="1"/>
  <c r="AH3" i="23"/>
  <c r="AE102" i="20"/>
  <c r="AG86" i="20"/>
  <c r="AH39" i="20"/>
  <c r="AG7" i="25"/>
  <c r="AF68" i="30"/>
  <c r="AJ40" i="20"/>
  <c r="AH29" i="20"/>
  <c r="AG91" i="20"/>
  <c r="AK37" i="20"/>
  <c r="AJ88" i="20"/>
  <c r="AC21" i="30" l="1"/>
  <c r="AC19" i="30" s="1"/>
  <c r="D29" i="31" s="1"/>
  <c r="AP6" i="43"/>
  <c r="AF65" i="30"/>
  <c r="I32" i="34" s="1"/>
  <c r="AF103" i="20"/>
  <c r="AD43" i="30"/>
  <c r="AD41" i="30" s="1"/>
  <c r="G30" i="33" s="1"/>
  <c r="AE12" i="28"/>
  <c r="AE11" i="28"/>
  <c r="AD45" i="30"/>
  <c r="AD42" i="30" s="1"/>
  <c r="G30" i="32" s="1"/>
  <c r="AD55" i="30"/>
  <c r="AE59" i="30"/>
  <c r="AF9" i="1"/>
  <c r="AE10" i="1"/>
  <c r="AE5" i="30" s="1"/>
  <c r="AE4" i="30" s="1"/>
  <c r="B31" i="31" s="1"/>
  <c r="AE55" i="18"/>
  <c r="AE41" i="18"/>
  <c r="AE43" i="18" s="1"/>
  <c r="AF25" i="18"/>
  <c r="AF27" i="18" s="1"/>
  <c r="AF29" i="18" s="1"/>
  <c r="AF52" i="18"/>
  <c r="AG7" i="18"/>
  <c r="AF39" i="18"/>
  <c r="AD44" i="18"/>
  <c r="AE30" i="18"/>
  <c r="AD57" i="30"/>
  <c r="AE54" i="18"/>
  <c r="AE57" i="18" s="1"/>
  <c r="AE58" i="18" s="1"/>
  <c r="AH30" i="20"/>
  <c r="AG90" i="20"/>
  <c r="AG94" i="20" s="1"/>
  <c r="AG96" i="20" s="1"/>
  <c r="AF51" i="18"/>
  <c r="AF38" i="18"/>
  <c r="AG5" i="18"/>
  <c r="AG24" i="18" s="1"/>
  <c r="AG69" i="30"/>
  <c r="AH4" i="23"/>
  <c r="AG46" i="30"/>
  <c r="AH70" i="30"/>
  <c r="AH66" i="30" s="1"/>
  <c r="I34" i="31" s="1"/>
  <c r="AI3" i="23"/>
  <c r="AI4" i="24"/>
  <c r="AH71" i="30"/>
  <c r="AF102" i="20"/>
  <c r="AK88" i="20"/>
  <c r="AG68" i="30"/>
  <c r="AH7" i="25"/>
  <c r="AH4" i="18"/>
  <c r="AH23" i="18" s="1"/>
  <c r="AG50" i="18"/>
  <c r="AG37" i="18"/>
  <c r="AI26" i="20"/>
  <c r="AH87" i="20"/>
  <c r="AG9" i="30"/>
  <c r="C33" i="32" s="1"/>
  <c r="AE105" i="20"/>
  <c r="AE106" i="20" s="1"/>
  <c r="AK41" i="20"/>
  <c r="AH86" i="20"/>
  <c r="AI39" i="20"/>
  <c r="AI29" i="20"/>
  <c r="AH91" i="20"/>
  <c r="AG40" i="18"/>
  <c r="AH6" i="18"/>
  <c r="AH26" i="18" s="1"/>
  <c r="AG53" i="18"/>
  <c r="AK40" i="20"/>
  <c r="AD51" i="30"/>
  <c r="H30" i="33" s="1"/>
  <c r="AF59" i="30" l="1"/>
  <c r="AD21" i="30"/>
  <c r="AD19" i="30" s="1"/>
  <c r="D30" i="31" s="1"/>
  <c r="AQ6" i="43"/>
  <c r="AG65" i="30"/>
  <c r="I33" i="34" s="1"/>
  <c r="AE45" i="30"/>
  <c r="AE42" i="30" s="1"/>
  <c r="G31" i="32" s="1"/>
  <c r="AF11" i="28"/>
  <c r="AF12" i="28"/>
  <c r="AE43" i="30"/>
  <c r="AE41" i="30" s="1"/>
  <c r="G31" i="33" s="1"/>
  <c r="AE55" i="30"/>
  <c r="AE51" i="30" s="1"/>
  <c r="H31" i="33" s="1"/>
  <c r="AF41" i="18"/>
  <c r="AF43" i="18" s="1"/>
  <c r="AE44" i="18"/>
  <c r="AE58" i="30" s="1"/>
  <c r="AD58" i="30"/>
  <c r="AD52" i="30" s="1"/>
  <c r="H30" i="32" s="1"/>
  <c r="AG9" i="1"/>
  <c r="AF10" i="1"/>
  <c r="AF5" i="30" s="1"/>
  <c r="AF4" i="30" s="1"/>
  <c r="B32" i="31" s="1"/>
  <c r="AF54" i="18"/>
  <c r="AF57" i="18" s="1"/>
  <c r="AF58" i="18" s="1"/>
  <c r="AG25" i="18"/>
  <c r="AG27" i="18" s="1"/>
  <c r="AG39" i="18"/>
  <c r="AG52" i="18"/>
  <c r="AH7" i="18"/>
  <c r="AF30" i="18"/>
  <c r="AE57" i="30"/>
  <c r="AG51" i="18"/>
  <c r="AH5" i="18"/>
  <c r="AH24" i="18" s="1"/>
  <c r="AG38" i="18"/>
  <c r="AF55" i="18"/>
  <c r="AI4" i="23"/>
  <c r="AH69" i="30"/>
  <c r="AI30" i="20"/>
  <c r="AH90" i="20"/>
  <c r="AH94" i="20" s="1"/>
  <c r="AH96" i="20" s="1"/>
  <c r="AH101" i="20" s="1"/>
  <c r="AH54" i="30" s="1"/>
  <c r="AH46" i="30"/>
  <c r="AH50" i="18"/>
  <c r="AI4" i="18"/>
  <c r="AI23" i="18" s="1"/>
  <c r="AH37" i="18"/>
  <c r="AJ29" i="20"/>
  <c r="AI91" i="20"/>
  <c r="AJ39" i="20"/>
  <c r="AI86" i="20"/>
  <c r="AH9" i="30"/>
  <c r="C34" i="32" s="1"/>
  <c r="AG102" i="20"/>
  <c r="AF105" i="20"/>
  <c r="AF106" i="20" s="1"/>
  <c r="AJ26" i="20"/>
  <c r="AI87" i="20"/>
  <c r="AI71" i="30"/>
  <c r="AJ4" i="24"/>
  <c r="AG101" i="20"/>
  <c r="AG54" i="30" s="1"/>
  <c r="AG103" i="20"/>
  <c r="AH68" i="30"/>
  <c r="AI7" i="25"/>
  <c r="AJ3" i="23"/>
  <c r="AI70" i="30"/>
  <c r="AI66" i="30" s="1"/>
  <c r="I35" i="31" s="1"/>
  <c r="AH40" i="18"/>
  <c r="AI6" i="18"/>
  <c r="AI26" i="18" s="1"/>
  <c r="AH53" i="18"/>
  <c r="AE21" i="30" l="1"/>
  <c r="AE19" i="30" s="1"/>
  <c r="D31" i="31" s="1"/>
  <c r="AR6" i="43"/>
  <c r="AH65" i="30"/>
  <c r="I34" i="34" s="1"/>
  <c r="AG41" i="18"/>
  <c r="AG43" i="18" s="1"/>
  <c r="AG59" i="30"/>
  <c r="AF43" i="30"/>
  <c r="AF41" i="30" s="1"/>
  <c r="G32" i="33" s="1"/>
  <c r="AG12" i="28"/>
  <c r="AF45" i="30"/>
  <c r="AF42" i="30" s="1"/>
  <c r="G32" i="32" s="1"/>
  <c r="AG11" i="28"/>
  <c r="AF55" i="30"/>
  <c r="AF51" i="30" s="1"/>
  <c r="H32" i="33" s="1"/>
  <c r="AG55" i="18"/>
  <c r="AH9" i="1"/>
  <c r="AG10" i="1"/>
  <c r="AG5" i="30" s="1"/>
  <c r="AG4" i="30" s="1"/>
  <c r="B33" i="31" s="1"/>
  <c r="AF44" i="18"/>
  <c r="AF58" i="30" s="1"/>
  <c r="AE52" i="30"/>
  <c r="H31" i="32" s="1"/>
  <c r="AG29" i="18"/>
  <c r="AG30" i="18" s="1"/>
  <c r="AG54" i="18"/>
  <c r="AG57" i="18" s="1"/>
  <c r="AG58" i="18" s="1"/>
  <c r="AH25" i="18"/>
  <c r="AH27" i="18" s="1"/>
  <c r="AH29" i="18" s="1"/>
  <c r="AH39" i="18"/>
  <c r="AH52" i="18"/>
  <c r="AI7" i="18"/>
  <c r="AF57" i="30"/>
  <c r="AI46" i="30"/>
  <c r="AI69" i="30"/>
  <c r="AJ4" i="23"/>
  <c r="AJ30" i="20"/>
  <c r="AI90" i="20"/>
  <c r="AI94" i="20" s="1"/>
  <c r="AI96" i="20" s="1"/>
  <c r="AI101" i="20" s="1"/>
  <c r="AI54" i="30" s="1"/>
  <c r="AH38" i="18"/>
  <c r="AH51" i="18"/>
  <c r="AI5" i="18"/>
  <c r="AI24" i="18" s="1"/>
  <c r="AH103" i="20"/>
  <c r="AI53" i="18"/>
  <c r="AI40" i="18"/>
  <c r="AJ6" i="18"/>
  <c r="AJ26" i="18" s="1"/>
  <c r="AK4" i="24"/>
  <c r="AK71" i="30" s="1"/>
  <c r="AJ71" i="30"/>
  <c r="AH102" i="20"/>
  <c r="AI9" i="30"/>
  <c r="C35" i="32" s="1"/>
  <c r="AK3" i="23"/>
  <c r="AK70" i="30" s="1"/>
  <c r="AK66" i="30" s="1"/>
  <c r="I37" i="31" s="1"/>
  <c r="AJ70" i="30"/>
  <c r="AJ66" i="30" s="1"/>
  <c r="I36" i="31" s="1"/>
  <c r="AK26" i="20"/>
  <c r="AK87" i="20" s="1"/>
  <c r="AJ87" i="20"/>
  <c r="AI68" i="30"/>
  <c r="AJ7" i="25"/>
  <c r="AK39" i="20"/>
  <c r="AK86" i="20" s="1"/>
  <c r="AJ86" i="20"/>
  <c r="AG105" i="20"/>
  <c r="AG106" i="20" s="1"/>
  <c r="AI37" i="18"/>
  <c r="AI50" i="18"/>
  <c r="AJ4" i="18"/>
  <c r="AJ23" i="18" s="1"/>
  <c r="AK29" i="20"/>
  <c r="AK91" i="20" s="1"/>
  <c r="AJ91" i="20"/>
  <c r="AF21" i="30" l="1"/>
  <c r="AF19" i="30" s="1"/>
  <c r="D32" i="31" s="1"/>
  <c r="AS6" i="43"/>
  <c r="AI65" i="30"/>
  <c r="I35" i="34" s="1"/>
  <c r="AH54" i="18"/>
  <c r="AH57" i="18" s="1"/>
  <c r="AH58" i="18" s="1"/>
  <c r="AH41" i="18"/>
  <c r="AH43" i="18" s="1"/>
  <c r="AG44" i="18"/>
  <c r="AG58" i="30" s="1"/>
  <c r="AH11" i="28"/>
  <c r="AG45" i="30"/>
  <c r="AG42" i="30" s="1"/>
  <c r="G33" i="32" s="1"/>
  <c r="AH12" i="28"/>
  <c r="AG43" i="30"/>
  <c r="AG41" i="30" s="1"/>
  <c r="G33" i="33" s="1"/>
  <c r="AG55" i="30"/>
  <c r="AG51" i="30" s="1"/>
  <c r="H33" i="33" s="1"/>
  <c r="AI103" i="20"/>
  <c r="AF52" i="30"/>
  <c r="H32" i="32" s="1"/>
  <c r="AI9" i="1"/>
  <c r="AH10" i="1"/>
  <c r="AH5" i="30" s="1"/>
  <c r="AH4" i="30" s="1"/>
  <c r="B34" i="31" s="1"/>
  <c r="AH59" i="30"/>
  <c r="AH55" i="18"/>
  <c r="AI25" i="18"/>
  <c r="AI27" i="18" s="1"/>
  <c r="AI29" i="18" s="1"/>
  <c r="AI52" i="18"/>
  <c r="AJ7" i="18"/>
  <c r="AI39" i="18"/>
  <c r="AH30" i="18"/>
  <c r="AG57" i="30"/>
  <c r="AK4" i="23"/>
  <c r="AK69" i="30" s="1"/>
  <c r="AJ69" i="30"/>
  <c r="AI38" i="18"/>
  <c r="AI51" i="18"/>
  <c r="AI54" i="18" s="1"/>
  <c r="AI57" i="18" s="1"/>
  <c r="AJ5" i="18"/>
  <c r="AJ24" i="18" s="1"/>
  <c r="AJ46" i="30"/>
  <c r="AK46" i="30"/>
  <c r="AK30" i="20"/>
  <c r="AK90" i="20" s="1"/>
  <c r="AK94" i="20" s="1"/>
  <c r="AK96" i="20" s="1"/>
  <c r="AK101" i="20" s="1"/>
  <c r="AK54" i="30" s="1"/>
  <c r="AJ90" i="20"/>
  <c r="AJ94" i="20" s="1"/>
  <c r="AJ96" i="20" s="1"/>
  <c r="AJ101" i="20" s="1"/>
  <c r="AJ54" i="30" s="1"/>
  <c r="AK7" i="25"/>
  <c r="AK68" i="30" s="1"/>
  <c r="AJ68" i="30"/>
  <c r="AK9" i="30"/>
  <c r="C37" i="32" s="1"/>
  <c r="AJ9" i="30"/>
  <c r="C36" i="32" s="1"/>
  <c r="AI102" i="20"/>
  <c r="AJ40" i="18"/>
  <c r="AJ53" i="18"/>
  <c r="AK6" i="18"/>
  <c r="AK26" i="18" s="1"/>
  <c r="AJ37" i="18"/>
  <c r="AJ50" i="18"/>
  <c r="AK4" i="18"/>
  <c r="AK23" i="18" s="1"/>
  <c r="AH105" i="20"/>
  <c r="AH106" i="20" s="1"/>
  <c r="AG52" i="30" l="1"/>
  <c r="H33" i="32" s="1"/>
  <c r="AI59" i="30"/>
  <c r="AG21" i="30"/>
  <c r="AG19" i="30" s="1"/>
  <c r="D33" i="31" s="1"/>
  <c r="AT6" i="43"/>
  <c r="AK65" i="30"/>
  <c r="I37" i="34" s="1"/>
  <c r="AH44" i="18"/>
  <c r="AH58" i="30" s="1"/>
  <c r="AJ103" i="20"/>
  <c r="AK103" i="20" s="1"/>
  <c r="AJ65" i="30"/>
  <c r="I36" i="34" s="1"/>
  <c r="AI12" i="28"/>
  <c r="AH43" i="30"/>
  <c r="AH41" i="30" s="1"/>
  <c r="G34" i="33" s="1"/>
  <c r="AH45" i="30"/>
  <c r="AH42" i="30" s="1"/>
  <c r="G34" i="32" s="1"/>
  <c r="AI11" i="28"/>
  <c r="AI10" i="1"/>
  <c r="AI5" i="30" s="1"/>
  <c r="AI4" i="30" s="1"/>
  <c r="B35" i="31" s="1"/>
  <c r="AJ9" i="1"/>
  <c r="AI58" i="18"/>
  <c r="AH55" i="30"/>
  <c r="AH51" i="30" s="1"/>
  <c r="H34" i="33" s="1"/>
  <c r="AJ25" i="18"/>
  <c r="AJ27" i="18" s="1"/>
  <c r="AJ39" i="18"/>
  <c r="AK7" i="18"/>
  <c r="AJ52" i="18"/>
  <c r="AI41" i="18"/>
  <c r="AI43" i="18" s="1"/>
  <c r="AI30" i="18"/>
  <c r="AH57" i="30"/>
  <c r="AI55" i="18"/>
  <c r="AJ38" i="18"/>
  <c r="AJ51" i="18"/>
  <c r="AK5" i="18"/>
  <c r="AK24" i="18" s="1"/>
  <c r="AJ102" i="20"/>
  <c r="AK40" i="18"/>
  <c r="AK53" i="18"/>
  <c r="AK50" i="18"/>
  <c r="AK37" i="18"/>
  <c r="AI105" i="20"/>
  <c r="AI106" i="20" s="1"/>
  <c r="AJ59" i="30" l="1"/>
  <c r="AH21" i="30"/>
  <c r="AH19" i="30" s="1"/>
  <c r="D34" i="31" s="1"/>
  <c r="AH52" i="30"/>
  <c r="H34" i="32" s="1"/>
  <c r="AU6" i="43"/>
  <c r="AJ55" i="18"/>
  <c r="AJ11" i="28"/>
  <c r="AI45" i="30"/>
  <c r="AI42" i="30" s="1"/>
  <c r="G35" i="32" s="1"/>
  <c r="AI43" i="30"/>
  <c r="AI41" i="30" s="1"/>
  <c r="G35" i="33" s="1"/>
  <c r="AJ12" i="28"/>
  <c r="AJ41" i="18"/>
  <c r="AJ43" i="18" s="1"/>
  <c r="AI55" i="30"/>
  <c r="AI51" i="30" s="1"/>
  <c r="H35" i="33" s="1"/>
  <c r="AK9" i="1"/>
  <c r="AK10" i="1" s="1"/>
  <c r="AK5" i="30" s="1"/>
  <c r="AK4" i="30" s="1"/>
  <c r="B37" i="31" s="1"/>
  <c r="AJ10" i="1"/>
  <c r="AJ5" i="30" s="1"/>
  <c r="AJ4" i="30" s="1"/>
  <c r="B36" i="31" s="1"/>
  <c r="AJ54" i="18"/>
  <c r="AJ57" i="18" s="1"/>
  <c r="AJ58" i="18" s="1"/>
  <c r="AK25" i="18"/>
  <c r="AK27" i="18" s="1"/>
  <c r="AK29" i="18" s="1"/>
  <c r="AK52" i="18"/>
  <c r="AK39" i="18"/>
  <c r="AJ29" i="18"/>
  <c r="AI44" i="18"/>
  <c r="AJ30" i="18"/>
  <c r="AI57" i="30"/>
  <c r="AK51" i="18"/>
  <c r="AK38" i="18"/>
  <c r="AK102" i="20"/>
  <c r="AK59" i="30" s="1"/>
  <c r="AJ105" i="20"/>
  <c r="AJ106" i="20" s="1"/>
  <c r="AI21" i="30" l="1"/>
  <c r="AI19" i="30" s="1"/>
  <c r="D35" i="31" s="1"/>
  <c r="AV6" i="43"/>
  <c r="AK55" i="18"/>
  <c r="AJ43" i="30"/>
  <c r="AJ41" i="30" s="1"/>
  <c r="G36" i="33" s="1"/>
  <c r="AK12" i="28"/>
  <c r="AK43" i="30" s="1"/>
  <c r="AK41" i="30" s="1"/>
  <c r="G37" i="33" s="1"/>
  <c r="AK11" i="28"/>
  <c r="AK45" i="30" s="1"/>
  <c r="AK42" i="30" s="1"/>
  <c r="G37" i="32" s="1"/>
  <c r="AJ45" i="30"/>
  <c r="AJ42" i="30" s="1"/>
  <c r="G36" i="32" s="1"/>
  <c r="AJ55" i="30"/>
  <c r="AJ51" i="30" s="1"/>
  <c r="H36" i="33" s="1"/>
  <c r="AK54" i="18"/>
  <c r="AK57" i="18" s="1"/>
  <c r="AK58" i="18" s="1"/>
  <c r="AK55" i="30" s="1"/>
  <c r="AK51" i="30" s="1"/>
  <c r="H37" i="33" s="1"/>
  <c r="AJ44" i="18"/>
  <c r="AJ58" i="30" s="1"/>
  <c r="AI58" i="30"/>
  <c r="AI52" i="30" s="1"/>
  <c r="H35" i="32" s="1"/>
  <c r="AK41" i="18"/>
  <c r="AK43" i="18" s="1"/>
  <c r="AK30" i="18"/>
  <c r="AK57" i="30" s="1"/>
  <c r="AJ57" i="30"/>
  <c r="AK105" i="20"/>
  <c r="AK106" i="20" s="1"/>
  <c r="AJ21" i="30" l="1"/>
  <c r="AJ19" i="30" s="1"/>
  <c r="D36" i="31" s="1"/>
  <c r="AK21" i="30"/>
  <c r="AK19" i="30" s="1"/>
  <c r="D37" i="31" s="1"/>
  <c r="AK44" i="18"/>
  <c r="AK58" i="30" s="1"/>
  <c r="AK52" i="30" s="1"/>
  <c r="H37" i="32" s="1"/>
  <c r="AJ52" i="30"/>
  <c r="H36" i="3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3" authorId="0" shapeId="0" xr:uid="{00000000-0006-0000-2000-000001000000}">
      <text>
        <r>
          <rPr>
            <sz val="11"/>
            <color theme="1"/>
            <rFont val="Calibri"/>
            <family val="2"/>
            <scheme val="minor"/>
          </rPr>
          <t>NMVOC emissions are estimated in the Air Pollutant Emission Inventory (see NIR Annex 7).</t>
        </r>
      </text>
    </comment>
    <comment ref="G24" authorId="0" shapeId="0" xr:uid="{00000000-0006-0000-2000-000002000000}">
      <text>
        <r>
          <rPr>
            <sz val="11"/>
            <color theme="1"/>
            <rFont val="Calibri"/>
            <family val="2"/>
            <scheme val="minor"/>
          </rPr>
          <t>NMVOC emissions are estimated in the Air Pollutant Emission Inventory (see NIR Annex 7).</t>
        </r>
      </text>
    </comment>
    <comment ref="G25" authorId="0" shapeId="0" xr:uid="{00000000-0006-0000-2000-000003000000}">
      <text>
        <r>
          <rPr>
            <sz val="11"/>
            <color theme="1"/>
            <rFont val="Calibri"/>
            <family val="2"/>
            <scheme val="minor"/>
          </rPr>
          <t>NMVOC emissions are estimated in the Air Pollutant Emission Inventory (see NIR Annex 7).</t>
        </r>
      </text>
    </comment>
    <comment ref="G26" authorId="0" shapeId="0" xr:uid="{00000000-0006-0000-2000-000004000000}">
      <text>
        <r>
          <rPr>
            <sz val="11"/>
            <color theme="1"/>
            <rFont val="Calibri"/>
            <family val="2"/>
            <scheme val="minor"/>
          </rPr>
          <t>NMVOC emissions are estimated in the Air Pollutant Emission Inventory (see NIR Annex 7).</t>
        </r>
      </text>
    </comment>
    <comment ref="G27" authorId="0" shapeId="0" xr:uid="{00000000-0006-0000-2000-000005000000}">
      <text>
        <r>
          <rPr>
            <sz val="11"/>
            <color theme="1"/>
            <rFont val="Calibri"/>
            <family val="2"/>
            <scheme val="minor"/>
          </rPr>
          <t>NMVOC emissions are estimated in the Air Pollutant Emission Inventory (see NIR Annex 7).</t>
        </r>
      </text>
    </comment>
    <comment ref="G28" authorId="0" shapeId="0" xr:uid="{00000000-0006-0000-2000-000006000000}">
      <text>
        <r>
          <rPr>
            <sz val="11"/>
            <color theme="1"/>
            <rFont val="Calibri"/>
            <family val="2"/>
            <scheme val="minor"/>
          </rPr>
          <t>NMVOC emissions are estimated in the Air Pollutant Emission Inventory (see NIR Annex 7).</t>
        </r>
      </text>
    </comment>
    <comment ref="G29" authorId="0" shapeId="0" xr:uid="{00000000-0006-0000-2000-000007000000}">
      <text>
        <r>
          <rPr>
            <sz val="11"/>
            <color theme="1"/>
            <rFont val="Calibri"/>
            <family val="2"/>
            <scheme val="minor"/>
          </rPr>
          <t>NMVOC emissions are estimated in the Air Pollutant Emission Inventory (see NIR Annex 7).</t>
        </r>
      </text>
    </comment>
    <comment ref="G31" authorId="0" shapeId="0" xr:uid="{00000000-0006-0000-2000-000008000000}">
      <text>
        <r>
          <rPr>
            <sz val="11"/>
            <color theme="1"/>
            <rFont val="Calibri"/>
            <family val="2"/>
            <scheme val="minor"/>
          </rPr>
          <t>NMVOC emissions are estimated in the Air Pollutant Emission Inventory (see NIR Annex 7).</t>
        </r>
      </text>
    </comment>
    <comment ref="G32" authorId="0" shapeId="0" xr:uid="{00000000-0006-0000-2000-000009000000}">
      <text>
        <r>
          <rPr>
            <sz val="11"/>
            <color theme="1"/>
            <rFont val="Calibri"/>
            <family val="2"/>
            <scheme val="minor"/>
          </rPr>
          <t>NMVOC emissions are estimated in the Air Pollutant Emission Inventory (see NIR Annex 7).</t>
        </r>
      </text>
    </comment>
    <comment ref="G33" authorId="0" shapeId="0" xr:uid="{00000000-0006-0000-2000-00000A000000}">
      <text>
        <r>
          <rPr>
            <sz val="11"/>
            <color theme="1"/>
            <rFont val="Calibri"/>
            <family val="2"/>
            <scheme val="minor"/>
          </rPr>
          <t>NMVOC emissions are estimated in the Air Pollutant Emission Inventory (see NIR Annex 7).</t>
        </r>
      </text>
    </comment>
    <comment ref="G37" authorId="0" shapeId="0" xr:uid="{00000000-0006-0000-2000-00000B000000}">
      <text>
        <r>
          <rPr>
            <sz val="11"/>
            <color theme="1"/>
            <rFont val="Calibri"/>
            <family val="2"/>
            <scheme val="minor"/>
          </rPr>
          <t>NMVOC emissions are estimated in the Air Pollutant Emission Inventory (see NIR Annex 7).</t>
        </r>
      </text>
    </comment>
    <comment ref="G38" authorId="0" shapeId="0" xr:uid="{00000000-0006-0000-2000-00000C000000}">
      <text>
        <r>
          <rPr>
            <sz val="11"/>
            <color theme="1"/>
            <rFont val="Calibri"/>
            <family val="2"/>
            <scheme val="minor"/>
          </rPr>
          <t>NMVOC emissions are estimated in the Air Pollutant Emission Inventory (see NIR Annex 7).</t>
        </r>
      </text>
    </comment>
    <comment ref="G48" authorId="0" shapeId="0" xr:uid="{00000000-0006-0000-2000-00000D000000}">
      <text>
        <r>
          <rPr>
            <sz val="11"/>
            <color theme="1"/>
            <rFont val="Calibri"/>
            <family val="2"/>
            <scheme val="minor"/>
          </rPr>
          <t>NMVOC emissions are estimated in the Air Pollutant Emission Inventory (see NIR Annex 7).</t>
        </r>
      </text>
    </comment>
    <comment ref="G49" authorId="0" shapeId="0" xr:uid="{00000000-0006-0000-2000-00000E000000}">
      <text>
        <r>
          <rPr>
            <sz val="11"/>
            <color theme="1"/>
            <rFont val="Calibri"/>
            <family val="2"/>
            <scheme val="minor"/>
          </rPr>
          <t>NMVOC emissions are estimated in the Air Pollutant Emission Inventory (see NIR Annex 7).</t>
        </r>
      </text>
    </comment>
    <comment ref="G50" authorId="0" shapeId="0" xr:uid="{00000000-0006-0000-2000-00000F000000}">
      <text>
        <r>
          <rPr>
            <sz val="11"/>
            <color theme="1"/>
            <rFont val="Calibri"/>
            <family val="2"/>
            <scheme val="minor"/>
          </rPr>
          <t>NMVOC emissions are estimated in the Air Pollutant Emission Inventory (see NIR Annex 7).</t>
        </r>
      </text>
    </comment>
    <comment ref="G51" authorId="0" shapeId="0" xr:uid="{00000000-0006-0000-2000-000010000000}">
      <text>
        <r>
          <rPr>
            <sz val="11"/>
            <color theme="1"/>
            <rFont val="Calibri"/>
            <family val="2"/>
            <scheme val="minor"/>
          </rPr>
          <t>NMVOC emissions are estimated in the Air Pollutant Emission Inventory (see NIR Annex 7).</t>
        </r>
      </text>
    </comment>
    <comment ref="G52" authorId="0" shapeId="0" xr:uid="{00000000-0006-0000-2000-000011000000}">
      <text>
        <r>
          <rPr>
            <sz val="11"/>
            <color theme="1"/>
            <rFont val="Calibri"/>
            <family val="2"/>
            <scheme val="minor"/>
          </rPr>
          <t>NMVOC emissions are estimated in the Air Pollutant Emission Inventory (see NIR Annex 7).</t>
        </r>
      </text>
    </comment>
    <comment ref="G53" authorId="0" shapeId="0" xr:uid="{00000000-0006-0000-2000-000012000000}">
      <text>
        <r>
          <rPr>
            <sz val="11"/>
            <color theme="1"/>
            <rFont val="Calibri"/>
            <family val="2"/>
            <scheme val="minor"/>
          </rPr>
          <t>NMVOC emissions are estimated in the Air Pollutant Emission Inventory (see NIR Annex 7).</t>
        </r>
      </text>
    </comment>
    <comment ref="G54" authorId="0" shapeId="0" xr:uid="{00000000-0006-0000-2000-000013000000}">
      <text>
        <r>
          <rPr>
            <sz val="11"/>
            <color theme="1"/>
            <rFont val="Calibri"/>
            <family val="2"/>
            <scheme val="minor"/>
          </rPr>
          <t>NMVOC emissions are estimated in the Air Pollutant Emission Inventory (see NIR Annex 7).</t>
        </r>
      </text>
    </comment>
    <comment ref="G56" authorId="0" shapeId="0" xr:uid="{00000000-0006-0000-2000-000014000000}">
      <text>
        <r>
          <rPr>
            <sz val="11"/>
            <color theme="1"/>
            <rFont val="Calibri"/>
            <family val="2"/>
            <scheme val="minor"/>
          </rPr>
          <t>NMVOC emissions are estimated in the Air Pollutant Emission Inventory (see NIR Annex 7).</t>
        </r>
      </text>
    </comment>
    <comment ref="G57" authorId="0" shapeId="0" xr:uid="{00000000-0006-0000-2000-000015000000}">
      <text>
        <r>
          <rPr>
            <sz val="11"/>
            <color theme="1"/>
            <rFont val="Calibri"/>
            <family val="2"/>
            <scheme val="minor"/>
          </rPr>
          <t>NMVOC emissions are estimated in the Air Pollutant Emission Inventory (see NIR Annex 7).</t>
        </r>
      </text>
    </comment>
    <comment ref="G58" authorId="0" shapeId="0" xr:uid="{00000000-0006-0000-2000-000016000000}">
      <text>
        <r>
          <rPr>
            <sz val="11"/>
            <color theme="1"/>
            <rFont val="Calibri"/>
            <family val="2"/>
            <scheme val="minor"/>
          </rPr>
          <t>NMVOC emissions are estimated in the Air Pollutant Emission Inventory (see NIR Annex 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3" authorId="0" shapeId="0" xr:uid="{00000000-0006-0000-2300-000001000000}">
      <text>
        <r>
          <rPr>
            <sz val="11"/>
            <color theme="1"/>
            <rFont val="Calibri"/>
            <family val="2"/>
            <scheme val="minor"/>
          </rPr>
          <t>For Canada, this value represents the fraction of livestock N excretion that volatilizes as NH3 and Nox-N during manure storage, handling and application to agricultural soils.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2400-000001000000}">
      <text>
        <r>
          <rPr>
            <sz val="11"/>
            <color theme="1"/>
            <rFont val="Calibri"/>
            <family val="2"/>
            <scheme val="minor"/>
          </rPr>
          <t>NOx emissions are inventoried in Annex 7 of the NIR.</t>
        </r>
      </text>
    </comment>
    <comment ref="F9" authorId="0" shapeId="0" xr:uid="{00000000-0006-0000-2400-000002000000}">
      <text>
        <r>
          <rPr>
            <sz val="11"/>
            <color theme="1"/>
            <rFont val="Calibri"/>
            <family val="2"/>
            <scheme val="minor"/>
          </rPr>
          <t>CO emissions are inventoried in Annex 7 of the NIR.</t>
        </r>
      </text>
    </comment>
    <comment ref="G9" authorId="0" shapeId="0" xr:uid="{00000000-0006-0000-2400-000003000000}">
      <text>
        <r>
          <rPr>
            <sz val="11"/>
            <color theme="1"/>
            <rFont val="Calibri"/>
            <family val="2"/>
            <scheme val="minor"/>
          </rPr>
          <t>NMVOC emissions are inventoried in Annex 7 of the NIR.</t>
        </r>
      </text>
    </comment>
    <comment ref="E10" authorId="0" shapeId="0" xr:uid="{00000000-0006-0000-2400-000004000000}">
      <text>
        <r>
          <rPr>
            <sz val="11"/>
            <color theme="1"/>
            <rFont val="Calibri"/>
            <family val="2"/>
            <scheme val="minor"/>
          </rPr>
          <t>NOx emissions are inventoried in Annex 7 of the NIR.</t>
        </r>
      </text>
    </comment>
    <comment ref="F10" authorId="0" shapeId="0" xr:uid="{00000000-0006-0000-2400-000005000000}">
      <text>
        <r>
          <rPr>
            <sz val="11"/>
            <color theme="1"/>
            <rFont val="Calibri"/>
            <family val="2"/>
            <scheme val="minor"/>
          </rPr>
          <t>CO emissions are inventoried in Annex 7 of the NIR.</t>
        </r>
      </text>
    </comment>
    <comment ref="G10" authorId="0" shapeId="0" xr:uid="{00000000-0006-0000-2400-000006000000}">
      <text>
        <r>
          <rPr>
            <sz val="11"/>
            <color theme="1"/>
            <rFont val="Calibri"/>
            <family val="2"/>
            <scheme val="minor"/>
          </rPr>
          <t>NMVOC emissions are inventoried in Annex 7 of the NIR.</t>
        </r>
      </text>
    </comment>
    <comment ref="E13" authorId="0" shapeId="0" xr:uid="{00000000-0006-0000-2400-000007000000}">
      <text>
        <r>
          <rPr>
            <sz val="11"/>
            <color theme="1"/>
            <rFont val="Calibri"/>
            <family val="2"/>
            <scheme val="minor"/>
          </rPr>
          <t>NOx emissions are inventoried in Annex 7 of the NIR.</t>
        </r>
      </text>
    </comment>
    <comment ref="F13" authorId="0" shapeId="0" xr:uid="{00000000-0006-0000-2400-000008000000}">
      <text>
        <r>
          <rPr>
            <sz val="11"/>
            <color theme="1"/>
            <rFont val="Calibri"/>
            <family val="2"/>
            <scheme val="minor"/>
          </rPr>
          <t>CO emissions are inventoried in Annex 7 of the NIR.</t>
        </r>
      </text>
    </comment>
    <comment ref="G13" authorId="0" shapeId="0" xr:uid="{00000000-0006-0000-2400-000009000000}">
      <text>
        <r>
          <rPr>
            <sz val="11"/>
            <color theme="1"/>
            <rFont val="Calibri"/>
            <family val="2"/>
            <scheme val="minor"/>
          </rPr>
          <t>NMVOC emissions are inventoried in Annex 7 of the NIR.</t>
        </r>
      </text>
    </comment>
    <comment ref="E16" authorId="0" shapeId="0" xr:uid="{00000000-0006-0000-2400-00000A000000}">
      <text>
        <r>
          <rPr>
            <sz val="11"/>
            <color theme="1"/>
            <rFont val="Calibri"/>
            <family val="2"/>
            <scheme val="minor"/>
          </rPr>
          <t>NOx emissions are inventoried in Annex 7 of the NIR.</t>
        </r>
      </text>
    </comment>
    <comment ref="F16" authorId="0" shapeId="0" xr:uid="{00000000-0006-0000-2400-00000B000000}">
      <text>
        <r>
          <rPr>
            <sz val="11"/>
            <color theme="1"/>
            <rFont val="Calibri"/>
            <family val="2"/>
            <scheme val="minor"/>
          </rPr>
          <t>CO emissions are inventoried in Annex 7 of the NIR.</t>
        </r>
      </text>
    </comment>
    <comment ref="G16" authorId="0" shapeId="0" xr:uid="{00000000-0006-0000-2400-00000C000000}">
      <text>
        <r>
          <rPr>
            <sz val="11"/>
            <color theme="1"/>
            <rFont val="Calibri"/>
            <family val="2"/>
            <scheme val="minor"/>
          </rPr>
          <t>NMVOC emissions are inventoried in Annex 7 of the NIR.</t>
        </r>
      </text>
    </comment>
    <comment ref="H16" authorId="0" shapeId="0" xr:uid="{00000000-0006-0000-2400-00000D000000}">
      <text>
        <r>
          <rPr>
            <sz val="11"/>
            <color theme="1"/>
            <rFont val="Calibri"/>
            <family val="2"/>
            <scheme val="minor"/>
          </rPr>
          <t>SO2 emissions are inventoried in Annex 7 of the NIR.</t>
        </r>
      </text>
    </comment>
    <comment ref="E17" authorId="0" shapeId="0" xr:uid="{00000000-0006-0000-2400-00000E000000}">
      <text>
        <r>
          <rPr>
            <sz val="11"/>
            <color theme="1"/>
            <rFont val="Calibri"/>
            <family val="2"/>
            <scheme val="minor"/>
          </rPr>
          <t>NOx emissions are inventoried in Annex 7 of the NIR.</t>
        </r>
      </text>
    </comment>
    <comment ref="F17" authorId="0" shapeId="0" xr:uid="{00000000-0006-0000-2400-00000F000000}">
      <text>
        <r>
          <rPr>
            <sz val="11"/>
            <color theme="1"/>
            <rFont val="Calibri"/>
            <family val="2"/>
            <scheme val="minor"/>
          </rPr>
          <t>CO emissions are inventoried in Annex 7 of the NIR.</t>
        </r>
      </text>
    </comment>
    <comment ref="G17" authorId="0" shapeId="0" xr:uid="{00000000-0006-0000-2400-000010000000}">
      <text>
        <r>
          <rPr>
            <sz val="11"/>
            <color theme="1"/>
            <rFont val="Calibri"/>
            <family val="2"/>
            <scheme val="minor"/>
          </rPr>
          <t>NMVOC emissions are inventoried in Annex 7 of the NIR.</t>
        </r>
      </text>
    </comment>
    <comment ref="H17" authorId="0" shapeId="0" xr:uid="{00000000-0006-0000-2400-000011000000}">
      <text>
        <r>
          <rPr>
            <sz val="11"/>
            <color theme="1"/>
            <rFont val="Calibri"/>
            <family val="2"/>
            <scheme val="minor"/>
          </rPr>
          <t>SO2 emissions are inventoried in Annex 7 of the NIR.</t>
        </r>
      </text>
    </comment>
    <comment ref="E19" authorId="0" shapeId="0" xr:uid="{00000000-0006-0000-2400-000012000000}">
      <text>
        <r>
          <rPr>
            <sz val="11"/>
            <color theme="1"/>
            <rFont val="Calibri"/>
            <family val="2"/>
            <scheme val="minor"/>
          </rPr>
          <t>NOx emissions are inventoried in Annex 7 of the NIR.</t>
        </r>
      </text>
    </comment>
    <comment ref="F19" authorId="0" shapeId="0" xr:uid="{00000000-0006-0000-2400-000013000000}">
      <text>
        <r>
          <rPr>
            <sz val="11"/>
            <color theme="1"/>
            <rFont val="Calibri"/>
            <family val="2"/>
            <scheme val="minor"/>
          </rPr>
          <t>CO emissions are inventoried in Annex 7 of the NIR.</t>
        </r>
      </text>
    </comment>
    <comment ref="G19" authorId="0" shapeId="0" xr:uid="{00000000-0006-0000-2400-000014000000}">
      <text>
        <r>
          <rPr>
            <sz val="11"/>
            <color theme="1"/>
            <rFont val="Calibri"/>
            <family val="2"/>
            <scheme val="minor"/>
          </rPr>
          <t>NMVOC emissions are inventoried in Annex 7 of the NIR.</t>
        </r>
      </text>
    </comment>
    <comment ref="E20" authorId="0" shapeId="0" xr:uid="{00000000-0006-0000-2400-000015000000}">
      <text>
        <r>
          <rPr>
            <sz val="11"/>
            <color theme="1"/>
            <rFont val="Calibri"/>
            <family val="2"/>
            <scheme val="minor"/>
          </rPr>
          <t>NOx emissions are inventoried in Annex 7 of the NIR.</t>
        </r>
      </text>
    </comment>
    <comment ref="F20" authorId="0" shapeId="0" xr:uid="{00000000-0006-0000-2400-000016000000}">
      <text>
        <r>
          <rPr>
            <sz val="11"/>
            <color theme="1"/>
            <rFont val="Calibri"/>
            <family val="2"/>
            <scheme val="minor"/>
          </rPr>
          <t>CO emissions are inventoried in Annex 7 of the NIR.</t>
        </r>
      </text>
    </comment>
    <comment ref="E36" authorId="0" shapeId="0" xr:uid="{00000000-0006-0000-2400-000017000000}">
      <text>
        <r>
          <rPr>
            <sz val="11"/>
            <color theme="1"/>
            <rFont val="Calibri"/>
            <family val="2"/>
            <scheme val="minor"/>
          </rPr>
          <t>NOx emissions are inventoried in Annex 7 of the NIR.</t>
        </r>
      </text>
    </comment>
    <comment ref="F36" authorId="0" shapeId="0" xr:uid="{00000000-0006-0000-2400-000018000000}">
      <text>
        <r>
          <rPr>
            <sz val="11"/>
            <color theme="1"/>
            <rFont val="Calibri"/>
            <family val="2"/>
            <scheme val="minor"/>
          </rPr>
          <t>CO emissions are inventoried in Annex 7 of the NIR.</t>
        </r>
      </text>
    </comment>
    <comment ref="G36" authorId="0" shapeId="0" xr:uid="{00000000-0006-0000-2400-000019000000}">
      <text>
        <r>
          <rPr>
            <sz val="11"/>
            <color theme="1"/>
            <rFont val="Calibri"/>
            <family val="2"/>
            <scheme val="minor"/>
          </rPr>
          <t>NMVOC emissions are inventoried in Annex 7 of the NIR.</t>
        </r>
      </text>
    </comment>
    <comment ref="E37" authorId="0" shapeId="0" xr:uid="{00000000-0006-0000-2400-00001A000000}">
      <text>
        <r>
          <rPr>
            <sz val="11"/>
            <color theme="1"/>
            <rFont val="Calibri"/>
            <family val="2"/>
            <scheme val="minor"/>
          </rPr>
          <t>NOx emissions are inventoried in Annex 7 of the NIR.</t>
        </r>
      </text>
    </comment>
    <comment ref="F37" authorId="0" shapeId="0" xr:uid="{00000000-0006-0000-2400-00001B000000}">
      <text>
        <r>
          <rPr>
            <sz val="11"/>
            <color theme="1"/>
            <rFont val="Calibri"/>
            <family val="2"/>
            <scheme val="minor"/>
          </rPr>
          <t>CO emissions are inventoried in Annex 7 of the NIR.</t>
        </r>
      </text>
    </comment>
    <comment ref="G37" authorId="0" shapeId="0" xr:uid="{00000000-0006-0000-2400-00001C000000}">
      <text>
        <r>
          <rPr>
            <sz val="11"/>
            <color theme="1"/>
            <rFont val="Calibri"/>
            <family val="2"/>
            <scheme val="minor"/>
          </rPr>
          <t>NMVOC emissions are inventoried in Annex 7 of the NIR.</t>
        </r>
      </text>
    </comment>
    <comment ref="E40" authorId="0" shapeId="0" xr:uid="{00000000-0006-0000-2400-00001D000000}">
      <text>
        <r>
          <rPr>
            <sz val="11"/>
            <color theme="1"/>
            <rFont val="Calibri"/>
            <family val="2"/>
            <scheme val="minor"/>
          </rPr>
          <t>NOx emissions are inventoried in Annex 7 of the NIR.</t>
        </r>
      </text>
    </comment>
    <comment ref="F40" authorId="0" shapeId="0" xr:uid="{00000000-0006-0000-2400-00001E000000}">
      <text>
        <r>
          <rPr>
            <sz val="11"/>
            <color theme="1"/>
            <rFont val="Calibri"/>
            <family val="2"/>
            <scheme val="minor"/>
          </rPr>
          <t>CO emissions are inventoried in Annex 7 of the NIR.</t>
        </r>
      </text>
    </comment>
    <comment ref="G40" authorId="0" shapeId="0" xr:uid="{00000000-0006-0000-2400-00001F000000}">
      <text>
        <r>
          <rPr>
            <sz val="11"/>
            <color theme="1"/>
            <rFont val="Calibri"/>
            <family val="2"/>
            <scheme val="minor"/>
          </rPr>
          <t>NMVOC emissions are inventoried in Annex 7 of the NIR.</t>
        </r>
      </text>
    </comment>
    <comment ref="E43" authorId="0" shapeId="0" xr:uid="{00000000-0006-0000-2400-000020000000}">
      <text>
        <r>
          <rPr>
            <sz val="11"/>
            <color theme="1"/>
            <rFont val="Calibri"/>
            <family val="2"/>
            <scheme val="minor"/>
          </rPr>
          <t>NOx emissions are inventoried in Annex 7 of the NIR.</t>
        </r>
      </text>
    </comment>
    <comment ref="F43" authorId="0" shapeId="0" xr:uid="{00000000-0006-0000-2400-000021000000}">
      <text>
        <r>
          <rPr>
            <sz val="11"/>
            <color theme="1"/>
            <rFont val="Calibri"/>
            <family val="2"/>
            <scheme val="minor"/>
          </rPr>
          <t>CO emissions are inventoried in Annex 7 of the NIR.</t>
        </r>
      </text>
    </comment>
    <comment ref="G43" authorId="0" shapeId="0" xr:uid="{00000000-0006-0000-2400-000022000000}">
      <text>
        <r>
          <rPr>
            <sz val="11"/>
            <color theme="1"/>
            <rFont val="Calibri"/>
            <family val="2"/>
            <scheme val="minor"/>
          </rPr>
          <t>NMVOC emissions are inventoried in Annex 7 of the NIR.</t>
        </r>
      </text>
    </comment>
    <comment ref="H43" authorId="0" shapeId="0" xr:uid="{00000000-0006-0000-2400-000023000000}">
      <text>
        <r>
          <rPr>
            <sz val="11"/>
            <color theme="1"/>
            <rFont val="Calibri"/>
            <family val="2"/>
            <scheme val="minor"/>
          </rPr>
          <t>SO2 emissions are inventoried in Annex 7 of the NIR.</t>
        </r>
      </text>
    </comment>
    <comment ref="E44" authorId="0" shapeId="0" xr:uid="{00000000-0006-0000-2400-000024000000}">
      <text>
        <r>
          <rPr>
            <sz val="11"/>
            <color theme="1"/>
            <rFont val="Calibri"/>
            <family val="2"/>
            <scheme val="minor"/>
          </rPr>
          <t>NOx emissions are inventoried in Annex 7 of the NIR.</t>
        </r>
      </text>
    </comment>
    <comment ref="F44" authorId="0" shapeId="0" xr:uid="{00000000-0006-0000-2400-000025000000}">
      <text>
        <r>
          <rPr>
            <sz val="11"/>
            <color theme="1"/>
            <rFont val="Calibri"/>
            <family val="2"/>
            <scheme val="minor"/>
          </rPr>
          <t>CO emissions are inventoried in Annex 7 of the NIR.</t>
        </r>
      </text>
    </comment>
    <comment ref="G44" authorId="0" shapeId="0" xr:uid="{00000000-0006-0000-2400-000026000000}">
      <text>
        <r>
          <rPr>
            <sz val="11"/>
            <color theme="1"/>
            <rFont val="Calibri"/>
            <family val="2"/>
            <scheme val="minor"/>
          </rPr>
          <t>NMVOC emissions are inventoried in Annex 7 of the NIR.</t>
        </r>
      </text>
    </comment>
    <comment ref="H44" authorId="0" shapeId="0" xr:uid="{00000000-0006-0000-2400-000027000000}">
      <text>
        <r>
          <rPr>
            <sz val="11"/>
            <color theme="1"/>
            <rFont val="Calibri"/>
            <family val="2"/>
            <scheme val="minor"/>
          </rPr>
          <t>SO2 emissions are inventoried in Annex 7 of the NIR.</t>
        </r>
      </text>
    </comment>
    <comment ref="E46" authorId="0" shapeId="0" xr:uid="{00000000-0006-0000-2400-000028000000}">
      <text>
        <r>
          <rPr>
            <sz val="11"/>
            <color theme="1"/>
            <rFont val="Calibri"/>
            <family val="2"/>
            <scheme val="minor"/>
          </rPr>
          <t>NOx emissions are inventoried in Annex 7 of the NIR.</t>
        </r>
      </text>
    </comment>
    <comment ref="F46" authorId="0" shapeId="0" xr:uid="{00000000-0006-0000-2400-000029000000}">
      <text>
        <r>
          <rPr>
            <sz val="11"/>
            <color theme="1"/>
            <rFont val="Calibri"/>
            <family val="2"/>
            <scheme val="minor"/>
          </rPr>
          <t>CO emissions are inventoried in Annex 7 of the NIR.</t>
        </r>
      </text>
    </comment>
    <comment ref="G46" authorId="0" shapeId="0" xr:uid="{00000000-0006-0000-2400-00002A000000}">
      <text>
        <r>
          <rPr>
            <sz val="11"/>
            <color theme="1"/>
            <rFont val="Calibri"/>
            <family val="2"/>
            <scheme val="minor"/>
          </rPr>
          <t>NMVOC emissions are inventoried in Annex 7 of the NIR.</t>
        </r>
      </text>
    </comment>
    <comment ref="E47" authorId="0" shapeId="0" xr:uid="{00000000-0006-0000-2400-00002B000000}">
      <text>
        <r>
          <rPr>
            <sz val="11"/>
            <color theme="1"/>
            <rFont val="Calibri"/>
            <family val="2"/>
            <scheme val="minor"/>
          </rPr>
          <t>NOx emissions are inventoried in Annex 7 of the NIR.</t>
        </r>
      </text>
    </comment>
    <comment ref="F47" authorId="0" shapeId="0" xr:uid="{00000000-0006-0000-2400-00002C000000}">
      <text>
        <r>
          <rPr>
            <sz val="11"/>
            <color theme="1"/>
            <rFont val="Calibri"/>
            <family val="2"/>
            <scheme val="minor"/>
          </rPr>
          <t>CO emissions are inventoried in Annex 7 of the NIR.</t>
        </r>
      </text>
    </comment>
    <comment ref="E63" authorId="0" shapeId="0" xr:uid="{00000000-0006-0000-2400-00002D000000}">
      <text>
        <r>
          <rPr>
            <sz val="11"/>
            <color theme="1"/>
            <rFont val="Calibri"/>
            <family val="2"/>
            <scheme val="minor"/>
          </rPr>
          <t>NOx emissions are inventoried in Annex 7 of the NIR.</t>
        </r>
      </text>
    </comment>
    <comment ref="F63" authorId="0" shapeId="0" xr:uid="{00000000-0006-0000-2400-00002E000000}">
      <text>
        <r>
          <rPr>
            <sz val="11"/>
            <color theme="1"/>
            <rFont val="Calibri"/>
            <family val="2"/>
            <scheme val="minor"/>
          </rPr>
          <t>CO emissions are inventoried in Annex 7 of the NIR.</t>
        </r>
      </text>
    </comment>
    <comment ref="G63" authorId="0" shapeId="0" xr:uid="{00000000-0006-0000-2400-00002F000000}">
      <text>
        <r>
          <rPr>
            <sz val="11"/>
            <color theme="1"/>
            <rFont val="Calibri"/>
            <family val="2"/>
            <scheme val="minor"/>
          </rPr>
          <t>NMVOC emissions are inventoried in Annex 7 of the NIR.</t>
        </r>
      </text>
    </comment>
    <comment ref="E64" authorId="0" shapeId="0" xr:uid="{00000000-0006-0000-2400-000030000000}">
      <text>
        <r>
          <rPr>
            <sz val="11"/>
            <color theme="1"/>
            <rFont val="Calibri"/>
            <family val="2"/>
            <scheme val="minor"/>
          </rPr>
          <t>NOx emissions are inventoried in Annex 7 of the NIR.</t>
        </r>
      </text>
    </comment>
    <comment ref="F64" authorId="0" shapeId="0" xr:uid="{00000000-0006-0000-2400-000031000000}">
      <text>
        <r>
          <rPr>
            <sz val="11"/>
            <color theme="1"/>
            <rFont val="Calibri"/>
            <family val="2"/>
            <scheme val="minor"/>
          </rPr>
          <t>CO emissions are inventoried in Annex 7 of the NIR.</t>
        </r>
      </text>
    </comment>
    <comment ref="G64" authorId="0" shapeId="0" xr:uid="{00000000-0006-0000-2400-000032000000}">
      <text>
        <r>
          <rPr>
            <sz val="11"/>
            <color theme="1"/>
            <rFont val="Calibri"/>
            <family val="2"/>
            <scheme val="minor"/>
          </rPr>
          <t>NMVOC emissions are inventoried in Annex 7 of the NIR.</t>
        </r>
      </text>
    </comment>
    <comment ref="E67" authorId="0" shapeId="0" xr:uid="{00000000-0006-0000-2400-000033000000}">
      <text>
        <r>
          <rPr>
            <sz val="11"/>
            <color theme="1"/>
            <rFont val="Calibri"/>
            <family val="2"/>
            <scheme val="minor"/>
          </rPr>
          <t>NOx emissions are inventoried in Annex 7 of the NIR.</t>
        </r>
      </text>
    </comment>
    <comment ref="F67" authorId="0" shapeId="0" xr:uid="{00000000-0006-0000-2400-000034000000}">
      <text>
        <r>
          <rPr>
            <sz val="11"/>
            <color theme="1"/>
            <rFont val="Calibri"/>
            <family val="2"/>
            <scheme val="minor"/>
          </rPr>
          <t>CO emissions are inventoried in Annex 7 of the NIR.</t>
        </r>
      </text>
    </comment>
    <comment ref="G67" authorId="0" shapeId="0" xr:uid="{00000000-0006-0000-2400-000035000000}">
      <text>
        <r>
          <rPr>
            <sz val="11"/>
            <color theme="1"/>
            <rFont val="Calibri"/>
            <family val="2"/>
            <scheme val="minor"/>
          </rPr>
          <t>NMVOC emissions are inventoried in Annex 7 of the NIR.</t>
        </r>
      </text>
    </comment>
    <comment ref="E70" authorId="0" shapeId="0" xr:uid="{00000000-0006-0000-2400-000036000000}">
      <text>
        <r>
          <rPr>
            <sz val="11"/>
            <color theme="1"/>
            <rFont val="Calibri"/>
            <family val="2"/>
            <scheme val="minor"/>
          </rPr>
          <t>NOx emissions are inventoried in Annex 7 of the NIR.</t>
        </r>
      </text>
    </comment>
    <comment ref="F70" authorId="0" shapeId="0" xr:uid="{00000000-0006-0000-2400-000037000000}">
      <text>
        <r>
          <rPr>
            <sz val="11"/>
            <color theme="1"/>
            <rFont val="Calibri"/>
            <family val="2"/>
            <scheme val="minor"/>
          </rPr>
          <t>CO emissions are inventoried in Annex 7 of the NIR.</t>
        </r>
      </text>
    </comment>
    <comment ref="G70" authorId="0" shapeId="0" xr:uid="{00000000-0006-0000-2400-000038000000}">
      <text>
        <r>
          <rPr>
            <sz val="11"/>
            <color theme="1"/>
            <rFont val="Calibri"/>
            <family val="2"/>
            <scheme val="minor"/>
          </rPr>
          <t>NMVOC emissions are inventoried in Annex 7 of the NIR.</t>
        </r>
      </text>
    </comment>
    <comment ref="H70" authorId="0" shapeId="0" xr:uid="{00000000-0006-0000-2400-000039000000}">
      <text>
        <r>
          <rPr>
            <sz val="11"/>
            <color theme="1"/>
            <rFont val="Calibri"/>
            <family val="2"/>
            <scheme val="minor"/>
          </rPr>
          <t>SO2 emissions are inventoried in Annex 7 of the NIR.</t>
        </r>
      </text>
    </comment>
    <comment ref="E71" authorId="0" shapeId="0" xr:uid="{00000000-0006-0000-2400-00003A000000}">
      <text>
        <r>
          <rPr>
            <sz val="11"/>
            <color theme="1"/>
            <rFont val="Calibri"/>
            <family val="2"/>
            <scheme val="minor"/>
          </rPr>
          <t>NOx emissions are inventoried in Annex 7 of the NIR.</t>
        </r>
      </text>
    </comment>
    <comment ref="F71" authorId="0" shapeId="0" xr:uid="{00000000-0006-0000-2400-00003B000000}">
      <text>
        <r>
          <rPr>
            <sz val="11"/>
            <color theme="1"/>
            <rFont val="Calibri"/>
            <family val="2"/>
            <scheme val="minor"/>
          </rPr>
          <t>CO emissions are inventoried in Annex 7 of the NIR.</t>
        </r>
      </text>
    </comment>
    <comment ref="G71" authorId="0" shapeId="0" xr:uid="{00000000-0006-0000-2400-00003C000000}">
      <text>
        <r>
          <rPr>
            <sz val="11"/>
            <color theme="1"/>
            <rFont val="Calibri"/>
            <family val="2"/>
            <scheme val="minor"/>
          </rPr>
          <t>NMVOC emissions are inventoried in Annex 7 of the NIR.</t>
        </r>
      </text>
    </comment>
    <comment ref="H71" authorId="0" shapeId="0" xr:uid="{00000000-0006-0000-2400-00003D000000}">
      <text>
        <r>
          <rPr>
            <sz val="11"/>
            <color theme="1"/>
            <rFont val="Calibri"/>
            <family val="2"/>
            <scheme val="minor"/>
          </rPr>
          <t>SO2 emissions are inventoried in Annex 7 of the NIR.</t>
        </r>
      </text>
    </comment>
    <comment ref="E73" authorId="0" shapeId="0" xr:uid="{00000000-0006-0000-2400-00003E000000}">
      <text>
        <r>
          <rPr>
            <sz val="11"/>
            <color theme="1"/>
            <rFont val="Calibri"/>
            <family val="2"/>
            <scheme val="minor"/>
          </rPr>
          <t>NOx emissions are inventoried in Annex 7 of the NIR.</t>
        </r>
      </text>
    </comment>
    <comment ref="F73" authorId="0" shapeId="0" xr:uid="{00000000-0006-0000-2400-00003F000000}">
      <text>
        <r>
          <rPr>
            <sz val="11"/>
            <color theme="1"/>
            <rFont val="Calibri"/>
            <family val="2"/>
            <scheme val="minor"/>
          </rPr>
          <t>CO emissions are inventoried in Annex 7 of the NIR.</t>
        </r>
      </text>
    </comment>
    <comment ref="G73" authorId="0" shapeId="0" xr:uid="{00000000-0006-0000-2400-000040000000}">
      <text>
        <r>
          <rPr>
            <sz val="11"/>
            <color theme="1"/>
            <rFont val="Calibri"/>
            <family val="2"/>
            <scheme val="minor"/>
          </rPr>
          <t>NMVOC emissions are inventoried in Annex 7 of the NIR.</t>
        </r>
      </text>
    </comment>
    <comment ref="E74" authorId="0" shapeId="0" xr:uid="{00000000-0006-0000-2400-000041000000}">
      <text>
        <r>
          <rPr>
            <sz val="11"/>
            <color theme="1"/>
            <rFont val="Calibri"/>
            <family val="2"/>
            <scheme val="minor"/>
          </rPr>
          <t>NOx emissions are inventoried in Annex 7 of the NIR.</t>
        </r>
      </text>
    </comment>
    <comment ref="F74" authorId="0" shapeId="0" xr:uid="{00000000-0006-0000-2400-000042000000}">
      <text>
        <r>
          <rPr>
            <sz val="11"/>
            <color theme="1"/>
            <rFont val="Calibri"/>
            <family val="2"/>
            <scheme val="minor"/>
          </rPr>
          <t>CO emissions are inventoried in Annex 7 of the NIR.</t>
        </r>
      </text>
    </comment>
    <comment ref="E90" authorId="0" shapeId="0" xr:uid="{00000000-0006-0000-2400-000043000000}">
      <text>
        <r>
          <rPr>
            <sz val="11"/>
            <color theme="1"/>
            <rFont val="Calibri"/>
            <family val="2"/>
            <scheme val="minor"/>
          </rPr>
          <t>NOx emissions are inventoried in Annex 7 of the NIR.</t>
        </r>
      </text>
    </comment>
    <comment ref="F90" authorId="0" shapeId="0" xr:uid="{00000000-0006-0000-2400-000044000000}">
      <text>
        <r>
          <rPr>
            <sz val="11"/>
            <color theme="1"/>
            <rFont val="Calibri"/>
            <family val="2"/>
            <scheme val="minor"/>
          </rPr>
          <t>CO emissions are inventoried in Annex 7 of the NIR.</t>
        </r>
      </text>
    </comment>
    <comment ref="G90" authorId="0" shapeId="0" xr:uid="{00000000-0006-0000-2400-000045000000}">
      <text>
        <r>
          <rPr>
            <sz val="11"/>
            <color theme="1"/>
            <rFont val="Calibri"/>
            <family val="2"/>
            <scheme val="minor"/>
          </rPr>
          <t>NMVOC emissions are inventoried in Annex 7 of the NIR.</t>
        </r>
      </text>
    </comment>
    <comment ref="E91" authorId="0" shapeId="0" xr:uid="{00000000-0006-0000-2400-000046000000}">
      <text>
        <r>
          <rPr>
            <sz val="11"/>
            <color theme="1"/>
            <rFont val="Calibri"/>
            <family val="2"/>
            <scheme val="minor"/>
          </rPr>
          <t>NOx emissions are inventoried in Annex 7 of the NIR.</t>
        </r>
      </text>
    </comment>
    <comment ref="F91" authorId="0" shapeId="0" xr:uid="{00000000-0006-0000-2400-000047000000}">
      <text>
        <r>
          <rPr>
            <sz val="11"/>
            <color theme="1"/>
            <rFont val="Calibri"/>
            <family val="2"/>
            <scheme val="minor"/>
          </rPr>
          <t>CO emissions are inventoried in Annex 7 of the NIR.</t>
        </r>
      </text>
    </comment>
    <comment ref="G91" authorId="0" shapeId="0" xr:uid="{00000000-0006-0000-2400-000048000000}">
      <text>
        <r>
          <rPr>
            <sz val="11"/>
            <color theme="1"/>
            <rFont val="Calibri"/>
            <family val="2"/>
            <scheme val="minor"/>
          </rPr>
          <t>NMVOC emissions are inventoried in Annex 7 of the NIR.</t>
        </r>
      </text>
    </comment>
    <comment ref="E94" authorId="0" shapeId="0" xr:uid="{00000000-0006-0000-2400-000049000000}">
      <text>
        <r>
          <rPr>
            <sz val="11"/>
            <color theme="1"/>
            <rFont val="Calibri"/>
            <family val="2"/>
            <scheme val="minor"/>
          </rPr>
          <t>NOx emissions are inventoried in Annex 7 of the NIR.</t>
        </r>
      </text>
    </comment>
    <comment ref="F94" authorId="0" shapeId="0" xr:uid="{00000000-0006-0000-2400-00004A000000}">
      <text>
        <r>
          <rPr>
            <sz val="11"/>
            <color theme="1"/>
            <rFont val="Calibri"/>
            <family val="2"/>
            <scheme val="minor"/>
          </rPr>
          <t>CO emissions are inventoried in Annex 7 of the NIR.</t>
        </r>
      </text>
    </comment>
    <comment ref="G94" authorId="0" shapeId="0" xr:uid="{00000000-0006-0000-2400-00004B000000}">
      <text>
        <r>
          <rPr>
            <sz val="11"/>
            <color theme="1"/>
            <rFont val="Calibri"/>
            <family val="2"/>
            <scheme val="minor"/>
          </rPr>
          <t>NMVOC emissions are inventoried in Annex 7 of the NIR.</t>
        </r>
      </text>
    </comment>
    <comment ref="E97" authorId="0" shapeId="0" xr:uid="{00000000-0006-0000-2400-00004C000000}">
      <text>
        <r>
          <rPr>
            <sz val="11"/>
            <color theme="1"/>
            <rFont val="Calibri"/>
            <family val="2"/>
            <scheme val="minor"/>
          </rPr>
          <t>NOx emissions are inventoried in Annex 7 of the NIR.</t>
        </r>
      </text>
    </comment>
    <comment ref="F97" authorId="0" shapeId="0" xr:uid="{00000000-0006-0000-2400-00004D000000}">
      <text>
        <r>
          <rPr>
            <sz val="11"/>
            <color theme="1"/>
            <rFont val="Calibri"/>
            <family val="2"/>
            <scheme val="minor"/>
          </rPr>
          <t>CO emissions are inventoried in Annex 7 of the NIR.</t>
        </r>
      </text>
    </comment>
    <comment ref="G97" authorId="0" shapeId="0" xr:uid="{00000000-0006-0000-2400-00004E000000}">
      <text>
        <r>
          <rPr>
            <sz val="11"/>
            <color theme="1"/>
            <rFont val="Calibri"/>
            <family val="2"/>
            <scheme val="minor"/>
          </rPr>
          <t>NMVOC emissions are inventoried in Annex 7 of the NIR.</t>
        </r>
      </text>
    </comment>
    <comment ref="H97" authorId="0" shapeId="0" xr:uid="{00000000-0006-0000-2400-00004F000000}">
      <text>
        <r>
          <rPr>
            <sz val="11"/>
            <color theme="1"/>
            <rFont val="Calibri"/>
            <family val="2"/>
            <scheme val="minor"/>
          </rPr>
          <t>SO2 emissions are inventoried in Annex 7 of the NIR.</t>
        </r>
      </text>
    </comment>
    <comment ref="E98" authorId="0" shapeId="0" xr:uid="{00000000-0006-0000-2400-000050000000}">
      <text>
        <r>
          <rPr>
            <sz val="11"/>
            <color theme="1"/>
            <rFont val="Calibri"/>
            <family val="2"/>
            <scheme val="minor"/>
          </rPr>
          <t>NOx emissions are inventoried in Annex 7 of the NIR.</t>
        </r>
      </text>
    </comment>
    <comment ref="F98" authorId="0" shapeId="0" xr:uid="{00000000-0006-0000-2400-000051000000}">
      <text>
        <r>
          <rPr>
            <sz val="11"/>
            <color theme="1"/>
            <rFont val="Calibri"/>
            <family val="2"/>
            <scheme val="minor"/>
          </rPr>
          <t>CO emissions are inventoried in Annex 7 of the NIR.</t>
        </r>
      </text>
    </comment>
    <comment ref="G98" authorId="0" shapeId="0" xr:uid="{00000000-0006-0000-2400-000052000000}">
      <text>
        <r>
          <rPr>
            <sz val="11"/>
            <color theme="1"/>
            <rFont val="Calibri"/>
            <family val="2"/>
            <scheme val="minor"/>
          </rPr>
          <t>NMVOC emissions are inventoried in Annex 7 of the NIR.</t>
        </r>
      </text>
    </comment>
    <comment ref="H98" authorId="0" shapeId="0" xr:uid="{00000000-0006-0000-2400-000053000000}">
      <text>
        <r>
          <rPr>
            <sz val="11"/>
            <color theme="1"/>
            <rFont val="Calibri"/>
            <family val="2"/>
            <scheme val="minor"/>
          </rPr>
          <t>SO2 emissions are inventoried in Annex 7 of the NIR.</t>
        </r>
      </text>
    </comment>
    <comment ref="E100" authorId="0" shapeId="0" xr:uid="{00000000-0006-0000-2400-000054000000}">
      <text>
        <r>
          <rPr>
            <sz val="11"/>
            <color theme="1"/>
            <rFont val="Calibri"/>
            <family val="2"/>
            <scheme val="minor"/>
          </rPr>
          <t>NOx emissions are inventoried in Annex 7 of the NIR.</t>
        </r>
      </text>
    </comment>
    <comment ref="F100" authorId="0" shapeId="0" xr:uid="{00000000-0006-0000-2400-000055000000}">
      <text>
        <r>
          <rPr>
            <sz val="11"/>
            <color theme="1"/>
            <rFont val="Calibri"/>
            <family val="2"/>
            <scheme val="minor"/>
          </rPr>
          <t>CO emissions are inventoried in Annex 7 of the NIR.</t>
        </r>
      </text>
    </comment>
    <comment ref="G100" authorId="0" shapeId="0" xr:uid="{00000000-0006-0000-2400-000056000000}">
      <text>
        <r>
          <rPr>
            <sz val="11"/>
            <color theme="1"/>
            <rFont val="Calibri"/>
            <family val="2"/>
            <scheme val="minor"/>
          </rPr>
          <t>NMVOC emissions are inventoried in Annex 7 of the NIR.</t>
        </r>
      </text>
    </comment>
    <comment ref="E101" authorId="0" shapeId="0" xr:uid="{00000000-0006-0000-2400-000057000000}">
      <text>
        <r>
          <rPr>
            <sz val="11"/>
            <color theme="1"/>
            <rFont val="Calibri"/>
            <family val="2"/>
            <scheme val="minor"/>
          </rPr>
          <t>NOx emissions are inventoried in Annex 7 of the NIR.</t>
        </r>
      </text>
    </comment>
    <comment ref="F101" authorId="0" shapeId="0" xr:uid="{00000000-0006-0000-2400-000058000000}">
      <text>
        <r>
          <rPr>
            <sz val="11"/>
            <color theme="1"/>
            <rFont val="Calibri"/>
            <family val="2"/>
            <scheme val="minor"/>
          </rPr>
          <t>CO emissions are inventoried in Annex 7 of the NIR.</t>
        </r>
      </text>
    </comment>
    <comment ref="E117" authorId="0" shapeId="0" xr:uid="{00000000-0006-0000-2400-000059000000}">
      <text>
        <r>
          <rPr>
            <sz val="11"/>
            <color theme="1"/>
            <rFont val="Calibri"/>
            <family val="2"/>
            <scheme val="minor"/>
          </rPr>
          <t>NOx emissions are inventoried in Annex 7 of the NIR.</t>
        </r>
      </text>
    </comment>
    <comment ref="F117" authorId="0" shapeId="0" xr:uid="{00000000-0006-0000-2400-00005A000000}">
      <text>
        <r>
          <rPr>
            <sz val="11"/>
            <color theme="1"/>
            <rFont val="Calibri"/>
            <family val="2"/>
            <scheme val="minor"/>
          </rPr>
          <t>CO emissions are inventoried in Annex 7 of the NIR.</t>
        </r>
      </text>
    </comment>
    <comment ref="G117" authorId="0" shapeId="0" xr:uid="{00000000-0006-0000-2400-00005B000000}">
      <text>
        <r>
          <rPr>
            <sz val="11"/>
            <color theme="1"/>
            <rFont val="Calibri"/>
            <family val="2"/>
            <scheme val="minor"/>
          </rPr>
          <t>NMVOC emissions are inventoried in Annex 7 of the NIR.</t>
        </r>
      </text>
    </comment>
    <comment ref="E118" authorId="0" shapeId="0" xr:uid="{00000000-0006-0000-2400-00005C000000}">
      <text>
        <r>
          <rPr>
            <sz val="11"/>
            <color theme="1"/>
            <rFont val="Calibri"/>
            <family val="2"/>
            <scheme val="minor"/>
          </rPr>
          <t>NOx emissions are inventoried in Annex 7 of the NIR.</t>
        </r>
      </text>
    </comment>
    <comment ref="F118" authorId="0" shapeId="0" xr:uid="{00000000-0006-0000-2400-00005D000000}">
      <text>
        <r>
          <rPr>
            <sz val="11"/>
            <color theme="1"/>
            <rFont val="Calibri"/>
            <family val="2"/>
            <scheme val="minor"/>
          </rPr>
          <t>CO emissions are inventoried in Annex 7 of the NIR.</t>
        </r>
      </text>
    </comment>
    <comment ref="G118" authorId="0" shapeId="0" xr:uid="{00000000-0006-0000-2400-00005E000000}">
      <text>
        <r>
          <rPr>
            <sz val="11"/>
            <color theme="1"/>
            <rFont val="Calibri"/>
            <family val="2"/>
            <scheme val="minor"/>
          </rPr>
          <t>NMVOC emissions are inventoried in Annex 7 of the NIR.</t>
        </r>
      </text>
    </comment>
    <comment ref="E121" authorId="0" shapeId="0" xr:uid="{00000000-0006-0000-2400-00005F000000}">
      <text>
        <r>
          <rPr>
            <sz val="11"/>
            <color theme="1"/>
            <rFont val="Calibri"/>
            <family val="2"/>
            <scheme val="minor"/>
          </rPr>
          <t>NOx emissions are inventoried in Annex 7 of the NIR.</t>
        </r>
      </text>
    </comment>
    <comment ref="F121" authorId="0" shapeId="0" xr:uid="{00000000-0006-0000-2400-000060000000}">
      <text>
        <r>
          <rPr>
            <sz val="11"/>
            <color theme="1"/>
            <rFont val="Calibri"/>
            <family val="2"/>
            <scheme val="minor"/>
          </rPr>
          <t>CO emissions are inventoried in Annex 7 of the NIR.</t>
        </r>
      </text>
    </comment>
    <comment ref="G121" authorId="0" shapeId="0" xr:uid="{00000000-0006-0000-2400-000061000000}">
      <text>
        <r>
          <rPr>
            <sz val="11"/>
            <color theme="1"/>
            <rFont val="Calibri"/>
            <family val="2"/>
            <scheme val="minor"/>
          </rPr>
          <t>NMVOC emissions are inventoried in Annex 7 of the NIR.</t>
        </r>
      </text>
    </comment>
    <comment ref="E124" authorId="0" shapeId="0" xr:uid="{00000000-0006-0000-2400-000062000000}">
      <text>
        <r>
          <rPr>
            <sz val="11"/>
            <color theme="1"/>
            <rFont val="Calibri"/>
            <family val="2"/>
            <scheme val="minor"/>
          </rPr>
          <t>NOx emissions are inventoried in Annex 7 of the NIR.</t>
        </r>
      </text>
    </comment>
    <comment ref="F124" authorId="0" shapeId="0" xr:uid="{00000000-0006-0000-2400-000063000000}">
      <text>
        <r>
          <rPr>
            <sz val="11"/>
            <color theme="1"/>
            <rFont val="Calibri"/>
            <family val="2"/>
            <scheme val="minor"/>
          </rPr>
          <t>CO emissions are inventoried in Annex 7 of the NIR.</t>
        </r>
      </text>
    </comment>
    <comment ref="G124" authorId="0" shapeId="0" xr:uid="{00000000-0006-0000-2400-000064000000}">
      <text>
        <r>
          <rPr>
            <sz val="11"/>
            <color theme="1"/>
            <rFont val="Calibri"/>
            <family val="2"/>
            <scheme val="minor"/>
          </rPr>
          <t>NMVOC emissions are inventoried in Annex 7 of the NIR.</t>
        </r>
      </text>
    </comment>
    <comment ref="H124" authorId="0" shapeId="0" xr:uid="{00000000-0006-0000-2400-000065000000}">
      <text>
        <r>
          <rPr>
            <sz val="11"/>
            <color theme="1"/>
            <rFont val="Calibri"/>
            <family val="2"/>
            <scheme val="minor"/>
          </rPr>
          <t>SO2 emissions are inventoried in Annex 7 of the NIR.</t>
        </r>
      </text>
    </comment>
    <comment ref="E125" authorId="0" shapeId="0" xr:uid="{00000000-0006-0000-2400-000066000000}">
      <text>
        <r>
          <rPr>
            <sz val="11"/>
            <color theme="1"/>
            <rFont val="Calibri"/>
            <family val="2"/>
            <scheme val="minor"/>
          </rPr>
          <t>NOx emissions are inventoried in Annex 7 of the NIR.</t>
        </r>
      </text>
    </comment>
    <comment ref="F125" authorId="0" shapeId="0" xr:uid="{00000000-0006-0000-2400-000067000000}">
      <text>
        <r>
          <rPr>
            <sz val="11"/>
            <color theme="1"/>
            <rFont val="Calibri"/>
            <family val="2"/>
            <scheme val="minor"/>
          </rPr>
          <t>CO emissions are inventoried in Annex 7 of the NIR.</t>
        </r>
      </text>
    </comment>
    <comment ref="G125" authorId="0" shapeId="0" xr:uid="{00000000-0006-0000-2400-000068000000}">
      <text>
        <r>
          <rPr>
            <sz val="11"/>
            <color theme="1"/>
            <rFont val="Calibri"/>
            <family val="2"/>
            <scheme val="minor"/>
          </rPr>
          <t>NMVOC emissions are inventoried in Annex 7 of the NIR.</t>
        </r>
      </text>
    </comment>
    <comment ref="H125" authorId="0" shapeId="0" xr:uid="{00000000-0006-0000-2400-000069000000}">
      <text>
        <r>
          <rPr>
            <sz val="11"/>
            <color theme="1"/>
            <rFont val="Calibri"/>
            <family val="2"/>
            <scheme val="minor"/>
          </rPr>
          <t>SO2 emissions are inventoried in Annex 7 of the NIR.</t>
        </r>
      </text>
    </comment>
    <comment ref="E127" authorId="0" shapeId="0" xr:uid="{00000000-0006-0000-2400-00006A000000}">
      <text>
        <r>
          <rPr>
            <sz val="11"/>
            <color theme="1"/>
            <rFont val="Calibri"/>
            <family val="2"/>
            <scheme val="minor"/>
          </rPr>
          <t>NOx emissions are inventoried in Annex 7 of the NIR.</t>
        </r>
      </text>
    </comment>
    <comment ref="F127" authorId="0" shapeId="0" xr:uid="{00000000-0006-0000-2400-00006B000000}">
      <text>
        <r>
          <rPr>
            <sz val="11"/>
            <color theme="1"/>
            <rFont val="Calibri"/>
            <family val="2"/>
            <scheme val="minor"/>
          </rPr>
          <t>CO emissions are inventoried in Annex 7 of the NIR.</t>
        </r>
      </text>
    </comment>
    <comment ref="G127" authorId="0" shapeId="0" xr:uid="{00000000-0006-0000-2400-00006C000000}">
      <text>
        <r>
          <rPr>
            <sz val="11"/>
            <color theme="1"/>
            <rFont val="Calibri"/>
            <family val="2"/>
            <scheme val="minor"/>
          </rPr>
          <t>NMVOC emissions are inventoried in Annex 7 of the NIR.</t>
        </r>
      </text>
    </comment>
    <comment ref="E128" authorId="0" shapeId="0" xr:uid="{00000000-0006-0000-2400-00006D000000}">
      <text>
        <r>
          <rPr>
            <sz val="11"/>
            <color theme="1"/>
            <rFont val="Calibri"/>
            <family val="2"/>
            <scheme val="minor"/>
          </rPr>
          <t>NOx emissions are inventoried in Annex 7 of the NIR.</t>
        </r>
      </text>
    </comment>
    <comment ref="F128" authorId="0" shapeId="0" xr:uid="{00000000-0006-0000-2400-00006E000000}">
      <text>
        <r>
          <rPr>
            <sz val="11"/>
            <color theme="1"/>
            <rFont val="Calibri"/>
            <family val="2"/>
            <scheme val="minor"/>
          </rPr>
          <t>CO emissions are inventoried in Annex 7 of the NIR.</t>
        </r>
      </text>
    </comment>
  </commentList>
</comments>
</file>

<file path=xl/sharedStrings.xml><?xml version="1.0" encoding="utf-8"?>
<sst xmlns="http://schemas.openxmlformats.org/spreadsheetml/2006/main" count="7371" uniqueCount="1200">
  <si>
    <t>Future CO2 Emissions (MMT CO2)</t>
  </si>
  <si>
    <t/>
  </si>
  <si>
    <t>Iron and Steel</t>
  </si>
  <si>
    <t>Natural Gas and Petroleum Systems</t>
  </si>
  <si>
    <t>Chemicals</t>
  </si>
  <si>
    <t>Year</t>
  </si>
  <si>
    <t>Calculated Emissions Factors (kt CH4 emissions/kt coal production)</t>
  </si>
  <si>
    <t>2011-2015 Average</t>
  </si>
  <si>
    <t>CH4 Recovery from UM</t>
  </si>
  <si>
    <t>Calculated Methane Recovery Use Fraction</t>
  </si>
  <si>
    <t>Forecasted Production</t>
  </si>
  <si>
    <t>Output (Million tons)</t>
  </si>
  <si>
    <t>Forecasted Emissions</t>
  </si>
  <si>
    <t>Emissions (kt CH4)</t>
  </si>
  <si>
    <t>Sources:</t>
  </si>
  <si>
    <t>Source</t>
  </si>
  <si>
    <t>Source Category</t>
  </si>
  <si>
    <t>Energy</t>
  </si>
  <si>
    <t>Stationary Source Combustion</t>
  </si>
  <si>
    <t>Mobile Source Combustion</t>
  </si>
  <si>
    <t>Industrial Processes</t>
  </si>
  <si>
    <t>Magnesium Production and Processing</t>
  </si>
  <si>
    <t>HCFC-22 Production</t>
  </si>
  <si>
    <t>Subsitution of Ozone Depleting Substances</t>
  </si>
  <si>
    <t>Semiconductor Manufacturing</t>
  </si>
  <si>
    <t>Electrical Transmission and Distribution</t>
  </si>
  <si>
    <t>Agriculture</t>
  </si>
  <si>
    <t>Enteric Fermentation</t>
  </si>
  <si>
    <t>Manure Management</t>
  </si>
  <si>
    <t>Agricultural Soil Management</t>
  </si>
  <si>
    <t>Waste</t>
  </si>
  <si>
    <t>Landfills</t>
  </si>
  <si>
    <t>Model Category</t>
  </si>
  <si>
    <t>Mining</t>
  </si>
  <si>
    <t>Production</t>
  </si>
  <si>
    <t>Cement</t>
  </si>
  <si>
    <t>Other</t>
  </si>
  <si>
    <t>Refining</t>
  </si>
  <si>
    <t>Annual-Thousand Barrels</t>
  </si>
  <si>
    <t>Imports</t>
  </si>
  <si>
    <t>Total</t>
  </si>
  <si>
    <t>Emissions Factors Calculation</t>
  </si>
  <si>
    <t>Total (thousand barrels)</t>
  </si>
  <si>
    <t>Production - CH4</t>
  </si>
  <si>
    <t>Production - CO2</t>
  </si>
  <si>
    <t>Transportation (quantity not EF) - CH4</t>
  </si>
  <si>
    <t>Refining - CH4</t>
  </si>
  <si>
    <t>Refining CO2</t>
  </si>
  <si>
    <t>Emissions Projections</t>
  </si>
  <si>
    <t xml:space="preserve">     Crude Oil Production</t>
  </si>
  <si>
    <t xml:space="preserve">     Crude Oil Refining</t>
  </si>
  <si>
    <t>CH4 (kt)</t>
  </si>
  <si>
    <t>CO2 (MMT)</t>
  </si>
  <si>
    <t>CH4 (kt) - Production</t>
  </si>
  <si>
    <t>CH4 (kt) - Transportation</t>
  </si>
  <si>
    <t>CH4 (kt) - Refining</t>
  </si>
  <si>
    <t>CO2 (MMt) - Refining</t>
  </si>
  <si>
    <t>CO2 (MMt) - Production</t>
  </si>
  <si>
    <t>Pollutant &amp; Process</t>
  </si>
  <si>
    <t>Iron and Steel Production - CO2 (kt)</t>
  </si>
  <si>
    <t>Iron and Steel Production - CH4 (kt)</t>
  </si>
  <si>
    <t>Projected Emissions</t>
  </si>
  <si>
    <t>Total (kt)</t>
  </si>
  <si>
    <t>Total (MMT CO2e)</t>
  </si>
  <si>
    <t>Dairy Cattle</t>
  </si>
  <si>
    <t>Swine</t>
  </si>
  <si>
    <t>Sheep</t>
  </si>
  <si>
    <t>Goats</t>
  </si>
  <si>
    <t>Horses</t>
  </si>
  <si>
    <t>Thousand Head</t>
  </si>
  <si>
    <t>Animal Inventory and Projections</t>
  </si>
  <si>
    <t>Dairy Cows*</t>
  </si>
  <si>
    <t>Beef Cows*</t>
  </si>
  <si>
    <t>Poultry</t>
  </si>
  <si>
    <t>Fertilizer Use</t>
  </si>
  <si>
    <t>Crop Production</t>
  </si>
  <si>
    <t>Historic Synthetic Fertilizer Use (kt N)</t>
  </si>
  <si>
    <t>HFC-23</t>
  </si>
  <si>
    <t>Global Warming Potentials</t>
  </si>
  <si>
    <t>Corn</t>
  </si>
  <si>
    <t>Barley</t>
  </si>
  <si>
    <t>Wheat</t>
  </si>
  <si>
    <t>Soybeans</t>
  </si>
  <si>
    <t>Dry Matter Fraction</t>
  </si>
  <si>
    <t>Projected Emissions from Synthetic Fertilizer Use (kt N2O)</t>
  </si>
  <si>
    <t>Nitrogen from Crop Residues</t>
  </si>
  <si>
    <t>N Content of Above Ground Dry Matter Resdiues to Harvested Crop</t>
  </si>
  <si>
    <t>Ratio of Below-Ground Dry Matter Residues to Harvested Yield</t>
  </si>
  <si>
    <t>N Content of Below Ground Residue</t>
  </si>
  <si>
    <t>Estimated Nitrogen Crop Residues</t>
  </si>
  <si>
    <t>Estimated Emissions</t>
  </si>
  <si>
    <t>kt N2O</t>
  </si>
  <si>
    <t>N2O (kt)</t>
  </si>
  <si>
    <t>Total Emissions</t>
  </si>
  <si>
    <t>"None"</t>
  </si>
  <si>
    <t>Indirect Emissions</t>
  </si>
  <si>
    <t>Total (kt N2O)</t>
  </si>
  <si>
    <t>n/a (covered in model)</t>
  </si>
  <si>
    <t>Non-Energy Use of Fossil Fuels (CO2)</t>
  </si>
  <si>
    <t>Coal Mining (CH4)</t>
  </si>
  <si>
    <t>Natural Gas System (CH4 and CO2)</t>
  </si>
  <si>
    <t>Petroleum Systems (CH4 and CO2)</t>
  </si>
  <si>
    <t>Cement Production (CO2)</t>
  </si>
  <si>
    <t>Adipic Acid Production (N2O)</t>
  </si>
  <si>
    <t>Iron and Steel Production and Metallurgical Coke Production (CO2 and CH4)</t>
  </si>
  <si>
    <t>Aluminum Production (CO2 and PFCs)</t>
  </si>
  <si>
    <t>Historical Emissions</t>
  </si>
  <si>
    <t>PFCs (MMT CO2e)</t>
  </si>
  <si>
    <t>CO2 (MMT CO2e)</t>
  </si>
  <si>
    <t>F-Gases (MMT CO2e)</t>
  </si>
  <si>
    <t>Historical and Projected Emissions</t>
  </si>
  <si>
    <t>Total (kt CH4)</t>
  </si>
  <si>
    <t>All values are given in Tg CO2e (equivalent to million metric tons).</t>
  </si>
  <si>
    <t>Cement and other carbonates</t>
  </si>
  <si>
    <t>Cement and other carbonates, process CO2</t>
  </si>
  <si>
    <t>Natural gas and petroleum systems</t>
  </si>
  <si>
    <t>Natural gas and petroleum systems, CH4</t>
  </si>
  <si>
    <t>Natural gas and petroleum systems, process CO2</t>
  </si>
  <si>
    <t>Iron and steel</t>
  </si>
  <si>
    <t>Iron and steel, process CO2</t>
  </si>
  <si>
    <t>Chemicals, N2O</t>
  </si>
  <si>
    <t>Chemicals, F-gases</t>
  </si>
  <si>
    <t>Chemicals, process CO2</t>
  </si>
  <si>
    <t>High GWP emissions from the production of HCFC-22</t>
  </si>
  <si>
    <t>High GWP emissions from ODS substitutes</t>
  </si>
  <si>
    <t>Coal mining</t>
  </si>
  <si>
    <t>Coal mining, CH4</t>
  </si>
  <si>
    <t>Waste management, N2O</t>
  </si>
  <si>
    <t>Waste management, CH4</t>
  </si>
  <si>
    <t>Agriculture, N2O</t>
  </si>
  <si>
    <t>Agriculture, CH4</t>
  </si>
  <si>
    <t>N2O emissions from manure management</t>
  </si>
  <si>
    <t>CH4 emissions from rice cultivation</t>
  </si>
  <si>
    <t>CH4 emissions from enteric fermentation</t>
  </si>
  <si>
    <t>CH4 emissions from manure management</t>
  </si>
  <si>
    <t>Other industries</t>
  </si>
  <si>
    <t>Other industries, F-gases</t>
  </si>
  <si>
    <t>Other industries, process CO2</t>
  </si>
  <si>
    <t>High GWP emissions from the manufacture of semiconductors</t>
  </si>
  <si>
    <t>High GWP emissions from aluminum</t>
  </si>
  <si>
    <t>High GWP emissions from magnesium manufacturing</t>
  </si>
  <si>
    <t>High GWP emissions from electric power systems</t>
  </si>
  <si>
    <t>Cement and other carbonates (g CO2e)</t>
  </si>
  <si>
    <t>Natural gas and petroleum systems (g CO2e)</t>
  </si>
  <si>
    <t>Iron and steel (g CO2e)</t>
  </si>
  <si>
    <t>Chemicals (g CO2e)</t>
  </si>
  <si>
    <t>Mining (g CO2e)</t>
  </si>
  <si>
    <t>Waste management (g CO2e)</t>
  </si>
  <si>
    <t>Agriculture (g CO2e)</t>
  </si>
  <si>
    <t>Other industries (g CO2e)</t>
  </si>
  <si>
    <t>CH4 emissions from petroleum systems</t>
  </si>
  <si>
    <t>CH4 emissions from natural gas systems</t>
  </si>
  <si>
    <t xml:space="preserve">   CO2 from petroleum sysems</t>
  </si>
  <si>
    <t>CO2</t>
  </si>
  <si>
    <t>VOC</t>
  </si>
  <si>
    <t>CO</t>
  </si>
  <si>
    <t>NOx</t>
  </si>
  <si>
    <t>PM10</t>
  </si>
  <si>
    <t>PM25</t>
  </si>
  <si>
    <t>SOx</t>
  </si>
  <si>
    <t>BC</t>
  </si>
  <si>
    <t>OC</t>
  </si>
  <si>
    <t>CH4</t>
  </si>
  <si>
    <t>N2O</t>
  </si>
  <si>
    <t>F gases</t>
  </si>
  <si>
    <t>Pollutant</t>
  </si>
  <si>
    <t>Iron and steel, CH4</t>
  </si>
  <si>
    <t>N2O emissions from fertilizer use</t>
  </si>
  <si>
    <t>N2O emissions from crop residues</t>
  </si>
  <si>
    <t>N2O emissions form other soil management</t>
  </si>
  <si>
    <t>CO2 emissions from aluminum</t>
  </si>
  <si>
    <t>CO2 emissions from magnesium manufacturing</t>
  </si>
  <si>
    <t>Other industries, N2O</t>
  </si>
  <si>
    <t>Methodology</t>
  </si>
  <si>
    <t>Source for Methodology</t>
  </si>
  <si>
    <t>Residential</t>
  </si>
  <si>
    <t xml:space="preserve">   CO2e emissions from non energy use of fossil fuels</t>
  </si>
  <si>
    <t>Source Categories and Methodology</t>
  </si>
  <si>
    <t>NE</t>
  </si>
  <si>
    <t xml:space="preserve">   CO2 emissions from iron, steel, and metallurgical coke production</t>
  </si>
  <si>
    <t>kt/1000 barrels</t>
  </si>
  <si>
    <t>Scaling Factors</t>
  </si>
  <si>
    <t>Nitric Acid Production</t>
  </si>
  <si>
    <t>Lime Production</t>
  </si>
  <si>
    <t>Ammonia Production</t>
  </si>
  <si>
    <t>Field Burning of Agricultural Residues</t>
  </si>
  <si>
    <t>Sub-Sector</t>
  </si>
  <si>
    <t>Model Sector</t>
  </si>
  <si>
    <t>HFCs</t>
  </si>
  <si>
    <t>PFCs</t>
  </si>
  <si>
    <t>SF6</t>
  </si>
  <si>
    <t>NF3</t>
  </si>
  <si>
    <t>M</t>
  </si>
  <si>
    <t>Calculated Exponential Log Values</t>
  </si>
  <si>
    <t>Need Exponential Calc?</t>
  </si>
  <si>
    <t>Exp</t>
  </si>
  <si>
    <t>Constant</t>
  </si>
  <si>
    <t>Sum of 2015</t>
  </si>
  <si>
    <t>Sum of 2016</t>
  </si>
  <si>
    <t>Sum of 2017</t>
  </si>
  <si>
    <t>Sum of 2018</t>
  </si>
  <si>
    <t>Sum of 2019</t>
  </si>
  <si>
    <t>Sum of 2020</t>
  </si>
  <si>
    <t>Sum of 2021</t>
  </si>
  <si>
    <t>Sum of 2022</t>
  </si>
  <si>
    <t>Sum of 2023</t>
  </si>
  <si>
    <t>Sum of 2024</t>
  </si>
  <si>
    <t>Sum of 2025</t>
  </si>
  <si>
    <t>Sum of 2026</t>
  </si>
  <si>
    <t>Sum of 2027</t>
  </si>
  <si>
    <t>Sum of 2028</t>
  </si>
  <si>
    <t>Sum of 2029</t>
  </si>
  <si>
    <t>Sum of 2030</t>
  </si>
  <si>
    <t>Sum of 2031</t>
  </si>
  <si>
    <t>Sum of 2032</t>
  </si>
  <si>
    <t>Sum of 2033</t>
  </si>
  <si>
    <t>Sum of 2034</t>
  </si>
  <si>
    <t>Sum of 2035</t>
  </si>
  <si>
    <t>Sum of 2036</t>
  </si>
  <si>
    <t>Sum of 2037</t>
  </si>
  <si>
    <t>Sum of 2038</t>
  </si>
  <si>
    <t>Sum of 2039</t>
  </si>
  <si>
    <t>Sum of 2040</t>
  </si>
  <si>
    <t>Sum of 2041</t>
  </si>
  <si>
    <t>Sum of 2042</t>
  </si>
  <si>
    <t>Sum of 2043</t>
  </si>
  <si>
    <t>Sum of 2044</t>
  </si>
  <si>
    <t>Sum of 2045</t>
  </si>
  <si>
    <t>Sum of 2046</t>
  </si>
  <si>
    <t>Sum of 2047</t>
  </si>
  <si>
    <t>Sum of 2048</t>
  </si>
  <si>
    <t>Sum of 2049</t>
  </si>
  <si>
    <t>Sum of 2050</t>
  </si>
  <si>
    <t xml:space="preserve">   CO2 emissions from other processes</t>
  </si>
  <si>
    <t xml:space="preserve">   CO2 process emissions</t>
  </si>
  <si>
    <t>CO2 emissions from other processes</t>
  </si>
  <si>
    <t>CH4 emissions from other processes</t>
  </si>
  <si>
    <t>CO2 from other processes</t>
  </si>
  <si>
    <t>N2O from other processes</t>
  </si>
  <si>
    <t>CH4 from other processes</t>
  </si>
  <si>
    <t>Waste management (no industrial wastewater treatment)</t>
  </si>
  <si>
    <t xml:space="preserve">   CH4 emissions from other processes</t>
  </si>
  <si>
    <t>Industrial Wastewater Projections</t>
  </si>
  <si>
    <t>EPA (2013) p. 1</t>
  </si>
  <si>
    <t>Aluminum Production</t>
  </si>
  <si>
    <t>Rice Cultivation</t>
  </si>
  <si>
    <t>Wastewater Treatment</t>
  </si>
  <si>
    <r>
      <t xml:space="preserve">In general the methodology used here follows that of the US Environmental Protection Agency in </t>
    </r>
    <r>
      <rPr>
        <i/>
        <sz val="11"/>
        <color theme="1"/>
        <rFont val="Calibri"/>
        <family val="2"/>
        <scheme val="minor"/>
      </rPr>
      <t>Methodologies for U.S. Greenhouse Gas Emissions Projections: Non-CO2 and Non-Energy CO2 Sources</t>
    </r>
    <r>
      <rPr>
        <sz val="11"/>
        <color theme="1"/>
        <rFont val="Calibri"/>
        <family val="2"/>
        <scheme val="minor"/>
      </rPr>
      <t xml:space="preserve"> with a few exceptions. </t>
    </r>
  </si>
  <si>
    <t>Notes:</t>
  </si>
  <si>
    <t>Tables 10.19,  10A-4, 10A-5, 10A-7, 10A-9, 11.2</t>
  </si>
  <si>
    <t>http://www.ipcc-nggip.iges.or.jp/public/2006gl/</t>
  </si>
  <si>
    <t>2006 IPCC Guidelines for National Greenhouse Gas Inventories</t>
  </si>
  <si>
    <t>Intergovernmental Panel on Climate Change</t>
  </si>
  <si>
    <t>Crop Residue and Livestock Production Parameters</t>
  </si>
  <si>
    <t>Specific methodologies and sources are listed in the table below. Global warming potentials are taken from the IPCC's Fifth Assessment Report.</t>
  </si>
  <si>
    <t>CO2 emissions from natural gas systems</t>
  </si>
  <si>
    <t xml:space="preserve">   N2O emissions from other processes</t>
  </si>
  <si>
    <t>AR5 20-Year GWP</t>
  </si>
  <si>
    <t>AR5 100-Year GWP</t>
  </si>
  <si>
    <t>EPA 100-Year GWP</t>
  </si>
  <si>
    <t xml:space="preserve">   CH4 from other processes</t>
  </si>
  <si>
    <t>Notes for Canada</t>
  </si>
  <si>
    <t>Underground Mines</t>
  </si>
  <si>
    <t>Surface Mines</t>
  </si>
  <si>
    <t>Historical Emissions (kt CH4)</t>
  </si>
  <si>
    <t>Historical Coal Production (Mt)</t>
  </si>
  <si>
    <t>Aggregate</t>
  </si>
  <si>
    <t>Total Production</t>
  </si>
  <si>
    <t>Metallurgical</t>
  </si>
  <si>
    <t>Thermal</t>
  </si>
  <si>
    <t>2040</t>
  </si>
  <si>
    <t>2039</t>
  </si>
  <si>
    <t>2038</t>
  </si>
  <si>
    <t>2037</t>
  </si>
  <si>
    <t>2036</t>
  </si>
  <si>
    <t>2035</t>
  </si>
  <si>
    <t>2034</t>
  </si>
  <si>
    <t>2033</t>
  </si>
  <si>
    <t>2032</t>
  </si>
  <si>
    <t>2031</t>
  </si>
  <si>
    <t>2030</t>
  </si>
  <si>
    <t>2029</t>
  </si>
  <si>
    <t>2028</t>
  </si>
  <si>
    <t>2027</t>
  </si>
  <si>
    <t>2026</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</si>
  <si>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</si>
  <si>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</si>
  <si>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</si>
  <si>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</si>
  <si>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</si>
  <si>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</si>
  <si>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</si>
  <si>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</si>
  <si>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</si>
  <si>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</si>
  <si>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</si>
  <si>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</si>
  <si>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</si>
  <si>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</si>
  <si>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</si>
  <si>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</si>
  <si>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</si>
  <si>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</si>
  <si>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</si>
  <si>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</si>
  <si>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</si>
  <si>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_</t>
  </si>
  <si>
    <t>Exports</t>
  </si>
  <si>
    <t>End-Use</t>
  </si>
  <si>
    <t>Domestic Demand</t>
  </si>
  <si>
    <t>Select Case: Reference</t>
  </si>
  <si>
    <t>Select Appendices: Coal Supply and Demand</t>
  </si>
  <si>
    <t>Select Report Version: Canada’s Energy Future 2016</t>
  </si>
  <si>
    <t>Note: We account for differences in coal production between the IPCC database and the Canada Futures Study database</t>
  </si>
  <si>
    <t>Select Appendices: Crude Oil Production</t>
  </si>
  <si>
    <t>Select Unit: Thousand Barrels per day</t>
  </si>
  <si>
    <t>Canada</t>
  </si>
  <si>
    <t>Conventional Light</t>
  </si>
  <si>
    <t>Conventional Heavy</t>
  </si>
  <si>
    <t>C5+</t>
  </si>
  <si>
    <t>Field Condensate</t>
  </si>
  <si>
    <t xml:space="preserve">Mined Bitumen </t>
  </si>
  <si>
    <t xml:space="preserve">In Situ Bitumen </t>
  </si>
  <si>
    <t xml:space="preserve">(Upgraded Bitumen) </t>
  </si>
  <si>
    <t>Newfoundland and Labrador</t>
  </si>
  <si>
    <t>Nova Scotia</t>
  </si>
  <si>
    <t>Ontario</t>
  </si>
  <si>
    <t>Manitoba</t>
  </si>
  <si>
    <t>Alberta</t>
  </si>
  <si>
    <t>British Columbia</t>
  </si>
  <si>
    <t xml:space="preserve">   Field Condensate </t>
  </si>
  <si>
    <t>Saskatchewan</t>
  </si>
  <si>
    <t>Northwest Territories</t>
  </si>
  <si>
    <t>Venting</t>
  </si>
  <si>
    <t>Flaring</t>
  </si>
  <si>
    <t>Emissions</t>
  </si>
  <si>
    <t>Select Appendices: Natural Gas Production</t>
  </si>
  <si>
    <t>Select Unit: Million Cubic Metres per day</t>
  </si>
  <si>
    <t>Western Canadian Sedimentary Basin</t>
  </si>
  <si>
    <t>Solution</t>
  </si>
  <si>
    <t>Non Associated</t>
  </si>
  <si>
    <t>Tight</t>
  </si>
  <si>
    <t>Shale</t>
  </si>
  <si>
    <t>Coalbed Methane</t>
  </si>
  <si>
    <t>New Brunswick</t>
  </si>
  <si>
    <t>Base Year Emissions (2015)</t>
  </si>
  <si>
    <t>done</t>
  </si>
  <si>
    <t>done; used projected domestic coal production and calculated emissions factors</t>
  </si>
  <si>
    <t>done; used projected production of natural gas and calculcated emissions factors</t>
  </si>
  <si>
    <t>done; used projected crude oil prodcuction and feedstock processing and calculated emissions factors</t>
  </si>
  <si>
    <t>done; used calculated emissions factors and demand for metallurgical coal</t>
  </si>
  <si>
    <t>done; used 2015 emissions and scaled based 2.5% global growth rate for aluminum consumption from EPA methodology</t>
  </si>
  <si>
    <t>done, 2015 shows no emissions and these were set to scale down to 0 anyway, per EPA methodology</t>
  </si>
  <si>
    <t>Select Appendices: Macro Indicators</t>
  </si>
  <si>
    <t xml:space="preserve">Real Gross Domestic Product ($2007 Millions) </t>
  </si>
  <si>
    <t>Population (thousands)</t>
  </si>
  <si>
    <t>Gross Domestic Product Deflator (2007=1)</t>
  </si>
  <si>
    <t>Consumer Price Index (2002=1)</t>
  </si>
  <si>
    <t>Canada-US Exchange Rate (C$/US$)</t>
  </si>
  <si>
    <t>PFCs (kt CO2e)</t>
  </si>
  <si>
    <t>done; assumed 2015 emissions grow at 5 year average CAGR of GDP, per EPA methodology</t>
  </si>
  <si>
    <t>http://ifadata.fertilizer.org/ucSearch.aspx</t>
  </si>
  <si>
    <t>Historical</t>
  </si>
  <si>
    <t>Projected</t>
  </si>
  <si>
    <t>Projected North America Fertizlier Use (Mt N)</t>
  </si>
  <si>
    <t>Direct</t>
  </si>
  <si>
    <t>Indirect</t>
  </si>
  <si>
    <t>Projected Candian Fertizlier Use (kt N)</t>
  </si>
  <si>
    <t>Domain Code</t>
  </si>
  <si>
    <t>Domain</t>
  </si>
  <si>
    <t>Area Code</t>
  </si>
  <si>
    <t>Area</t>
  </si>
  <si>
    <t>Element Code</t>
  </si>
  <si>
    <t>Element</t>
  </si>
  <si>
    <t>Item Code</t>
  </si>
  <si>
    <t>Item</t>
  </si>
  <si>
    <t>Year Code</t>
  </si>
  <si>
    <t>Unit</t>
  </si>
  <si>
    <t>Value</t>
  </si>
  <si>
    <t>Flag</t>
  </si>
  <si>
    <t>Flag Description</t>
  </si>
  <si>
    <t>QC</t>
  </si>
  <si>
    <t>Crops</t>
  </si>
  <si>
    <t>Area harvested</t>
  </si>
  <si>
    <t>ha</t>
  </si>
  <si>
    <t>Official data</t>
  </si>
  <si>
    <t>tonnes</t>
  </si>
  <si>
    <t>Maize</t>
  </si>
  <si>
    <t>Beans, dry</t>
  </si>
  <si>
    <t>Broad beans, horse beans, dry</t>
  </si>
  <si>
    <t>Data not available</t>
  </si>
  <si>
    <t>Chick peas</t>
  </si>
  <si>
    <t>Lentils</t>
  </si>
  <si>
    <t>hectares</t>
  </si>
  <si>
    <t>Crop Area</t>
  </si>
  <si>
    <t>Canadian Wheat Supply and Utilization</t>
  </si>
  <si>
    <t>01/02</t>
  </si>
  <si>
    <t>02/03</t>
  </si>
  <si>
    <t>03/04</t>
  </si>
  <si>
    <t>04/05</t>
  </si>
  <si>
    <t>05/06</t>
  </si>
  <si>
    <t>06/07</t>
  </si>
  <si>
    <t>07/08</t>
  </si>
  <si>
    <t>08/09</t>
  </si>
  <si>
    <t>09/10</t>
  </si>
  <si>
    <t>10/11</t>
  </si>
  <si>
    <t>11/12</t>
  </si>
  <si>
    <t>12/13</t>
  </si>
  <si>
    <t>13/14</t>
  </si>
  <si>
    <t>14/15</t>
  </si>
  <si>
    <t>15/16</t>
  </si>
  <si>
    <t>16/17</t>
  </si>
  <si>
    <t>17/18</t>
  </si>
  <si>
    <t>18/19</t>
  </si>
  <si>
    <t>19/20</t>
  </si>
  <si>
    <t>20/21</t>
  </si>
  <si>
    <t>21/22</t>
  </si>
  <si>
    <t>(Thousand Hectares)</t>
  </si>
  <si>
    <t>Area Harvested</t>
  </si>
  <si>
    <t>(Metric Tons per Hectare)</t>
  </si>
  <si>
    <t>Yield</t>
  </si>
  <si>
    <t>(Thousand Metric Tons)</t>
  </si>
  <si>
    <t>Beginning Stocks</t>
  </si>
  <si>
    <t xml:space="preserve">   Domestic Supply</t>
  </si>
  <si>
    <t>Feed Use</t>
  </si>
  <si>
    <t>Food and Other</t>
  </si>
  <si>
    <t>Ending Stocks</t>
  </si>
  <si>
    <t xml:space="preserve">   Domestic Use</t>
  </si>
  <si>
    <t xml:space="preserve">   Net Trade</t>
  </si>
  <si>
    <t>Canadian Coarse Grain Supply and Utilization</t>
  </si>
  <si>
    <t>Canadian Soybean Sector Supply and Utilization</t>
  </si>
  <si>
    <t>Crush</t>
  </si>
  <si>
    <t>Other Use</t>
  </si>
  <si>
    <t>Soybean Meal</t>
  </si>
  <si>
    <t>Consumption</t>
  </si>
  <si>
    <t>Soybean Oil</t>
  </si>
  <si>
    <t>Canadian Sugar Supply and Utilization</t>
  </si>
  <si>
    <t>Sugar Beet</t>
  </si>
  <si>
    <t>Sugar</t>
  </si>
  <si>
    <t xml:space="preserve">  Domestic Supply</t>
  </si>
  <si>
    <t xml:space="preserve">  Domestic Use</t>
  </si>
  <si>
    <t xml:space="preserve">  Net Trade</t>
  </si>
  <si>
    <t>Slope and Intercept for Above Ground Residue</t>
  </si>
  <si>
    <t>Slope</t>
  </si>
  <si>
    <t>Intercept</t>
  </si>
  <si>
    <t>Crop</t>
  </si>
  <si>
    <t>Pulses</t>
  </si>
  <si>
    <t>Dry Beans</t>
  </si>
  <si>
    <t>QA</t>
  </si>
  <si>
    <t>Live Animals</t>
  </si>
  <si>
    <t>Stocks</t>
  </si>
  <si>
    <t>Beehives</t>
  </si>
  <si>
    <t>No</t>
  </si>
  <si>
    <t>Im</t>
  </si>
  <si>
    <t>FAO data based on imputation methodology</t>
  </si>
  <si>
    <t>Cattle</t>
  </si>
  <si>
    <t>Head</t>
  </si>
  <si>
    <t>*</t>
  </si>
  <si>
    <t>Unofficial figure</t>
  </si>
  <si>
    <t>Chickens</t>
  </si>
  <si>
    <t>1000 Head</t>
  </si>
  <si>
    <t>F</t>
  </si>
  <si>
    <t>FAO estimate</t>
  </si>
  <si>
    <t>Ducks</t>
  </si>
  <si>
    <t>Geese and guinea fowls</t>
  </si>
  <si>
    <t>Mules</t>
  </si>
  <si>
    <t>Pigs</t>
  </si>
  <si>
    <t>Turkeys</t>
  </si>
  <si>
    <t>QL</t>
  </si>
  <si>
    <t>Livestock Primary</t>
  </si>
  <si>
    <t>Producing Animals/Slaughtered</t>
  </si>
  <si>
    <t>Meat, cattle</t>
  </si>
  <si>
    <t>Fc</t>
  </si>
  <si>
    <t>Calculated data</t>
  </si>
  <si>
    <t>Milk Animals</t>
  </si>
  <si>
    <t>Milk, whole fresh cow</t>
  </si>
  <si>
    <t>'-'</t>
  </si>
  <si>
    <t>'2005'</t>
  </si>
  <si>
    <t>'QDXAgg -- Total Demand'</t>
  </si>
  <si>
    <t>'SSP2-IPSL'</t>
  </si>
  <si>
    <t>'AMT-Beef'</t>
  </si>
  <si>
    <t>'CAN'</t>
  </si>
  <si>
    <t>'2010'</t>
  </si>
  <si>
    <t>'2015'</t>
  </si>
  <si>
    <t>'2020'</t>
  </si>
  <si>
    <t>'2025'</t>
  </si>
  <si>
    <t>'2030'</t>
  </si>
  <si>
    <t>'2035'</t>
  </si>
  <si>
    <t>'2040'</t>
  </si>
  <si>
    <t>'2045'</t>
  </si>
  <si>
    <t>'2050'</t>
  </si>
  <si>
    <t>'AMT-Pork'</t>
  </si>
  <si>
    <t>'AMT-Lamb'</t>
  </si>
  <si>
    <t>'AMT-Poultry'</t>
  </si>
  <si>
    <t>'AOT-Dairy'</t>
  </si>
  <si>
    <t xml:space="preserve">Projected Growth Rate for Animal Inventory </t>
  </si>
  <si>
    <t>Meat indigenous, chicken</t>
  </si>
  <si>
    <t>Yield/Carcass Weight</t>
  </si>
  <si>
    <t>0.1g/An</t>
  </si>
  <si>
    <t>Meat indigenous, turkey</t>
  </si>
  <si>
    <t>Canada 2015 CO2 Emissions</t>
  </si>
  <si>
    <t>Cement Production</t>
  </si>
  <si>
    <t>done; scaled using US growth in value of shipments</t>
  </si>
  <si>
    <t>done; per EPA document assumed a value of 0</t>
  </si>
  <si>
    <t>done; per EPA assumed constant; this value was 0 in IPCC database</t>
  </si>
  <si>
    <t>Canada Base Year Emissions</t>
  </si>
  <si>
    <t>Inventory 2015</t>
  </si>
  <si>
    <t>Submission 2017 v4</t>
  </si>
  <si>
    <t>CANADA</t>
  </si>
  <si>
    <t>NO</t>
  </si>
  <si>
    <t>IE</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</si>
  <si>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</si>
  <si>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</si>
  <si>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</si>
  <si>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</si>
  <si>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</si>
  <si>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</si>
  <si>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</si>
  <si>
    <t>(kt)</t>
  </si>
  <si>
    <t>NE,IE,NA</t>
  </si>
  <si>
    <t>NA</t>
  </si>
  <si>
    <t>NE,IE</t>
  </si>
  <si>
    <t>Documentation box:</t>
  </si>
  <si>
    <t>kt CO2e</t>
  </si>
  <si>
    <t>Total (t CO2e)</t>
  </si>
  <si>
    <t>Done; no rice cultivation in Canada</t>
  </si>
  <si>
    <t>Done; used Canada data</t>
  </si>
  <si>
    <r>
      <t xml:space="preserve">   </t>
    </r>
    <r>
      <rPr>
        <i/>
        <sz val="11"/>
        <color theme="1"/>
        <rFont val="Calibri"/>
        <family val="2"/>
        <scheme val="minor"/>
      </rPr>
      <t>CH4 from mining</t>
    </r>
  </si>
  <si>
    <t>TABLE 3 SECTORAL REPORT FOR AGRICULTURE</t>
  </si>
  <si>
    <t>(Sheet 1 of 2)</t>
  </si>
  <si>
    <t xml:space="preserve">GREENHOUSE GAS SOURCE AND </t>
  </si>
  <si>
    <t>SINK CATEGORIES</t>
  </si>
  <si>
    <t>3. Total agriculture</t>
  </si>
  <si>
    <t>NO,NE</t>
  </si>
  <si>
    <t>NO,NE,IE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</si>
  <si>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</si>
  <si>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</si>
  <si>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</si>
  <si>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</si>
  <si>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</si>
  <si>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</si>
  <si>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</si>
  <si>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</si>
  <si>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</si>
  <si>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</si>
  <si>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</si>
  <si>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</si>
  <si>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</si>
  <si>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</si>
  <si>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</si>
  <si>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Buffalo</t>
  </si>
  <si>
    <t>Camels</t>
  </si>
  <si>
    <t>Deer</t>
  </si>
  <si>
    <t>Mules and Asses</t>
  </si>
  <si>
    <t>Other (please specify)</t>
  </si>
  <si>
    <t>Rabbit</t>
  </si>
  <si>
    <t>Fur-bearing Animals</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</si>
  <si>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</si>
  <si>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</si>
  <si>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</si>
  <si>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</si>
  <si>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</si>
  <si>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Non Dairy Cattle</t>
  </si>
  <si>
    <t>Other Livestock</t>
  </si>
  <si>
    <t>CH4 Emissions</t>
  </si>
  <si>
    <t>N2O Emissions</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</si>
  <si>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</si>
  <si>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</si>
  <si>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(Sheet 1 of 1)</t>
  </si>
  <si>
    <t>ACTIVITY  DATA   AND  OTHER  RELATED  INFORMATION</t>
  </si>
  <si>
    <t>IMPLIED EMISSION FACTORS</t>
  </si>
  <si>
    <t>EMISSIONS</t>
  </si>
  <si>
    <t>Description</t>
  </si>
  <si>
    <t>kg N/yr</t>
  </si>
  <si>
    <r>
      <t>kg N</t>
    </r>
    <r>
      <rPr>
        <b/>
        <vertAlign val="subscript"/>
        <sz val="9"/>
        <rFont val="Times New Roman"/>
        <family val="1"/>
      </rPr>
      <t>2</t>
    </r>
    <r>
      <rPr>
        <b/>
        <sz val="9"/>
        <rFont val="Times New Roman"/>
        <family val="1"/>
      </rPr>
      <t>O-N/kg N</t>
    </r>
    <r>
      <rPr>
        <b/>
        <vertAlign val="superscript"/>
        <sz val="9"/>
        <rFont val="Times New Roman"/>
        <family val="1"/>
      </rPr>
      <t>(1)(2)</t>
    </r>
  </si>
  <si>
    <r>
      <t>a. Direct N</t>
    </r>
    <r>
      <rPr>
        <b/>
        <vertAlign val="subscript"/>
        <sz val="9"/>
        <rFont val="Times New Roman"/>
        <family val="1"/>
      </rPr>
      <t>2</t>
    </r>
    <r>
      <rPr>
        <b/>
        <sz val="9"/>
        <rFont val="Times New Roman"/>
        <family val="1"/>
      </rPr>
      <t xml:space="preserve">O emissions from managed soils </t>
    </r>
  </si>
  <si>
    <r>
      <t>1.   Inorganic N fertilizers</t>
    </r>
    <r>
      <rPr>
        <vertAlign val="superscript"/>
        <sz val="9"/>
        <rFont val="Times New Roman"/>
        <family val="1"/>
      </rPr>
      <t>(3)</t>
    </r>
  </si>
  <si>
    <r>
      <t>2.   Organic N fertilizers</t>
    </r>
    <r>
      <rPr>
        <vertAlign val="superscript"/>
        <sz val="9"/>
        <rFont val="Times New Roman"/>
        <family val="1"/>
      </rPr>
      <t>(3)</t>
    </r>
  </si>
  <si>
    <t xml:space="preserve">      a. Animal manure applied to soils</t>
  </si>
  <si>
    <t xml:space="preserve">      b. Sewage sludge applied to soils</t>
  </si>
  <si>
    <t xml:space="preserve">      c. Other organic fertilizers applied to soils</t>
  </si>
  <si>
    <t>3.   Urine and dung deposited by grazing animals</t>
  </si>
  <si>
    <t>4.   Crop residues</t>
  </si>
  <si>
    <r>
      <t xml:space="preserve">5.  Mineralization/immobilization associated with loss/gain of soil organic matter </t>
    </r>
    <r>
      <rPr>
        <vertAlign val="superscript"/>
        <sz val="9"/>
        <rFont val="Times New Roman"/>
        <family val="1"/>
      </rPr>
      <t>(4)(5)</t>
    </r>
  </si>
  <si>
    <r>
      <t>6.   Cultivation of organic soils (i.e. histosols)</t>
    </r>
    <r>
      <rPr>
        <vertAlign val="superscript"/>
        <sz val="9"/>
        <rFont val="Times New Roman"/>
        <family val="1"/>
      </rPr>
      <t>(2)</t>
    </r>
  </si>
  <si>
    <t>7.   Other</t>
  </si>
  <si>
    <r>
      <t>b. Indirect N</t>
    </r>
    <r>
      <rPr>
        <b/>
        <vertAlign val="subscript"/>
        <sz val="9"/>
        <rFont val="Times New Roman"/>
        <family val="1"/>
      </rPr>
      <t>2</t>
    </r>
    <r>
      <rPr>
        <b/>
        <sz val="9"/>
        <rFont val="Times New Roman"/>
        <family val="1"/>
      </rPr>
      <t xml:space="preserve">O Emissions from managed soils </t>
    </r>
  </si>
  <si>
    <r>
      <t>1.   Atmospheric deposition</t>
    </r>
    <r>
      <rPr>
        <vertAlign val="superscript"/>
        <sz val="9"/>
        <rFont val="Times New Roman"/>
        <family val="1"/>
      </rPr>
      <t>(6)</t>
    </r>
  </si>
  <si>
    <t>2.   Nitrogen leaching and run-off</t>
  </si>
  <si>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</si>
  <si>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</si>
  <si>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</si>
  <si>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(4)</t>
    </r>
    <r>
      <rPr>
        <sz val="9"/>
        <rFont val="Times New Roman"/>
        <family val="1"/>
      </rPr>
      <t xml:space="preserve">   Emissions from management changes in cropland remaining cropland would be reported in this table. </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</si>
  <si>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</si>
  <si>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</si>
  <si>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t>Additional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</si>
  <si>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</si>
  <si>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</si>
  <si>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</si>
  <si>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</si>
  <si>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</si>
  <si>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Frac</t>
    </r>
    <r>
      <rPr>
        <vertAlign val="subscript"/>
        <sz val="9"/>
        <rFont val="Times New Roman"/>
        <family val="1"/>
      </rPr>
      <t>LEACH-(H)</t>
    </r>
  </si>
  <si>
    <t>Fraction of N input to managed soils that is lost through leaching and run-off</t>
  </si>
  <si>
    <r>
      <t xml:space="preserve">Other fractions </t>
    </r>
    <r>
      <rPr>
        <i/>
        <sz val="9"/>
        <rFont val="Times New Roman"/>
        <family val="1"/>
      </rPr>
      <t>(please specify)</t>
    </r>
  </si>
  <si>
    <r>
      <t>(a)</t>
    </r>
    <r>
      <rPr>
        <sz val="9"/>
        <rFont val="Times New Roman"/>
        <family val="1"/>
      </rPr>
      <t xml:space="preserve"> Use the definitions for fractions as specified in the 2006 IPCC Guidelines (pp. 11.13-11.22 of chapter 11 of volume 4) </t>
    </r>
  </si>
  <si>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</si>
  <si>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</si>
  <si>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</si>
  <si>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t xml:space="preserve">    (b) Full list of assumptions and fractions used.</t>
  </si>
  <si>
    <t>Documentation box</t>
  </si>
  <si>
    <t xml:space="preserve">3.D/2015: 3.D.1.2.c: The amount of N from other organic fertilizers applied to soils in Canada is not available at this time. 
3.D/2015: 3.D.1.7 Other: Canada reports three country-specific sources/removals of N2O (conservation tillage, summerfallow and irrigation), but because of limitation of current CRF Reporter Software, the net impact of these country-specific source/sink categories on emissions/removals needs to be reported under 3.D.1.1, 3.D.1.2.a, and 3.D.1.4 of Agricultural Soils. 
3.D/2015: 3.D.1.2.b: Sewage sludge might be applied on Cropland, but this practice does not occur on a large scale in Canada. There is currently no activity data available to estimate emissions from this source. 
</t>
  </si>
  <si>
    <t>Actual 2015 Historical Emissions</t>
  </si>
  <si>
    <t>Adjusted Emissions</t>
  </si>
  <si>
    <t>Crop Residues</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</si>
  <si>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</si>
  <si>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</si>
  <si>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</si>
  <si>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</si>
  <si>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</si>
  <si>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</si>
  <si>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NO,NA</t>
  </si>
  <si>
    <t>NO,IE</t>
  </si>
  <si>
    <t>1.  Managed waste disposal sites</t>
  </si>
  <si>
    <t>2.  Unmanaged waste disposal sites</t>
  </si>
  <si>
    <t>3.  Uncategorized waste disposal sites</t>
  </si>
  <si>
    <t>B.  Biological treatment of solid waste</t>
  </si>
  <si>
    <t>1. Composting</t>
  </si>
  <si>
    <t>2. Anaerobic digestion at biogas facilities</t>
  </si>
  <si>
    <t>NE,NA</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</si>
  <si>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</si>
  <si>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</si>
  <si>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</si>
  <si>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</si>
  <si>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</si>
  <si>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</si>
  <si>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</si>
  <si>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</si>
  <si>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</si>
  <si>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</si>
  <si>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</si>
  <si>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</si>
  <si>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Inventory 2014</t>
  </si>
  <si>
    <t>NE,NA,NO,IE</t>
  </si>
  <si>
    <t>NA,NO</t>
  </si>
  <si>
    <t>Inventory 2013</t>
  </si>
  <si>
    <t>Inventory 2012</t>
  </si>
  <si>
    <t>Inventory 2011</t>
  </si>
  <si>
    <t>Domestic Wastewater (CH4)</t>
  </si>
  <si>
    <t>Industrial Wastewater (CH4)</t>
  </si>
  <si>
    <t>Domestic Wastewater (N2O)</t>
  </si>
  <si>
    <t>Domestic Wastewater Projectoins</t>
  </si>
  <si>
    <t>Greenhouse Gases</t>
  </si>
  <si>
    <r>
      <t>CO</t>
    </r>
    <r>
      <rPr>
        <b/>
        <vertAlign val="subscript"/>
        <sz val="10"/>
        <color indexed="8"/>
        <rFont val="Arial"/>
        <family val="2"/>
      </rPr>
      <t>2</t>
    </r>
  </si>
  <si>
    <r>
      <t>CH</t>
    </r>
    <r>
      <rPr>
        <b/>
        <vertAlign val="subscript"/>
        <sz val="10"/>
        <color indexed="8"/>
        <rFont val="Arial"/>
        <family val="2"/>
      </rPr>
      <t>4</t>
    </r>
  </si>
  <si>
    <r>
      <t>N</t>
    </r>
    <r>
      <rPr>
        <b/>
        <vertAlign val="subscript"/>
        <sz val="10"/>
        <color indexed="8"/>
        <rFont val="Arial"/>
        <family val="2"/>
      </rPr>
      <t>2</t>
    </r>
    <r>
      <rPr>
        <b/>
        <sz val="10"/>
        <color indexed="8"/>
        <rFont val="Arial"/>
        <family val="2"/>
      </rPr>
      <t>O</t>
    </r>
  </si>
  <si>
    <r>
      <t>SF</t>
    </r>
    <r>
      <rPr>
        <b/>
        <vertAlign val="subscript"/>
        <sz val="10"/>
        <color indexed="8"/>
        <rFont val="Arial"/>
        <family val="2"/>
      </rPr>
      <t>6</t>
    </r>
  </si>
  <si>
    <r>
      <t>NF</t>
    </r>
    <r>
      <rPr>
        <b/>
        <vertAlign val="subscript"/>
        <sz val="10"/>
        <rFont val="Arial"/>
        <family val="2"/>
      </rPr>
      <t>3</t>
    </r>
  </si>
  <si>
    <t>TOTAL</t>
  </si>
  <si>
    <t>Greenhouse Gas Categories</t>
  </si>
  <si>
    <t>Global Warming Potential</t>
  </si>
  <si>
    <t>kt</t>
  </si>
  <si>
    <r>
      <t>kt CO</t>
    </r>
    <r>
      <rPr>
        <vertAlign val="subscript"/>
        <sz val="8"/>
        <color indexed="8"/>
        <rFont val="Arial"/>
        <family val="2"/>
      </rPr>
      <t xml:space="preserve">2 </t>
    </r>
    <r>
      <rPr>
        <sz val="8"/>
        <color indexed="8"/>
        <rFont val="Arial"/>
        <family val="2"/>
      </rPr>
      <t xml:space="preserve"> eq</t>
    </r>
  </si>
  <si>
    <t>ENERGY</t>
  </si>
  <si>
    <t>a.</t>
  </si>
  <si>
    <t>Stationary Combustion Sources</t>
  </si>
  <si>
    <t xml:space="preserve">Public Electricity and Heat Production </t>
  </si>
  <si>
    <t>Petroleum Refining Industries</t>
  </si>
  <si>
    <t>Mining and Upstream Oil and Gas Production</t>
  </si>
  <si>
    <t>Manufacturing Industries</t>
  </si>
  <si>
    <t>Pulp and Paper</t>
  </si>
  <si>
    <t>Construction</t>
  </si>
  <si>
    <t>Commercial and Institutional</t>
  </si>
  <si>
    <t>Agriculture and Forestry</t>
  </si>
  <si>
    <t>b.</t>
  </si>
  <si>
    <t>Domestic Aviation</t>
  </si>
  <si>
    <t>Road Transportation</t>
  </si>
  <si>
    <t>Light-Duty Gasoline Vehicles</t>
  </si>
  <si>
    <t>Light-Duty Gasoline Trucks</t>
  </si>
  <si>
    <t>Heavy-Duty Gasoline Vehicles</t>
  </si>
  <si>
    <t>Motorcycles</t>
  </si>
  <si>
    <t>Light-Duty Diesel Vehicles</t>
  </si>
  <si>
    <t>Light-Duty Diesel Trucks</t>
  </si>
  <si>
    <t>Heavy-Duty Diesel Vehicles</t>
  </si>
  <si>
    <t>Propane and Natural Gas Vehicles</t>
  </si>
  <si>
    <t>Railways</t>
  </si>
  <si>
    <t xml:space="preserve">Domestic Navigation </t>
  </si>
  <si>
    <t>Other Transportation</t>
  </si>
  <si>
    <t>Off-Road Agriculture &amp; Forestry</t>
  </si>
  <si>
    <t>Off-Road Commercial &amp; Institutional</t>
  </si>
  <si>
    <t>Off-Road Manufacturing, Mining &amp; Construction</t>
  </si>
  <si>
    <t>Off-Road Residential</t>
  </si>
  <si>
    <t>Off-Road Other Transportation</t>
  </si>
  <si>
    <t>Pipeline Transport</t>
  </si>
  <si>
    <t>c.</t>
  </si>
  <si>
    <t>Fugitive Sources</t>
  </si>
  <si>
    <t xml:space="preserve">Coal Mining </t>
  </si>
  <si>
    <t>Oil and Natural Gas</t>
  </si>
  <si>
    <t>d.</t>
  </si>
  <si>
    <r>
      <t>CO</t>
    </r>
    <r>
      <rPr>
        <b/>
        <vertAlign val="subscript"/>
        <sz val="10"/>
        <rFont val="Arial"/>
        <family val="2"/>
      </rPr>
      <t>2</t>
    </r>
    <r>
      <rPr>
        <b/>
        <sz val="10"/>
        <rFont val="Arial"/>
        <family val="2"/>
      </rPr>
      <t xml:space="preserve"> Transport and Storage </t>
    </r>
  </si>
  <si>
    <t>INDUSTRIAL PROCESSES AND PRODUCT USE</t>
  </si>
  <si>
    <t>Mineral Products</t>
  </si>
  <si>
    <t>Mineral Product Use</t>
  </si>
  <si>
    <t>Adipic Acid Production</t>
  </si>
  <si>
    <t>Petrochemical and Carbon Black Production</t>
  </si>
  <si>
    <t>Metal Production</t>
  </si>
  <si>
    <t>Iron and Steel Production</t>
  </si>
  <si>
    <r>
      <t>SF</t>
    </r>
    <r>
      <rPr>
        <vertAlign val="subscript"/>
        <sz val="9"/>
        <rFont val="Arial"/>
        <family val="2"/>
      </rPr>
      <t>6</t>
    </r>
    <r>
      <rPr>
        <sz val="9"/>
        <rFont val="Arial"/>
        <family val="2"/>
      </rPr>
      <t xml:space="preserve"> Used in Magnesium Smelters and Casters</t>
    </r>
  </si>
  <si>
    <r>
      <t>Production and Consumption of Halocarbons, SF</t>
    </r>
    <r>
      <rPr>
        <b/>
        <vertAlign val="subscript"/>
        <sz val="10"/>
        <rFont val="Arial"/>
        <family val="2"/>
      </rPr>
      <t>6</t>
    </r>
    <r>
      <rPr>
        <b/>
        <sz val="10"/>
        <rFont val="Arial"/>
        <family val="2"/>
      </rPr>
      <t xml:space="preserve"> and NF</t>
    </r>
    <r>
      <rPr>
        <b/>
        <vertAlign val="subscript"/>
        <sz val="10"/>
        <rFont val="Arial"/>
        <family val="2"/>
      </rPr>
      <t>3</t>
    </r>
    <r>
      <rPr>
        <b/>
        <vertAlign val="superscript"/>
        <sz val="10"/>
        <rFont val="Arial"/>
        <family val="2"/>
      </rPr>
      <t>3</t>
    </r>
  </si>
  <si>
    <t>e.</t>
  </si>
  <si>
    <t>Non-Energy Products from Fuels and Solvent Use</t>
  </si>
  <si>
    <t>f.</t>
  </si>
  <si>
    <t>Other Product Manufacture and Use</t>
  </si>
  <si>
    <t>AGRICULTURE</t>
  </si>
  <si>
    <t>Agricultural Soils</t>
  </si>
  <si>
    <t>Direct Sources</t>
  </si>
  <si>
    <t>Indirect Sources</t>
  </si>
  <si>
    <t xml:space="preserve">Liming, Urea Application and Other Carbon-containing Fertilizers </t>
  </si>
  <si>
    <t>WASTE</t>
  </si>
  <si>
    <t xml:space="preserve">Solid Waste Disposal  </t>
  </si>
  <si>
    <t>Biological Treatment of Solid Waste</t>
  </si>
  <si>
    <t xml:space="preserve">Wastewater Treatment and Discharge  </t>
  </si>
  <si>
    <t xml:space="preserve">Incineration and Open Burning of Waste  </t>
  </si>
  <si>
    <t xml:space="preserve">4.  IPCC's Fourth Assessment Report provides global warming potentials (GWPs) for the various species of HFCs and PFCs. Chapter 1, Table 1-1 of this report provides a list of GWPs used.  </t>
  </si>
  <si>
    <t>-</t>
  </si>
  <si>
    <t xml:space="preserve"> Indicates no emissions</t>
  </si>
  <si>
    <t xml:space="preserve"> Indicates emissions truncated due to rounding</t>
  </si>
  <si>
    <t>Other Industries</t>
  </si>
  <si>
    <t>Change</t>
  </si>
  <si>
    <t>2005 to 2020</t>
  </si>
  <si>
    <t>2005 to 2030</t>
  </si>
  <si>
    <t>Smelting and Refining (Non-ferrous metals)</t>
  </si>
  <si>
    <t>Lime and Gypsum</t>
  </si>
  <si>
    <t>Chemicals and Fertilizers</t>
  </si>
  <si>
    <t>Future CO2 Emissions (kt CO2)</t>
  </si>
  <si>
    <t>https://www.canada.ca/en/environment-climate-change/services/climate-change/publications/2016-greenhouse-gas-emissions-case/chapter-2.html#tab12</t>
  </si>
  <si>
    <t>N2O emissions domestic wastewater</t>
  </si>
  <si>
    <t>CH4 emisisons from domestic wastewater</t>
  </si>
  <si>
    <t>N2O emissions from landfills</t>
  </si>
  <si>
    <t>CH4 emissions from industrial wastewater</t>
  </si>
  <si>
    <t>CH4 emissions from landfills</t>
  </si>
  <si>
    <t>Agriculture, CO2</t>
  </si>
  <si>
    <t xml:space="preserve">   High GWP emissions from other processes</t>
  </si>
  <si>
    <t>Environment and Climate Change Canada</t>
  </si>
  <si>
    <t>All years</t>
  </si>
  <si>
    <t>Livestock</t>
  </si>
  <si>
    <t>UNFCCC</t>
  </si>
  <si>
    <t>2017 Annex I Party GHG Inventory Submissions</t>
  </si>
  <si>
    <t>http://unfccc.int/files/national_reports/annex_i_ghg_inventories/national_inventories_submissions/application/zip/can-2017-crf-13apr17.zip</t>
  </si>
  <si>
    <t>Future projections of population, GDP, and resource production and demand</t>
  </si>
  <si>
    <t>National Energy Board</t>
  </si>
  <si>
    <t>Canada’s Energy Future 2016: Energy Supply and Demand Projections to 2040</t>
  </si>
  <si>
    <t>https://apps.neb-one.gc.ca/ftrppndc/dflt.aspx?GoCTemplateCulture=en-CA</t>
  </si>
  <si>
    <t>Macro Indicators, End-Use Demand, Crude Oil Production, Refinery Balances, Natural Gas Production, and Coal Supply and Demand</t>
  </si>
  <si>
    <t>Short-term emissions projections for specific sectors</t>
  </si>
  <si>
    <t>Canada's 2016 greenhouse gas emissions reference case</t>
  </si>
  <si>
    <t>Canada Gazette</t>
  </si>
  <si>
    <t>Vol. 151, No. 21 — October 18, 2017: Regulations Amending the Ozone-depleting Substances and Halocarbon Alternatives Regulations</t>
  </si>
  <si>
    <t>http://www.gazette.gc.ca/rp-pr/p2/2017/2017-10-18/html/sor-dors216-eng.html#footnoteRef.59622</t>
  </si>
  <si>
    <t>ODS emissions forecast</t>
  </si>
  <si>
    <t>Food and Agriculture Organization</t>
  </si>
  <si>
    <t>FAOSTAT</t>
  </si>
  <si>
    <t>http://www.fao.org/faostat/en/#data/QL</t>
  </si>
  <si>
    <t>Historical Animal Populations and Crop Production</t>
  </si>
  <si>
    <t>Projected Animal Population Growth</t>
  </si>
  <si>
    <t>Sulser et al</t>
  </si>
  <si>
    <t>Extended Results from the International Model for Policy Analysis of Agricultural Commodities and Trade (IMPACT version 3.2.1) </t>
  </si>
  <si>
    <t>https://dataverse.harvard.edu/dataset.xhtml?persistentId=doi:10.7910/DVN/XEZXT4</t>
  </si>
  <si>
    <t>Historical Synthetic Fertilizer Use</t>
  </si>
  <si>
    <t>International Fertilizer Association</t>
  </si>
  <si>
    <t>IFADATA</t>
  </si>
  <si>
    <t>Projected Fertilizer Use</t>
  </si>
  <si>
    <t>Tenkorang and Lowenberg-DeBoer</t>
  </si>
  <si>
    <t>Forecasting long-term global fertilizer demand</t>
  </si>
  <si>
    <t>Table 3</t>
  </si>
  <si>
    <t>https://link.springer.com/article/10.1007/s10705-008-9214-y</t>
  </si>
  <si>
    <t>Projected Crop Production and Area Harvested</t>
  </si>
  <si>
    <t>Food and Agriculture Policy Research Institute</t>
  </si>
  <si>
    <t>FAPRI-ISU 2012 World Agricultural Outlook</t>
  </si>
  <si>
    <t>http://www.fapri.iastate.edu/outlook/2012/</t>
  </si>
  <si>
    <t>Food Grains, Feed Grains, and Oilseeds</t>
  </si>
  <si>
    <t>Historical emissions are scaled based on past 10 year trend. For declining industries, LOGEST function is used based on EPA methodology</t>
  </si>
  <si>
    <t>Emissions from coal mining are based on the the base year emissions value and forecasted domestic coal production,</t>
  </si>
  <si>
    <t>For years lacking projection data (often 2041-2050), we use extrapolate a linear trend of data from 2031 to 2040.</t>
  </si>
  <si>
    <t>Emissions from natural gas systems are calculated by scaling base year emissions by forecasted domestic production of natural gas.</t>
  </si>
  <si>
    <t>Emissions from petroleum systems are calculated based on base year emissions and forecasted crude oil prodcution and refining.</t>
  </si>
  <si>
    <t>Emissions from cement production are forecast based on base year emissions and the forecasted emissions trend from Canada's GHG emissions forecast.</t>
  </si>
  <si>
    <t>No emissions</t>
  </si>
  <si>
    <t>Emissoins from iron and steel production and calculated based on base year emissions and forecasted demand for metallurgical coal, a primary input generally used in other industries.</t>
  </si>
  <si>
    <t>Emissions are forecasted based on base year emissions and average annual growth rate of 2.5%</t>
  </si>
  <si>
    <t>EPA (2013)</t>
  </si>
  <si>
    <t>Emissions are forecasted using the Canadian government's forecast of ODS emissions to meet requirements under the Kigali Amendment to the Montreal Protocol.</t>
  </si>
  <si>
    <t>Emissions are calculated based on forecast GDP growth.</t>
  </si>
  <si>
    <t>Emissions are calculated based on base year emissions by animal type and forecast growth in animal populations.</t>
  </si>
  <si>
    <t>Emissions are calculated based on base year emissions by animal type and forecast growth in nitrogen availability from growing animal populations.</t>
  </si>
  <si>
    <t>Emissions are calculated sperately for five different soil management categories: fertilizer use, crop production, other direct emissions, and indirect emissions. For fertilizer use, emissions grow based on forecast growth in fertilizer use and base year emissions.
For nitrogen from crop residues, emissions are calculated by scaling base year emissions by forecaste growth in crop residues.
For other emissions and indirect emissions, are scaled based on the average growth rate in emissions from fertilizer use and crop production.</t>
  </si>
  <si>
    <t>Landfill emissions are calculated based on population growth and base year emissions.</t>
  </si>
  <si>
    <t>Emissions from domestic wastewater treatment are calculated based on base year emissions and forecasted population growth. Industrial wastewater emissions are calculated by extrapolating the trend in emissions from the previous 5 years.</t>
  </si>
  <si>
    <t>These industrial processes do not have source specific methodologies. For all processes future emissions were projected based on a linear extrpoloation of historical 2006-2015 trends for increasing emissions and through exponential extrapolation for decreasing trends, in accordance with the methdology from EPA (2013).</t>
  </si>
  <si>
    <t>All historical emissions, except livestock</t>
  </si>
  <si>
    <t>Kigali</t>
  </si>
  <si>
    <t>No kigali</t>
  </si>
  <si>
    <t>Many academic papers have looked into empirical methane emissions from the oil and gas sector, and all agree to say that official data significantly underestimate actual methane emissions.</t>
  </si>
  <si>
    <t>90% -  Daniel Zavala-Araizaa et al, “Reconciling divergent estimates of oil and gas methane emissions,” Proceedings of the National Academy of Sciences, 112 (2015). http://www.pnas.org/content/112/51/15597.full.pdf</t>
  </si>
  <si>
    <t>43% (calculated, 111,800 tonnes from extrapolation versus 78,000 tonnes reported in BC) - Emmaline Atherton, et al., “Mobile measurement of methane emissions from natural gas developments in Northeastern British Columbia, Canada,” Atmospheric Chemistry and Physics Discussions, 2017. http://www.atmos-chem-phys-discuss.net/acp-2017-109/acp-2017-109.pdf</t>
  </si>
  <si>
    <t>60% Environmental Defence - http://environmentaldefence.ca/report/canadas-methane-gas-problem/ (Uses results from Greenpath Energy Ltd, “Greenpath 2016 Alberta fugitive and vented emissions inventory study,” 2016. http://www.greenpathenergy.com/wp-content/uploads/2017/03/GreenPath-AER-Field-Survey-Results_March8_Final_JG.pdf   )</t>
  </si>
  <si>
    <t>NO AB</t>
  </si>
  <si>
    <t>AB</t>
  </si>
  <si>
    <t>Data is updated / good</t>
  </si>
  <si>
    <t>Data could be replaced if wanted</t>
  </si>
  <si>
    <t>Data needs replacing</t>
  </si>
  <si>
    <t>Data needs deleting</t>
  </si>
  <si>
    <t>Key for AB Model data</t>
  </si>
  <si>
    <t>I don't know what's going on here</t>
  </si>
  <si>
    <t>http://donnees.ec.gc.ca/data/substances/monitor/national-and-provincial-territorial-greenhouse-gas-emission-tables/C-Tables-IPCC-Sector-Provinces-Territories/?lang=en</t>
  </si>
  <si>
    <t>C-Tables-IPCC-Sector-Provinces-Territories</t>
  </si>
  <si>
    <t>Provincial/Territorial GHG emissions allocated to Canadian economic sectors are provided in Annex 12 of this report</t>
  </si>
  <si>
    <t xml:space="preserve"> Indicates data has been suppressed to respect confidentiality </t>
  </si>
  <si>
    <t>x</t>
  </si>
  <si>
    <t>0.00</t>
  </si>
  <si>
    <r>
      <t>3.  HFC and PFC consumption began in 1995; HFC emissions occurring as a by-product of HCFC production (HCFC-22 exclusively) only occurred in Canada from 1990−1992 and PFC emissions prior to 1995 are the result of by-product CF</t>
    </r>
    <r>
      <rPr>
        <vertAlign val="subscript"/>
        <sz val="10"/>
        <rFont val="Arial"/>
        <family val="2"/>
      </rPr>
      <t>4</t>
    </r>
    <r>
      <rPr>
        <sz val="10"/>
        <rFont val="Arial"/>
        <family val="2"/>
      </rPr>
      <t xml:space="preserve"> emissions from the use of NF</t>
    </r>
    <r>
      <rPr>
        <vertAlign val="subscript"/>
        <sz val="10"/>
        <rFont val="Calibri"/>
        <family val="2"/>
        <scheme val="minor"/>
      </rPr>
      <t>3</t>
    </r>
    <r>
      <rPr>
        <sz val="10"/>
        <rFont val="Arial"/>
        <family val="2"/>
      </rPr>
      <t>.</t>
    </r>
  </si>
  <si>
    <r>
      <t>2.  Emissions from Ammonia Production, Nitric Acid Production and Petrochemical Production and Carbon Black categories are included in Non-Energy Products from Fuels and Solvent Use as CO</t>
    </r>
    <r>
      <rPr>
        <vertAlign val="subscript"/>
        <sz val="10"/>
        <rFont val="Arial"/>
        <family val="2"/>
      </rPr>
      <t>2</t>
    </r>
    <r>
      <rPr>
        <sz val="10"/>
        <rFont val="Arial"/>
        <family val="2"/>
      </rPr>
      <t xml:space="preserve"> eq values within provincial/territorial tables.</t>
    </r>
  </si>
  <si>
    <t>1.  Emissions from ethanol and biodiesel are included in the Transport categories using gasoline and diesel respectively.</t>
  </si>
  <si>
    <t xml:space="preserve">b. </t>
  </si>
  <si>
    <r>
      <t>Chemical Industry</t>
    </r>
    <r>
      <rPr>
        <b/>
        <vertAlign val="superscript"/>
        <sz val="10"/>
        <rFont val="Arial"/>
        <family val="2"/>
      </rPr>
      <t>2</t>
    </r>
  </si>
  <si>
    <t>Mineral Products Use</t>
  </si>
  <si>
    <r>
      <t>Transport</t>
    </r>
    <r>
      <rPr>
        <b/>
        <vertAlign val="superscript"/>
        <sz val="10"/>
        <rFont val="Arial"/>
        <family val="2"/>
      </rPr>
      <t>1</t>
    </r>
  </si>
  <si>
    <r>
      <t>PFCs</t>
    </r>
    <r>
      <rPr>
        <b/>
        <vertAlign val="superscript"/>
        <sz val="10"/>
        <rFont val="Arial"/>
        <family val="2"/>
      </rPr>
      <t>4</t>
    </r>
  </si>
  <si>
    <r>
      <t>HFCs</t>
    </r>
    <r>
      <rPr>
        <b/>
        <vertAlign val="superscript"/>
        <sz val="10"/>
        <rFont val="Arial"/>
        <family val="2"/>
      </rPr>
      <t>4</t>
    </r>
  </si>
  <si>
    <t>Table A11-4: 2015 GHG Emission Summary for Alberta</t>
  </si>
  <si>
    <t>&lt;- This number seems very low</t>
  </si>
  <si>
    <t>Select Region: Alberta</t>
  </si>
  <si>
    <t>Select Report Version: Canada’s Energy Future 2017</t>
  </si>
  <si>
    <t>Kilotonnes</t>
  </si>
  <si>
    <t>Source:</t>
  </si>
  <si>
    <t>http://www1.aer.ca/ST98/tables/coal/table_s8_1.html</t>
  </si>
  <si>
    <t>http://www.aer.ca/providing-information/data-and-reports/statistical-reports/coal-supply-demand</t>
  </si>
  <si>
    <t>Estimated Data</t>
  </si>
  <si>
    <t>&lt;-Should we make this plateau a little higher?</t>
  </si>
  <si>
    <t>Note:</t>
  </si>
  <si>
    <t>Total coal use is modelled using exponential decay, as it fits the given estimates extremely well, and then the other sources of coal are assumed to be constant</t>
  </si>
  <si>
    <t>This link has data on mines too</t>
  </si>
  <si>
    <t>&lt;-This costs money</t>
  </si>
  <si>
    <t>No FAPRI</t>
  </si>
  <si>
    <r>
      <t>Table A12 Heavy Industry: Emissions by Subsector (Mt CO</t>
    </r>
    <r>
      <rPr>
        <b/>
        <sz val="12.1"/>
        <color theme="0"/>
        <rFont val="Calibri"/>
        <family val="2"/>
        <scheme val="minor"/>
      </rPr>
      <t> </t>
    </r>
    <r>
      <rPr>
        <b/>
        <sz val="6"/>
        <color theme="0"/>
        <rFont val="Calibri"/>
        <family val="2"/>
        <scheme val="minor"/>
      </rPr>
      <t>2</t>
    </r>
    <r>
      <rPr>
        <sz val="11"/>
        <color theme="0"/>
        <rFont val="Calibri"/>
        <family val="2"/>
        <scheme val="minor"/>
      </rPr>
      <t> eq)</t>
    </r>
  </si>
  <si>
    <t>None of this data is actually used, so it doesn't need replacing for AB</t>
  </si>
  <si>
    <t>&lt;- AB seems to export most of its metallurgical coal, so we could put it at 0 or take 10%? It's really hard to find data on this</t>
  </si>
  <si>
    <t>&lt;- I think if AB really does produce this much then it doesn't matter what the rest of the data is because it will essentially be 0</t>
  </si>
  <si>
    <t>If any value is 0 in the Canadian model, I'm leaving it as 0 since AB is a subspace of CAN and so must also be 0</t>
  </si>
  <si>
    <t xml:space="preserve">https://en.wikipedia.org/wiki/List_of_semiconductor_fabrication_plants </t>
  </si>
  <si>
    <t>Historical Coal Production (Mt) Canada (Used for scaling AB)</t>
  </si>
  <si>
    <t>NEB Data (Accurate)</t>
  </si>
  <si>
    <t>NEB Scaled Surface</t>
  </si>
  <si>
    <t>NEB Scaled Underground</t>
  </si>
  <si>
    <t>% of Total Produced (surface)</t>
  </si>
  <si>
    <t>% of Total Produced (under)</t>
  </si>
  <si>
    <t>Alberta Production</t>
  </si>
  <si>
    <t>% of total</t>
  </si>
  <si>
    <t>Since the amount of surface and underground coal mines was not available for AB, we took the previous amount, which</t>
  </si>
  <si>
    <t>although inaccurate in terms of total production, gives us a good starting point as to what the distribution looks like.</t>
  </si>
  <si>
    <t>We assume that this distribution (and the distribution by province) remain the same (or at least similar enough not to care)</t>
  </si>
  <si>
    <t>and then scale it to AB</t>
  </si>
  <si>
    <t>AB Underground</t>
  </si>
  <si>
    <t>AB Surface</t>
  </si>
  <si>
    <t>http://www.nrcan.gc.ca/energy/facts/coal/20071</t>
  </si>
  <si>
    <t>For emissions, we find the ratio from the previous data and apply it to the new</t>
  </si>
  <si>
    <t>Under Emis/Prod</t>
  </si>
  <si>
    <t>Surface Emis/Prod</t>
  </si>
  <si>
    <t>Old Under Emis</t>
  </si>
  <si>
    <t>Old Surface Emis</t>
  </si>
  <si>
    <t>Crude Oil</t>
  </si>
  <si>
    <t>Canadian Association of Petroleum Producers</t>
  </si>
  <si>
    <t>2018 CAPP Crude Oil Forecast, Markets &amp; Transportation - Production &amp; Supply Data</t>
  </si>
  <si>
    <t>https://www.capp.ca/publications-and-statistics/publications/320292</t>
  </si>
  <si>
    <t>4.  Pentanes/Condensate production reported does not include pentanes that are part of the NGL stream that is shipped to Ontario. Only produced volumes that are available for diluent purposes are reported here.</t>
  </si>
  <si>
    <t>3.  Atlantic Canada production includes Newfoundland &amp; Labrador production and minor volumes from New Brunswick. Condensates/pentanes from Nova Scotia and New Brunswick are also inlcuded</t>
  </si>
  <si>
    <t>2.  CAPP has revised from June 2007 report historical light/heavy ratio for Saskachewan starting in 2005.</t>
  </si>
  <si>
    <t>1.  CAPP allocates Saskatchewan Area III Medium crude as heavy crude.  Also 17% of Area IV is &gt; 900 kg/m3.</t>
  </si>
  <si>
    <t>TOTAL OIL SANDS</t>
  </si>
  <si>
    <t xml:space="preserve">     Oil Sands In-Situ</t>
  </si>
  <si>
    <t xml:space="preserve">     Oil Sands Mining </t>
  </si>
  <si>
    <t>OIL SANDS RAW BITUMEN</t>
  </si>
  <si>
    <t>TOTAL CANADIAN OIL PRODUCTION</t>
  </si>
  <si>
    <t>EASTERN CANADA OIL PRODUCTION</t>
  </si>
  <si>
    <t>WESTERN CANADA OIL PRODUCTION</t>
  </si>
  <si>
    <t xml:space="preserve">     Oil Sands In Situ</t>
  </si>
  <si>
    <t>OIL SANDS (BITUMEN &amp; UPGRADED CRUDE OIL)</t>
  </si>
  <si>
    <t>TOTAL W CANADA CONVENTIONAL (incl condensate)</t>
  </si>
  <si>
    <t>TOTAL PENTANES/CONDENSATE</t>
  </si>
  <si>
    <t>TOTAL CONVENTIONAL (EXCLUDING CONDENSATE)</t>
  </si>
  <si>
    <t>W Canada Conventional Heavy</t>
  </si>
  <si>
    <t xml:space="preserve">     Saskatchewan Conv. Heavy 1,2</t>
  </si>
  <si>
    <t xml:space="preserve">     Alberta Conv. Heavy</t>
  </si>
  <si>
    <t xml:space="preserve"> Heavy</t>
  </si>
  <si>
    <t xml:space="preserve"> W Canada Light and Medium</t>
  </si>
  <si>
    <t xml:space="preserve">     N.W.T.</t>
  </si>
  <si>
    <t xml:space="preserve">     Manitoba</t>
  </si>
  <si>
    <t xml:space="preserve">     Saskatchewan 1,2</t>
  </si>
  <si>
    <t xml:space="preserve">     B.C.</t>
  </si>
  <si>
    <t xml:space="preserve">     Alberta</t>
  </si>
  <si>
    <t>Conventional Light &amp; Medium</t>
  </si>
  <si>
    <t>WESTERN CANADA</t>
  </si>
  <si>
    <t>E Canada TOTAL</t>
  </si>
  <si>
    <t xml:space="preserve">     Atlantic provinces (including Pentanes &amp; Condensate)3</t>
  </si>
  <si>
    <t xml:space="preserve">     Ontario</t>
  </si>
  <si>
    <t>EASTERN CANADA</t>
  </si>
  <si>
    <t>Thousand barrels per day</t>
  </si>
  <si>
    <t>Growth</t>
  </si>
  <si>
    <t>Jun 2018</t>
  </si>
  <si>
    <t>CAPP CANADIAN CRUDE OIL PRODUCTION FORECAST  2018 - 2035</t>
  </si>
  <si>
    <t>This might be useful for future changes</t>
  </si>
  <si>
    <t>AB Total</t>
  </si>
  <si>
    <t>Alberta Base Year Emissions</t>
  </si>
  <si>
    <t>%</t>
  </si>
  <si>
    <t>Note for AB:</t>
  </si>
  <si>
    <t>To convert this, we multiply by the original % that AB made up of CAN and assume it's constant throughout the run</t>
  </si>
  <si>
    <t>National Inventory Report 1990-2015: Greenhouse Gas Sources and Sinks in Canada.</t>
  </si>
  <si>
    <t>5. The number of significant figures presented in this table does not reflect the precision of the values. For values rounded to an appropriate number of significant figures based on the uncertainty of the category in question, please see Part 3 of the</t>
  </si>
  <si>
    <r>
      <t>3.  HFC and PFC consumption began in 1995; HFC emissions occurring as a by-product of HCFC production (HCFC-22 exclusively) only occurred in Canada from 1990−1992 and PFC emissions prior to 1995 are the result of by-product CF</t>
    </r>
    <r>
      <rPr>
        <vertAlign val="subscript"/>
        <sz val="10"/>
        <color theme="1"/>
        <rFont val="Arial"/>
        <family val="2"/>
      </rPr>
      <t xml:space="preserve">4 </t>
    </r>
    <r>
      <rPr>
        <sz val="10"/>
        <color theme="1"/>
        <rFont val="Arial"/>
        <family val="2"/>
      </rPr>
      <t>emissions from the use of NF</t>
    </r>
    <r>
      <rPr>
        <vertAlign val="subscript"/>
        <sz val="10"/>
        <color theme="1"/>
        <rFont val="Arial"/>
        <family val="2"/>
      </rPr>
      <t>3</t>
    </r>
    <r>
      <rPr>
        <sz val="10"/>
        <color theme="1"/>
        <rFont val="Arial"/>
        <family val="2"/>
      </rPr>
      <t>.</t>
    </r>
  </si>
  <si>
    <r>
      <t>2.  Emissions from the Ammonia Production, Nitric Acid Production and Petrochemical Production and Carbon Black categories are included in Non-Energy Products from Fuels and Solvent Use within the provincial/territorial tables as CO</t>
    </r>
    <r>
      <rPr>
        <vertAlign val="subscript"/>
        <sz val="10"/>
        <color theme="1"/>
        <rFont val="Arial"/>
        <family val="2"/>
      </rPr>
      <t>2</t>
    </r>
    <r>
      <rPr>
        <sz val="10"/>
        <color theme="1"/>
        <rFont val="Arial"/>
        <family val="2"/>
      </rPr>
      <t xml:space="preserve"> eq values.</t>
    </r>
  </si>
  <si>
    <t>Table A11-4: 2014 GHG Emission Summary for Alberta</t>
  </si>
  <si>
    <t>Table A11-5: 2013 GHG Emission Summary for Alberta</t>
  </si>
  <si>
    <t>Table A11-6: 2012 GHG Emission Summary for Alberta</t>
  </si>
  <si>
    <t>Table A11-7: 2011 GHG Emission Summary for Alberta</t>
  </si>
  <si>
    <t>Table A11-8: 2010 GHG Emission Summary for Alberta</t>
  </si>
  <si>
    <t>Table A11-9: 2009 GHG Emission Summary for Alberta</t>
  </si>
  <si>
    <t>Table A11-10: 2008 GHG Emission Summary for Alberta</t>
  </si>
  <si>
    <t>Table A11-11: 2007 GHG Emission Summary for Alberta</t>
  </si>
  <si>
    <t>Table A11-12: 2006 GHG Emission Summary for Alberta</t>
  </si>
  <si>
    <t>Since the layout (and the data available) on the yearly spreadsheets changed, it caused some errors with the formulas, so a lot of the data is in</t>
  </si>
  <si>
    <t>reference to the Canadian model, ie. any number that was 0 in the CDN model has been set to 0 here.</t>
  </si>
  <si>
    <t>CAN</t>
  </si>
  <si>
    <t>Clearstone Engineering Ltd.</t>
  </si>
  <si>
    <t>Petroleum Systems Data</t>
  </si>
  <si>
    <t>Volume I Overview of the GHG Emissions Inventory</t>
  </si>
  <si>
    <t>NIR</t>
  </si>
  <si>
    <t>Total (kt CH4) CAN</t>
  </si>
  <si>
    <t>Total (kt N2O) CAN</t>
  </si>
  <si>
    <t>The 2015 value is from NIR Table A11-19 and is scaled according to Canadian trend</t>
  </si>
  <si>
    <t>The 2015 value is from NIR Table A11-19 and is scaled according to the Canadian trend</t>
  </si>
  <si>
    <t>The 2015 value for AB comes from NIR Table A11-19 and is scaled according to Canadian Trends</t>
  </si>
  <si>
    <t>In the combined data tab, we multiply the individual parts by the % that AB makes up of the total.</t>
  </si>
  <si>
    <t>We get the same numbers in the end either way</t>
  </si>
  <si>
    <t>% of total Domestic</t>
  </si>
  <si>
    <t>% of total Industrial</t>
  </si>
  <si>
    <t>NIR III - Table A11-19</t>
  </si>
  <si>
    <t>Total Emissions (kt CO2e)</t>
  </si>
  <si>
    <t>Wastewater Treatment and Discharge</t>
  </si>
  <si>
    <t>NIR III - Table A11-18</t>
  </si>
  <si>
    <t>Total Emissions 2015 (kt)</t>
  </si>
  <si>
    <t>CH4 (CO2e)</t>
  </si>
  <si>
    <t>N20 (CO2e)</t>
  </si>
  <si>
    <t>N20 (rounding error present)</t>
  </si>
  <si>
    <t>http://www.ghgprotocol.org/sites/default/files/ghgp/Global-Warming-Potential-Values%20%28Feb%2016%202016%29_1.pdf</t>
  </si>
  <si>
    <t>Re-calculated emissions</t>
  </si>
  <si>
    <t>CH4e percent of total</t>
  </si>
  <si>
    <t>N2Oe percent of total</t>
  </si>
  <si>
    <t>Domestic</t>
  </si>
  <si>
    <t>Industrial</t>
  </si>
  <si>
    <t xml:space="preserve">    CH4</t>
  </si>
  <si>
    <t xml:space="preserve">    N2O</t>
  </si>
  <si>
    <t>Uses 100 year GWP values from the ipcc fourth assessment report</t>
  </si>
  <si>
    <t>Since this data wasn't available for AB, we assume that the breakup between industrial and domestic wastewater is consistent across provinces.</t>
  </si>
  <si>
    <t>We use this, along with the % of each pollutant from the NIR and the GWP potentials, to scale reasonable numbers for AB</t>
  </si>
  <si>
    <t>CAN Data for Scaling</t>
  </si>
  <si>
    <t>Nitric N2O %</t>
  </si>
  <si>
    <t>Petro N2O %</t>
  </si>
  <si>
    <t>Non-Energy Products</t>
  </si>
  <si>
    <t>Ammonia Production, Nitric Acid Production and Petrochemical Production and Canbon Black are included in Non-Energy Products from Fuels and Solvent Use by the spreadsheet</t>
  </si>
  <si>
    <t>C02</t>
  </si>
  <si>
    <t>AB Data</t>
  </si>
  <si>
    <t>Ammonia CO2 %</t>
  </si>
  <si>
    <t>Petro CO2 %</t>
  </si>
  <si>
    <t>see Canadian EPS, indst, BPEiC for data, Non-Energy products will have to be gathered manually from the tables to the right</t>
  </si>
  <si>
    <t>Also, some data has been suppressed in the 2015 sheet, so we model it as the last three year average</t>
  </si>
  <si>
    <t>Environment Canada</t>
  </si>
  <si>
    <t>2006-2015</t>
  </si>
  <si>
    <t>NIR III</t>
  </si>
  <si>
    <t>http://www.publications.gc.ca/site/eng/9.506002/publication.html</t>
  </si>
  <si>
    <t>Table A11-18/19</t>
  </si>
  <si>
    <t>Therefore here we use the distribution data of Canada to scale the numbers to Alberta. After 2016 the data is essentially constant in the Canadian model, so we assume the same for AB.</t>
  </si>
  <si>
    <t>There is no aluminum production in Alberta. See attached article</t>
  </si>
  <si>
    <t xml:space="preserve">http://www.jamec.ca/en/blog/aluminum-industry-canada/ </t>
  </si>
  <si>
    <t>There is no longer any magnesium production in Canada. See attached article.</t>
  </si>
  <si>
    <t xml:space="preserve">https://www.hatch.com/en/About-Us/Publications/Technical-Papers/2011/10/Magnesium-Metal-Production-in-Canada </t>
  </si>
  <si>
    <t>There is no semiconductor manufacturing in Alberta. See attached article.</t>
  </si>
  <si>
    <t>These numbers are the same as the Canadian EPS</t>
  </si>
  <si>
    <t>These numbers are the same as in the Canadian EPS</t>
  </si>
  <si>
    <t>CO2 (kt)</t>
  </si>
  <si>
    <t>CH4 (kt CO2e)</t>
  </si>
  <si>
    <t>Total (kt CO2e)</t>
  </si>
  <si>
    <t>Notes</t>
  </si>
  <si>
    <t>Fuel combustion</t>
  </si>
  <si>
    <t>Source: 2017 Canada National Inventory Report, 2015 data, pg 45</t>
  </si>
  <si>
    <t>Assume all emissions are CO2</t>
  </si>
  <si>
    <t>1. Production</t>
  </si>
  <si>
    <t>2. Refining</t>
  </si>
  <si>
    <t>Transport</t>
  </si>
  <si>
    <t>Source: 2017 Canada National Inventory Report, crf spreadsheet,Table1.A(a)s3</t>
  </si>
  <si>
    <t>Assume all emissions are CO2. Also assume 50% for oil, 50% for NG</t>
  </si>
  <si>
    <t>Fugitives</t>
  </si>
  <si>
    <t>Source: 2017 Canada National Inventory Report, crf spreadsheet,Table1.B.2</t>
  </si>
  <si>
    <t>1.   Exploration</t>
  </si>
  <si>
    <t>2.   Production</t>
  </si>
  <si>
    <t>3.   Transport</t>
  </si>
  <si>
    <t>4.    Refining/storage</t>
  </si>
  <si>
    <t>5.   Distribution of oil products</t>
  </si>
  <si>
    <t>6.  Other</t>
  </si>
  <si>
    <t></t>
  </si>
  <si>
    <t>Total (check)</t>
  </si>
  <si>
    <t>Historical Canadian Crude Oil Production</t>
  </si>
  <si>
    <t>Historical Canada Crude Oil Supply</t>
  </si>
  <si>
    <t>Note: these volumes include diluent which is not necessarily processed by the refineries</t>
  </si>
  <si>
    <t>Data used</t>
  </si>
  <si>
    <t>Transportation (quantity not EF) - CO2</t>
  </si>
  <si>
    <t>Base Year Inventory Production (thousands barrels)</t>
  </si>
  <si>
    <t>Base Year Inventory Refining (thousands barrels)</t>
  </si>
  <si>
    <t>CO2 (MMt) - Transport</t>
  </si>
  <si>
    <t>Total (Mt CO2e)</t>
  </si>
  <si>
    <t>Domestic: Light Crude</t>
  </si>
  <si>
    <t>Other Material</t>
  </si>
  <si>
    <t>Imports: Heavy Crude</t>
  </si>
  <si>
    <t>Refinery (+Gain/-Loss)</t>
  </si>
  <si>
    <t>Imports: Light Crude</t>
  </si>
  <si>
    <t>Total Feedstock Sources</t>
  </si>
  <si>
    <t>Domestic: Heavy Crude</t>
  </si>
  <si>
    <t>Feedstock Sources</t>
  </si>
  <si>
    <t>Total Feedstock Requirements</t>
  </si>
  <si>
    <t>Receipts from non-reporting companies</t>
  </si>
  <si>
    <t>Deliveries to other reporting companies</t>
  </si>
  <si>
    <t>Receipts from other reporting companies</t>
  </si>
  <si>
    <t>Losses and Adjustments</t>
  </si>
  <si>
    <t>Transfer to Refinery Feedstocks</t>
  </si>
  <si>
    <t>Own Consumption</t>
  </si>
  <si>
    <t>Product Inventory (+Build/-Draw)</t>
  </si>
  <si>
    <t>Product Exports</t>
  </si>
  <si>
    <t>Product Imports</t>
  </si>
  <si>
    <t>Domestic Product Demand</t>
  </si>
  <si>
    <t>Feedstock Requirements</t>
  </si>
  <si>
    <t>Select Appendices: Refinery Balances</t>
  </si>
  <si>
    <t>Emissions Factors for Canadian production (kt/1000 barrels)</t>
  </si>
  <si>
    <t>Canadian emissions in 2015 (kt)</t>
  </si>
  <si>
    <t>Future Projections for Alberta (Thousand Barrels/Year)</t>
  </si>
  <si>
    <t>Alberta Emissions Projections</t>
  </si>
  <si>
    <t>Future Projections for Canada (Thousand Barrels/Year)</t>
  </si>
  <si>
    <t xml:space="preserve">     Crude Oil Production (share of Canada %)</t>
  </si>
  <si>
    <t>Matthew Johnson’s study shows methane are 25%-50% higher in reality in Red Deer area (natural gas and oil production). https://pubs.acs.org/doi/pdf/10.1021/acs.est.7b03525</t>
  </si>
  <si>
    <t>Presentation that suggests a 3.3% leakage rate in certain operations in AB (see slide 7). https://carleton.ca/methanesymposium/wp-content/uploads/2-Zavala-MethaneSymposium.pdf</t>
  </si>
  <si>
    <t>List of studies</t>
  </si>
  <si>
    <t>This analysis uses the midpoint (38%) found in the Johnson et al study.</t>
  </si>
  <si>
    <t xml:space="preserve">Existing studies show a range of actual methane emissions 25-90% higher than reported. </t>
  </si>
  <si>
    <t>Calculated CO2 Emissions Rate (2015)</t>
  </si>
  <si>
    <t>Total CH4 emissions (kt):</t>
  </si>
  <si>
    <t>f. Other</t>
  </si>
  <si>
    <t>e. Distribution</t>
  </si>
  <si>
    <t>d. Transmission and storage</t>
  </si>
  <si>
    <t>c. Processing</t>
  </si>
  <si>
    <t>b. Production</t>
  </si>
  <si>
    <t>a. Exploration</t>
  </si>
  <si>
    <t>Source: 2017 Canada National Inventory Report, 2016 data, pg 45</t>
  </si>
  <si>
    <t>Stationary combustion</t>
  </si>
  <si>
    <t>Sources</t>
  </si>
  <si>
    <t>CH4 (kt CO2E)</t>
  </si>
  <si>
    <t>Calculated CH4 Leakage Rate (2015)</t>
  </si>
  <si>
    <t>m3</t>
  </si>
  <si>
    <t>Density of natural gas</t>
  </si>
  <si>
    <t>kg/m3</t>
  </si>
  <si>
    <t>Data and conversion factors</t>
  </si>
  <si>
    <t>Production (million cubic meters ber year)</t>
  </si>
  <si>
    <t>Alberta production (%)</t>
  </si>
  <si>
    <t>Refinery supply of crude oil and equivalent, monthly</t>
  </si>
  <si>
    <t>Monthly</t>
  </si>
  <si>
    <t>Table: 25-10-0041-01 (formerly CANSIM 134-0001)</t>
  </si>
  <si>
    <t>Geography: Canada</t>
  </si>
  <si>
    <t>Geography</t>
  </si>
  <si>
    <t>Refinery supply of crude oil and equivalent</t>
  </si>
  <si>
    <t>Cubic metres</t>
  </si>
  <si>
    <t>Grand total receipts of crude oil and equivalent 1</t>
  </si>
  <si>
    <t>Total crude and equivalent charged</t>
  </si>
  <si>
    <t>7,808,465r</t>
  </si>
  <si>
    <t>r  : revised</t>
  </si>
  <si>
    <t>x  : suppressed to meet the confidentiality requirements of the Statistics Act</t>
  </si>
  <si>
    <t>Footnotes:</t>
  </si>
  <si>
    <t>Receipts of crude oil and equivalent hydrocarbons (condensate and pentanes plus) for refinery consumption or storage, credited to the province in which the refinery is located.</t>
  </si>
  <si>
    <t>How to cite: Statistics Canada. Table 25-10-0041-01 Refinery supply of crude oil and equivalent, monthly</t>
  </si>
  <si>
    <t>https://www150.statcan.gc.ca/t1/tbl1/en/tv.action?pid=2510004101</t>
  </si>
  <si>
    <t>Source: Statstic Canada</t>
  </si>
  <si>
    <t>Alberta (%)</t>
  </si>
  <si>
    <t>average</t>
  </si>
  <si>
    <t xml:space="preserve">• If estimates are reported under 1.B.2.d. Other, use this documentation box to provide information regarding activities covered under this category and to provide a reference to the section in the NIR where background information can be found. </t>
  </si>
  <si>
    <t xml:space="preserve">• Venting and Flaring: Parties using the IPCC software could report venting and flaring emissions together, indicating this in this documentation box.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</si>
  <si>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</si>
  <si>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</si>
  <si>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</si>
  <si>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r>
      <t xml:space="preserve">(8)  </t>
    </r>
    <r>
      <rPr>
        <sz val="9"/>
        <rFont val="Times New Roman"/>
        <family val="1"/>
      </rPr>
      <t>For emissions from flaring, this table should only be used for reporting of flaring emissions associated with oil/gas extraction and refining.</t>
    </r>
  </si>
  <si>
    <r>
      <t xml:space="preserve">(7)   </t>
    </r>
    <r>
      <rPr>
        <sz val="9"/>
        <rFont val="Times New Roman"/>
        <family val="1"/>
      </rPr>
      <t>If using default emission factors, these categories will include emissions from production other than venting and flaring.</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</si>
  <si>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</si>
  <si>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(5)   </t>
    </r>
    <r>
      <rPr>
        <sz val="9"/>
        <rFont val="Times New Roman"/>
        <family val="1"/>
      </rPr>
      <t xml:space="preserve">The unit of the IEF will depend on the unit of the AD used, and is therefore not specified in this column.  </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</si>
  <si>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</si>
  <si>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t xml:space="preserve"> </t>
  </si>
  <si>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</si>
  <si>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</si>
  <si>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</si>
  <si>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t>.</t>
  </si>
  <si>
    <r>
      <t xml:space="preserve">1.B.2.d. Other </t>
    </r>
    <r>
      <rPr>
        <b/>
        <i/>
        <sz val="9"/>
        <rFont val="Times New Roman"/>
        <family val="1"/>
      </rPr>
      <t>(please specify)</t>
    </r>
    <r>
      <rPr>
        <b/>
        <vertAlign val="superscript"/>
        <sz val="9"/>
        <rFont val="Times New Roman"/>
        <family val="1"/>
      </rPr>
      <t>(9)</t>
    </r>
  </si>
  <si>
    <t>number</t>
  </si>
  <si>
    <t>Number of wells drilled</t>
  </si>
  <si>
    <t>iii.  Combined</t>
  </si>
  <si>
    <t>Gl</t>
  </si>
  <si>
    <t>Flared Gas</t>
  </si>
  <si>
    <t>ii.   Gas</t>
  </si>
  <si>
    <t>i.    Oil</t>
  </si>
  <si>
    <r>
      <t>Flaring</t>
    </r>
    <r>
      <rPr>
        <b/>
        <vertAlign val="superscript"/>
        <sz val="9"/>
        <rFont val="Times New Roman"/>
        <family val="1"/>
      </rPr>
      <t>(8)</t>
    </r>
  </si>
  <si>
    <t>Gross new production of Natural Gas</t>
  </si>
  <si>
    <t>10^3 m^3</t>
  </si>
  <si>
    <t>Total crude oil production</t>
  </si>
  <si>
    <r>
      <t>1. B. 2. c. Venting</t>
    </r>
    <r>
      <rPr>
        <b/>
        <vertAlign val="superscript"/>
        <sz val="9"/>
        <rFont val="Times New Roman"/>
        <family val="1"/>
      </rPr>
      <t xml:space="preserve"> </t>
    </r>
    <r>
      <rPr>
        <b/>
        <sz val="9"/>
        <rFont val="Times New Roman"/>
        <family val="1"/>
      </rPr>
      <t>and flaring</t>
    </r>
  </si>
  <si>
    <t>Number of Spills + Total Wells</t>
  </si>
  <si>
    <t>6.   Other</t>
  </si>
  <si>
    <t>km</t>
  </si>
  <si>
    <t>Distribution - Cubic Metre KM</t>
  </si>
  <si>
    <t>5.  Distribution</t>
  </si>
  <si>
    <t>Transmission - Cubic Metre KM</t>
  </si>
  <si>
    <t>4.   Transmission and storage</t>
  </si>
  <si>
    <t>3.   Processing</t>
  </si>
  <si>
    <r>
      <t>2.   Production</t>
    </r>
    <r>
      <rPr>
        <vertAlign val="superscript"/>
        <sz val="9"/>
        <rFont val="Times New Roman"/>
        <family val="1"/>
      </rPr>
      <t>(7)</t>
    </r>
  </si>
  <si>
    <t>1. B. 2. b. Natural gas</t>
  </si>
  <si>
    <t>TJ</t>
  </si>
  <si>
    <t>Refinery energy consumption</t>
  </si>
  <si>
    <t>Total Crude Oil Production</t>
  </si>
  <si>
    <r>
      <t>1. B. 2. a. Oil</t>
    </r>
    <r>
      <rPr>
        <b/>
        <vertAlign val="superscript"/>
        <sz val="9"/>
        <rFont val="Times New Roman"/>
        <family val="1"/>
      </rPr>
      <t>(6)</t>
    </r>
  </si>
  <si>
    <r>
      <t>(kg/unit)</t>
    </r>
    <r>
      <rPr>
        <b/>
        <vertAlign val="superscript"/>
        <sz val="9"/>
        <rFont val="Times New Roman"/>
        <family val="1"/>
      </rPr>
      <t xml:space="preserve"> (5)</t>
    </r>
  </si>
  <si>
    <t xml:space="preserve">Amount captured </t>
  </si>
  <si>
    <r>
      <t>Emissions</t>
    </r>
    <r>
      <rPr>
        <b/>
        <vertAlign val="superscript"/>
        <sz val="9"/>
        <rFont val="Times New Roman"/>
        <family val="1"/>
      </rPr>
      <t>(3)</t>
    </r>
  </si>
  <si>
    <r>
      <t>CH</t>
    </r>
    <r>
      <rPr>
        <b/>
        <vertAlign val="subscript"/>
        <sz val="9"/>
        <rFont val="Times New Roman"/>
        <family val="1"/>
      </rPr>
      <t xml:space="preserve">4 </t>
    </r>
    <r>
      <rPr>
        <b/>
        <vertAlign val="superscript"/>
        <sz val="9"/>
        <rFont val="Times New Roman"/>
        <family val="1"/>
      </rPr>
      <t xml:space="preserve">(4) </t>
    </r>
  </si>
  <si>
    <r>
      <t>CO</t>
    </r>
    <r>
      <rPr>
        <b/>
        <vertAlign val="subscript"/>
        <sz val="9"/>
        <rFont val="Times New Roman"/>
        <family val="1"/>
      </rPr>
      <t>2</t>
    </r>
    <r>
      <rPr>
        <b/>
        <vertAlign val="superscript"/>
        <sz val="9"/>
        <rFont val="Times New Roman"/>
        <family val="1"/>
      </rPr>
      <t>(2)</t>
    </r>
  </si>
  <si>
    <r>
      <t>Unit</t>
    </r>
    <r>
      <rPr>
        <b/>
        <vertAlign val="superscript"/>
        <sz val="9"/>
        <rFont val="Times New Roman"/>
        <family val="1"/>
      </rPr>
      <t>(1)</t>
    </r>
  </si>
  <si>
    <r>
      <t>Description</t>
    </r>
    <r>
      <rPr>
        <b/>
        <vertAlign val="superscript"/>
        <sz val="9"/>
        <rFont val="Times New Roman"/>
        <family val="1"/>
      </rPr>
      <t>(1)</t>
    </r>
  </si>
  <si>
    <t xml:space="preserve">    IMPLIED EMISSION FACTORS</t>
  </si>
  <si>
    <r>
      <t>ACTIVITY  DATA</t>
    </r>
    <r>
      <rPr>
        <b/>
        <vertAlign val="superscript"/>
        <sz val="9"/>
        <rFont val="Times New Roman"/>
        <family val="1"/>
      </rPr>
      <t>(1)</t>
    </r>
  </si>
  <si>
    <t>Oil, natural gas and other emissions from energy production</t>
  </si>
  <si>
    <t>TABLE 1.B.2  SECTORAL BACKGROUND DATA FOR ENERGY</t>
  </si>
  <si>
    <t>Source: ECCC, National Inventory Report (CRF submission)</t>
  </si>
  <si>
    <t>Total (process emissions ONLY)</t>
  </si>
  <si>
    <t>Note: CH4 emissions from flaring is due to uncomplete combustion</t>
  </si>
  <si>
    <t>Rationale and sources justifying potential accounting for underreported emissions</t>
  </si>
  <si>
    <t>ECCC, 2017 Canada National Inventory Report, crf spreadsheet,Table1.B.2</t>
  </si>
  <si>
    <t>Gross new production of Natural Gas (2015)</t>
  </si>
  <si>
    <t>Note: calculated on gross natural gas production</t>
  </si>
  <si>
    <t>Crude Oil Production associated with above process emissions (Annual-Thousand Barrels)</t>
  </si>
  <si>
    <t>Source: NEB</t>
  </si>
  <si>
    <t>Heavy Crude Oil Cold Production</t>
  </si>
  <si>
    <t>Heavy Crude Oil Thermal Production</t>
  </si>
  <si>
    <t>Light/Medium Crude Oil Production</t>
  </si>
  <si>
    <t>Oilsands mining</t>
  </si>
  <si>
    <t>Upgrading</t>
  </si>
  <si>
    <t>Jurisdiction</t>
  </si>
  <si>
    <t>Reference year</t>
  </si>
  <si>
    <t>Production (10^3 bbl/yr)</t>
  </si>
  <si>
    <t>CO2 (Mt)</t>
  </si>
  <si>
    <t>CH4 (Mt)</t>
  </si>
  <si>
    <t>CH4 (Mt CO2e)</t>
  </si>
  <si>
    <t>GHG (Mt CO2e)</t>
  </si>
  <si>
    <t>EF, CO2 (Mt/10^3 bbl/yr)</t>
  </si>
  <si>
    <t>EF, CH4 (Mt CO2e/10^3 bbl/yr)</t>
  </si>
  <si>
    <t>Sector</t>
  </si>
  <si>
    <t>Upgraded Bitumen</t>
  </si>
  <si>
    <t>NG production and processing</t>
  </si>
  <si>
    <t>NG transport</t>
  </si>
  <si>
    <t xml:space="preserve">Canada </t>
  </si>
  <si>
    <t>from June 2017 ECCC presentation on methane regulations</t>
  </si>
  <si>
    <t>Estimated</t>
  </si>
  <si>
    <t>2012 In-situ methane emissions (MT CO2e)</t>
  </si>
  <si>
    <t>Total oilsands methane (Mt CO2e))</t>
  </si>
  <si>
    <t>2012 Refining methane emissions (MT CO2e)</t>
  </si>
  <si>
    <t>Estimates of oilsands mining and refining methane emissions</t>
  </si>
  <si>
    <t>Region</t>
  </si>
  <si>
    <t>CH4 - fugitives and venting</t>
  </si>
  <si>
    <t>CO2 - flaring, fugitives, venting, and formation CO2</t>
  </si>
  <si>
    <t>Note: oilsands mining and upgrading methane emissions split 50:50</t>
  </si>
  <si>
    <t>Estimate above</t>
  </si>
  <si>
    <t>Oilsands mining and upgrading methane total (Mt)</t>
  </si>
  <si>
    <t>Data source, emissons</t>
  </si>
  <si>
    <t>Clearstone 2014 UOG inventory, 2010 data</t>
  </si>
  <si>
    <t>Estimated from 2017 NIR data (calculations above)</t>
  </si>
  <si>
    <t>Production (MMm3/yr)</t>
  </si>
  <si>
    <t>EF, CO2 (Mt MMm3/yr)</t>
  </si>
  <si>
    <t>EF, CH4 (Mt CO2e/MMm3/yr)</t>
  </si>
  <si>
    <t>2014 Clearstone UOG inventory, 2010 provincial data</t>
  </si>
  <si>
    <t>2014 Clearstone UOG inventory, 2011 national data</t>
  </si>
  <si>
    <t>For comparison only - good match w/ NIR emission factor above</t>
  </si>
  <si>
    <t>CO2 Emissions (Mt)</t>
  </si>
  <si>
    <t>Emisssion intensity (Mt/MMm3)</t>
  </si>
  <si>
    <t>For comparison, emission factors from 2014 Clearstone UOG inventory, based on 2011 national data</t>
  </si>
  <si>
    <t>Subtotal per phase (fugitive/venting/flaring emissions only)</t>
  </si>
  <si>
    <t>Superceded by sector emission factors below</t>
  </si>
  <si>
    <t>Used</t>
  </si>
  <si>
    <t>CH4 (Mt CO2e)_check</t>
  </si>
  <si>
    <t>Total methane (Mt CO2e)_check</t>
  </si>
  <si>
    <t>EF, CH4 (Mt CH4/MMm3/yr)</t>
  </si>
  <si>
    <t>EF, CH4 (Mt CH4/10^3 bbl/yr)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</si>
</sst>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_(* \(#,##0.00\);_(* &quot;-&quot;??_);_(@_)"/>
    <numFmt numFmtId="164" formatCode="_-* #,##0.00_-;\-* #,##0.00_-;_-* &quot;-&quot;??_-;_-@_-"/>
    <numFmt numFmtId="165" formatCode="###0.0;###0.0"/>
    <numFmt numFmtId="166" formatCode="###0;###0"/>
    <numFmt numFmtId="167" formatCode="#,##0.0"/>
    <numFmt numFmtId="168" formatCode="0.0"/>
    <numFmt numFmtId="169" formatCode="0.0000"/>
    <numFmt numFmtId="170" formatCode="0.000E+00"/>
    <numFmt numFmtId="171" formatCode="_-* #,##0_-;\-* #,##0_-;_-* &quot;-&quot;??_-;_-@_-"/>
    <numFmt numFmtId="172" formatCode="#,##0;\-#,##0;\-\ "/>
    <numFmt numFmtId="173" formatCode="#,##0.000_ ;\-#,##0.000\ "/>
    <numFmt numFmtId="174" formatCode="#,##0.000"/>
    <numFmt numFmtId="175" formatCode="_(* #,##0_);_(* \(#,##0\);_(* &quot;-&quot;??_);_(@_)"/>
    <numFmt numFmtId="176" formatCode="[$-409]m/d/yy\ h:mm\ AM/PM;@"/>
    <numFmt numFmtId="177" formatCode="#,##0.0000"/>
    <numFmt numFmtId="178" formatCode="#,##0.00_ ;\-#,##0.00\ "/>
    <numFmt numFmtId="179" formatCode="0.000"/>
    <numFmt numFmtId="180" formatCode="_(* #,##0.0_);_(* \(#,##0.0\);_(* &quot;-&quot;??_);_(@_)"/>
    <numFmt numFmtId="181" formatCode="0.0%"/>
  </numFmts>
  <fonts count="98">
    <font>
      <sz val="11"/>
      <color theme="1"/>
      <name val="Calibri"/>
      <family val="2"/>
      <scheme val="minor"/>
    </font>
    <font>
      <b/>
      <sz val="11"/>
      <color theme="1"/>
      <name val="Calibri"/>
      <family val="2"/>
      <scheme val="minor"/>
    </font>
    <font>
      <u/>
      <sz val="11"/>
      <color theme="10"/>
      <name val="Calibri"/>
      <family val="2"/>
      <scheme val="minor"/>
    </font>
    <font>
      <sz val="9"/>
      <color indexed="8"/>
      <name val="Calibri"/>
      <family val="2"/>
    </font>
    <font>
      <b/>
      <sz val="9"/>
      <color indexed="8"/>
      <name val="Calibri"/>
      <family val="2"/>
    </font>
    <font>
      <sz val="10"/>
      <color indexed="8"/>
      <name val="Arial"/>
      <family val="2"/>
    </font>
    <font>
      <sz val="8"/>
      <name val="Arial"/>
      <family val="2"/>
    </font>
    <font>
      <b/>
      <sz val="12"/>
      <color indexed="30"/>
      <name val="Calibri"/>
      <family val="2"/>
    </font>
    <font>
      <b/>
      <sz val="9"/>
      <name val="Times New Roman"/>
      <family val="1"/>
    </font>
    <font>
      <b/>
      <sz val="9"/>
      <color rgb="FF000000"/>
      <name val="Times New Roman"/>
      <family val="2"/>
    </font>
    <font>
      <sz val="9"/>
      <name val="Times New Roman"/>
      <family val="1"/>
    </font>
    <font>
      <sz val="11"/>
      <color theme="1"/>
      <name val="Calibri"/>
      <family val="2"/>
      <scheme val="minor"/>
    </font>
    <font>
      <i/>
      <sz val="11"/>
      <color theme="1"/>
      <name val="Calibri"/>
      <family val="2"/>
      <scheme val="minor"/>
    </font>
    <font>
      <sz val="10"/>
      <name val="Arial"/>
      <family val="2"/>
    </font>
    <font>
      <sz val="11"/>
      <color rgb="FFFF0000"/>
      <name val="Calibri"/>
      <family val="2"/>
      <scheme val="minor"/>
    </font>
    <font>
      <sz val="11"/>
      <name val="Calibri"/>
      <family val="2"/>
      <scheme val="minor"/>
    </font>
    <font>
      <sz val="12"/>
      <color theme="1"/>
      <name val="Calibri"/>
      <family val="2"/>
      <scheme val="minor"/>
    </font>
    <font>
      <sz val="11"/>
      <color theme="1"/>
      <name val="Calibri"/>
      <family val="2"/>
    </font>
    <font>
      <b/>
      <sz val="11"/>
      <color theme="1"/>
      <name val="Calibri"/>
      <family val="2"/>
    </font>
    <font>
      <sz val="11"/>
      <color rgb="FF000000"/>
      <name val="Calibri"/>
      <family val="2"/>
      <scheme val="minor"/>
    </font>
    <font>
      <u/>
      <sz val="11"/>
      <color theme="1"/>
      <name val="Calibri"/>
      <family val="2"/>
    </font>
    <font>
      <i/>
      <sz val="11"/>
      <color theme="1"/>
      <name val="Calibri"/>
      <family val="2"/>
    </font>
    <font>
      <i/>
      <sz val="11"/>
      <name val="Calibri"/>
      <family val="2"/>
    </font>
    <font>
      <sz val="11"/>
      <name val="Calibri"/>
      <family val="2"/>
    </font>
    <font>
      <u/>
      <sz val="11"/>
      <color theme="1"/>
      <name val="Calibri"/>
      <family val="2"/>
      <scheme val="minor"/>
    </font>
    <font>
      <u/>
      <sz val="10"/>
      <color indexed="12"/>
      <name val="Arial"/>
      <family val="2"/>
    </font>
    <font>
      <b/>
      <sz val="11"/>
      <name val="Calibri"/>
      <family val="2"/>
      <scheme val="minor"/>
    </font>
    <font>
      <i/>
      <sz val="9"/>
      <name val="Times New Roman"/>
      <family val="1"/>
    </font>
    <font>
      <sz val="11"/>
      <color rgb="FF000000"/>
      <name val="Calibri"/>
      <family val="2"/>
    </font>
    <font>
      <b/>
      <sz val="14"/>
      <color rgb="FF000000"/>
      <name val="Calibri"/>
      <family val="2"/>
    </font>
    <font>
      <b/>
      <sz val="16"/>
      <color rgb="FF000000"/>
      <name val="Calibri"/>
      <family val="2"/>
    </font>
    <font>
      <b/>
      <sz val="14"/>
      <name val="Arial"/>
      <family val="2"/>
    </font>
    <font>
      <b/>
      <sz val="8"/>
      <name val="Arial"/>
      <family val="2"/>
    </font>
    <font>
      <sz val="8"/>
      <color indexed="8"/>
      <name val="Arial"/>
      <family val="2"/>
    </font>
    <font>
      <sz val="14"/>
      <name val="Arial"/>
      <family val="2"/>
    </font>
    <font>
      <b/>
      <sz val="12"/>
      <name val="Times New Roman"/>
      <family val="1"/>
    </font>
    <font>
      <sz val="9"/>
      <color indexed="8"/>
      <name val="Times New Roman"/>
      <family val="1"/>
    </font>
    <font>
      <sz val="12"/>
      <name val="Times New Roman"/>
      <family val="1"/>
    </font>
    <font>
      <b/>
      <i/>
      <sz val="9"/>
      <name val="Times New Roman"/>
      <family val="1"/>
    </font>
    <font>
      <b/>
      <vertAlign val="superscript"/>
      <sz val="9"/>
      <name val="Times New Roman"/>
      <family val="1"/>
    </font>
    <font>
      <vertAlign val="superscript"/>
      <sz val="9"/>
      <name val="Times New Roman"/>
      <family val="1"/>
    </font>
    <font>
      <vertAlign val="subscript"/>
      <sz val="9"/>
      <name val="Times New Roman"/>
      <family val="1"/>
    </font>
    <font>
      <b/>
      <vertAlign val="subscript"/>
      <sz val="9"/>
      <name val="Times New Roman"/>
      <family val="1"/>
    </font>
    <font>
      <b/>
      <vertAlign val="subscript"/>
      <sz val="12"/>
      <name val="Times New Roman"/>
      <family val="1"/>
    </font>
    <font>
      <sz val="12"/>
      <color theme="1"/>
      <name val="Arial"/>
      <family val="2"/>
    </font>
    <font>
      <b/>
      <sz val="11"/>
      <name val="Arial"/>
      <family val="2"/>
    </font>
    <font>
      <sz val="11"/>
      <name val="Arial"/>
      <family val="2"/>
    </font>
    <font>
      <b/>
      <sz val="10"/>
      <color indexed="8"/>
      <name val="Arial"/>
      <family val="2"/>
    </font>
    <font>
      <b/>
      <vertAlign val="subscript"/>
      <sz val="10"/>
      <color indexed="8"/>
      <name val="Arial"/>
      <family val="2"/>
    </font>
    <font>
      <b/>
      <sz val="10"/>
      <name val="Arial"/>
      <family val="2"/>
    </font>
    <font>
      <b/>
      <vertAlign val="superscript"/>
      <sz val="10"/>
      <name val="Arial"/>
      <family val="2"/>
    </font>
    <font>
      <b/>
      <vertAlign val="subscript"/>
      <sz val="10"/>
      <name val="Arial"/>
      <family val="2"/>
    </font>
    <font>
      <i/>
      <sz val="10"/>
      <color indexed="8"/>
      <name val="Arial"/>
      <family val="2"/>
    </font>
    <font>
      <i/>
      <sz val="8"/>
      <color indexed="8"/>
      <name val="Arial"/>
      <family val="2"/>
    </font>
    <font>
      <i/>
      <sz val="10"/>
      <name val="Arial"/>
      <family val="2"/>
    </font>
    <font>
      <vertAlign val="subscript"/>
      <sz val="8"/>
      <color indexed="8"/>
      <name val="Arial"/>
      <family val="2"/>
    </font>
    <font>
      <b/>
      <sz val="11"/>
      <color rgb="FF000080"/>
      <name val="Arial"/>
      <family val="2"/>
    </font>
    <font>
      <sz val="11"/>
      <color indexed="18"/>
      <name val="Arial"/>
      <family val="2"/>
    </font>
    <font>
      <sz val="11"/>
      <color theme="1"/>
      <name val="Arial"/>
      <family val="2"/>
    </font>
    <font>
      <b/>
      <sz val="10"/>
      <color indexed="18"/>
      <name val="Arial"/>
      <family val="2"/>
    </font>
    <font>
      <sz val="10"/>
      <color indexed="18"/>
      <name val="Arial"/>
      <family val="2"/>
    </font>
    <font>
      <b/>
      <sz val="10"/>
      <color rgb="FF000080"/>
      <name val="Arial"/>
      <family val="2"/>
    </font>
    <font>
      <b/>
      <sz val="10"/>
      <color theme="1"/>
      <name val="Arial"/>
      <family val="2"/>
    </font>
    <font>
      <sz val="9"/>
      <name val="Arial"/>
      <family val="2"/>
    </font>
    <font>
      <sz val="10"/>
      <color theme="1"/>
      <name val="Arial"/>
      <family val="2"/>
    </font>
    <font>
      <sz val="9"/>
      <color theme="1"/>
      <name val="Arial"/>
      <family val="2"/>
    </font>
    <font>
      <sz val="10"/>
      <color indexed="12"/>
      <name val="Arial"/>
      <family val="2"/>
    </font>
    <font>
      <sz val="9"/>
      <color indexed="10"/>
      <name val="Arial"/>
      <family val="2"/>
    </font>
    <font>
      <vertAlign val="subscript"/>
      <sz val="9"/>
      <name val="Arial"/>
      <family val="2"/>
    </font>
    <font>
      <u/>
      <sz val="10"/>
      <color theme="10"/>
      <name val="MS Sans Serif"/>
      <family val="2"/>
    </font>
    <font>
      <i/>
      <sz val="11"/>
      <name val="Calibri"/>
      <family val="2"/>
      <scheme val="minor"/>
    </font>
    <font>
      <b/>
      <sz val="11"/>
      <color rgb="FF000000"/>
      <name val="Calibri"/>
      <family val="2"/>
    </font>
    <font>
      <vertAlign val="subscript"/>
      <sz val="10"/>
      <name val="Arial"/>
      <family val="2"/>
    </font>
    <font>
      <vertAlign val="subscript"/>
      <sz val="10"/>
      <name val="Calibri"/>
      <family val="2"/>
      <scheme val="minor"/>
    </font>
    <font>
      <b/>
      <sz val="9"/>
      <name val="Arial"/>
      <family val="2"/>
    </font>
    <font>
      <b/>
      <sz val="12"/>
      <color theme="1"/>
      <name val="Arial"/>
      <family val="2"/>
    </font>
    <font>
      <b/>
      <sz val="11"/>
      <color indexed="18"/>
      <name val="Arial"/>
      <family val="2"/>
    </font>
    <font>
      <sz val="11"/>
      <color theme="0"/>
      <name val="Calibri"/>
      <family val="2"/>
      <scheme val="minor"/>
    </font>
    <font>
      <b/>
      <sz val="12.1"/>
      <color theme="0"/>
      <name val="Calibri"/>
      <family val="2"/>
      <scheme val="minor"/>
    </font>
    <font>
      <b/>
      <sz val="6"/>
      <color theme="0"/>
      <name val="Calibri"/>
      <family val="2"/>
      <scheme val="minor"/>
    </font>
    <font>
      <b/>
      <sz val="7"/>
      <color theme="0"/>
      <name val="Arial"/>
      <family val="2"/>
    </font>
    <font>
      <sz val="7"/>
      <color theme="0"/>
      <name val="Arial"/>
      <family val="2"/>
    </font>
    <font>
      <b/>
      <u/>
      <sz val="10"/>
      <name val="Arial"/>
      <family val="2"/>
    </font>
    <font>
      <b/>
      <i/>
      <sz val="10"/>
      <name val="Arial"/>
      <family val="2"/>
    </font>
    <font>
      <b/>
      <i/>
      <sz val="11"/>
      <name val="Arial"/>
      <family val="2"/>
    </font>
    <font>
      <sz val="12"/>
      <color rgb="FFFF0000"/>
      <name val="Arial"/>
      <family val="2"/>
    </font>
    <font>
      <u/>
      <sz val="10"/>
      <color rgb="FF0000FF"/>
      <name val="Arial"/>
      <family val="2"/>
    </font>
    <font>
      <sz val="10"/>
      <color rgb="FFFF0000"/>
      <name val="Arial"/>
      <family val="2"/>
    </font>
    <font>
      <vertAlign val="subscript"/>
      <sz val="10"/>
      <color theme="1"/>
      <name val="Arial"/>
      <family val="2"/>
    </font>
    <font>
      <b/>
      <i/>
      <u/>
      <sz val="11"/>
      <color theme="1"/>
      <name val="Calibri"/>
      <family val="2"/>
      <scheme val="minor"/>
    </font>
    <font>
      <sz val="9"/>
      <color theme="0"/>
      <name val="Times New Roman"/>
      <family val="1"/>
    </font>
    <font>
      <b/>
      <sz val="11"/>
      <color theme="1"/>
      <name val="Arial"/>
      <family val="2"/>
    </font>
    <font>
      <b/>
      <sz val="11"/>
      <color rgb="FF000000"/>
      <name val="Arial"/>
      <family val="2"/>
    </font>
    <font>
      <sz val="11"/>
      <color rgb="FF000000"/>
      <name val="Arial"/>
      <family val="2"/>
    </font>
    <font>
      <b/>
      <sz val="11"/>
      <color rgb="FF000000"/>
      <name val="Calibri"/>
      <family val="2"/>
      <scheme val="minor"/>
    </font>
    <font>
      <b/>
      <sz val="10"/>
      <color theme="1"/>
      <name val="Calibri"/>
      <family val="2"/>
      <scheme val="minor"/>
    </font>
    <font>
      <sz val="10"/>
      <color theme="1"/>
      <name val="Calibri"/>
      <family val="2"/>
      <scheme val="minor"/>
    </font>
    <font>
      <u/>
      <sz val="11"/>
      <color rgb="FF000000"/>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indexed="9"/>
        <bgColor indexed="64"/>
      </patternFill>
    </fill>
    <fill>
      <patternFill patternType="solid">
        <fgColor rgb="FFFFCC99"/>
      </patternFill>
    </fill>
    <fill>
      <patternFill patternType="solid">
        <fgColor rgb="FFFFFFFF"/>
      </patternFill>
    </fill>
    <fill>
      <patternFill patternType="solid">
        <fgColor rgb="FFCCFFCC"/>
      </patternFill>
    </fill>
    <fill>
      <patternFill patternType="solid">
        <fgColor theme="9"/>
        <bgColor indexed="64"/>
      </patternFill>
    </fill>
    <fill>
      <patternFill patternType="solid">
        <fgColor indexed="42"/>
        <bgColor indexed="64"/>
      </patternFill>
    </fill>
    <fill>
      <patternFill patternType="solid">
        <fgColor indexed="47"/>
        <bgColor indexed="64"/>
      </patternFill>
    </fill>
    <fill>
      <patternFill patternType="solid">
        <fgColor rgb="FF969696"/>
      </patternFill>
    </fill>
    <fill>
      <patternFill patternType="solid">
        <fgColor indexed="55"/>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rgb="FFC00000"/>
        <bgColor indexed="64"/>
      </patternFill>
    </fill>
    <fill>
      <patternFill patternType="solid">
        <fgColor theme="0"/>
        <bgColor indexed="64"/>
      </patternFill>
    </fill>
    <fill>
      <patternFill patternType="solid">
        <fgColor indexed="44"/>
        <bgColor indexed="64"/>
      </patternFill>
    </fill>
    <fill>
      <patternFill patternType="solid">
        <fgColor indexed="13"/>
        <bgColor indexed="64"/>
      </patternFill>
    </fill>
    <fill>
      <patternFill patternType="solid">
        <fgColor rgb="FFFF00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39997558519241921"/>
        <bgColor indexed="64"/>
      </patternFill>
    </fill>
  </fills>
  <borders count="45">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style="thin">
        <color rgb="FF000000"/>
      </top>
      <bottom style="thin">
        <color rgb="FF00000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indexed="22"/>
      </bottom>
      <diagonal/>
    </border>
    <border>
      <left/>
      <right/>
      <top/>
      <bottom style="thin">
        <color indexed="8"/>
      </bottom>
      <diagonal/>
    </border>
    <border>
      <left style="thin">
        <color auto="1"/>
      </left>
      <right style="thin">
        <color auto="1"/>
      </right>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top/>
      <bottom style="medium">
        <color auto="1"/>
      </bottom>
      <diagonal/>
    </border>
    <border>
      <left/>
      <right/>
      <top style="medium">
        <color auto="1"/>
      </top>
      <bottom/>
      <diagonal/>
    </border>
    <border>
      <left style="thin">
        <color auto="1"/>
      </left>
      <right style="thin">
        <color auto="1"/>
      </right>
      <top style="double">
        <color auto="1"/>
      </top>
      <bottom/>
      <diagonal/>
    </border>
    <border>
      <left/>
      <right style="thin">
        <color auto="1"/>
      </right>
      <top/>
      <bottom/>
      <diagonal/>
    </border>
    <border>
      <left style="thin">
        <color auto="1"/>
      </left>
      <right/>
      <top/>
      <bottom style="double">
        <color auto="1"/>
      </bottom>
      <diagonal/>
    </border>
    <border>
      <left/>
      <right style="thin">
        <color auto="1"/>
      </right>
      <top/>
      <bottom style="double">
        <color auto="1"/>
      </bottom>
      <diagonal/>
    </border>
    <border>
      <left style="thin">
        <color auto="1"/>
      </left>
      <right/>
      <top/>
      <bottom/>
      <diagonal/>
    </border>
    <border>
      <left/>
      <right/>
      <top/>
      <bottom style="double">
        <color indexed="18"/>
      </bottom>
      <diagonal/>
    </border>
    <border>
      <left/>
      <right/>
      <top/>
      <bottom style="thin">
        <color rgb="FF000080"/>
      </bottom>
      <diagonal/>
    </border>
    <border>
      <left/>
      <right/>
      <top style="thin">
        <color rgb="FF000080"/>
      </top>
      <bottom/>
      <diagonal/>
    </border>
    <border>
      <left style="medium">
        <color rgb="FFDDDDDD"/>
      </left>
      <right style="medium">
        <color rgb="FFDDDDDD"/>
      </right>
      <top/>
      <bottom style="medium">
        <color rgb="FFDDDDDD"/>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right/>
      <top/>
      <bottom style="medium">
        <color rgb="FFDDDDDD"/>
      </bottom>
      <diagonal/>
    </border>
    <border>
      <left/>
      <right/>
      <top/>
      <bottom style="thin">
        <color indexed="18"/>
      </bottom>
      <diagonal/>
    </border>
    <border>
      <left/>
      <right/>
      <top/>
      <bottom style="thin">
        <color auto="1"/>
      </bottom>
      <diagonal/>
    </border>
    <border>
      <left/>
      <right/>
      <top style="thin">
        <color auto="1"/>
      </top>
      <bottom style="medium">
        <color auto="1"/>
      </bottom>
      <diagonal/>
    </border>
    <border>
      <left style="thin">
        <color auto="1"/>
      </left>
      <right/>
      <top style="double">
        <color auto="1"/>
      </top>
      <bottom style="thin">
        <color auto="1"/>
      </bottom>
      <diagonal/>
    </border>
    <border>
      <left/>
      <right/>
      <top style="thin">
        <color auto="1"/>
      </top>
      <bottom style="thin">
        <color auto="1"/>
      </bottom>
      <diagonal/>
    </border>
    <border>
      <left style="medium">
        <color auto="1"/>
      </left>
      <right/>
      <top/>
      <bottom/>
      <diagonal/>
    </border>
    <border>
      <left style="medium">
        <color auto="1"/>
      </left>
      <right/>
      <top style="medium">
        <color auto="1"/>
      </top>
      <bottom/>
      <diagonal/>
    </border>
  </borders>
  <cellStyleXfs count="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7" fillId="0" borderId="0" applyNumberFormat="0" applyProtection="0">
      <alignment horizontal="left"/>
    </xf>
    <xf numFmtId="0" fontId="4" fillId="0" borderId="2" applyNumberFormat="0" applyProtection="0">
      <alignment wrapText="1"/>
    </xf>
    <xf numFmtId="0" fontId="3" fillId="0" borderId="3" applyNumberFormat="0" applyFont="0" applyProtection="0">
      <alignment wrapText="1"/>
    </xf>
    <xf numFmtId="0" fontId="3" fillId="0" borderId="4" applyNumberFormat="0" applyProtection="0">
      <alignment wrapText="1"/>
    </xf>
    <xf numFmtId="9" fontId="11" fillId="0" borderId="0" applyFont="0" applyFill="0" applyBorder="0" applyAlignment="0" applyProtection="0"/>
    <xf numFmtId="0" fontId="13" fillId="0" borderId="0"/>
    <xf numFmtId="0" fontId="13" fillId="0" borderId="0" applyNumberFormat="0" applyFont="0" applyFill="0" applyBorder="0" applyProtection="0">
      <alignment horizontal="left" vertical="center" indent="2"/>
    </xf>
    <xf numFmtId="0" fontId="10" fillId="0" borderId="0"/>
    <xf numFmtId="0" fontId="16" fillId="0" borderId="0"/>
    <xf numFmtId="0" fontId="3" fillId="0" borderId="0"/>
    <xf numFmtId="0" fontId="25" fillId="0" borderId="0" applyNumberFormat="0" applyFill="0" applyBorder="0" applyAlignment="0" applyProtection="0"/>
    <xf numFmtId="43" fontId="11" fillId="0" borderId="0" applyFont="0" applyFill="0" applyBorder="0" applyAlignment="0" applyProtection="0"/>
    <xf numFmtId="0" fontId="28" fillId="0" borderId="0" applyBorder="0"/>
    <xf numFmtId="0" fontId="35" fillId="0" borderId="0" applyNumberFormat="0" applyFill="0" applyBorder="0" applyAlignment="0" applyProtection="0"/>
    <xf numFmtId="0" fontId="36" fillId="0" borderId="0" applyNumberFormat="0">
      <alignment horizontal="right"/>
    </xf>
    <xf numFmtId="0" fontId="13" fillId="0" borderId="24"/>
    <xf numFmtId="0" fontId="13" fillId="14" borderId="0" applyNumberFormat="0" applyFont="0" applyBorder="0" applyAlignment="0" applyProtection="0"/>
    <xf numFmtId="0" fontId="8" fillId="0" borderId="0" applyNumberFormat="0" applyFill="0" applyBorder="0" applyProtection="0">
      <alignment horizontal="left" vertical="center"/>
    </xf>
    <xf numFmtId="0" fontId="13" fillId="0" borderId="25"/>
    <xf numFmtId="0" fontId="13" fillId="0" borderId="0" applyNumberFormat="0" applyFont="0" applyFill="0" applyBorder="0" applyProtection="0">
      <alignment horizontal="left" vertical="center" indent="5"/>
    </xf>
    <xf numFmtId="4" fontId="10" fillId="0" borderId="0"/>
    <xf numFmtId="0" fontId="44" fillId="0" borderId="0"/>
    <xf numFmtId="0" fontId="13" fillId="0" borderId="0"/>
    <xf numFmtId="43" fontId="13" fillId="0" borderId="0" applyFont="0" applyFill="0" applyBorder="0" applyAlignment="0" applyProtection="0"/>
    <xf numFmtId="0" fontId="13" fillId="0" borderId="0"/>
    <xf numFmtId="0" fontId="13" fillId="0" borderId="0"/>
    <xf numFmtId="0" fontId="69" fillId="0" borderId="0" applyNumberFormat="0" applyFill="0" applyBorder="0" applyAlignment="0" applyProtection="0"/>
  </cellStyleXfs>
  <cellXfs count="612">
    <xf numFmtId="0" fontId="0" fillId="0" borderId="0" xfId="0"/>
    <xf numFmtId="1" fontId="0" fillId="0" borderId="0" xfId="0" applyNumberFormat="1"/>
    <xf numFmtId="0" fontId="2" fillId="0" borderId="0" xfId="1"/>
    <xf numFmtId="0" fontId="6" fillId="0" borderId="0" xfId="0" applyFont="1"/>
    <xf numFmtId="166" fontId="9" fillId="0" borderId="5" xfId="0" applyNumberFormat="1" applyFont="1" applyFill="1" applyBorder="1" applyAlignment="1">
      <alignment horizontal="left" vertical="top" wrapText="1"/>
    </xf>
    <xf numFmtId="0" fontId="1" fillId="0" borderId="0" xfId="0" applyFont="1"/>
    <xf numFmtId="0" fontId="1" fillId="3" borderId="0" xfId="0" applyFont="1" applyFill="1"/>
    <xf numFmtId="0" fontId="0" fillId="3" borderId="0" xfId="0" applyFill="1"/>
    <xf numFmtId="0" fontId="0" fillId="0" borderId="0" xfId="0" applyAlignment="1"/>
    <xf numFmtId="0" fontId="0" fillId="0" borderId="0" xfId="0" applyFont="1"/>
    <xf numFmtId="3" fontId="0" fillId="0" borderId="0" xfId="0" applyNumberFormat="1"/>
    <xf numFmtId="168" fontId="0" fillId="0" borderId="0" xfId="0" applyNumberFormat="1"/>
    <xf numFmtId="3" fontId="1" fillId="3" borderId="0" xfId="0" applyNumberFormat="1" applyFont="1" applyFill="1"/>
    <xf numFmtId="3" fontId="0" fillId="3" borderId="0" xfId="0" applyNumberFormat="1" applyFill="1"/>
    <xf numFmtId="0" fontId="0" fillId="0" borderId="0" xfId="0" applyNumberFormat="1"/>
    <xf numFmtId="0" fontId="12" fillId="0" borderId="0" xfId="0" applyNumberFormat="1" applyFont="1"/>
    <xf numFmtId="0" fontId="1" fillId="4" borderId="0" xfId="0" applyFont="1" applyFill="1"/>
    <xf numFmtId="0" fontId="1" fillId="3" borderId="0" xfId="0" applyFont="1" applyFill="1" applyAlignment="1"/>
    <xf numFmtId="0" fontId="1" fillId="4" borderId="0" xfId="0" applyFont="1" applyFill="1" applyAlignment="1"/>
    <xf numFmtId="0" fontId="0" fillId="0" borderId="0" xfId="0" applyAlignment="1">
      <alignment horizontal="left"/>
    </xf>
    <xf numFmtId="165" fontId="0" fillId="0" borderId="0" xfId="0" applyNumberFormat="1"/>
    <xf numFmtId="169" fontId="0" fillId="0" borderId="0" xfId="0" applyNumberFormat="1"/>
    <xf numFmtId="2" fontId="0" fillId="0" borderId="0" xfId="0" applyNumberFormat="1"/>
    <xf numFmtId="0" fontId="14" fillId="0" borderId="0" xfId="0" applyFont="1"/>
    <xf numFmtId="0" fontId="15" fillId="0" borderId="0" xfId="0" applyFont="1"/>
    <xf numFmtId="0" fontId="11" fillId="0" borderId="0" xfId="12" applyFont="1"/>
    <xf numFmtId="0" fontId="1" fillId="5" borderId="0" xfId="12" applyFont="1" applyFill="1"/>
    <xf numFmtId="0" fontId="11" fillId="0" borderId="0" xfId="12" applyFont="1" applyAlignment="1">
      <alignment horizontal="left"/>
    </xf>
    <xf numFmtId="0" fontId="17" fillId="3" borderId="0" xfId="12" applyFont="1" applyFill="1"/>
    <xf numFmtId="0" fontId="18" fillId="3" borderId="0" xfId="12" applyFont="1" applyFill="1" applyAlignment="1">
      <alignment horizontal="left"/>
    </xf>
    <xf numFmtId="0" fontId="18" fillId="0" borderId="0" xfId="12" applyFont="1" applyFill="1" applyBorder="1"/>
    <xf numFmtId="0" fontId="19" fillId="0" borderId="0" xfId="12" applyFont="1" applyAlignment="1">
      <alignment horizontal="left"/>
    </xf>
    <xf numFmtId="0" fontId="20" fillId="0" borderId="0" xfId="12" applyFont="1" applyFill="1" applyBorder="1"/>
    <xf numFmtId="0" fontId="17" fillId="0" borderId="0" xfId="12" quotePrefix="1" applyFont="1" applyAlignment="1">
      <alignment horizontal="left"/>
    </xf>
    <xf numFmtId="168" fontId="17" fillId="0" borderId="0" xfId="12" quotePrefix="1" applyNumberFormat="1" applyFont="1" applyAlignment="1">
      <alignment horizontal="left"/>
    </xf>
    <xf numFmtId="0" fontId="17" fillId="0" borderId="0" xfId="12" applyFont="1" applyAlignment="1">
      <alignment horizontal="left"/>
    </xf>
    <xf numFmtId="168" fontId="17" fillId="0" borderId="0" xfId="12" applyNumberFormat="1" applyFont="1" applyAlignment="1">
      <alignment horizontal="left"/>
    </xf>
    <xf numFmtId="168" fontId="21" fillId="0" borderId="0" xfId="12" applyNumberFormat="1" applyFont="1" applyAlignment="1">
      <alignment horizontal="left"/>
    </xf>
    <xf numFmtId="0" fontId="22" fillId="0" borderId="0" xfId="12" applyFont="1" applyFill="1" applyBorder="1" applyAlignment="1">
      <alignment horizontal="left" vertical="center" indent="1"/>
    </xf>
    <xf numFmtId="0" fontId="23" fillId="0" borderId="0" xfId="12" applyFont="1" applyFill="1" applyBorder="1" applyAlignment="1">
      <alignment horizontal="left" vertical="center" indent="1"/>
    </xf>
    <xf numFmtId="0" fontId="21" fillId="0" borderId="0" xfId="12" applyFont="1" applyFill="1" applyBorder="1" applyAlignment="1">
      <alignment horizontal="left" indent="1"/>
    </xf>
    <xf numFmtId="1" fontId="21" fillId="0" borderId="0" xfId="12" applyNumberFormat="1" applyFont="1" applyAlignment="1">
      <alignment horizontal="left"/>
    </xf>
    <xf numFmtId="168" fontId="17" fillId="0" borderId="0" xfId="12" applyNumberFormat="1" applyFont="1" applyBorder="1"/>
    <xf numFmtId="168" fontId="17" fillId="0" borderId="0" xfId="12" applyNumberFormat="1" applyFont="1" applyBorder="1" applyAlignment="1">
      <alignment horizontal="left"/>
    </xf>
    <xf numFmtId="168" fontId="21" fillId="0" borderId="0" xfId="12" applyNumberFormat="1" applyFont="1" applyBorder="1" applyAlignment="1">
      <alignment horizontal="left"/>
    </xf>
    <xf numFmtId="0" fontId="17" fillId="0" borderId="0" xfId="12" applyFont="1" applyFill="1" applyBorder="1" applyAlignment="1">
      <alignment horizontal="left"/>
    </xf>
    <xf numFmtId="0" fontId="18" fillId="0" borderId="0" xfId="12" applyFont="1" applyFill="1" applyBorder="1" applyAlignment="1">
      <alignment horizontal="left"/>
    </xf>
    <xf numFmtId="0" fontId="1" fillId="0" borderId="0" xfId="12" applyFont="1" applyFill="1" applyBorder="1"/>
    <xf numFmtId="168" fontId="11" fillId="0" borderId="0" xfId="12" applyNumberFormat="1" applyFont="1" applyBorder="1" applyAlignment="1">
      <alignment horizontal="left"/>
    </xf>
    <xf numFmtId="168" fontId="11" fillId="0" borderId="0" xfId="12" applyNumberFormat="1" applyFont="1" applyAlignment="1">
      <alignment horizontal="left"/>
    </xf>
    <xf numFmtId="168" fontId="12" fillId="0" borderId="0" xfId="12" applyNumberFormat="1" applyFont="1" applyAlignment="1">
      <alignment horizontal="left"/>
    </xf>
    <xf numFmtId="0" fontId="0" fillId="0" borderId="0" xfId="0" applyAlignment="1">
      <alignment wrapText="1"/>
    </xf>
    <xf numFmtId="0" fontId="0" fillId="0" borderId="0" xfId="0" quotePrefix="1"/>
    <xf numFmtId="0" fontId="26" fillId="3" borderId="0" xfId="0" applyFont="1" applyFill="1"/>
    <xf numFmtId="0" fontId="0" fillId="3" borderId="0" xfId="0" applyFont="1" applyFill="1"/>
    <xf numFmtId="0" fontId="0" fillId="0" borderId="0" xfId="0" pivotButton="1"/>
    <xf numFmtId="168" fontId="21" fillId="0" borderId="0" xfId="12" quotePrefix="1" applyNumberFormat="1" applyFont="1" applyAlignment="1">
      <alignment horizontal="left"/>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0" fillId="0" borderId="0" xfId="0" applyFont="1" applyFill="1" applyBorder="1" applyAlignment="1">
      <alignment vertical="top"/>
    </xf>
    <xf numFmtId="0" fontId="10" fillId="0" borderId="0" xfId="0" applyFont="1" applyFill="1" applyBorder="1" applyAlignment="1">
      <alignment vertical="top" wrapText="1"/>
    </xf>
    <xf numFmtId="0" fontId="0" fillId="0" borderId="0" xfId="0" applyBorder="1"/>
    <xf numFmtId="2" fontId="0" fillId="0" borderId="0" xfId="0" applyNumberFormat="1" applyBorder="1"/>
    <xf numFmtId="0" fontId="28" fillId="0" borderId="0" xfId="16" applyNumberFormat="1" applyFill="1" applyAlignment="1" applyProtection="1"/>
    <xf numFmtId="0" fontId="29" fillId="0" borderId="0" xfId="16" applyNumberFormat="1" applyFont="1" applyFill="1" applyAlignment="1" applyProtection="1"/>
    <xf numFmtId="0" fontId="30" fillId="0" borderId="0" xfId="16" applyNumberFormat="1" applyFont="1" applyFill="1" applyAlignment="1" applyProtection="1"/>
    <xf numFmtId="170" fontId="0" fillId="0" borderId="0" xfId="0" applyNumberFormat="1"/>
    <xf numFmtId="2" fontId="10" fillId="7" borderId="7" xfId="0" applyNumberFormat="1" applyFont="1" applyFill="1" applyBorder="1" applyAlignment="1">
      <alignment horizontal="right"/>
    </xf>
    <xf numFmtId="2" fontId="10" fillId="8" borderId="7" xfId="0" applyNumberFormat="1" applyFont="1" applyFill="1" applyBorder="1" applyAlignment="1">
      <alignment horizontal="right"/>
    </xf>
    <xf numFmtId="2" fontId="10" fillId="9" borderId="7" xfId="0" applyNumberFormat="1" applyFont="1" applyFill="1" applyBorder="1" applyAlignment="1">
      <alignment horizontal="right"/>
    </xf>
    <xf numFmtId="0" fontId="0" fillId="10" borderId="0" xfId="0" applyFill="1"/>
    <xf numFmtId="0" fontId="14" fillId="0" borderId="0" xfId="0" applyFont="1" applyAlignment="1"/>
    <xf numFmtId="0" fontId="31" fillId="0" borderId="18" xfId="0" applyFont="1" applyFill="1" applyBorder="1" applyAlignment="1" applyProtection="1"/>
    <xf numFmtId="0" fontId="6" fillId="0" borderId="0" xfId="0" applyFont="1" applyFill="1"/>
    <xf numFmtId="0" fontId="6" fillId="0" borderId="0" xfId="0" applyFont="1" applyFill="1" applyBorder="1"/>
    <xf numFmtId="0" fontId="32" fillId="0" borderId="0" xfId="0" applyFont="1" applyFill="1" applyAlignment="1" applyProtection="1">
      <alignment horizontal="right"/>
    </xf>
    <xf numFmtId="0" fontId="6" fillId="0" borderId="19" xfId="0" applyFont="1" applyFill="1" applyBorder="1"/>
    <xf numFmtId="0" fontId="33" fillId="0" borderId="19" xfId="0" applyFont="1" applyFill="1" applyBorder="1" applyProtection="1"/>
    <xf numFmtId="0" fontId="6" fillId="0" borderId="0" xfId="0" applyFont="1" applyFill="1" applyBorder="1" applyAlignment="1" applyProtection="1">
      <alignment horizontal="center"/>
    </xf>
    <xf numFmtId="0" fontId="6" fillId="0" borderId="0" xfId="0" applyFont="1" applyAlignment="1"/>
    <xf numFmtId="3" fontId="6" fillId="0" borderId="0" xfId="0" applyNumberFormat="1" applyFont="1" applyFill="1" applyProtection="1"/>
    <xf numFmtId="4" fontId="6" fillId="0" borderId="0" xfId="0" applyNumberFormat="1" applyFont="1" applyFill="1" applyBorder="1" applyProtection="1"/>
    <xf numFmtId="3" fontId="6" fillId="0" borderId="0" xfId="0" applyNumberFormat="1" applyFont="1" applyFill="1" applyBorder="1" applyAlignment="1" applyProtection="1">
      <alignment horizontal="center"/>
    </xf>
    <xf numFmtId="4" fontId="6" fillId="0" borderId="0" xfId="0" applyNumberFormat="1" applyFont="1" applyFill="1" applyProtection="1"/>
    <xf numFmtId="39" fontId="6" fillId="0" borderId="0" xfId="0" applyNumberFormat="1" applyFont="1" applyFill="1" applyBorder="1" applyProtection="1"/>
    <xf numFmtId="0" fontId="6" fillId="0" borderId="0" xfId="0" applyFont="1" applyFill="1" applyAlignment="1" applyProtection="1">
      <alignment horizontal="center"/>
    </xf>
    <xf numFmtId="0" fontId="32" fillId="0" borderId="18" xfId="0" applyFont="1" applyFill="1" applyBorder="1" applyProtection="1"/>
    <xf numFmtId="0" fontId="33" fillId="0" borderId="19" xfId="0" applyFont="1" applyFill="1" applyBorder="1" applyAlignment="1" applyProtection="1">
      <alignment horizontal="right"/>
    </xf>
    <xf numFmtId="0" fontId="32" fillId="0" borderId="0" xfId="0" applyFont="1" applyFill="1"/>
    <xf numFmtId="4" fontId="6" fillId="0" borderId="0" xfId="0" applyNumberFormat="1" applyFont="1" applyFill="1" applyAlignment="1" applyProtection="1">
      <alignment horizontal="center"/>
    </xf>
    <xf numFmtId="0" fontId="6" fillId="0" borderId="0" xfId="0" applyFont="1" applyFill="1" applyAlignment="1" applyProtection="1">
      <alignment horizontal="centerContinuous"/>
    </xf>
    <xf numFmtId="37" fontId="6" fillId="0" borderId="0" xfId="0" applyNumberFormat="1" applyFont="1" applyFill="1" applyProtection="1"/>
    <xf numFmtId="0" fontId="31" fillId="0" borderId="18" xfId="0" applyFont="1" applyFill="1" applyBorder="1" applyAlignment="1" applyProtection="1">
      <alignment horizontal="left"/>
    </xf>
    <xf numFmtId="3" fontId="6" fillId="0" borderId="0" xfId="0" applyNumberFormat="1" applyFont="1" applyFill="1" applyAlignment="1" applyProtection="1">
      <alignment horizontal="center"/>
    </xf>
    <xf numFmtId="0" fontId="34" fillId="0" borderId="18" xfId="0" applyFont="1" applyFill="1" applyBorder="1" applyAlignment="1">
      <alignment horizontal="center"/>
    </xf>
    <xf numFmtId="0" fontId="31" fillId="0" borderId="18" xfId="0" applyFont="1" applyFill="1" applyBorder="1" applyProtection="1"/>
    <xf numFmtId="3" fontId="6" fillId="0" borderId="0" xfId="15" applyNumberFormat="1" applyFont="1" applyFill="1"/>
    <xf numFmtId="4" fontId="6" fillId="0" borderId="0" xfId="15" applyNumberFormat="1" applyFont="1" applyFill="1"/>
    <xf numFmtId="0" fontId="10" fillId="11" borderId="7" xfId="10" applyFont="1" applyFill="1" applyBorder="1" applyAlignment="1">
      <alignment horizontal="left" vertical="center" indent="2"/>
    </xf>
    <xf numFmtId="0" fontId="10" fillId="6" borderId="0" xfId="18" applyFont="1" applyFill="1" applyBorder="1" applyAlignment="1" applyProtection="1">
      <alignment horizontal="right"/>
    </xf>
    <xf numFmtId="0" fontId="10" fillId="6" borderId="0" xfId="9" applyFont="1" applyFill="1" applyAlignment="1"/>
    <xf numFmtId="0" fontId="35" fillId="6" borderId="0" xfId="17" applyFont="1" applyFill="1" applyAlignment="1">
      <alignment vertical="center"/>
    </xf>
    <xf numFmtId="0" fontId="37" fillId="6" borderId="0" xfId="9" applyFont="1" applyFill="1" applyAlignment="1"/>
    <xf numFmtId="0" fontId="8" fillId="12" borderId="8" xfId="11" applyFont="1" applyFill="1" applyBorder="1" applyAlignment="1" applyProtection="1">
      <alignment horizontal="center" vertical="center" wrapText="1"/>
    </xf>
    <xf numFmtId="0" fontId="8" fillId="12" borderId="14" xfId="11" applyFont="1" applyFill="1" applyBorder="1" applyAlignment="1" applyProtection="1">
      <alignment horizontal="center" vertical="center" wrapText="1"/>
    </xf>
    <xf numFmtId="2" fontId="10" fillId="13" borderId="7" xfId="0" applyNumberFormat="1" applyFont="1" applyFill="1" applyBorder="1" applyAlignment="1">
      <alignment horizontal="right"/>
    </xf>
    <xf numFmtId="0" fontId="10" fillId="6" borderId="0" xfId="19" applyNumberFormat="1" applyFont="1" applyFill="1" applyBorder="1" applyAlignment="1" applyProtection="1"/>
    <xf numFmtId="0" fontId="8" fillId="11" borderId="7" xfId="11" quotePrefix="1" applyFont="1" applyFill="1" applyBorder="1" applyAlignment="1" applyProtection="1">
      <alignment horizontal="center" vertical="center"/>
    </xf>
    <xf numFmtId="0" fontId="10" fillId="11" borderId="7" xfId="10" applyFont="1" applyFill="1" applyBorder="1" applyAlignment="1">
      <alignment horizontal="left" vertical="center"/>
    </xf>
    <xf numFmtId="0" fontId="8" fillId="11" borderId="7" xfId="21" applyFont="1" applyFill="1" applyBorder="1" applyAlignment="1" applyProtection="1">
      <alignment horizontal="left" vertical="center"/>
    </xf>
    <xf numFmtId="0" fontId="10" fillId="6" borderId="0" xfId="22" applyNumberFormat="1" applyFont="1" applyFill="1" applyBorder="1" applyAlignment="1" applyProtection="1"/>
    <xf numFmtId="0" fontId="8" fillId="12" borderId="8" xfId="11" applyFont="1" applyFill="1" applyBorder="1" applyAlignment="1">
      <alignment horizontal="center" vertical="center" wrapText="1"/>
    </xf>
    <xf numFmtId="0" fontId="10" fillId="0" borderId="0" xfId="9" applyFont="1"/>
    <xf numFmtId="0" fontId="10" fillId="6" borderId="0" xfId="11" applyFont="1" applyFill="1" applyBorder="1" applyAlignment="1">
      <alignment horizontal="right" vertical="center"/>
    </xf>
    <xf numFmtId="0" fontId="8" fillId="11" borderId="8" xfId="21" applyFont="1" applyFill="1" applyBorder="1" applyAlignment="1" applyProtection="1">
      <alignment horizontal="left" vertical="center"/>
    </xf>
    <xf numFmtId="0" fontId="8" fillId="11" borderId="10" xfId="21" applyFont="1" applyFill="1" applyBorder="1" applyAlignment="1" applyProtection="1">
      <alignment horizontal="center" vertical="center"/>
    </xf>
    <xf numFmtId="0" fontId="8" fillId="11" borderId="7" xfId="11" applyFont="1" applyFill="1" applyBorder="1" applyAlignment="1" applyProtection="1">
      <alignment horizontal="center" vertical="center"/>
    </xf>
    <xf numFmtId="0" fontId="8" fillId="11" borderId="20" xfId="21" applyFont="1" applyFill="1" applyBorder="1" applyAlignment="1" applyProtection="1">
      <alignment horizontal="left" vertical="center"/>
    </xf>
    <xf numFmtId="0" fontId="8" fillId="11" borderId="26" xfId="21" applyFont="1" applyFill="1" applyBorder="1" applyAlignment="1" applyProtection="1">
      <alignment horizontal="left" vertical="center"/>
    </xf>
    <xf numFmtId="0" fontId="38" fillId="11" borderId="7" xfId="10" applyFont="1" applyFill="1" applyBorder="1" applyAlignment="1">
      <alignment horizontal="left" vertical="center" indent="4"/>
    </xf>
    <xf numFmtId="0" fontId="10" fillId="11" borderId="7" xfId="23" applyFont="1" applyFill="1" applyBorder="1" applyAlignment="1">
      <alignment horizontal="left" vertical="center" indent="5"/>
    </xf>
    <xf numFmtId="0" fontId="10" fillId="9" borderId="7" xfId="0" applyFont="1" applyFill="1" applyBorder="1" applyAlignment="1">
      <alignment horizontal="left" indent="4"/>
    </xf>
    <xf numFmtId="0" fontId="10" fillId="11" borderId="7" xfId="10" applyFont="1" applyFill="1" applyBorder="1" applyAlignment="1">
      <alignment horizontal="left" vertical="center" indent="4"/>
    </xf>
    <xf numFmtId="0" fontId="10" fillId="9" borderId="7" xfId="0" applyFont="1" applyFill="1" applyBorder="1" applyAlignment="1">
      <alignment horizontal="left" indent="6"/>
    </xf>
    <xf numFmtId="0" fontId="10" fillId="11" borderId="6" xfId="10" applyFont="1" applyFill="1" applyBorder="1" applyAlignment="1">
      <alignment horizontal="left" vertical="center" indent="2"/>
    </xf>
    <xf numFmtId="0" fontId="8" fillId="6" borderId="0" xfId="11" applyFont="1" applyFill="1" applyBorder="1" applyAlignment="1"/>
    <xf numFmtId="0" fontId="10" fillId="6" borderId="0" xfId="11" applyFont="1" applyFill="1" applyAlignment="1" applyProtection="1">
      <alignment vertical="center"/>
      <protection locked="0"/>
    </xf>
    <xf numFmtId="0" fontId="8" fillId="12" borderId="8" xfId="11" applyFont="1" applyFill="1" applyBorder="1" applyAlignment="1">
      <alignment horizontal="left" vertical="center" wrapText="1"/>
    </xf>
    <xf numFmtId="0" fontId="8" fillId="12" borderId="13" xfId="11" applyFont="1" applyFill="1" applyBorder="1" applyAlignment="1">
      <alignment horizontal="center" vertical="center"/>
    </xf>
    <xf numFmtId="0" fontId="8" fillId="12" borderId="14" xfId="11" applyFont="1" applyFill="1" applyBorder="1" applyAlignment="1" applyProtection="1">
      <alignment horizontal="left" vertical="center"/>
    </xf>
    <xf numFmtId="0" fontId="8" fillId="12" borderId="27" xfId="11" applyFont="1" applyFill="1" applyBorder="1" applyAlignment="1">
      <alignment horizontal="center" vertical="center"/>
    </xf>
    <xf numFmtId="0" fontId="8" fillId="12" borderId="20" xfId="11" applyFont="1" applyFill="1" applyBorder="1" applyAlignment="1" applyProtection="1">
      <alignment horizontal="left" vertical="center"/>
    </xf>
    <xf numFmtId="0" fontId="8" fillId="12" borderId="28" xfId="11" applyFont="1" applyFill="1" applyBorder="1" applyAlignment="1">
      <alignment horizontal="center" vertical="center" wrapText="1"/>
    </xf>
    <xf numFmtId="0" fontId="8" fillId="12" borderId="20" xfId="11" applyFont="1" applyFill="1" applyBorder="1" applyAlignment="1">
      <alignment horizontal="center" vertical="center" wrapText="1"/>
    </xf>
    <xf numFmtId="0" fontId="8" fillId="12" borderId="20" xfId="11" applyFont="1" applyFill="1" applyBorder="1" applyAlignment="1" applyProtection="1">
      <alignment horizontal="center" vertical="center" wrapText="1"/>
    </xf>
    <xf numFmtId="0" fontId="8" fillId="12" borderId="29" xfId="11" applyFont="1" applyFill="1" applyBorder="1" applyAlignment="1">
      <alignment horizontal="center" vertical="center"/>
    </xf>
    <xf numFmtId="0" fontId="8" fillId="12" borderId="26" xfId="11" applyFont="1" applyFill="1" applyBorder="1" applyAlignment="1" applyProtection="1">
      <alignment horizontal="left" vertical="center" wrapText="1"/>
    </xf>
    <xf numFmtId="0" fontId="10" fillId="12" borderId="7" xfId="11" applyFont="1" applyFill="1" applyBorder="1" applyAlignment="1">
      <alignment horizontal="left" vertical="center" wrapText="1"/>
    </xf>
    <xf numFmtId="0" fontId="10" fillId="12" borderId="6" xfId="11" applyFont="1" applyFill="1" applyBorder="1" applyAlignment="1">
      <alignment horizontal="left" vertical="center" wrapText="1"/>
    </xf>
    <xf numFmtId="0" fontId="8" fillId="12" borderId="14" xfId="11" applyFont="1" applyFill="1" applyBorder="1" applyAlignment="1" applyProtection="1">
      <alignment horizontal="left" vertical="center" wrapText="1"/>
    </xf>
    <xf numFmtId="0" fontId="10" fillId="12" borderId="7" xfId="11" applyFont="1" applyFill="1" applyBorder="1" applyAlignment="1">
      <alignment horizontal="left" vertical="center"/>
    </xf>
    <xf numFmtId="0" fontId="40" fillId="6" borderId="0" xfId="9" applyFont="1" applyFill="1" applyBorder="1" applyAlignment="1">
      <alignment horizontal="left" wrapText="1"/>
    </xf>
    <xf numFmtId="4" fontId="8" fillId="6" borderId="0" xfId="24" applyFont="1" applyFill="1" applyBorder="1" applyAlignment="1">
      <alignment vertical="center"/>
    </xf>
    <xf numFmtId="4" fontId="8" fillId="12" borderId="7" xfId="24" applyFont="1" applyFill="1" applyBorder="1" applyAlignment="1">
      <alignment horizontal="center" vertical="center" wrapText="1"/>
    </xf>
    <xf numFmtId="4" fontId="8" fillId="12" borderId="7" xfId="24" applyFont="1" applyFill="1" applyBorder="1" applyAlignment="1" applyProtection="1">
      <alignment horizontal="center" vertical="center" wrapText="1"/>
    </xf>
    <xf numFmtId="4" fontId="8" fillId="12" borderId="7" xfId="24" applyFont="1" applyFill="1" applyBorder="1" applyAlignment="1" applyProtection="1">
      <alignment horizontal="center" vertical="center"/>
    </xf>
    <xf numFmtId="4" fontId="10" fillId="12" borderId="7" xfId="24" applyFont="1" applyFill="1" applyBorder="1" applyAlignment="1">
      <alignment horizontal="left" vertical="center" wrapText="1"/>
    </xf>
    <xf numFmtId="4" fontId="10" fillId="12" borderId="7" xfId="24" applyFont="1" applyFill="1" applyBorder="1" applyAlignment="1">
      <alignment vertical="center" wrapText="1"/>
    </xf>
    <xf numFmtId="4" fontId="10" fillId="6" borderId="10" xfId="24" applyFont="1" applyFill="1" applyBorder="1" applyAlignment="1">
      <alignment horizontal="left" vertical="center" wrapText="1"/>
    </xf>
    <xf numFmtId="0" fontId="40" fillId="6" borderId="0" xfId="9" applyFont="1" applyFill="1" applyBorder="1" applyAlignment="1">
      <alignment horizontal="left" vertical="center"/>
    </xf>
    <xf numFmtId="0" fontId="40" fillId="6" borderId="0" xfId="9" applyFont="1" applyFill="1" applyBorder="1" applyAlignment="1">
      <alignment horizontal="left" vertical="center" wrapText="1"/>
    </xf>
    <xf numFmtId="0" fontId="10" fillId="12" borderId="30" xfId="9" applyFont="1" applyFill="1" applyBorder="1" applyAlignment="1"/>
    <xf numFmtId="0" fontId="10" fillId="12" borderId="0" xfId="9" applyFont="1" applyFill="1" applyBorder="1" applyAlignment="1"/>
    <xf numFmtId="0" fontId="10" fillId="12" borderId="27" xfId="9" applyFont="1" applyFill="1" applyBorder="1" applyAlignment="1"/>
    <xf numFmtId="0" fontId="10" fillId="12" borderId="15" xfId="9" applyFont="1" applyFill="1" applyBorder="1" applyAlignment="1"/>
    <xf numFmtId="0" fontId="10" fillId="12" borderId="16" xfId="9" applyFont="1" applyFill="1" applyBorder="1" applyAlignment="1"/>
    <xf numFmtId="0" fontId="10" fillId="12" borderId="17" xfId="9" applyFont="1" applyFill="1" applyBorder="1" applyAlignment="1"/>
    <xf numFmtId="0" fontId="10" fillId="6" borderId="7" xfId="9" applyFont="1" applyFill="1" applyBorder="1" applyAlignment="1">
      <alignment horizontal="left" vertical="center"/>
    </xf>
    <xf numFmtId="4" fontId="8" fillId="11" borderId="10" xfId="11" quotePrefix="1" applyNumberFormat="1" applyFont="1" applyFill="1" applyBorder="1" applyAlignment="1" applyProtection="1">
      <alignment horizontal="center" vertical="center"/>
    </xf>
    <xf numFmtId="4" fontId="8" fillId="11" borderId="7" xfId="11" quotePrefix="1" applyNumberFormat="1" applyFont="1" applyFill="1" applyBorder="1" applyAlignment="1" applyProtection="1">
      <alignment horizontal="center" vertical="center"/>
    </xf>
    <xf numFmtId="4" fontId="8" fillId="11" borderId="7" xfId="11" applyNumberFormat="1" applyFont="1" applyFill="1" applyBorder="1" applyAlignment="1" applyProtection="1">
      <alignment horizontal="center" vertical="center"/>
    </xf>
    <xf numFmtId="4" fontId="8" fillId="11" borderId="9" xfId="11" applyNumberFormat="1" applyFont="1" applyFill="1" applyBorder="1" applyAlignment="1" applyProtection="1">
      <alignment horizontal="center" vertical="center"/>
    </xf>
    <xf numFmtId="4" fontId="8" fillId="11" borderId="14" xfId="11" applyNumberFormat="1" applyFont="1" applyFill="1" applyBorder="1" applyAlignment="1" applyProtection="1">
      <alignment vertical="center"/>
    </xf>
    <xf numFmtId="4" fontId="8" fillId="11" borderId="7" xfId="11" applyNumberFormat="1" applyFont="1" applyFill="1" applyBorder="1" applyAlignment="1" applyProtection="1">
      <alignment vertical="center"/>
    </xf>
    <xf numFmtId="0" fontId="10" fillId="11" borderId="7" xfId="10" applyFont="1" applyFill="1" applyBorder="1" applyAlignment="1">
      <alignment horizontal="left" vertical="center" wrapText="1"/>
    </xf>
    <xf numFmtId="4" fontId="10" fillId="11" borderId="7" xfId="11" applyNumberFormat="1" applyFont="1" applyFill="1" applyBorder="1" applyAlignment="1">
      <alignment horizontal="left" vertical="center"/>
    </xf>
    <xf numFmtId="4" fontId="10" fillId="11" borderId="7" xfId="11" applyNumberFormat="1" applyFont="1" applyFill="1" applyBorder="1" applyAlignment="1">
      <alignment horizontal="left" vertical="center" wrapText="1"/>
    </xf>
    <xf numFmtId="0" fontId="45" fillId="0" borderId="0" xfId="25" applyFont="1" applyAlignment="1"/>
    <xf numFmtId="0" fontId="46" fillId="0" borderId="0" xfId="26" applyFont="1" applyFill="1" applyBorder="1" applyAlignment="1">
      <alignment vertical="center"/>
    </xf>
    <xf numFmtId="0" fontId="46" fillId="0" borderId="0" xfId="25" applyFont="1" applyAlignment="1"/>
    <xf numFmtId="0" fontId="45" fillId="0" borderId="0" xfId="25" applyFont="1" applyAlignment="1">
      <alignment horizontal="centerContinuous"/>
    </xf>
    <xf numFmtId="0" fontId="46" fillId="0" borderId="0" xfId="25" applyFont="1" applyAlignment="1">
      <alignment horizontal="centerContinuous"/>
    </xf>
    <xf numFmtId="1" fontId="47" fillId="0" borderId="0" xfId="26" applyNumberFormat="1" applyFont="1" applyFill="1" applyBorder="1" applyAlignment="1" applyProtection="1">
      <alignment horizontal="center" vertical="center"/>
    </xf>
    <xf numFmtId="0" fontId="47" fillId="0" borderId="0" xfId="26" quotePrefix="1" applyFont="1" applyFill="1" applyBorder="1" applyAlignment="1" applyProtection="1">
      <alignment horizontal="center" vertical="center"/>
    </xf>
    <xf numFmtId="0" fontId="49" fillId="0" borderId="0" xfId="27" applyNumberFormat="1" applyFont="1" applyFill="1" applyBorder="1" applyAlignment="1">
      <alignment horizontal="center" vertical="center"/>
    </xf>
    <xf numFmtId="0" fontId="49" fillId="0" borderId="0" xfId="26" quotePrefix="1" applyFont="1" applyFill="1" applyBorder="1" applyAlignment="1" applyProtection="1">
      <alignment horizontal="center" vertical="center"/>
    </xf>
    <xf numFmtId="3" fontId="49" fillId="0" borderId="0" xfId="27" applyNumberFormat="1" applyFont="1" applyFill="1" applyBorder="1" applyAlignment="1">
      <alignment horizontal="center" vertical="center"/>
    </xf>
    <xf numFmtId="0" fontId="45" fillId="0" borderId="0" xfId="26" applyFont="1" applyFill="1" applyBorder="1" applyAlignment="1">
      <alignment horizontal="left" vertical="center"/>
    </xf>
    <xf numFmtId="0" fontId="46" fillId="0" borderId="0" xfId="26" applyFont="1" applyAlignment="1"/>
    <xf numFmtId="0" fontId="6" fillId="0" borderId="0" xfId="26" applyFont="1" applyFill="1" applyBorder="1" applyAlignment="1">
      <alignment horizontal="right" vertical="center"/>
    </xf>
    <xf numFmtId="1" fontId="52" fillId="0" borderId="0" xfId="27" applyNumberFormat="1" applyFont="1" applyFill="1" applyBorder="1" applyAlignment="1">
      <alignment horizontal="center" vertical="center"/>
    </xf>
    <xf numFmtId="43" fontId="52" fillId="0" borderId="0" xfId="27" applyFont="1" applyFill="1" applyBorder="1" applyAlignment="1">
      <alignment horizontal="center" vertical="center"/>
    </xf>
    <xf numFmtId="3" fontId="6" fillId="0" borderId="0" xfId="26" applyNumberFormat="1" applyFont="1" applyFill="1" applyBorder="1" applyAlignment="1">
      <alignment horizontal="center" vertical="center"/>
    </xf>
    <xf numFmtId="171" fontId="53" fillId="0" borderId="0" xfId="27" applyNumberFormat="1" applyFont="1" applyFill="1" applyAlignment="1">
      <alignment horizontal="center"/>
    </xf>
    <xf numFmtId="43" fontId="5" fillId="0" borderId="0" xfId="27" applyFont="1" applyFill="1"/>
    <xf numFmtId="3" fontId="6" fillId="0" borderId="0" xfId="27" applyNumberFormat="1" applyFont="1" applyFill="1" applyAlignment="1">
      <alignment horizontal="center" vertical="center"/>
    </xf>
    <xf numFmtId="3" fontId="5" fillId="0" borderId="0" xfId="27" applyNumberFormat="1" applyFont="1" applyFill="1"/>
    <xf numFmtId="0" fontId="54" fillId="0" borderId="0" xfId="26" applyFont="1" applyAlignment="1"/>
    <xf numFmtId="0" fontId="52" fillId="0" borderId="0" xfId="26" applyFont="1" applyFill="1" applyBorder="1" applyAlignment="1">
      <alignment horizontal="right" vertical="center"/>
    </xf>
    <xf numFmtId="0" fontId="33" fillId="0" borderId="0" xfId="26" applyFont="1" applyFill="1" applyBorder="1" applyAlignment="1">
      <alignment horizontal="right" vertical="center"/>
    </xf>
    <xf numFmtId="1" fontId="33" fillId="0" borderId="0" xfId="27" applyNumberFormat="1" applyFont="1" applyFill="1" applyBorder="1" applyAlignment="1">
      <alignment horizontal="center" vertical="center"/>
    </xf>
    <xf numFmtId="1" fontId="33" fillId="0" borderId="0" xfId="26" applyNumberFormat="1" applyFont="1" applyFill="1" applyBorder="1" applyAlignment="1" applyProtection="1">
      <alignment horizontal="center" vertical="center"/>
    </xf>
    <xf numFmtId="43" fontId="33" fillId="0" borderId="0" xfId="27" applyFont="1" applyFill="1" applyBorder="1" applyAlignment="1">
      <alignment horizontal="center" vertical="center"/>
    </xf>
    <xf numFmtId="0" fontId="58" fillId="0" borderId="31" xfId="25" applyFont="1" applyBorder="1"/>
    <xf numFmtId="172" fontId="56" fillId="0" borderId="31" xfId="25" applyNumberFormat="1" applyFont="1" applyFill="1" applyBorder="1" applyAlignment="1">
      <alignment horizontal="right"/>
    </xf>
    <xf numFmtId="0" fontId="58" fillId="0" borderId="0" xfId="25" applyFont="1"/>
    <xf numFmtId="0" fontId="44" fillId="0" borderId="0" xfId="25"/>
    <xf numFmtId="172" fontId="61" fillId="0" borderId="0" xfId="25" applyNumberFormat="1" applyFont="1" applyFill="1" applyAlignment="1">
      <alignment horizontal="right"/>
    </xf>
    <xf numFmtId="172" fontId="62" fillId="0" borderId="0" xfId="25" applyNumberFormat="1" applyFont="1" applyFill="1" applyAlignment="1">
      <alignment horizontal="right"/>
    </xf>
    <xf numFmtId="172" fontId="44" fillId="0" borderId="0" xfId="25" applyNumberFormat="1"/>
    <xf numFmtId="0" fontId="13" fillId="0" borderId="0" xfId="28" applyFont="1" applyFill="1"/>
    <xf numFmtId="172" fontId="64" fillId="0" borderId="0" xfId="25" applyNumberFormat="1" applyFont="1" applyFill="1" applyAlignment="1">
      <alignment horizontal="right"/>
    </xf>
    <xf numFmtId="0" fontId="13" fillId="0" borderId="0" xfId="29" applyFont="1" applyFill="1"/>
    <xf numFmtId="0" fontId="64" fillId="0" borderId="0" xfId="25" applyFont="1"/>
    <xf numFmtId="0" fontId="65" fillId="0" borderId="0" xfId="25" applyFont="1"/>
    <xf numFmtId="172" fontId="65" fillId="0" borderId="0" xfId="25" applyNumberFormat="1" applyFont="1" applyFill="1" applyAlignment="1">
      <alignment horizontal="right"/>
    </xf>
    <xf numFmtId="0" fontId="65" fillId="0" borderId="0" xfId="25" applyFont="1" applyBorder="1"/>
    <xf numFmtId="172" fontId="65" fillId="0" borderId="0" xfId="25" applyNumberFormat="1" applyFont="1" applyFill="1" applyBorder="1" applyAlignment="1">
      <alignment horizontal="right"/>
    </xf>
    <xf numFmtId="0" fontId="13" fillId="0" borderId="0" xfId="25" applyFont="1"/>
    <xf numFmtId="0" fontId="64" fillId="0" borderId="0" xfId="25" applyFont="1" applyBorder="1"/>
    <xf numFmtId="172" fontId="64" fillId="0" borderId="0" xfId="25" applyNumberFormat="1" applyFont="1" applyFill="1" applyBorder="1" applyAlignment="1">
      <alignment horizontal="right"/>
    </xf>
    <xf numFmtId="0" fontId="63" fillId="0" borderId="0" xfId="29" applyFont="1" applyFill="1" applyAlignment="1">
      <alignment horizontal="left"/>
    </xf>
    <xf numFmtId="0" fontId="49" fillId="0" borderId="32" xfId="28" applyFont="1" applyFill="1" applyBorder="1" applyAlignment="1"/>
    <xf numFmtId="0" fontId="49" fillId="0" borderId="32" xfId="28" applyFont="1" applyFill="1" applyBorder="1"/>
    <xf numFmtId="0" fontId="62" fillId="0" borderId="32" xfId="25" applyFont="1" applyBorder="1"/>
    <xf numFmtId="172" fontId="62" fillId="0" borderId="32" xfId="25" applyNumberFormat="1" applyFont="1" applyFill="1" applyBorder="1" applyAlignment="1">
      <alignment horizontal="right"/>
    </xf>
    <xf numFmtId="0" fontId="61" fillId="0" borderId="0" xfId="28" applyFont="1" applyFill="1" applyBorder="1" applyAlignment="1">
      <alignment horizontal="left" vertical="center"/>
    </xf>
    <xf numFmtId="172" fontId="62" fillId="0" borderId="0" xfId="25" applyNumberFormat="1" applyFont="1" applyFill="1" applyBorder="1" applyAlignment="1">
      <alignment horizontal="right"/>
    </xf>
    <xf numFmtId="172" fontId="63" fillId="0" borderId="0" xfId="25" applyNumberFormat="1" applyFont="1" applyFill="1" applyBorder="1" applyAlignment="1">
      <alignment horizontal="right"/>
    </xf>
    <xf numFmtId="0" fontId="49" fillId="0" borderId="0" xfId="28" applyFont="1" applyFill="1" applyBorder="1" applyAlignment="1"/>
    <xf numFmtId="0" fontId="49" fillId="0" borderId="0" xfId="28" applyFont="1" applyFill="1" applyBorder="1"/>
    <xf numFmtId="172" fontId="64" fillId="0" borderId="32" xfId="25" applyNumberFormat="1" applyFont="1" applyFill="1" applyBorder="1" applyAlignment="1">
      <alignment horizontal="right"/>
    </xf>
    <xf numFmtId="172" fontId="61" fillId="0" borderId="33" xfId="25" applyNumberFormat="1" applyFont="1" applyFill="1" applyBorder="1" applyAlignment="1">
      <alignment horizontal="right"/>
    </xf>
    <xf numFmtId="0" fontId="44" fillId="0" borderId="0" xfId="25" applyFont="1"/>
    <xf numFmtId="0" fontId="44" fillId="0" borderId="0" xfId="25" applyBorder="1"/>
    <xf numFmtId="0" fontId="26" fillId="0" borderId="0" xfId="0" applyFont="1"/>
    <xf numFmtId="0" fontId="70" fillId="0" borderId="0" xfId="0" applyFont="1"/>
    <xf numFmtId="1" fontId="15" fillId="0" borderId="0" xfId="0" applyNumberFormat="1" applyFont="1"/>
    <xf numFmtId="0" fontId="0" fillId="0" borderId="0" xfId="0"/>
    <xf numFmtId="0" fontId="8" fillId="0" borderId="0" xfId="9" applyFont="1"/>
    <xf numFmtId="0" fontId="71" fillId="0" borderId="0" xfId="16" applyNumberFormat="1" applyFont="1" applyFill="1" applyAlignment="1" applyProtection="1"/>
    <xf numFmtId="168" fontId="18" fillId="0" borderId="0" xfId="12" applyNumberFormat="1" applyFont="1" applyAlignment="1">
      <alignment horizontal="left"/>
    </xf>
    <xf numFmtId="0" fontId="0" fillId="15" borderId="0" xfId="0" applyFill="1"/>
    <xf numFmtId="0" fontId="0" fillId="16" borderId="0" xfId="0" applyFill="1"/>
    <xf numFmtId="0" fontId="0" fillId="17" borderId="0" xfId="0" applyFill="1"/>
    <xf numFmtId="0" fontId="30" fillId="10" borderId="0" xfId="16" applyNumberFormat="1" applyFont="1" applyFill="1" applyAlignment="1" applyProtection="1"/>
    <xf numFmtId="0" fontId="28" fillId="10" borderId="0" xfId="16" applyNumberFormat="1" applyFill="1" applyAlignment="1" applyProtection="1"/>
    <xf numFmtId="0" fontId="28" fillId="17" borderId="0" xfId="16" applyNumberFormat="1" applyFill="1" applyAlignment="1" applyProtection="1"/>
    <xf numFmtId="0" fontId="1" fillId="10" borderId="0" xfId="0" applyFont="1" applyFill="1"/>
    <xf numFmtId="3" fontId="0" fillId="10" borderId="0" xfId="0" applyNumberFormat="1" applyFill="1"/>
    <xf numFmtId="0" fontId="0" fillId="18" borderId="0" xfId="0" applyFill="1"/>
    <xf numFmtId="0" fontId="0" fillId="19" borderId="0" xfId="0" applyFill="1"/>
    <xf numFmtId="0" fontId="13" fillId="0" borderId="0" xfId="25" applyFont="1" applyAlignment="1">
      <alignment horizontal="center"/>
    </xf>
    <xf numFmtId="0" fontId="13" fillId="0" borderId="0" xfId="25" quotePrefix="1" applyFont="1" applyAlignment="1">
      <alignment horizontal="center"/>
    </xf>
    <xf numFmtId="0" fontId="44" fillId="0" borderId="32" xfId="25" applyBorder="1"/>
    <xf numFmtId="0" fontId="49" fillId="0" borderId="32" xfId="29" applyFont="1" applyFill="1" applyBorder="1"/>
    <xf numFmtId="0" fontId="49" fillId="0" borderId="32" xfId="29" applyFont="1" applyFill="1" applyBorder="1" applyAlignment="1"/>
    <xf numFmtId="0" fontId="49" fillId="0" borderId="0" xfId="29" applyFont="1" applyFill="1" applyBorder="1"/>
    <xf numFmtId="0" fontId="49" fillId="0" borderId="0" xfId="29" applyFont="1" applyFill="1" applyBorder="1" applyAlignment="1"/>
    <xf numFmtId="0" fontId="59" fillId="0" borderId="0" xfId="29" applyFont="1" applyFill="1"/>
    <xf numFmtId="0" fontId="59" fillId="0" borderId="0" xfId="29" applyFont="1" applyFill="1" applyBorder="1" applyAlignment="1">
      <alignment horizontal="left" vertical="center"/>
    </xf>
    <xf numFmtId="172" fontId="64" fillId="0" borderId="38" xfId="25" applyNumberFormat="1" applyFont="1" applyFill="1" applyBorder="1" applyAlignment="1">
      <alignment horizontal="right"/>
    </xf>
    <xf numFmtId="0" fontId="44" fillId="0" borderId="38" xfId="25" applyBorder="1"/>
    <xf numFmtId="0" fontId="59" fillId="0" borderId="38" xfId="29" applyFont="1" applyFill="1" applyBorder="1"/>
    <xf numFmtId="0" fontId="49" fillId="0" borderId="38" xfId="29" applyFont="1" applyFill="1" applyBorder="1" applyAlignment="1"/>
    <xf numFmtId="0" fontId="59" fillId="0" borderId="0" xfId="29" applyFont="1" applyFill="1" applyBorder="1"/>
    <xf numFmtId="0" fontId="63" fillId="0" borderId="0" xfId="29" applyFont="1" applyFill="1" applyBorder="1"/>
    <xf numFmtId="0" fontId="63" fillId="0" borderId="0" xfId="29" applyFont="1" applyFill="1" applyBorder="1" applyAlignment="1"/>
    <xf numFmtId="0" fontId="74" fillId="0" borderId="0" xfId="29" applyFont="1" applyFill="1"/>
    <xf numFmtId="0" fontId="74" fillId="0" borderId="0" xfId="29" applyFont="1" applyFill="1" applyAlignment="1"/>
    <xf numFmtId="0" fontId="49" fillId="0" borderId="0" xfId="29" applyFont="1" applyFill="1"/>
    <xf numFmtId="0" fontId="49" fillId="0" borderId="0" xfId="29" applyFont="1" applyFill="1" applyAlignment="1"/>
    <xf numFmtId="173" fontId="61" fillId="0" borderId="33" xfId="25" applyNumberFormat="1" applyFont="1" applyFill="1" applyBorder="1" applyAlignment="1">
      <alignment horizontal="right"/>
    </xf>
    <xf numFmtId="0" fontId="49" fillId="0" borderId="38" xfId="29" applyFont="1" applyFill="1" applyBorder="1"/>
    <xf numFmtId="0" fontId="63" fillId="0" borderId="0" xfId="29" applyFont="1" applyFill="1"/>
    <xf numFmtId="0" fontId="63" fillId="0" borderId="0" xfId="29" applyFont="1" applyFill="1" applyAlignment="1"/>
    <xf numFmtId="0" fontId="75" fillId="0" borderId="0" xfId="25" applyFont="1"/>
    <xf numFmtId="0" fontId="63" fillId="0" borderId="0" xfId="29" applyFont="1" applyFill="1" applyAlignment="1">
      <alignment horizontal="right"/>
    </xf>
    <xf numFmtId="0" fontId="67" fillId="0" borderId="0" xfId="29" applyFont="1" applyFill="1" applyBorder="1"/>
    <xf numFmtId="0" fontId="13" fillId="0" borderId="0" xfId="29" applyFont="1" applyFill="1" applyBorder="1"/>
    <xf numFmtId="0" fontId="13" fillId="0" borderId="0" xfId="29" applyFont="1" applyFill="1" applyBorder="1" applyAlignment="1"/>
    <xf numFmtId="0" fontId="74" fillId="0" borderId="0" xfId="29" applyFont="1" applyFill="1" applyBorder="1"/>
    <xf numFmtId="0" fontId="13" fillId="0" borderId="0" xfId="29" applyFont="1" applyFill="1" applyAlignment="1"/>
    <xf numFmtId="0" fontId="66" fillId="0" borderId="0" xfId="29" applyFont="1" applyFill="1" applyAlignment="1">
      <alignment horizontal="right"/>
    </xf>
    <xf numFmtId="0" fontId="13" fillId="0" borderId="0" xfId="29" applyFont="1" applyFill="1" applyAlignment="1">
      <alignment horizontal="right"/>
    </xf>
    <xf numFmtId="0" fontId="60" fillId="0" borderId="0" xfId="29" applyFont="1" applyFill="1"/>
    <xf numFmtId="0" fontId="57" fillId="0" borderId="31" xfId="26" applyFont="1" applyFill="1" applyBorder="1" applyAlignment="1">
      <alignment horizontal="right" vertical="center" wrapText="1"/>
    </xf>
    <xf numFmtId="0" fontId="57" fillId="0" borderId="31" xfId="26" applyFont="1" applyFill="1" applyBorder="1"/>
    <xf numFmtId="0" fontId="76" fillId="0" borderId="31" xfId="26" applyFont="1" applyFill="1" applyBorder="1" applyAlignment="1">
      <alignment horizontal="left" vertical="center"/>
    </xf>
    <xf numFmtId="0" fontId="45" fillId="0" borderId="0" xfId="26" applyFont="1" applyFill="1" applyBorder="1" applyAlignment="1">
      <alignment vertical="center"/>
    </xf>
    <xf numFmtId="2" fontId="0" fillId="10" borderId="0" xfId="0" applyNumberFormat="1" applyFill="1"/>
    <xf numFmtId="0" fontId="0" fillId="10" borderId="0" xfId="0" applyFill="1" applyAlignment="1"/>
    <xf numFmtId="0" fontId="0" fillId="0" borderId="0" xfId="0" applyNumberFormat="1" applyFill="1" applyAlignment="1" applyProtection="1"/>
    <xf numFmtId="0" fontId="28" fillId="16" borderId="0" xfId="16" applyNumberFormat="1" applyFill="1" applyAlignment="1" applyProtection="1"/>
    <xf numFmtId="0" fontId="28" fillId="18" borderId="0" xfId="16" applyNumberFormat="1" applyFill="1" applyAlignment="1" applyProtection="1"/>
    <xf numFmtId="0" fontId="80" fillId="15" borderId="36" xfId="0" applyFont="1" applyFill="1" applyBorder="1" applyAlignment="1">
      <alignment horizontal="left" wrapText="1"/>
    </xf>
    <xf numFmtId="0" fontId="80" fillId="15" borderId="34" xfId="0" applyFont="1" applyFill="1" applyBorder="1" applyAlignment="1">
      <alignment horizontal="left" wrapText="1"/>
    </xf>
    <xf numFmtId="0" fontId="81" fillId="15" borderId="35" xfId="0" applyFont="1" applyFill="1" applyBorder="1" applyAlignment="1">
      <alignment vertical="top" wrapText="1"/>
    </xf>
    <xf numFmtId="0" fontId="81" fillId="15" borderId="35" xfId="0" applyFont="1" applyFill="1" applyBorder="1" applyAlignment="1">
      <alignment horizontal="center" vertical="top" wrapText="1"/>
    </xf>
    <xf numFmtId="0" fontId="80" fillId="15" borderId="35" xfId="0" applyFont="1" applyFill="1" applyBorder="1" applyAlignment="1">
      <alignment vertical="top" wrapText="1"/>
    </xf>
    <xf numFmtId="0" fontId="80" fillId="15" borderId="35" xfId="0" applyFont="1" applyFill="1" applyBorder="1" applyAlignment="1">
      <alignment horizontal="center" vertical="top" wrapText="1"/>
    </xf>
    <xf numFmtId="0" fontId="0" fillId="10" borderId="0" xfId="0" applyFill="1" applyAlignment="1">
      <alignment horizontal="center"/>
    </xf>
    <xf numFmtId="0" fontId="28" fillId="20" borderId="0" xfId="16" applyNumberFormat="1" applyFill="1" applyAlignment="1" applyProtection="1"/>
    <xf numFmtId="0" fontId="2" fillId="0" borderId="0" xfId="1" applyNumberFormat="1" applyFill="1" applyAlignment="1" applyProtection="1"/>
    <xf numFmtId="0" fontId="18" fillId="10" borderId="0" xfId="12" applyFont="1" applyFill="1" applyBorder="1"/>
    <xf numFmtId="0" fontId="20" fillId="10" borderId="0" xfId="12" applyFont="1" applyFill="1" applyBorder="1"/>
    <xf numFmtId="0" fontId="21" fillId="10" borderId="0" xfId="12" applyFont="1" applyFill="1" applyBorder="1"/>
    <xf numFmtId="0" fontId="12" fillId="10" borderId="0" xfId="12" applyFont="1" applyFill="1" applyBorder="1" applyAlignment="1">
      <alignment horizontal="left" indent="1"/>
    </xf>
    <xf numFmtId="0" fontId="22" fillId="10" borderId="0" xfId="12" applyFont="1" applyFill="1" applyBorder="1" applyAlignment="1">
      <alignment horizontal="left" vertical="center" indent="1"/>
    </xf>
    <xf numFmtId="0" fontId="12" fillId="10" borderId="0" xfId="12" applyFont="1" applyFill="1"/>
    <xf numFmtId="0" fontId="21" fillId="10" borderId="0" xfId="12" applyFont="1" applyFill="1" applyBorder="1" applyAlignment="1">
      <alignment horizontal="left" indent="1"/>
    </xf>
    <xf numFmtId="0" fontId="24" fillId="10" borderId="0" xfId="12" applyFont="1" applyFill="1" applyBorder="1"/>
    <xf numFmtId="0" fontId="24" fillId="10" borderId="0" xfId="12" applyFont="1" applyFill="1" applyBorder="1" applyAlignment="1">
      <alignment horizontal="left"/>
    </xf>
    <xf numFmtId="168" fontId="21" fillId="20" borderId="0" xfId="12" applyNumberFormat="1" applyFont="1" applyFill="1" applyAlignment="1">
      <alignment horizontal="left"/>
    </xf>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xf numFmtId="2" fontId="0" fillId="10" borderId="0" xfId="0" applyNumberFormat="1" applyFill="1" applyBorder="1"/>
    <xf numFmtId="0" fontId="0" fillId="16" borderId="0" xfId="0" applyFill="1" applyBorder="1"/>
    <xf numFmtId="0" fontId="13" fillId="0" borderId="0" xfId="0" applyFont="1" applyFill="1" applyBorder="1"/>
    <xf numFmtId="4" fontId="13" fillId="0" borderId="0" xfId="0" applyNumberFormat="1" applyFont="1" applyFill="1" applyBorder="1"/>
    <xf numFmtId="174" fontId="13" fillId="0" borderId="0" xfId="0" applyNumberFormat="1" applyFont="1" applyFill="1" applyBorder="1"/>
    <xf numFmtId="169" fontId="13" fillId="0" borderId="0" xfId="0" applyNumberFormat="1" applyFont="1" applyFill="1" applyBorder="1"/>
    <xf numFmtId="3" fontId="13" fillId="0" borderId="0" xfId="0" applyNumberFormat="1" applyFont="1" applyFill="1" applyBorder="1"/>
    <xf numFmtId="9" fontId="13" fillId="0" borderId="0" xfId="8" applyFont="1" applyFill="1" applyBorder="1"/>
    <xf numFmtId="175" fontId="13" fillId="0" borderId="0" xfId="15" applyNumberFormat="1" applyFont="1" applyFill="1" applyBorder="1"/>
    <xf numFmtId="0" fontId="49" fillId="0" borderId="0" xfId="0" applyFont="1" applyFill="1" applyBorder="1"/>
    <xf numFmtId="1" fontId="82" fillId="0" borderId="0" xfId="0" applyNumberFormat="1" applyFont="1" applyFill="1" applyBorder="1"/>
    <xf numFmtId="2" fontId="49" fillId="0" borderId="0" xfId="0" applyNumberFormat="1" applyFont="1" applyFill="1" applyBorder="1"/>
    <xf numFmtId="2" fontId="13" fillId="0" borderId="0" xfId="0" applyNumberFormat="1" applyFont="1" applyFill="1" applyBorder="1"/>
    <xf numFmtId="0" fontId="13" fillId="0" borderId="0" xfId="0" applyFont="1" applyFill="1" applyBorder="1" applyAlignment="1">
      <alignment horizontal="left"/>
    </xf>
    <xf numFmtId="9" fontId="49" fillId="0" borderId="0" xfId="8" applyFont="1" applyFill="1" applyBorder="1" applyAlignment="1">
      <alignment horizontal="center"/>
    </xf>
    <xf numFmtId="3" fontId="49" fillId="0" borderId="0" xfId="15" applyNumberFormat="1" applyFont="1" applyFill="1" applyBorder="1" applyAlignment="1">
      <alignment horizontal="left"/>
    </xf>
    <xf numFmtId="3" fontId="49" fillId="0" borderId="0" xfId="15" applyNumberFormat="1" applyFont="1" applyFill="1" applyBorder="1" applyAlignment="1">
      <alignment horizontal="center"/>
    </xf>
    <xf numFmtId="175" fontId="13" fillId="0" borderId="0" xfId="8" applyNumberFormat="1" applyFont="1" applyFill="1" applyBorder="1"/>
    <xf numFmtId="0" fontId="49" fillId="0" borderId="0" xfId="0" applyFont="1" applyFill="1" applyBorder="1" applyAlignment="1">
      <alignment horizontal="left"/>
    </xf>
    <xf numFmtId="176" fontId="13" fillId="0" borderId="0" xfId="15" quotePrefix="1" applyNumberFormat="1" applyFont="1" applyFill="1" applyBorder="1" applyAlignment="1"/>
    <xf numFmtId="0" fontId="0" fillId="0" borderId="0" xfId="0" applyFill="1"/>
    <xf numFmtId="3" fontId="49" fillId="0" borderId="0" xfId="15" applyNumberFormat="1" applyFont="1" applyFill="1" applyBorder="1" applyAlignment="1">
      <alignment horizontal="right"/>
    </xf>
    <xf numFmtId="0" fontId="49" fillId="0" borderId="0" xfId="0" applyFont="1" applyFill="1" applyAlignment="1">
      <alignment horizontal="left"/>
    </xf>
    <xf numFmtId="0" fontId="49" fillId="21" borderId="0" xfId="0" applyFont="1" applyFill="1" applyBorder="1"/>
    <xf numFmtId="2" fontId="13" fillId="21" borderId="0" xfId="0" applyNumberFormat="1" applyFont="1" applyFill="1" applyBorder="1"/>
    <xf numFmtId="3" fontId="49" fillId="21" borderId="0" xfId="15" applyNumberFormat="1" applyFont="1" applyFill="1" applyBorder="1" applyAlignment="1">
      <alignment horizontal="right"/>
    </xf>
    <xf numFmtId="0" fontId="49" fillId="21" borderId="0" xfId="0" applyFont="1" applyFill="1" applyAlignment="1">
      <alignment horizontal="left"/>
    </xf>
    <xf numFmtId="3" fontId="13" fillId="21" borderId="39" xfId="0" applyNumberFormat="1" applyFont="1" applyFill="1" applyBorder="1"/>
    <xf numFmtId="3" fontId="13" fillId="21" borderId="39" xfId="15" applyNumberFormat="1" applyFont="1" applyFill="1" applyBorder="1" applyAlignment="1">
      <alignment horizontal="right"/>
    </xf>
    <xf numFmtId="0" fontId="13" fillId="21" borderId="39" xfId="0" applyFont="1" applyFill="1" applyBorder="1" applyAlignment="1">
      <alignment horizontal="left"/>
    </xf>
    <xf numFmtId="3" fontId="13" fillId="21" borderId="0" xfId="0" applyNumberFormat="1" applyFont="1" applyFill="1" applyBorder="1"/>
    <xf numFmtId="3" fontId="13" fillId="21" borderId="0" xfId="15" applyNumberFormat="1" applyFont="1" applyFill="1" applyBorder="1" applyAlignment="1">
      <alignment horizontal="right"/>
    </xf>
    <xf numFmtId="0" fontId="13" fillId="21" borderId="0" xfId="0" applyFont="1" applyFill="1" applyAlignment="1">
      <alignment horizontal="left"/>
    </xf>
    <xf numFmtId="43" fontId="0" fillId="0" borderId="0" xfId="0" applyNumberFormat="1"/>
    <xf numFmtId="3" fontId="49" fillId="0" borderId="0" xfId="0" applyNumberFormat="1" applyFont="1" applyFill="1" applyBorder="1"/>
    <xf numFmtId="3" fontId="49" fillId="0" borderId="39" xfId="15" applyNumberFormat="1" applyFont="1" applyFill="1" applyBorder="1" applyAlignment="1">
      <alignment horizontal="right"/>
    </xf>
    <xf numFmtId="0" fontId="49" fillId="0" borderId="39" xfId="0" applyFont="1" applyFill="1" applyBorder="1" applyAlignment="1">
      <alignment horizontal="left"/>
    </xf>
    <xf numFmtId="1" fontId="13" fillId="0" borderId="0" xfId="0" applyNumberFormat="1" applyFont="1" applyFill="1" applyBorder="1"/>
    <xf numFmtId="175" fontId="49" fillId="0" borderId="0" xfId="15" applyNumberFormat="1" applyFont="1" applyFill="1" applyBorder="1" applyAlignment="1">
      <alignment horizontal="right"/>
    </xf>
    <xf numFmtId="3" fontId="13" fillId="0" borderId="39" xfId="0" applyNumberFormat="1" applyFont="1" applyFill="1" applyBorder="1"/>
    <xf numFmtId="3" fontId="0" fillId="0" borderId="39" xfId="0" applyNumberFormat="1" applyBorder="1"/>
    <xf numFmtId="3" fontId="13" fillId="0" borderId="39" xfId="15" applyNumberFormat="1" applyFont="1" applyFill="1" applyBorder="1" applyAlignment="1">
      <alignment horizontal="right"/>
    </xf>
    <xf numFmtId="0" fontId="13" fillId="0" borderId="39" xfId="0" applyFont="1" applyFill="1" applyBorder="1"/>
    <xf numFmtId="3" fontId="13" fillId="0" borderId="0" xfId="15" applyNumberFormat="1" applyFont="1" applyFill="1" applyBorder="1"/>
    <xf numFmtId="3" fontId="13" fillId="0" borderId="0" xfId="15" applyNumberFormat="1" applyFont="1" applyFill="1" applyBorder="1" applyAlignment="1">
      <alignment horizontal="right"/>
    </xf>
    <xf numFmtId="9" fontId="13" fillId="0" borderId="0" xfId="8" applyFont="1" applyFill="1" applyBorder="1" applyAlignment="1">
      <alignment horizontal="right"/>
    </xf>
    <xf numFmtId="174" fontId="13" fillId="0" borderId="0" xfId="15" applyNumberFormat="1" applyFont="1" applyFill="1" applyBorder="1" applyAlignment="1">
      <alignment horizontal="right"/>
    </xf>
    <xf numFmtId="10" fontId="13" fillId="0" borderId="0" xfId="0" quotePrefix="1" applyNumberFormat="1" applyFont="1" applyFill="1" applyBorder="1" applyAlignment="1">
      <alignment horizontal="left"/>
    </xf>
    <xf numFmtId="9" fontId="49" fillId="0" borderId="0" xfId="8" applyFont="1" applyFill="1" applyBorder="1" applyAlignment="1">
      <alignment horizontal="right"/>
    </xf>
    <xf numFmtId="0" fontId="49" fillId="0" borderId="0" xfId="0" quotePrefix="1" applyFont="1" applyFill="1" applyBorder="1" applyAlignment="1">
      <alignment horizontal="left"/>
    </xf>
    <xf numFmtId="3" fontId="49" fillId="0" borderId="40" xfId="15" applyNumberFormat="1" applyFont="1" applyFill="1" applyBorder="1" applyAlignment="1">
      <alignment horizontal="right"/>
    </xf>
    <xf numFmtId="0" fontId="49" fillId="0" borderId="40" xfId="0" applyFont="1" applyFill="1" applyBorder="1"/>
    <xf numFmtId="175" fontId="13" fillId="0" borderId="0" xfId="15" applyNumberFormat="1" applyFont="1" applyFill="1" applyBorder="1" applyAlignment="1">
      <alignment horizontal="right"/>
    </xf>
    <xf numFmtId="3" fontId="54" fillId="22" borderId="0" xfId="15" applyNumberFormat="1" applyFont="1" applyFill="1" applyBorder="1" applyAlignment="1">
      <alignment horizontal="right"/>
    </xf>
    <xf numFmtId="0" fontId="54" fillId="22" borderId="0" xfId="0" applyFont="1" applyFill="1" applyBorder="1"/>
    <xf numFmtId="3" fontId="13" fillId="0" borderId="0" xfId="8" applyNumberFormat="1" applyFont="1" applyFill="1" applyBorder="1" applyAlignment="1">
      <alignment horizontal="right"/>
    </xf>
    <xf numFmtId="43" fontId="82" fillId="0" borderId="0" xfId="15" applyFont="1" applyFill="1" applyBorder="1" applyAlignment="1">
      <alignment horizontal="right"/>
    </xf>
    <xf numFmtId="3" fontId="82" fillId="0" borderId="0" xfId="0" applyNumberFormat="1" applyFont="1" applyFill="1" applyBorder="1" applyAlignment="1">
      <alignment horizontal="right"/>
    </xf>
    <xf numFmtId="1" fontId="82" fillId="0" borderId="0" xfId="0" applyNumberFormat="1" applyFont="1" applyFill="1" applyBorder="1" applyAlignment="1">
      <alignment horizontal="right"/>
    </xf>
    <xf numFmtId="0" fontId="49" fillId="0" borderId="0" xfId="0" applyFont="1" applyFill="1" applyBorder="1" applyAlignment="1">
      <alignment horizontal="right"/>
    </xf>
    <xf numFmtId="0" fontId="13" fillId="0" borderId="0" xfId="0" applyFont="1" applyFill="1" applyBorder="1" applyAlignment="1">
      <alignment horizontal="right"/>
    </xf>
    <xf numFmtId="0" fontId="49" fillId="0" borderId="0" xfId="0" applyFont="1" applyFill="1" applyBorder="1" applyAlignment="1"/>
    <xf numFmtId="0" fontId="83" fillId="0" borderId="0" xfId="0" applyFont="1" applyFill="1" applyBorder="1" applyAlignment="1">
      <alignment horizontal="left"/>
    </xf>
    <xf numFmtId="0" fontId="84" fillId="0" borderId="0" xfId="0" applyFont="1" applyFill="1" applyBorder="1"/>
    <xf numFmtId="177" fontId="13" fillId="0" borderId="0" xfId="0" applyNumberFormat="1" applyFont="1" applyFill="1" applyBorder="1"/>
    <xf numFmtId="17" fontId="84" fillId="0" borderId="0" xfId="0" quotePrefix="1" applyNumberFormat="1" applyFont="1" applyFill="1" applyBorder="1"/>
    <xf numFmtId="43" fontId="13" fillId="0" borderId="0" xfId="15" applyFont="1" applyFill="1" applyBorder="1"/>
    <xf numFmtId="176" fontId="13" fillId="0" borderId="0" xfId="15" applyNumberFormat="1" applyFont="1" applyFill="1" applyBorder="1" applyAlignment="1"/>
    <xf numFmtId="0" fontId="45" fillId="0" borderId="0" xfId="0" quotePrefix="1" applyFont="1" applyFill="1" applyBorder="1" applyAlignment="1">
      <alignment horizontal="left"/>
    </xf>
    <xf numFmtId="0" fontId="2" fillId="0" borderId="0" xfId="1" applyAlignment="1">
      <alignment wrapText="1"/>
    </xf>
    <xf numFmtId="11" fontId="0" fillId="16" borderId="0" xfId="0" applyNumberFormat="1" applyFill="1"/>
    <xf numFmtId="0" fontId="0" fillId="0" borderId="0" xfId="0"/>
    <xf numFmtId="0" fontId="69" fillId="0" borderId="0" xfId="30"/>
    <xf numFmtId="0" fontId="85" fillId="0" borderId="0" xfId="25" applyFont="1"/>
    <xf numFmtId="0" fontId="44" fillId="0" borderId="0" xfId="25" applyFill="1"/>
    <xf numFmtId="0" fontId="86" fillId="0" borderId="0" xfId="25" applyFont="1"/>
    <xf numFmtId="0" fontId="64" fillId="0" borderId="0" xfId="25" applyFont="1" applyAlignment="1">
      <alignment horizontal="left" vertical="top"/>
    </xf>
    <xf numFmtId="0" fontId="87" fillId="0" borderId="0" xfId="25" applyFont="1"/>
    <xf numFmtId="0" fontId="64" fillId="0" borderId="0" xfId="25" applyFont="1" applyFill="1"/>
    <xf numFmtId="178" fontId="61" fillId="0" borderId="33" xfId="25" applyNumberFormat="1" applyFont="1" applyFill="1" applyBorder="1" applyAlignment="1">
      <alignment horizontal="right"/>
    </xf>
    <xf numFmtId="0" fontId="15" fillId="10" borderId="0" xfId="0" applyFont="1" applyFill="1"/>
    <xf numFmtId="0" fontId="21" fillId="10" borderId="0" xfId="12" applyFont="1" applyFill="1" applyBorder="1" applyAlignment="1">
      <alignment horizontal="left"/>
    </xf>
    <xf numFmtId="0" fontId="0" fillId="0" borderId="0" xfId="0"/>
    <xf numFmtId="0" fontId="0" fillId="0" borderId="0" xfId="0"/>
    <xf numFmtId="0" fontId="1" fillId="0" borderId="0" xfId="0" applyFont="1" applyFill="1"/>
    <xf numFmtId="0" fontId="89" fillId="0" borderId="0" xfId="0" applyFont="1"/>
    <xf numFmtId="3" fontId="0" fillId="0" borderId="0" xfId="0" applyNumberFormat="1" applyFill="1"/>
    <xf numFmtId="1" fontId="0" fillId="0" borderId="0" xfId="0" applyNumberFormat="1" applyFill="1"/>
    <xf numFmtId="3" fontId="1" fillId="0" borderId="0" xfId="0" applyNumberFormat="1" applyFont="1"/>
    <xf numFmtId="0" fontId="1" fillId="0" borderId="0" xfId="0" applyFont="1" applyAlignment="1"/>
    <xf numFmtId="0" fontId="0" fillId="0" borderId="0" xfId="0" applyFill="1" applyAlignment="1"/>
    <xf numFmtId="0" fontId="0" fillId="16" borderId="0" xfId="0" applyFill="1" applyAlignment="1"/>
    <xf numFmtId="2" fontId="0" fillId="16" borderId="0" xfId="0" applyNumberFormat="1" applyFill="1"/>
    <xf numFmtId="2" fontId="10" fillId="23" borderId="7" xfId="0" applyNumberFormat="1" applyFont="1" applyFill="1" applyBorder="1" applyAlignment="1">
      <alignment horizontal="right"/>
    </xf>
    <xf numFmtId="169" fontId="0" fillId="16" borderId="0" xfId="0" applyNumberFormat="1" applyFill="1"/>
    <xf numFmtId="0" fontId="12" fillId="0" borderId="0" xfId="0" applyFont="1"/>
    <xf numFmtId="0" fontId="20" fillId="10" borderId="0" xfId="12" applyFont="1" applyFill="1" applyBorder="1" applyAlignment="1">
      <alignment horizontal="left"/>
    </xf>
    <xf numFmtId="0" fontId="0" fillId="0" borderId="0" xfId="0" applyFill="1" applyAlignment="1">
      <alignment horizontal="left"/>
    </xf>
    <xf numFmtId="0" fontId="2" fillId="0" borderId="0" xfId="1" applyFill="1" applyAlignment="1">
      <alignment wrapText="1"/>
    </xf>
    <xf numFmtId="0" fontId="0" fillId="0" borderId="0" xfId="0"/>
    <xf numFmtId="0" fontId="0" fillId="0" borderId="0" xfId="0"/>
    <xf numFmtId="179" fontId="17" fillId="0" borderId="0" xfId="12" applyNumberFormat="1" applyFont="1" applyBorder="1" applyAlignment="1">
      <alignment horizontal="left"/>
    </xf>
    <xf numFmtId="0" fontId="0" fillId="0" borderId="0" xfId="0"/>
    <xf numFmtId="2" fontId="10" fillId="8" borderId="7" xfId="0" applyNumberFormat="1" applyFont="1" applyFill="1" applyBorder="1" applyAlignment="1">
      <alignment horizontal="right"/>
    </xf>
    <xf numFmtId="0" fontId="15" fillId="3" borderId="0" xfId="0" applyFont="1" applyFill="1"/>
    <xf numFmtId="175" fontId="0" fillId="0" borderId="0" xfId="15" applyNumberFormat="1" applyFont="1" applyFill="1"/>
    <xf numFmtId="3" fontId="0" fillId="0" borderId="0" xfId="15" applyNumberFormat="1" applyFont="1" applyFill="1"/>
    <xf numFmtId="0" fontId="0" fillId="0" borderId="0" xfId="0" applyFont="1" applyFill="1"/>
    <xf numFmtId="175" fontId="12" fillId="0" borderId="0" xfId="15" applyNumberFormat="1" applyFont="1" applyFill="1"/>
    <xf numFmtId="0" fontId="12" fillId="0" borderId="0" xfId="0" applyFont="1" applyFill="1"/>
    <xf numFmtId="9" fontId="0" fillId="0" borderId="0" xfId="8" applyFont="1"/>
    <xf numFmtId="175" fontId="0" fillId="0" borderId="0" xfId="15" applyNumberFormat="1" applyFont="1"/>
    <xf numFmtId="180" fontId="12" fillId="0" borderId="0" xfId="15" applyNumberFormat="1" applyFont="1"/>
    <xf numFmtId="180" fontId="0" fillId="0" borderId="0" xfId="15" applyNumberFormat="1" applyFont="1"/>
    <xf numFmtId="1" fontId="0" fillId="0" borderId="0" xfId="15" applyNumberFormat="1" applyFont="1"/>
    <xf numFmtId="181" fontId="12" fillId="0" borderId="0" xfId="8" applyNumberFormat="1" applyFont="1"/>
    <xf numFmtId="17" fontId="0" fillId="0" borderId="0" xfId="0" applyNumberFormat="1"/>
    <xf numFmtId="3" fontId="0" fillId="2" borderId="0" xfId="0" applyNumberFormat="1" applyFill="1"/>
    <xf numFmtId="43" fontId="0" fillId="0" borderId="0" xfId="15" applyNumberFormat="1" applyFont="1" applyFill="1"/>
    <xf numFmtId="0" fontId="10" fillId="6" borderId="7" xfId="22" applyNumberFormat="1" applyFont="1" applyFill="1" applyBorder="1" applyAlignment="1" applyProtection="1">
      <alignment horizontal="left" vertical="center"/>
    </xf>
    <xf numFmtId="0" fontId="10" fillId="0" borderId="0" xfId="9" applyFont="1" applyFill="1"/>
    <xf numFmtId="0" fontId="40" fillId="6" borderId="0" xfId="11" applyFont="1" applyFill="1" applyAlignment="1">
      <alignment horizontal="left" vertical="center"/>
    </xf>
    <xf numFmtId="0" fontId="40" fillId="6" borderId="0" xfId="11" applyFont="1" applyFill="1" applyAlignment="1">
      <alignment horizontal="left"/>
    </xf>
    <xf numFmtId="0" fontId="10" fillId="6" borderId="0" xfId="11" applyFont="1" applyFill="1" applyAlignment="1">
      <alignment horizontal="left" vertical="center"/>
    </xf>
    <xf numFmtId="0" fontId="10" fillId="6" borderId="0" xfId="11" applyFont="1" applyFill="1" applyAlignment="1">
      <alignment horizontal="left"/>
    </xf>
    <xf numFmtId="0" fontId="90" fillId="6" borderId="0" xfId="22" applyNumberFormat="1" applyFont="1" applyFill="1" applyBorder="1" applyAlignment="1" applyProtection="1"/>
    <xf numFmtId="0" fontId="8" fillId="12" borderId="15" xfId="11" applyNumberFormat="1" applyFont="1" applyFill="1" applyBorder="1" applyAlignment="1">
      <alignment horizontal="left" vertical="center"/>
    </xf>
    <xf numFmtId="0" fontId="10" fillId="12" borderId="7" xfId="11" applyNumberFormat="1" applyFont="1" applyFill="1" applyBorder="1" applyAlignment="1">
      <alignment horizontal="left" vertical="center" indent="2"/>
    </xf>
    <xf numFmtId="0" fontId="8" fillId="12" borderId="15" xfId="11" applyNumberFormat="1" applyFont="1" applyFill="1" applyBorder="1" applyAlignment="1">
      <alignment horizontal="left" vertical="center" indent="1"/>
    </xf>
    <xf numFmtId="0" fontId="10" fillId="12" borderId="6" xfId="11" applyNumberFormat="1" applyFont="1" applyFill="1" applyBorder="1" applyAlignment="1">
      <alignment horizontal="left" vertical="center" indent="2"/>
    </xf>
    <xf numFmtId="0" fontId="8" fillId="12" borderId="9" xfId="11" applyNumberFormat="1" applyFont="1" applyFill="1" applyBorder="1" applyAlignment="1">
      <alignment horizontal="left" vertical="center" indent="1"/>
    </xf>
    <xf numFmtId="0" fontId="10" fillId="12" borderId="7" xfId="11" applyNumberFormat="1" applyFont="1" applyFill="1" applyBorder="1" applyAlignment="1" applyProtection="1">
      <alignment horizontal="left" vertical="center" indent="1"/>
    </xf>
    <xf numFmtId="0" fontId="10" fillId="12" borderId="7" xfId="11" applyNumberFormat="1" applyFont="1" applyFill="1" applyBorder="1" applyAlignment="1">
      <alignment horizontal="left" vertical="center" indent="1"/>
    </xf>
    <xf numFmtId="0" fontId="8" fillId="12" borderId="41" xfId="11" applyNumberFormat="1" applyFont="1" applyFill="1" applyBorder="1" applyAlignment="1">
      <alignment horizontal="left" vertical="center"/>
    </xf>
    <xf numFmtId="0" fontId="8" fillId="12" borderId="28" xfId="11" applyNumberFormat="1" applyFont="1" applyFill="1" applyBorder="1" applyAlignment="1">
      <alignment horizontal="center" vertical="center"/>
    </xf>
    <xf numFmtId="0" fontId="8" fillId="12" borderId="28" xfId="11" applyFont="1" applyFill="1" applyBorder="1" applyAlignment="1" applyProtection="1">
      <alignment horizontal="left" vertical="center"/>
    </xf>
    <xf numFmtId="0" fontId="8" fillId="12" borderId="6" xfId="11" applyNumberFormat="1" applyFont="1" applyFill="1" applyBorder="1" applyAlignment="1">
      <alignment horizontal="center" vertical="center"/>
    </xf>
    <xf numFmtId="0" fontId="8" fillId="12" borderId="9" xfId="11" applyNumberFormat="1" applyFont="1" applyFill="1" applyBorder="1" applyAlignment="1">
      <alignment horizontal="center" vertical="center"/>
    </xf>
    <xf numFmtId="0" fontId="8" fillId="12" borderId="39" xfId="11" applyNumberFormat="1" applyFont="1" applyFill="1" applyBorder="1" applyAlignment="1">
      <alignment horizontal="center" vertical="center"/>
    </xf>
    <xf numFmtId="0" fontId="8" fillId="12" borderId="15" xfId="11" applyNumberFormat="1" applyFont="1" applyFill="1" applyBorder="1" applyAlignment="1">
      <alignment horizontal="center" vertical="center"/>
    </xf>
    <xf numFmtId="0" fontId="8" fillId="12" borderId="30" xfId="11" applyNumberFormat="1" applyFont="1" applyFill="1" applyBorder="1" applyAlignment="1">
      <alignment horizontal="center" vertical="center"/>
    </xf>
    <xf numFmtId="0" fontId="8" fillId="12" borderId="30" xfId="11" applyFont="1" applyFill="1" applyBorder="1" applyAlignment="1" applyProtection="1">
      <alignment horizontal="left" vertical="center"/>
    </xf>
    <xf numFmtId="0" fontId="8" fillId="12" borderId="8" xfId="11" applyNumberFormat="1" applyFont="1" applyFill="1" applyBorder="1" applyAlignment="1">
      <alignment horizontal="center" vertical="center"/>
    </xf>
    <xf numFmtId="0" fontId="8" fillId="12" borderId="11" xfId="11" applyNumberFormat="1" applyFont="1" applyFill="1" applyBorder="1" applyAlignment="1">
      <alignment horizontal="center" vertical="center"/>
    </xf>
    <xf numFmtId="0" fontId="8" fillId="12" borderId="11" xfId="11" applyFont="1" applyFill="1" applyBorder="1" applyAlignment="1">
      <alignment horizontal="left" vertical="center"/>
    </xf>
    <xf numFmtId="0" fontId="10" fillId="6" borderId="0" xfId="9" applyFont="1" applyFill="1" applyBorder="1" applyAlignment="1"/>
    <xf numFmtId="0" fontId="10" fillId="6" borderId="43" xfId="9" applyFont="1" applyFill="1" applyBorder="1" applyAlignment="1"/>
    <xf numFmtId="0" fontId="37" fillId="6" borderId="0" xfId="9" applyFont="1" applyFill="1" applyBorder="1" applyAlignment="1"/>
    <xf numFmtId="0" fontId="35" fillId="6" borderId="43" xfId="17" applyFont="1" applyFill="1" applyBorder="1" applyAlignment="1">
      <alignment horizontal="left"/>
    </xf>
    <xf numFmtId="0" fontId="10" fillId="6" borderId="25" xfId="18" applyFont="1" applyFill="1" applyBorder="1" applyAlignment="1" applyProtection="1">
      <alignment horizontal="right"/>
    </xf>
    <xf numFmtId="0" fontId="10" fillId="6" borderId="25" xfId="9" applyFont="1" applyFill="1" applyBorder="1" applyAlignment="1"/>
    <xf numFmtId="0" fontId="1" fillId="24" borderId="0" xfId="0" applyFont="1" applyFill="1" applyBorder="1" applyAlignment="1">
      <alignment vertical="top" wrapText="1"/>
    </xf>
    <xf numFmtId="0" fontId="91" fillId="3" borderId="0" xfId="0" applyFont="1" applyFill="1"/>
    <xf numFmtId="0" fontId="58" fillId="3" borderId="0" xfId="0" applyFont="1" applyFill="1"/>
    <xf numFmtId="0" fontId="58" fillId="0" borderId="0" xfId="0" applyFont="1"/>
    <xf numFmtId="10" fontId="91" fillId="0" borderId="0" xfId="8" applyNumberFormat="1" applyFont="1" applyFill="1" applyBorder="1"/>
    <xf numFmtId="0" fontId="91" fillId="0" borderId="0" xfId="0" applyFont="1" applyFill="1" applyBorder="1"/>
    <xf numFmtId="0" fontId="91" fillId="0" borderId="0" xfId="0" applyFont="1"/>
    <xf numFmtId="4" fontId="58" fillId="0" borderId="0" xfId="0" applyNumberFormat="1" applyFont="1"/>
    <xf numFmtId="2" fontId="58" fillId="0" borderId="0" xfId="0" applyNumberFormat="1" applyFont="1"/>
    <xf numFmtId="0" fontId="58" fillId="0" borderId="0" xfId="0" applyFont="1" applyFill="1"/>
    <xf numFmtId="0" fontId="92" fillId="0" borderId="0" xfId="0" applyFont="1"/>
    <xf numFmtId="0" fontId="93" fillId="0" borderId="0" xfId="0" applyFont="1"/>
    <xf numFmtId="2" fontId="93" fillId="0" borderId="0" xfId="0" applyNumberFormat="1" applyFont="1"/>
    <xf numFmtId="4" fontId="93" fillId="0" borderId="0" xfId="0" applyNumberFormat="1" applyFont="1"/>
    <xf numFmtId="4" fontId="91" fillId="0" borderId="0" xfId="0" applyNumberFormat="1" applyFont="1"/>
    <xf numFmtId="0" fontId="93" fillId="0" borderId="0" xfId="0" applyFont="1" applyAlignment="1">
      <alignment horizontal="left"/>
    </xf>
    <xf numFmtId="0" fontId="58" fillId="0" borderId="0" xfId="0" applyFont="1" applyFill="1" applyBorder="1" applyAlignment="1">
      <alignment horizontal="left" vertical="top" wrapText="1"/>
    </xf>
    <xf numFmtId="3" fontId="58" fillId="0" borderId="0" xfId="0" applyNumberFormat="1" applyFont="1"/>
    <xf numFmtId="43" fontId="58" fillId="0" borderId="0" xfId="15" applyFont="1"/>
    <xf numFmtId="1" fontId="58" fillId="0" borderId="0" xfId="0" applyNumberFormat="1" applyFont="1"/>
    <xf numFmtId="169" fontId="58" fillId="0" borderId="0" xfId="0" applyNumberFormat="1" applyFont="1"/>
    <xf numFmtId="11" fontId="58" fillId="0" borderId="0" xfId="15" applyNumberFormat="1" applyFont="1"/>
    <xf numFmtId="167" fontId="58" fillId="0" borderId="0" xfId="0" applyNumberFormat="1" applyFont="1"/>
    <xf numFmtId="181" fontId="58" fillId="0" borderId="0" xfId="8" applyNumberFormat="1" applyFont="1"/>
    <xf numFmtId="168" fontId="58" fillId="0" borderId="0" xfId="0" applyNumberFormat="1" applyFont="1"/>
    <xf numFmtId="175" fontId="58" fillId="0" borderId="0" xfId="15" applyNumberFormat="1" applyFont="1"/>
    <xf numFmtId="168" fontId="58" fillId="0" borderId="0" xfId="15" applyNumberFormat="1" applyFont="1"/>
    <xf numFmtId="0" fontId="91" fillId="24" borderId="0" xfId="0" applyFont="1" applyFill="1" applyBorder="1" applyAlignment="1">
      <alignment vertical="top" wrapText="1"/>
    </xf>
    <xf numFmtId="0" fontId="58" fillId="0" borderId="0" xfId="0" applyNumberFormat="1" applyFont="1" applyFill="1" applyBorder="1"/>
    <xf numFmtId="0" fontId="58" fillId="0" borderId="0" xfId="0" applyFont="1" applyFill="1" applyBorder="1"/>
    <xf numFmtId="11" fontId="58" fillId="0" borderId="0" xfId="0" applyNumberFormat="1" applyFont="1"/>
    <xf numFmtId="0" fontId="91" fillId="24" borderId="0" xfId="0" applyFont="1" applyFill="1" applyAlignment="1">
      <alignment vertical="top"/>
    </xf>
    <xf numFmtId="11" fontId="58" fillId="26" borderId="0" xfId="8" applyNumberFormat="1" applyFont="1" applyFill="1"/>
    <xf numFmtId="11" fontId="58" fillId="26" borderId="0" xfId="15" applyNumberFormat="1" applyFont="1" applyFill="1"/>
    <xf numFmtId="11" fontId="58" fillId="25" borderId="0" xfId="0" applyNumberFormat="1" applyFont="1" applyFill="1"/>
    <xf numFmtId="0" fontId="0" fillId="4" borderId="0" xfId="0" applyFont="1" applyFill="1"/>
    <xf numFmtId="0" fontId="94" fillId="0" borderId="0" xfId="0" applyFont="1"/>
    <xf numFmtId="0" fontId="95" fillId="0" borderId="0" xfId="0" applyFont="1"/>
    <xf numFmtId="0" fontId="24" fillId="0" borderId="0" xfId="0" applyFont="1"/>
    <xf numFmtId="175" fontId="0" fillId="0" borderId="0" xfId="0" applyNumberFormat="1" applyFont="1" applyFill="1"/>
    <xf numFmtId="0" fontId="96" fillId="0" borderId="0" xfId="0" applyFont="1"/>
    <xf numFmtId="2" fontId="15" fillId="0" borderId="0" xfId="0" applyNumberFormat="1" applyFont="1" applyFill="1" applyBorder="1" applyAlignment="1">
      <alignment horizontal="right"/>
    </xf>
    <xf numFmtId="0" fontId="97" fillId="0" borderId="0" xfId="0" applyFont="1"/>
    <xf numFmtId="175" fontId="96" fillId="0" borderId="0" xfId="15" applyNumberFormat="1" applyFont="1"/>
    <xf numFmtId="0" fontId="19" fillId="0" borderId="0" xfId="0" applyFont="1"/>
    <xf numFmtId="175" fontId="19" fillId="0" borderId="0" xfId="15" applyNumberFormat="1" applyFont="1"/>
    <xf numFmtId="3" fontId="19" fillId="0" borderId="0" xfId="15" applyNumberFormat="1" applyFont="1"/>
    <xf numFmtId="175" fontId="1" fillId="0" borderId="0" xfId="15" applyNumberFormat="1" applyFont="1"/>
    <xf numFmtId="3" fontId="0" fillId="0" borderId="0" xfId="0" applyNumberFormat="1" applyFont="1"/>
    <xf numFmtId="170" fontId="0" fillId="0" borderId="0" xfId="0" applyNumberFormat="1" applyFont="1"/>
    <xf numFmtId="11" fontId="0" fillId="0" borderId="0" xfId="0" applyNumberFormat="1" applyFont="1"/>
    <xf numFmtId="170" fontId="0" fillId="0" borderId="0" xfId="0" applyNumberFormat="1" applyFont="1" applyFill="1"/>
    <xf numFmtId="168" fontId="0" fillId="0" borderId="0" xfId="0" applyNumberFormat="1" applyFont="1"/>
    <xf numFmtId="2" fontId="0" fillId="0" borderId="0" xfId="0" applyNumberFormat="1" applyFont="1"/>
    <xf numFmtId="164" fontId="0" fillId="0" borderId="0" xfId="0" applyNumberFormat="1" applyFont="1" applyAlignment="1">
      <alignment horizontal="left" indent="2"/>
    </xf>
    <xf numFmtId="0" fontId="0" fillId="0" borderId="0" xfId="0" applyFont="1" applyAlignment="1">
      <alignment vertical="top" wrapText="1"/>
    </xf>
    <xf numFmtId="0" fontId="0" fillId="0" borderId="0" xfId="0" applyFont="1" applyBorder="1" applyAlignment="1">
      <alignment vertical="top"/>
    </xf>
    <xf numFmtId="2" fontId="0" fillId="25" borderId="0" xfId="0" applyNumberFormat="1" applyFont="1" applyFill="1" applyBorder="1"/>
    <xf numFmtId="2" fontId="0" fillId="0" borderId="0" xfId="0" applyNumberFormat="1" applyFont="1" applyBorder="1"/>
    <xf numFmtId="0" fontId="0" fillId="0" borderId="0" xfId="0" applyFont="1" applyBorder="1"/>
    <xf numFmtId="1" fontId="0" fillId="0" borderId="0" xfId="0" applyNumberFormat="1" applyFont="1" applyFill="1" applyBorder="1"/>
    <xf numFmtId="3" fontId="0" fillId="0" borderId="0" xfId="0" applyNumberFormat="1" applyFont="1" applyBorder="1"/>
    <xf numFmtId="11" fontId="0" fillId="0" borderId="0" xfId="0" applyNumberFormat="1" applyFont="1" applyBorder="1"/>
    <xf numFmtId="0" fontId="0" fillId="0" borderId="0" xfId="0" applyFont="1" applyFill="1" applyBorder="1" applyAlignment="1">
      <alignment vertical="top"/>
    </xf>
    <xf numFmtId="0" fontId="0" fillId="0" borderId="0" xfId="0" applyFont="1" applyFill="1" applyBorder="1"/>
    <xf numFmtId="3" fontId="0" fillId="0" borderId="0" xfId="0" quotePrefix="1" applyNumberFormat="1" applyFont="1" applyBorder="1"/>
    <xf numFmtId="1" fontId="0" fillId="0" borderId="0" xfId="0" applyNumberFormat="1" applyFont="1"/>
    <xf numFmtId="0" fontId="0" fillId="0" borderId="0" xfId="0" applyFont="1" applyBorder="1" applyAlignment="1">
      <alignment horizontal="left" indent="2"/>
    </xf>
    <xf numFmtId="0" fontId="19" fillId="0" borderId="0" xfId="16" applyNumberFormat="1" applyFont="1" applyBorder="1" applyAlignment="1">
      <alignment horizontal="left" indent="2"/>
    </xf>
    <xf numFmtId="0" fontId="0" fillId="0" borderId="0" xfId="0" applyFont="1" applyFill="1" applyBorder="1" applyAlignment="1">
      <alignment horizontal="left" vertical="top" indent="2"/>
    </xf>
    <xf numFmtId="168" fontId="19" fillId="0" borderId="0" xfId="16" applyNumberFormat="1" applyFont="1" applyBorder="1" applyAlignment="1"/>
    <xf numFmtId="168" fontId="0" fillId="0" borderId="0" xfId="0" applyNumberFormat="1" applyFont="1" applyFill="1" applyBorder="1" applyAlignment="1">
      <alignment vertical="top"/>
    </xf>
    <xf numFmtId="168" fontId="19" fillId="0" borderId="0" xfId="16" applyNumberFormat="1" applyFont="1" applyFill="1" applyBorder="1" applyAlignment="1"/>
    <xf numFmtId="0" fontId="19" fillId="0" borderId="0" xfId="0" applyFont="1" applyFill="1" applyBorder="1" applyAlignment="1">
      <alignment horizontal="left" vertical="top"/>
    </xf>
    <xf numFmtId="2" fontId="19" fillId="0" borderId="0" xfId="0" applyNumberFormat="1" applyFont="1" applyFill="1" applyBorder="1" applyAlignment="1">
      <alignment horizontal="right" vertical="top"/>
    </xf>
    <xf numFmtId="0" fontId="1" fillId="23" borderId="0" xfId="0" applyFont="1" applyFill="1"/>
    <xf numFmtId="0" fontId="0" fillId="23" borderId="0" xfId="0" applyFont="1" applyFill="1"/>
    <xf numFmtId="175" fontId="0" fillId="23" borderId="0" xfId="15" applyNumberFormat="1" applyFont="1" applyFill="1"/>
    <xf numFmtId="0" fontId="96" fillId="23" borderId="0" xfId="0" applyFont="1" applyFill="1"/>
    <xf numFmtId="175" fontId="12" fillId="23" borderId="0" xfId="15" applyNumberFormat="1" applyFont="1" applyFill="1"/>
    <xf numFmtId="175" fontId="1" fillId="23" borderId="0" xfId="15" applyNumberFormat="1" applyFont="1" applyFill="1"/>
    <xf numFmtId="0" fontId="2" fillId="23" borderId="0" xfId="1" applyFont="1" applyFill="1"/>
    <xf numFmtId="3" fontId="0" fillId="23" borderId="0" xfId="0" applyNumberFormat="1" applyFont="1" applyFill="1"/>
    <xf numFmtId="43" fontId="0" fillId="23" borderId="0" xfId="15" applyFont="1" applyFill="1"/>
    <xf numFmtId="43" fontId="0" fillId="23" borderId="0" xfId="0" applyNumberFormat="1" applyFont="1" applyFill="1"/>
    <xf numFmtId="0" fontId="0" fillId="23" borderId="0" xfId="0" applyFont="1" applyFill="1" applyAlignment="1">
      <alignment horizontal="center" vertical="center" wrapText="1"/>
    </xf>
    <xf numFmtId="170" fontId="0" fillId="23" borderId="0" xfId="0" applyNumberFormat="1" applyFont="1" applyFill="1"/>
    <xf numFmtId="11" fontId="0" fillId="23" borderId="0" xfId="0" applyNumberFormat="1" applyFont="1" applyFill="1"/>
    <xf numFmtId="9" fontId="0" fillId="23" borderId="0" xfId="8" applyFont="1" applyFill="1"/>
    <xf numFmtId="43" fontId="0" fillId="23" borderId="0" xfId="15" applyNumberFormat="1" applyFont="1" applyFill="1"/>
    <xf numFmtId="0" fontId="0" fillId="2" borderId="0" xfId="0" applyFont="1" applyFill="1"/>
    <xf numFmtId="175" fontId="0" fillId="2" borderId="0" xfId="15" applyNumberFormat="1" applyFont="1" applyFill="1"/>
    <xf numFmtId="0" fontId="0" fillId="0" borderId="0" xfId="0"/>
    <xf numFmtId="0" fontId="77" fillId="15" borderId="37" xfId="0" applyFont="1" applyFill="1" applyBorder="1" applyAlignment="1">
      <alignment horizontal="left" vertical="center"/>
    </xf>
    <xf numFmtId="0" fontId="77" fillId="15" borderId="37" xfId="0" applyFont="1" applyFill="1" applyBorder="1"/>
    <xf numFmtId="0" fontId="80" fillId="15" borderId="36" xfId="0" applyFont="1" applyFill="1" applyBorder="1" applyAlignment="1">
      <alignment horizontal="left" wrapText="1"/>
    </xf>
    <xf numFmtId="0" fontId="80" fillId="15" borderId="34" xfId="0" applyFont="1" applyFill="1" applyBorder="1" applyAlignment="1">
      <alignment horizontal="left" wrapText="1"/>
    </xf>
    <xf numFmtId="2" fontId="10" fillId="8" borderId="7" xfId="0" applyNumberFormat="1" applyFont="1" applyFill="1" applyBorder="1" applyAlignment="1">
      <alignment horizontal="right"/>
    </xf>
    <xf numFmtId="0" fontId="10" fillId="6" borderId="7" xfId="22" applyNumberFormat="1" applyFont="1" applyFill="1" applyBorder="1" applyAlignment="1" applyProtection="1">
      <alignment horizontal="left" vertical="center"/>
    </xf>
    <xf numFmtId="0" fontId="40" fillId="6" borderId="0" xfId="11" applyFont="1" applyFill="1" applyAlignment="1">
      <alignment horizontal="left" vertical="center"/>
    </xf>
    <xf numFmtId="0" fontId="8" fillId="12" borderId="11" xfId="11" applyFont="1" applyFill="1" applyBorder="1" applyAlignment="1">
      <alignment horizontal="left" vertical="center"/>
    </xf>
    <xf numFmtId="0" fontId="8" fillId="12" borderId="12" xfId="11" applyFont="1" applyFill="1" applyBorder="1" applyAlignment="1">
      <alignment horizontal="left" vertical="center"/>
    </xf>
    <xf numFmtId="0" fontId="8" fillId="12" borderId="13" xfId="11" applyFont="1" applyFill="1" applyBorder="1" applyAlignment="1">
      <alignment horizontal="left" vertical="center"/>
    </xf>
    <xf numFmtId="0" fontId="10" fillId="12" borderId="30" xfId="11" applyFont="1" applyFill="1" applyBorder="1" applyAlignment="1">
      <alignment vertical="center" wrapText="1"/>
    </xf>
    <xf numFmtId="0" fontId="10" fillId="12" borderId="0" xfId="11" applyFont="1" applyFill="1" applyBorder="1" applyAlignment="1">
      <alignment vertical="center" wrapText="1"/>
    </xf>
    <xf numFmtId="0" fontId="10" fillId="12" borderId="27" xfId="11" applyFont="1" applyFill="1" applyBorder="1" applyAlignment="1">
      <alignment vertical="center" wrapText="1"/>
    </xf>
    <xf numFmtId="0" fontId="10" fillId="12" borderId="15" xfId="11" applyFont="1" applyFill="1" applyBorder="1" applyAlignment="1" applyProtection="1">
      <alignment horizontal="left" vertical="center"/>
      <protection locked="0"/>
    </xf>
    <xf numFmtId="0" fontId="10" fillId="12" borderId="39" xfId="11" applyFont="1" applyFill="1" applyBorder="1" applyAlignment="1" applyProtection="1">
      <alignment horizontal="left" vertical="center"/>
      <protection locked="0"/>
    </xf>
    <xf numFmtId="0" fontId="10" fillId="12" borderId="17" xfId="11" applyFont="1" applyFill="1" applyBorder="1" applyAlignment="1" applyProtection="1">
      <alignment horizontal="left" vertical="center"/>
      <protection locked="0"/>
    </xf>
    <xf numFmtId="0" fontId="8" fillId="12" borderId="9" xfId="11" applyFont="1" applyFill="1" applyBorder="1" applyAlignment="1" applyProtection="1">
      <alignment horizontal="center" vertical="center"/>
    </xf>
    <xf numFmtId="0" fontId="8" fillId="12" borderId="42" xfId="11" applyFont="1" applyFill="1" applyBorder="1" applyAlignment="1" applyProtection="1">
      <alignment horizontal="center" vertical="center"/>
    </xf>
    <xf numFmtId="0" fontId="8" fillId="12" borderId="10" xfId="11" applyFont="1" applyFill="1" applyBorder="1" applyAlignment="1" applyProtection="1">
      <alignment horizontal="center" vertical="center"/>
    </xf>
    <xf numFmtId="0" fontId="8" fillId="12" borderId="9" xfId="11" applyNumberFormat="1" applyFont="1" applyFill="1" applyBorder="1" applyAlignment="1">
      <alignment horizontal="center" vertical="center"/>
    </xf>
    <xf numFmtId="0" fontId="8" fillId="12" borderId="10" xfId="11" applyNumberFormat="1" applyFont="1" applyFill="1" applyBorder="1" applyAlignment="1">
      <alignment horizontal="center" vertical="center"/>
    </xf>
    <xf numFmtId="0" fontId="35" fillId="6" borderId="44" xfId="17" applyFont="1" applyFill="1" applyBorder="1" applyAlignment="1">
      <alignment horizontal="left"/>
    </xf>
    <xf numFmtId="0" fontId="35" fillId="6" borderId="25" xfId="17" applyFont="1" applyFill="1" applyBorder="1" applyAlignment="1">
      <alignment horizontal="left"/>
    </xf>
    <xf numFmtId="0" fontId="35" fillId="6" borderId="43" xfId="17" applyFont="1" applyFill="1" applyBorder="1" applyAlignment="1">
      <alignment horizontal="left"/>
    </xf>
    <xf numFmtId="0" fontId="35" fillId="6" borderId="0" xfId="17" applyFont="1" applyFill="1" applyBorder="1" applyAlignment="1">
      <alignment horizontal="left"/>
    </xf>
    <xf numFmtId="0" fontId="38" fillId="12" borderId="21" xfId="11" applyNumberFormat="1" applyFont="1" applyFill="1" applyBorder="1" applyAlignment="1" applyProtection="1">
      <alignment horizontal="center" vertical="center"/>
      <protection locked="0"/>
    </xf>
    <xf numFmtId="0" fontId="38" fillId="12" borderId="22" xfId="11" applyNumberFormat="1" applyFont="1" applyFill="1" applyBorder="1" applyAlignment="1" applyProtection="1">
      <alignment horizontal="center" vertical="center"/>
      <protection locked="0"/>
    </xf>
    <xf numFmtId="0" fontId="38" fillId="12" borderId="23" xfId="11" applyNumberFormat="1" applyFont="1" applyFill="1" applyBorder="1" applyAlignment="1" applyProtection="1">
      <alignment horizontal="center" vertical="center"/>
      <protection locked="0"/>
    </xf>
    <xf numFmtId="0" fontId="8" fillId="12" borderId="21" xfId="11" applyNumberFormat="1" applyFont="1" applyFill="1" applyBorder="1" applyAlignment="1">
      <alignment horizontal="center" vertical="center"/>
    </xf>
    <xf numFmtId="0" fontId="8" fillId="12" borderId="22" xfId="11" applyNumberFormat="1" applyFont="1" applyFill="1" applyBorder="1" applyAlignment="1">
      <alignment horizontal="center" vertical="center"/>
    </xf>
    <xf numFmtId="0" fontId="8" fillId="12" borderId="23" xfId="11" applyNumberFormat="1" applyFont="1" applyFill="1" applyBorder="1" applyAlignment="1">
      <alignment horizontal="center" vertical="center"/>
    </xf>
    <xf numFmtId="0" fontId="40" fillId="6" borderId="0" xfId="11" applyFont="1" applyFill="1" applyAlignment="1">
      <alignment vertical="center" wrapText="1"/>
    </xf>
    <xf numFmtId="0" fontId="40" fillId="6" borderId="0" xfId="11" applyFont="1" applyFill="1" applyAlignment="1">
      <alignment horizontal="left" vertical="center" wrapText="1"/>
    </xf>
    <xf numFmtId="0" fontId="10" fillId="6" borderId="0" xfId="9" applyFont="1" applyFill="1" applyAlignment="1">
      <alignment horizontal="left" vertical="center" wrapText="1"/>
    </xf>
    <xf numFmtId="0" fontId="8" fillId="11" borderId="22" xfId="11" applyFont="1" applyFill="1" applyBorder="1" applyAlignment="1" applyProtection="1">
      <alignment horizontal="center" vertical="center"/>
    </xf>
    <xf numFmtId="0" fontId="8" fillId="11" borderId="23" xfId="11" applyFont="1" applyFill="1" applyBorder="1" applyAlignment="1" applyProtection="1">
      <alignment horizontal="center" vertical="center"/>
    </xf>
    <xf numFmtId="0" fontId="40" fillId="6" borderId="0" xfId="9" applyFont="1" applyFill="1" applyAlignment="1">
      <alignment vertical="top" wrapText="1"/>
    </xf>
    <xf numFmtId="0" fontId="10" fillId="6" borderId="0" xfId="9" applyFont="1" applyFill="1" applyAlignment="1">
      <alignment vertical="top" wrapText="1"/>
    </xf>
    <xf numFmtId="0" fontId="35" fillId="6" borderId="0" xfId="17" applyFont="1" applyFill="1" applyAlignment="1">
      <alignment horizontal="left" vertical="center"/>
    </xf>
    <xf numFmtId="0" fontId="8" fillId="12" borderId="9" xfId="11" applyFont="1" applyFill="1" applyBorder="1" applyAlignment="1" applyProtection="1">
      <alignment horizontal="center" vertical="center" wrapText="1"/>
    </xf>
    <xf numFmtId="0" fontId="8" fillId="12" borderId="10" xfId="11" applyFont="1" applyFill="1" applyBorder="1" applyAlignment="1" applyProtection="1">
      <alignment horizontal="center" vertical="center" wrapText="1"/>
    </xf>
    <xf numFmtId="0" fontId="40" fillId="6" borderId="0" xfId="9" applyFont="1" applyFill="1" applyAlignment="1">
      <alignment horizontal="left" vertical="top" wrapText="1"/>
    </xf>
    <xf numFmtId="0" fontId="10" fillId="6" borderId="7" xfId="9" applyFont="1" applyFill="1" applyBorder="1" applyAlignment="1">
      <alignment horizontal="left" vertical="center"/>
    </xf>
    <xf numFmtId="0" fontId="40" fillId="6" borderId="0" xfId="9" applyFont="1" applyFill="1" applyAlignment="1">
      <alignment horizontal="left" wrapText="1"/>
    </xf>
    <xf numFmtId="0" fontId="40" fillId="6" borderId="0" xfId="9" applyFont="1" applyFill="1" applyBorder="1" applyAlignment="1">
      <alignment horizontal="left" wrapText="1"/>
    </xf>
    <xf numFmtId="0" fontId="8" fillId="12" borderId="11" xfId="9" applyFont="1" applyFill="1" applyBorder="1" applyAlignment="1"/>
    <xf numFmtId="0" fontId="10" fillId="6" borderId="12" xfId="9" applyFont="1" applyFill="1" applyBorder="1" applyAlignment="1"/>
    <xf numFmtId="0" fontId="10" fillId="6" borderId="13" xfId="9" applyFont="1" applyFill="1" applyBorder="1" applyAlignment="1"/>
    <xf numFmtId="0" fontId="10" fillId="12" borderId="30" xfId="9" applyFont="1" applyFill="1" applyBorder="1" applyAlignment="1">
      <alignment horizontal="left" wrapText="1"/>
    </xf>
    <xf numFmtId="0" fontId="10" fillId="6" borderId="0" xfId="9" applyFont="1" applyFill="1" applyBorder="1" applyAlignment="1">
      <alignment horizontal="left" wrapText="1"/>
    </xf>
    <xf numFmtId="0" fontId="10" fillId="6" borderId="27" xfId="9" applyFont="1" applyFill="1" applyBorder="1" applyAlignment="1">
      <alignment horizontal="left" wrapText="1"/>
    </xf>
    <xf numFmtId="0" fontId="10" fillId="12" borderId="30" xfId="9" applyFont="1" applyFill="1" applyBorder="1" applyAlignment="1">
      <alignment horizontal="left"/>
    </xf>
    <xf numFmtId="0" fontId="10" fillId="6" borderId="0" xfId="9" applyFont="1" applyFill="1" applyBorder="1" applyAlignment="1">
      <alignment horizontal="left"/>
    </xf>
    <xf numFmtId="0" fontId="10" fillId="6" borderId="27" xfId="9" applyFont="1" applyFill="1" applyBorder="1" applyAlignment="1">
      <alignment horizontal="left"/>
    </xf>
    <xf numFmtId="4" fontId="8" fillId="11" borderId="8" xfId="11" applyNumberFormat="1" applyFont="1" applyFill="1" applyBorder="1" applyAlignment="1" applyProtection="1">
      <alignment horizontal="left" vertical="center" wrapText="1"/>
    </xf>
    <xf numFmtId="4" fontId="8" fillId="11" borderId="20" xfId="11" applyNumberFormat="1" applyFont="1" applyFill="1" applyBorder="1" applyAlignment="1" applyProtection="1">
      <alignment horizontal="left" vertical="center" wrapText="1"/>
    </xf>
    <xf numFmtId="4" fontId="8" fillId="11" borderId="21" xfId="11" applyNumberFormat="1" applyFont="1" applyFill="1" applyBorder="1" applyAlignment="1" applyProtection="1">
      <alignment horizontal="center" vertical="center"/>
    </xf>
    <xf numFmtId="4" fontId="8" fillId="11" borderId="22" xfId="11" applyNumberFormat="1" applyFont="1" applyFill="1" applyBorder="1" applyAlignment="1" applyProtection="1">
      <alignment horizontal="center" vertical="center"/>
    </xf>
    <xf numFmtId="4" fontId="8" fillId="11" borderId="23" xfId="11" applyNumberFormat="1" applyFont="1" applyFill="1" applyBorder="1" applyAlignment="1" applyProtection="1">
      <alignment horizontal="center" vertical="center"/>
    </xf>
  </cellXfs>
  <cellStyles count="31">
    <cellStyle name="2x indented GHG Textfiels" xfId="10" xr:uid="{00000000-0005-0000-0000-000000000000}"/>
    <cellStyle name="5x indented GHG Textfiels" xfId="23" xr:uid="{00000000-0005-0000-0000-000001000000}"/>
    <cellStyle name="Body: normal cell" xfId="6" xr:uid="{00000000-0005-0000-0000-000002000000}"/>
    <cellStyle name="Comma" xfId="15" builtinId="3"/>
    <cellStyle name="Comma 3" xfId="27" xr:uid="{00000000-0005-0000-0000-000004000000}"/>
    <cellStyle name="Constants" xfId="18" xr:uid="{00000000-0005-0000-0000-000005000000}"/>
    <cellStyle name="Empty_B_border" xfId="19" xr:uid="{00000000-0005-0000-0000-000006000000}"/>
    <cellStyle name="Empty_TBorder" xfId="22" xr:uid="{00000000-0005-0000-0000-000007000000}"/>
    <cellStyle name="Font: Calibri, 9pt regular" xfId="2" xr:uid="{00000000-0005-0000-0000-000008000000}"/>
    <cellStyle name="Footnotes: top row" xfId="7" xr:uid="{00000000-0005-0000-0000-000009000000}"/>
    <cellStyle name="Header: bottom row" xfId="3" xr:uid="{00000000-0005-0000-0000-00000A000000}"/>
    <cellStyle name="Headline" xfId="17" xr:uid="{00000000-0005-0000-0000-00000B000000}"/>
    <cellStyle name="Hyperlink" xfId="1" builtinId="8"/>
    <cellStyle name="Hyperlink 2" xfId="14" xr:uid="{00000000-0005-0000-0000-00000D000000}"/>
    <cellStyle name="Hyperlink 3" xfId="30" xr:uid="{00000000-0005-0000-0000-00000E000000}"/>
    <cellStyle name="Normal" xfId="0" builtinId="0"/>
    <cellStyle name="Normal 2" xfId="9" xr:uid="{00000000-0005-0000-0000-000010000000}"/>
    <cellStyle name="Normal 2 2" xfId="25" xr:uid="{00000000-0005-0000-0000-000011000000}"/>
    <cellStyle name="Normal 2_A4-1" xfId="28" xr:uid="{00000000-0005-0000-0000-000012000000}"/>
    <cellStyle name="Normal 2_A8-22" xfId="26" xr:uid="{00000000-0005-0000-0000-000013000000}"/>
    <cellStyle name="Normal 3" xfId="12" xr:uid="{00000000-0005-0000-0000-000014000000}"/>
    <cellStyle name="Normal 3 2" xfId="29" xr:uid="{00000000-0005-0000-0000-000015000000}"/>
    <cellStyle name="Normal 4" xfId="13" xr:uid="{00000000-0005-0000-0000-000016000000}"/>
    <cellStyle name="Normal 5" xfId="16" xr:uid="{00000000-0005-0000-0000-000017000000}"/>
    <cellStyle name="Normal GHG Textfiels Bold" xfId="21" xr:uid="{00000000-0005-0000-0000-000018000000}"/>
    <cellStyle name="Normal GHG-Shade" xfId="20" xr:uid="{00000000-0005-0000-0000-000019000000}"/>
    <cellStyle name="Parent row" xfId="5" xr:uid="{00000000-0005-0000-0000-00001A000000}"/>
    <cellStyle name="Percent" xfId="8" builtinId="5"/>
    <cellStyle name="Table title" xfId="4" xr:uid="{00000000-0005-0000-0000-00001C000000}"/>
    <cellStyle name="Обычный_CRF2002 (1)" xfId="11" xr:uid="{00000000-0005-0000-0000-00001D000000}"/>
    <cellStyle name="Обычный_CRF2002 (1) 2" xfId="24" xr:uid="{00000000-0005-0000-0000-00001E000000}"/>
  </cellStyles>
  <dxfs count="16">
    <dxf>
      <numFmt numFmtId="182" formatCode="[&gt;=1]#\ ##0;[&lt;1]0.00"/>
    </dxf>
    <dxf>
      <fill>
        <patternFill patternType="solid">
          <fgColor indexed="64"/>
          <bgColor theme="9"/>
        </patternFill>
      </fill>
    </dxf>
    <dxf>
      <fill>
        <patternFill patternType="solid">
          <fgColor indexed="64"/>
          <bgColor theme="0"/>
        </patternFill>
      </fill>
    </dxf>
    <dxf>
      <fill>
        <patternFill patternType="solid">
          <fgColor indexed="64"/>
          <bgColor theme="0"/>
        </patternFill>
      </fill>
    </dxf>
    <dxf>
      <fill>
        <patternFill patternType="solid">
          <fgColor indexed="64"/>
          <bgColor theme="7"/>
        </patternFill>
      </fill>
    </dxf>
    <dxf>
      <fill>
        <patternFill patternType="solid">
          <fgColor indexed="64"/>
          <bgColor theme="9"/>
        </patternFill>
      </fill>
    </dxf>
    <dxf>
      <fill>
        <patternFill>
          <bgColor theme="9"/>
        </patternFill>
      </fill>
    </dxf>
    <dxf>
      <fill>
        <patternFill>
          <bgColor theme="9"/>
        </patternFill>
      </fill>
    </dxf>
    <dxf>
      <numFmt numFmtId="1" formatCode="0"/>
    </dxf>
    <dxf>
      <numFmt numFmtId="168" formatCode="0.0"/>
    </dxf>
    <dxf>
      <numFmt numFmtId="2" formatCode="0.00"/>
    </dxf>
    <dxf>
      <numFmt numFmtId="179" formatCode="0.000"/>
    </dxf>
    <dxf>
      <numFmt numFmtId="169" formatCode="0.0000"/>
    </dxf>
    <dxf>
      <numFmt numFmtId="183" formatCode="0.00000"/>
    </dxf>
    <dxf>
      <numFmt numFmtId="184" formatCode="0.000000"/>
    </dxf>
    <dxf>
      <numFmt numFmtId="185" formatCode="0.0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externalLink" Target="externalLinks/externalLink15.xml"/><Relationship Id="rId68" Type="http://schemas.openxmlformats.org/officeDocument/2006/relationships/externalLink" Target="externalLinks/externalLink20.xml"/><Relationship Id="rId84" Type="http://schemas.openxmlformats.org/officeDocument/2006/relationships/externalLink" Target="externalLinks/externalLink36.xml"/><Relationship Id="rId89" Type="http://schemas.openxmlformats.org/officeDocument/2006/relationships/externalLink" Target="externalLinks/externalLink4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externalLink" Target="externalLinks/externalLink5.xml"/><Relationship Id="rId58" Type="http://schemas.openxmlformats.org/officeDocument/2006/relationships/externalLink" Target="externalLinks/externalLink10.xml"/><Relationship Id="rId74" Type="http://schemas.openxmlformats.org/officeDocument/2006/relationships/externalLink" Target="externalLinks/externalLink26.xml"/><Relationship Id="rId79" Type="http://schemas.openxmlformats.org/officeDocument/2006/relationships/externalLink" Target="externalLinks/externalLink31.xml"/><Relationship Id="rId5" Type="http://schemas.openxmlformats.org/officeDocument/2006/relationships/worksheet" Target="worksheets/sheet5.xml"/><Relationship Id="rId90" Type="http://schemas.openxmlformats.org/officeDocument/2006/relationships/pivotCacheDefinition" Target="pivotCache/pivotCacheDefinition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externalLink" Target="externalLinks/externalLink16.xml"/><Relationship Id="rId69" Type="http://schemas.openxmlformats.org/officeDocument/2006/relationships/externalLink" Target="externalLinks/externalLink21.xml"/><Relationship Id="rId8" Type="http://schemas.openxmlformats.org/officeDocument/2006/relationships/worksheet" Target="worksheets/sheet8.xml"/><Relationship Id="rId51" Type="http://schemas.openxmlformats.org/officeDocument/2006/relationships/externalLink" Target="externalLinks/externalLink3.xml"/><Relationship Id="rId72" Type="http://schemas.openxmlformats.org/officeDocument/2006/relationships/externalLink" Target="externalLinks/externalLink24.xml"/><Relationship Id="rId80" Type="http://schemas.openxmlformats.org/officeDocument/2006/relationships/externalLink" Target="externalLinks/externalLink32.xml"/><Relationship Id="rId85" Type="http://schemas.openxmlformats.org/officeDocument/2006/relationships/externalLink" Target="externalLinks/externalLink37.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externalLink" Target="externalLinks/externalLink11.xml"/><Relationship Id="rId67" Type="http://schemas.openxmlformats.org/officeDocument/2006/relationships/externalLink" Target="externalLinks/externalLink1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6.xml"/><Relationship Id="rId62" Type="http://schemas.openxmlformats.org/officeDocument/2006/relationships/externalLink" Target="externalLinks/externalLink14.xml"/><Relationship Id="rId70" Type="http://schemas.openxmlformats.org/officeDocument/2006/relationships/externalLink" Target="externalLinks/externalLink22.xml"/><Relationship Id="rId75" Type="http://schemas.openxmlformats.org/officeDocument/2006/relationships/externalLink" Target="externalLinks/externalLink27.xml"/><Relationship Id="rId83" Type="http://schemas.openxmlformats.org/officeDocument/2006/relationships/externalLink" Target="externalLinks/externalLink35.xml"/><Relationship Id="rId88" Type="http://schemas.openxmlformats.org/officeDocument/2006/relationships/externalLink" Target="externalLinks/externalLink40.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xml"/><Relationship Id="rId57" Type="http://schemas.openxmlformats.org/officeDocument/2006/relationships/externalLink" Target="externalLinks/externalLink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4.xml"/><Relationship Id="rId60" Type="http://schemas.openxmlformats.org/officeDocument/2006/relationships/externalLink" Target="externalLinks/externalLink12.xml"/><Relationship Id="rId65" Type="http://schemas.openxmlformats.org/officeDocument/2006/relationships/externalLink" Target="externalLinks/externalLink17.xml"/><Relationship Id="rId73" Type="http://schemas.openxmlformats.org/officeDocument/2006/relationships/externalLink" Target="externalLinks/externalLink25.xml"/><Relationship Id="rId78" Type="http://schemas.openxmlformats.org/officeDocument/2006/relationships/externalLink" Target="externalLinks/externalLink30.xml"/><Relationship Id="rId81" Type="http://schemas.openxmlformats.org/officeDocument/2006/relationships/externalLink" Target="externalLinks/externalLink33.xml"/><Relationship Id="rId86" Type="http://schemas.openxmlformats.org/officeDocument/2006/relationships/externalLink" Target="externalLinks/externalLink38.xml"/><Relationship Id="rId9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externalLink" Target="externalLinks/externalLink2.xml"/><Relationship Id="rId55" Type="http://schemas.openxmlformats.org/officeDocument/2006/relationships/externalLink" Target="externalLinks/externalLink7.xml"/><Relationship Id="rId76" Type="http://schemas.openxmlformats.org/officeDocument/2006/relationships/externalLink" Target="externalLinks/externalLink28.xml"/><Relationship Id="rId7" Type="http://schemas.openxmlformats.org/officeDocument/2006/relationships/worksheet" Target="worksheets/sheet7.xml"/><Relationship Id="rId71" Type="http://schemas.openxmlformats.org/officeDocument/2006/relationships/externalLink" Target="externalLinks/externalLink23.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externalLink" Target="externalLinks/externalLink18.xml"/><Relationship Id="rId87" Type="http://schemas.openxmlformats.org/officeDocument/2006/relationships/externalLink" Target="externalLinks/externalLink39.xml"/><Relationship Id="rId61" Type="http://schemas.openxmlformats.org/officeDocument/2006/relationships/externalLink" Target="externalLinks/externalLink13.xml"/><Relationship Id="rId82" Type="http://schemas.openxmlformats.org/officeDocument/2006/relationships/externalLink" Target="externalLinks/externalLink34.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externalLink" Target="externalLinks/externalLink8.xml"/><Relationship Id="rId77" Type="http://schemas.openxmlformats.org/officeDocument/2006/relationships/externalLink" Target="externalLinks/externalLink2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'Chem - ODS'!$G$14:$G$36</c:f>
              <c:numCache>
                <c:formatCode>General</c:formatCode>
                <c:ptCount val="2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numCache>
            </c:numRef>
          </c:cat>
          <c:val>
            <c:numRef>
              <c:f>'Chem - ODS'!$H$14:$H$36</c:f>
              <c:numCache>
                <c:formatCode>General</c:formatCode>
                <c:ptCount val="23"/>
                <c:pt idx="0">
                  <c:v>15</c:v>
                </c:pt>
                <c:pt idx="1">
                  <c:v>14.8</c:v>
                </c:pt>
                <c:pt idx="2">
                  <c:v>15.1</c:v>
                </c:pt>
                <c:pt idx="3">
                  <c:v>15.1</c:v>
                </c:pt>
                <c:pt idx="4">
                  <c:v>15.7</c:v>
                </c:pt>
                <c:pt idx="5">
                  <c:v>16</c:v>
                </c:pt>
                <c:pt idx="6">
                  <c:v>16.2</c:v>
                </c:pt>
                <c:pt idx="7">
                  <c:v>16.5</c:v>
                </c:pt>
                <c:pt idx="8">
                  <c:v>16.399999999999999</c:v>
                </c:pt>
                <c:pt idx="9">
                  <c:v>17.3</c:v>
                </c:pt>
                <c:pt idx="10">
                  <c:v>16.7</c:v>
                </c:pt>
                <c:pt idx="11">
                  <c:v>15.9</c:v>
                </c:pt>
                <c:pt idx="12">
                  <c:v>14.8</c:v>
                </c:pt>
                <c:pt idx="13">
                  <c:v>15.3</c:v>
                </c:pt>
                <c:pt idx="14">
                  <c:v>15.8</c:v>
                </c:pt>
                <c:pt idx="15">
                  <c:v>15.2</c:v>
                </c:pt>
                <c:pt idx="16">
                  <c:v>14.3</c:v>
                </c:pt>
                <c:pt idx="17">
                  <c:v>13.4</c:v>
                </c:pt>
                <c:pt idx="18">
                  <c:v>12.9</c:v>
                </c:pt>
                <c:pt idx="19">
                  <c:v>12.7</c:v>
                </c:pt>
                <c:pt idx="20">
                  <c:v>9.8000000000000007</c:v>
                </c:pt>
                <c:pt idx="21">
                  <c:v>9.5</c:v>
                </c:pt>
                <c:pt idx="22">
                  <c:v>9.1</c:v>
                </c:pt>
              </c:numCache>
            </c:numRef>
          </c:val>
          <c:smooth val="0"/>
          <c:extLst>
            <c:ext xmlns:c16="http://schemas.microsoft.com/office/drawing/2014/chart" uri="{C3380CC4-5D6E-409C-BE32-E72D297353CC}">
              <c16:uniqueId val="{00000000-41A5-4306-95B0-3AB2F1963D73}"/>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'Chem - ODS'!$I$14:$I$36</c:f>
              <c:numCache>
                <c:formatCode>General</c:formatCode>
                <c:ptCount val="23"/>
                <c:pt idx="0">
                  <c:v>15</c:v>
                </c:pt>
                <c:pt idx="1">
                  <c:v>15.6</c:v>
                </c:pt>
                <c:pt idx="2">
                  <c:v>16.3</c:v>
                </c:pt>
                <c:pt idx="3">
                  <c:v>16.8</c:v>
                </c:pt>
                <c:pt idx="4">
                  <c:v>17.399999999999999</c:v>
                </c:pt>
                <c:pt idx="5">
                  <c:v>18</c:v>
                </c:pt>
                <c:pt idx="6">
                  <c:v>18.600000000000001</c:v>
                </c:pt>
                <c:pt idx="7">
                  <c:v>19.399999999999999</c:v>
                </c:pt>
                <c:pt idx="8">
                  <c:v>19.8</c:v>
                </c:pt>
                <c:pt idx="9">
                  <c:v>21</c:v>
                </c:pt>
                <c:pt idx="10">
                  <c:v>21.1</c:v>
                </c:pt>
                <c:pt idx="11">
                  <c:v>21.7</c:v>
                </c:pt>
                <c:pt idx="12">
                  <c:v>22.2</c:v>
                </c:pt>
                <c:pt idx="13">
                  <c:v>23.6</c:v>
                </c:pt>
                <c:pt idx="14">
                  <c:v>25.2</c:v>
                </c:pt>
                <c:pt idx="15">
                  <c:v>25.5</c:v>
                </c:pt>
                <c:pt idx="16">
                  <c:v>25.9</c:v>
                </c:pt>
                <c:pt idx="17">
                  <c:v>26.4</c:v>
                </c:pt>
                <c:pt idx="18">
                  <c:v>27</c:v>
                </c:pt>
                <c:pt idx="19">
                  <c:v>27.7</c:v>
                </c:pt>
                <c:pt idx="20">
                  <c:v>25.7</c:v>
                </c:pt>
                <c:pt idx="21">
                  <c:v>26.3</c:v>
                </c:pt>
                <c:pt idx="22">
                  <c:v>26.8</c:v>
                </c:pt>
              </c:numCache>
            </c:numRef>
          </c:val>
          <c:smooth val="0"/>
          <c:extLst>
            <c:ext xmlns:c16="http://schemas.microsoft.com/office/drawing/2014/chart" uri="{C3380CC4-5D6E-409C-BE32-E72D297353CC}">
              <c16:uniqueId val="{00000003-41A5-4306-95B0-3AB2F1963D73}"/>
            </c:ext>
          </c:extLst>
        </c:ser>
        <c:dLbls>
          <c:showLegendKey val="0"/>
          <c:showVal val="0"/>
          <c:showCatName val="0"/>
          <c:showSerName val="0"/>
          <c:showPercent val="0"/>
          <c:showBubbleSize val="0"/>
        </c:dLbls>
        <c:marker val="1"/>
        <c:smooth val="0"/>
        <c:axId val="322841640"/>
        <c:axId val="343477136"/>
      </c:lineChart>
      <c:catAx>
        <c:axId val="322841640"/>
        <c:scaling>
          <c:orientation val="minMax"/>
        </c:scaling>
        <c:delete val="0"/>
        <c:axPos val="b"/>
        <c:numFmt formatCode="General" sourceLinked="1"/>
        <c:majorTickMark val="none"/>
        <c:minorTickMark val="none"/>
        <c:tickLblPos val="nextTo"/>
        <c:spPr>
          <a:noFill/>
          <a:ln w="1905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77136"/>
        <c:crosses val="autoZero"/>
        <c:auto val="1"/>
        <c:lblAlgn val="ctr"/>
        <c:lblOffset val="100"/>
        <c:noMultiLvlLbl val="0"/>
      </c:catAx>
      <c:valAx>
        <c:axId val="343477136"/>
        <c:scaling>
          <c:orientation val="minMax"/>
          <c:max val="30"/>
          <c:min val="0"/>
        </c:scaling>
        <c:delete val="0"/>
        <c:axPos val="l"/>
        <c:numFmt formatCode="General" sourceLinked="1"/>
        <c:majorTickMark val="none"/>
        <c:minorTickMark val="none"/>
        <c:tickLblPos val="nextTo"/>
        <c:spPr>
          <a:noFill/>
          <a:ln w="19050">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841640"/>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24</xdr:col>
      <xdr:colOff>0</xdr:colOff>
      <xdr:row>0</xdr:row>
      <xdr:rowOff>22860</xdr:rowOff>
    </xdr:from>
    <xdr:to>
      <xdr:col>29</xdr:col>
      <xdr:colOff>7620</xdr:colOff>
      <xdr:row>12</xdr:row>
      <xdr:rowOff>111639</xdr:rowOff>
    </xdr:to>
    <xdr:pic>
      <xdr:nvPicPr>
        <xdr:cNvPr id="3" name="Picture 2">
          <a:extLst>
            <a:ext uri="{FF2B5EF4-FFF2-40B4-BE49-F238E27FC236}">
              <a16:creationId xmlns:a16="http://schemas.microsoft.com/office/drawing/2014/main" id="{46C34D70-D7CF-4698-A285-CA3FDA52EF9C}"/>
            </a:ext>
          </a:extLst>
        </xdr:cNvPr>
        <xdr:cNvPicPr>
          <a:picLocks noChangeAspect="1"/>
        </xdr:cNvPicPr>
      </xdr:nvPicPr>
      <xdr:blipFill>
        <a:blip xmlns:r="http://schemas.openxmlformats.org/officeDocument/2006/relationships" r:embed="rId1"/>
        <a:stretch>
          <a:fillRect/>
        </a:stretch>
      </xdr:blipFill>
      <xdr:spPr>
        <a:xfrm>
          <a:off x="15598140" y="22860"/>
          <a:ext cx="3055620" cy="28700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0</xdr:rowOff>
    </xdr:from>
    <xdr:to>
      <xdr:col>4</xdr:col>
      <xdr:colOff>1384300</xdr:colOff>
      <xdr:row>38</xdr:row>
      <xdr:rowOff>168638</xdr:rowOff>
    </xdr:to>
    <xdr:grpSp>
      <xdr:nvGrpSpPr>
        <xdr:cNvPr id="5" name="Group 4">
          <a:extLst>
            <a:ext uri="{FF2B5EF4-FFF2-40B4-BE49-F238E27FC236}">
              <a16:creationId xmlns:a16="http://schemas.microsoft.com/office/drawing/2014/main" id="{00000000-0008-0000-0800-000005000000}"/>
            </a:ext>
          </a:extLst>
        </xdr:cNvPr>
        <xdr:cNvGrpSpPr/>
      </xdr:nvGrpSpPr>
      <xdr:grpSpPr>
        <a:xfrm>
          <a:off x="0" y="1524000"/>
          <a:ext cx="9956800" cy="5883638"/>
          <a:chOff x="0" y="1477818"/>
          <a:chExt cx="9235209" cy="5710456"/>
        </a:xfrm>
      </xdr:grpSpPr>
      <xdr:pic>
        <xdr:nvPicPr>
          <xdr:cNvPr id="2" name="Picture 1" descr="http://www.gazette.gc.ca/rp-pr/p2/2017/2017-10-18/html/HFCemissions-emissionsHFC-eng.jpg">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7818"/>
            <a:ext cx="9235209" cy="5710456"/>
          </a:xfrm>
          <a:prstGeom prst="rect">
            <a:avLst/>
          </a:prstGeom>
          <a:noFill/>
          <a:extLst>
            <a:ext uri="{909E8E84-426E-40dd-AFC4-6F175D3DCCD1}">
              <a14:hiddenFill xmlns:a14="http://schemas.microsoft.com/office/drawing/2010/main" xmlns="">
                <a:solidFill>
                  <a:srgbClr val="FFFFFF"/>
                </a:solidFill>
              </a14:hiddenFill>
            </a:ext>
          </a:extLst>
        </xdr:spPr>
      </xdr:pic>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527050" y="2124074"/>
          <a:ext cx="8067089" cy="4831485"/>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34</xdr:row>
      <xdr:rowOff>68580</xdr:rowOff>
    </xdr:from>
    <xdr:to>
      <xdr:col>14</xdr:col>
      <xdr:colOff>132267</xdr:colOff>
      <xdr:row>48</xdr:row>
      <xdr:rowOff>98736</xdr:rowOff>
    </xdr:to>
    <xdr:pic>
      <xdr:nvPicPr>
        <xdr:cNvPr id="2" name="Picture 1">
          <a:extLst>
            <a:ext uri="{FF2B5EF4-FFF2-40B4-BE49-F238E27FC236}">
              <a16:creationId xmlns:a16="http://schemas.microsoft.com/office/drawing/2014/main" id="{B2A3CDB8-8A85-4F98-80C7-4271F69E3A4B}"/>
            </a:ext>
          </a:extLst>
        </xdr:cNvPr>
        <xdr:cNvPicPr>
          <a:picLocks noChangeAspect="1"/>
        </xdr:cNvPicPr>
      </xdr:nvPicPr>
      <xdr:blipFill>
        <a:blip xmlns:r="http://schemas.openxmlformats.org/officeDocument/2006/relationships" r:embed="rId1"/>
        <a:stretch>
          <a:fillRect/>
        </a:stretch>
      </xdr:blipFill>
      <xdr:spPr>
        <a:xfrm>
          <a:off x="0" y="6720840"/>
          <a:ext cx="8666667" cy="25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9525</xdr:colOff>
      <xdr:row>4</xdr:row>
      <xdr:rowOff>0</xdr:rowOff>
    </xdr:from>
    <xdr:to>
      <xdr:col>9</xdr:col>
      <xdr:colOff>9525</xdr:colOff>
      <xdr:row>70</xdr:row>
      <xdr:rowOff>38100</xdr:rowOff>
    </xdr:to>
    <xdr:cxnSp macro="">
      <xdr:nvCxnSpPr>
        <xdr:cNvPr id="2" name="Straight Connector 1">
          <a:extLst>
            <a:ext uri="{FF2B5EF4-FFF2-40B4-BE49-F238E27FC236}">
              <a16:creationId xmlns:a16="http://schemas.microsoft.com/office/drawing/2014/main" id="{2BEAB242-6D0C-4DC0-946D-041BB7BBD926}"/>
            </a:ext>
          </a:extLst>
        </xdr:cNvPr>
        <xdr:cNvCxnSpPr/>
      </xdr:nvCxnSpPr>
      <xdr:spPr>
        <a:xfrm>
          <a:off x="6867525" y="731520"/>
          <a:ext cx="0" cy="1210818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en/Dropbox/eps-1.4.1-canada-wipC%20(updated)/InputData/indst/BPEiC/BAU%20Process%20Emiss%20CO2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BAU%20Process%20Emiss%20CO2e%20Canad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4(KP)"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private/var/folders/ns/n96454h17tbclgtqwcd269c00000gq/T/TemporaryItems/Outlook%20Temp/4(KP-I)A.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I)A.1"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private/var/folders/ns/n96454h17tbclgtqwcd269c00000gq/T/TemporaryItems/Outlook%20Temp/4(KP-I)A.1.1"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I)A.1.1"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private/var/folders/ns/n96454h17tbclgtqwcd269c00000gq/T/TemporaryItems/Outlook%20Temp/4(KP-I)A.2"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I)A.2"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brianneriehl/Dropbox/eps-1.4.2-canada-wipC/InputData/indst/BPEiC/4(KP-I)A.2.1"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Users/brianneriehl/Dropbox/eps-1.4.2-canada-wipA/InputData/indst/BPEiC/4(KP-I)B.1"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Ben/Dropbox/eps-1.4.2-canada-wipC/InputData/indst/PERAC/Step4/4(KP-I)B.1.1"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4(KP-I)B.1.2"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I)B.1.2"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Users/Ben/Dropbox/eps-1.4.2-canada-wipC/InputData/indst/PERAC/Step4/4(KP-I)B.1.3"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4(KP-I)B.2"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I)B.2"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4(KP-I)B.3"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I)B.3"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private/var/folders/ns/n96454h17tbclgtqwcd269c00000gq/T/TemporaryItems/Outlook%20Temp/4(KP-I)B.4"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I)B.4"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4(KP-I)B.5"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I)B.5"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4(KP-II)1"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II)1"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4(KP-II)2"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II)2"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4(KP-II)3"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4(KP-II)4"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4(KP-II)4"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4(KP)Recalculations"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accounting"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NIR-1"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NIR-1"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NIR-2"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NIR-2"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NIR-2.1"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NIR-2.1"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C:/Users/Ben/Dropbox/Provincial%20EPS/AB%20EPS%201.4.2/InputData/indst/BPEiC/NIR-3"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C:/Users/Brianne/Library/Caches/TemporaryItems/Outlook%20Temp/NIR-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oss-Page Dat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oss-Page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1"/>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1"/>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2"/>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1"/>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1"/>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1"/>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1"/>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1"/>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1"/>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2"/>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2"/>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3"/>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4"/>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4"/>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Recalculations"/>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ounting"/>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1"/>
    </sheetNames>
    <sheetDataSet>
      <sheetData sheetId="0"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1"/>
    </sheetNames>
    <sheetDataSet>
      <sheetData sheetId="0"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2"/>
    </sheetNames>
    <sheetDataSet>
      <sheetData sheetId="0"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2"/>
    </sheetNames>
    <sheetDataSet>
      <sheetData sheetId="0"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2"/>
    </sheetNames>
    <sheetDataSet>
      <sheetData sheetId="0"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2"/>
    </sheetNames>
    <sheetDataSet>
      <sheetData sheetId="0"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3"/>
    </sheetNames>
    <sheetDataSet>
      <sheetData sheetId="0"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3"/>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eran" refreshedDate="43334.588677546293" createdVersion="6" refreshedVersion="6" minRefreshableVersion="3" recordCount="56" xr:uid="{00000000-000A-0000-FFFF-FFFF0B000000}">
  <cacheSource type="worksheet">
    <worksheetSource ref="A1:AV57" sheet="Other Industrial Processes"/>
  </cacheSource>
  <cacheFields count="48">
    <cacheField name="Sub-Sector" numFmtId="0">
      <sharedItems/>
    </cacheField>
    <cacheField name="Model Sector" numFmtId="0">
      <sharedItems count="10">
        <s v="Chemicals"/>
        <s v="Iron and Steel"/>
        <s v="Other Industries"/>
        <s v="Agriculture"/>
        <s v="Other" u="1"/>
        <s v="Natural Gas and Petroleum Systems" u="1"/>
        <s v="Coal Mining" u="1"/>
        <s v="Exclude" u="1"/>
        <s v="Waste" u="1"/>
        <s v="Cement and Other Carbonates" u="1"/>
      </sharedItems>
    </cacheField>
    <cacheField name="Pollutant" numFmtId="0">
      <sharedItems containsBlank="1" count="8">
        <s v="CO2"/>
        <s v="CH4"/>
        <s v="N2O"/>
        <s v="HFCs"/>
        <s v="PFCs"/>
        <s v="SF6"/>
        <s v="NF3"/>
        <m u="1"/>
      </sharedItems>
    </cacheField>
    <cacheField name="2006" numFmtId="0">
      <sharedItems containsSemiMixedTypes="0" containsString="0" containsNumber="1" minValue="0" maxValue="7607.1169952016398"/>
    </cacheField>
    <cacheField name="2007" numFmtId="0">
      <sharedItems containsSemiMixedTypes="0" containsString="0" containsNumber="1" minValue="0" maxValue="7005.3710839701598"/>
    </cacheField>
    <cacheField name="2008" numFmtId="0">
      <sharedItems containsSemiMixedTypes="0" containsString="0" containsNumber="1" minValue="0" maxValue="7071.8286133540196"/>
    </cacheField>
    <cacheField name="2009" numFmtId="0">
      <sharedItems containsSemiMixedTypes="0" containsString="0" containsNumber="1" minValue="0" maxValue="6889.9285635414299"/>
    </cacheField>
    <cacheField name="2010" numFmtId="0">
      <sharedItems containsSemiMixedTypes="0" containsString="0" containsNumber="1" minValue="0" maxValue="6918.9391177683001"/>
    </cacheField>
    <cacheField name="2011" numFmtId="0">
      <sharedItems containsSemiMixedTypes="0" containsString="0" containsNumber="1" minValue="0" maxValue="7613.78769472761"/>
    </cacheField>
    <cacheField name="2012" numFmtId="0">
      <sharedItems containsSemiMixedTypes="0" containsString="0" containsNumber="1" minValue="0" maxValue="10709.5346169534"/>
    </cacheField>
    <cacheField name="2013" numFmtId="0">
      <sharedItems containsSemiMixedTypes="0" containsString="0" containsNumber="1" minValue="0" maxValue="8998.0266461133306"/>
    </cacheField>
    <cacheField name="2014" numFmtId="0">
      <sharedItems containsSemiMixedTypes="0" containsString="0" containsNumber="1" minValue="0" maxValue="7337.6415528479101"/>
    </cacheField>
    <cacheField name="2015" numFmtId="0">
      <sharedItems containsSemiMixedTypes="0" containsString="0" containsNumber="1" minValue="0" maxValue="9015.067605304881"/>
    </cacheField>
    <cacheField name="2016" numFmtId="0">
      <sharedItems containsSemiMixedTypes="0" containsString="0" containsNumber="1" minValue="0" maxValue="9171.5065619830184"/>
    </cacheField>
    <cacheField name="2017" numFmtId="0">
      <sharedItems containsSemiMixedTypes="0" containsString="0" containsNumber="1" minValue="0" maxValue="9327.9455186611558"/>
    </cacheField>
    <cacheField name="2018" numFmtId="0">
      <sharedItems containsSemiMixedTypes="0" containsString="0" containsNumber="1" minValue="0" maxValue="9484.3844753392932"/>
    </cacheField>
    <cacheField name="2019" numFmtId="0">
      <sharedItems containsSemiMixedTypes="0" containsString="0" containsNumber="1" minValue="0" maxValue="9640.8234320174306"/>
    </cacheField>
    <cacheField name="2020" numFmtId="0">
      <sharedItems containsSemiMixedTypes="0" containsString="0" containsNumber="1" minValue="0" maxValue="9797.262388695568"/>
    </cacheField>
    <cacheField name="2021" numFmtId="0">
      <sharedItems containsSemiMixedTypes="0" containsString="0" containsNumber="1" minValue="0" maxValue="9953.7013453737054"/>
    </cacheField>
    <cacheField name="2022" numFmtId="0">
      <sharedItems containsSemiMixedTypes="0" containsString="0" containsNumber="1" minValue="0" maxValue="10110.140302051843"/>
    </cacheField>
    <cacheField name="2023" numFmtId="0">
      <sharedItems containsSemiMixedTypes="0" containsString="0" containsNumber="1" minValue="0" maxValue="10266.57925872998"/>
    </cacheField>
    <cacheField name="2024" numFmtId="0">
      <sharedItems containsSemiMixedTypes="0" containsString="0" containsNumber="1" minValue="0" maxValue="10423.018215408118"/>
    </cacheField>
    <cacheField name="2025" numFmtId="0">
      <sharedItems containsSemiMixedTypes="0" containsString="0" containsNumber="1" minValue="0" maxValue="10579.457172086255"/>
    </cacheField>
    <cacheField name="2026" numFmtId="0">
      <sharedItems containsSemiMixedTypes="0" containsString="0" containsNumber="1" minValue="0" maxValue="10735.896128764392"/>
    </cacheField>
    <cacheField name="2027" numFmtId="0">
      <sharedItems containsSemiMixedTypes="0" containsString="0" containsNumber="1" minValue="0" maxValue="10892.33508544253"/>
    </cacheField>
    <cacheField name="2028" numFmtId="0">
      <sharedItems containsSemiMixedTypes="0" containsString="0" containsNumber="1" minValue="0" maxValue="11048.774042120667"/>
    </cacheField>
    <cacheField name="2029" numFmtId="0">
      <sharedItems containsSemiMixedTypes="0" containsString="0" containsNumber="1" minValue="0" maxValue="11205.212998798805"/>
    </cacheField>
    <cacheField name="2030" numFmtId="0">
      <sharedItems containsSemiMixedTypes="0" containsString="0" containsNumber="1" minValue="0" maxValue="11361.651955476942"/>
    </cacheField>
    <cacheField name="2031" numFmtId="0">
      <sharedItems containsSemiMixedTypes="0" containsString="0" containsNumber="1" minValue="0" maxValue="11518.090912155079"/>
    </cacheField>
    <cacheField name="2032" numFmtId="0">
      <sharedItems containsSemiMixedTypes="0" containsString="0" containsNumber="1" minValue="0" maxValue="11674.529868833217"/>
    </cacheField>
    <cacheField name="2033" numFmtId="0">
      <sharedItems containsSemiMixedTypes="0" containsString="0" containsNumber="1" minValue="0" maxValue="11830.968825511354"/>
    </cacheField>
    <cacheField name="2034" numFmtId="0">
      <sharedItems containsSemiMixedTypes="0" containsString="0" containsNumber="1" minValue="0" maxValue="11987.407782189492"/>
    </cacheField>
    <cacheField name="2035" numFmtId="0">
      <sharedItems containsSemiMixedTypes="0" containsString="0" containsNumber="1" minValue="0" maxValue="12143.846738867629"/>
    </cacheField>
    <cacheField name="2036" numFmtId="0">
      <sharedItems containsSemiMixedTypes="0" containsString="0" containsNumber="1" minValue="0" maxValue="12300.285695545766"/>
    </cacheField>
    <cacheField name="2037" numFmtId="0">
      <sharedItems containsSemiMixedTypes="0" containsString="0" containsNumber="1" minValue="0" maxValue="12456.724652223904"/>
    </cacheField>
    <cacheField name="2038" numFmtId="0">
      <sharedItems containsSemiMixedTypes="0" containsString="0" containsNumber="1" minValue="0" maxValue="12613.163608902041"/>
    </cacheField>
    <cacheField name="2039" numFmtId="0">
      <sharedItems containsSemiMixedTypes="0" containsString="0" containsNumber="1" minValue="0" maxValue="12769.602565580179"/>
    </cacheField>
    <cacheField name="2040" numFmtId="0">
      <sharedItems containsSemiMixedTypes="0" containsString="0" containsNumber="1" minValue="0" maxValue="12926.041522258316"/>
    </cacheField>
    <cacheField name="2041" numFmtId="0">
      <sharedItems containsSemiMixedTypes="0" containsString="0" containsNumber="1" minValue="0" maxValue="13082.480478936453"/>
    </cacheField>
    <cacheField name="2042" numFmtId="0">
      <sharedItems containsSemiMixedTypes="0" containsString="0" containsNumber="1" minValue="0" maxValue="13238.919435614591"/>
    </cacheField>
    <cacheField name="2043" numFmtId="0">
      <sharedItems containsSemiMixedTypes="0" containsString="0" containsNumber="1" minValue="0" maxValue="13395.358392292728"/>
    </cacheField>
    <cacheField name="2044" numFmtId="0">
      <sharedItems containsSemiMixedTypes="0" containsString="0" containsNumber="1" minValue="0" maxValue="13551.797348970866"/>
    </cacheField>
    <cacheField name="2045" numFmtId="0">
      <sharedItems containsSemiMixedTypes="0" containsString="0" containsNumber="1" minValue="0" maxValue="13708.236305649003"/>
    </cacheField>
    <cacheField name="2046" numFmtId="0">
      <sharedItems containsSemiMixedTypes="0" containsString="0" containsNumber="1" minValue="0" maxValue="13864.67526232714"/>
    </cacheField>
    <cacheField name="2047" numFmtId="0">
      <sharedItems containsSemiMixedTypes="0" containsString="0" containsNumber="1" minValue="0" maxValue="14021.114219005278"/>
    </cacheField>
    <cacheField name="2048" numFmtId="0">
      <sharedItems containsSemiMixedTypes="0" containsString="0" containsNumber="1" minValue="0" maxValue="14177.553175683415"/>
    </cacheField>
    <cacheField name="2049" numFmtId="0">
      <sharedItems containsSemiMixedTypes="0" containsString="0" containsNumber="1" minValue="0" maxValue="14333.992132361553"/>
    </cacheField>
    <cacheField name="2050" numFmtId="0">
      <sharedItems containsSemiMixedTypes="0" containsString="0" containsNumber="1" minValue="0" maxValue="14490.4310890396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s v="Ammonia Production"/>
    <x v="0"/>
    <x v="0"/>
    <n v="1363.6791837920082"/>
    <n v="1212.0155667895094"/>
    <n v="1398.7494605503325"/>
    <n v="1207.4964778697649"/>
    <n v="1141.8042829292376"/>
    <n v="1297.5567517161735"/>
    <n v="1574.6639854965449"/>
    <n v="1328.7952686112255"/>
    <n v="1125.5262723950746"/>
    <n v="1569.7847036279909"/>
    <n v="1592.6853169431001"/>
    <n v="1615.5859302582094"/>
    <n v="1638.4865435733186"/>
    <n v="1661.3871568884279"/>
    <n v="1684.2877702035371"/>
    <n v="1707.1883835186463"/>
    <n v="1730.0889968337556"/>
    <n v="1752.9896101488648"/>
    <n v="1775.8902234639741"/>
    <n v="1798.7908367790833"/>
    <n v="1821.6914500941925"/>
    <n v="1844.5920634093018"/>
    <n v="1867.492676724411"/>
    <n v="1890.3932900395203"/>
    <n v="1913.2939033546295"/>
    <n v="1936.1945166697387"/>
    <n v="1959.095129984848"/>
    <n v="1981.9957432999572"/>
    <n v="2004.8963566150665"/>
    <n v="2027.7969699301757"/>
    <n v="2050.6975832452849"/>
    <n v="2073.5981965603942"/>
    <n v="2096.4988098755034"/>
    <n v="2119.3994231906127"/>
    <n v="2142.3000365057219"/>
    <n v="2165.2006498208311"/>
    <n v="2188.1012631359404"/>
    <n v="2211.0018764510496"/>
    <n v="2233.9024897661589"/>
    <n v="2256.8031030812681"/>
    <n v="2279.7037163963773"/>
    <n v="2302.6043297114866"/>
    <n v="2325.5049430265958"/>
    <n v="2348.4055563417051"/>
    <n v="2371.3061696568143"/>
  </r>
  <r>
    <s v="Nitric Acid Production"/>
    <x v="0"/>
    <x v="0"/>
    <n v="0"/>
    <n v="0"/>
    <n v="0"/>
    <n v="0"/>
    <n v="0"/>
    <n v="0"/>
    <n v="0"/>
    <n v="0"/>
    <n v="0"/>
    <n v="0"/>
    <n v="0"/>
    <n v="0"/>
    <n v="0"/>
    <n v="0"/>
    <n v="0"/>
    <n v="0"/>
    <n v="0"/>
    <n v="0"/>
    <n v="0"/>
    <n v="0"/>
    <n v="0"/>
    <n v="0"/>
    <n v="0"/>
    <n v="0"/>
    <n v="0"/>
    <n v="0"/>
    <n v="0"/>
    <n v="0"/>
    <n v="0"/>
    <n v="0"/>
    <n v="0"/>
    <n v="0"/>
    <n v="0"/>
    <n v="0"/>
    <n v="0"/>
    <n v="0"/>
    <n v="0"/>
    <n v="0"/>
    <n v="0"/>
    <n v="0"/>
    <n v="0"/>
    <n v="0"/>
    <n v="0"/>
    <n v="0"/>
    <n v="0"/>
  </r>
  <r>
    <s v="Adipic Acid Production"/>
    <x v="0"/>
    <x v="0"/>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0"/>
    <n v="1391.6132188315657"/>
    <n v="1093.0879965811641"/>
    <n v="988.45722029598858"/>
    <n v="830.8825145338559"/>
    <n v="843.29779958768597"/>
    <n v="906.25627329048859"/>
    <n v="1180.4775487257239"/>
    <n v="1069.5797436067051"/>
    <n v="1038.8555157189214"/>
    <n v="1354.1176002726597"/>
    <n v="1086.9926602769292"/>
    <n v="1093.0565248947996"/>
    <n v="1099.1542172057611"/>
    <n v="1105.2859259199661"/>
    <n v="1111.4518408003009"/>
    <n v="1117.6521526682568"/>
    <n v="1123.887053409836"/>
    <n v="1130.1567359814903"/>
    <n v="1136.4613944160928"/>
    <n v="1142.8012238289425"/>
    <n v="1149.1764204238027"/>
    <n v="1155.5871814989728"/>
    <n v="1162.033705453395"/>
    <n v="1168.5161917927935"/>
    <n v="1175.0348411358498"/>
    <n v="1181.5898552204096"/>
    <n v="1188.1814369097287"/>
    <n v="1194.8097901987492"/>
    <n v="1201.4751202204122"/>
    <n v="1208.1776332520092"/>
    <n v="1214.9175367215621"/>
    <n v="1221.695039214246"/>
    <n v="1228.5103504788428"/>
    <n v="1235.3636814342315"/>
    <n v="1242.2552441759181"/>
    <n v="1249.1852519825975"/>
    <n v="1256.1539193227547"/>
    <n v="1263.1614618613032"/>
    <n v="1270.2080964662573"/>
    <n v="1277.2940412154442"/>
    <n v="1284.4195154032554"/>
    <n v="1291.5847395474289"/>
    <n v="1298.7899353958794"/>
    <n v="1306.035325933555"/>
    <n v="1313.3211353893425"/>
  </r>
  <r>
    <s v="Non-Energy Products from Fuels and Solvent Use"/>
    <x v="1"/>
    <x v="0"/>
    <n v="7607.1169952016398"/>
    <n v="7005.3710839701598"/>
    <n v="7071.8286133540196"/>
    <n v="6889.9285635414299"/>
    <n v="6918.9391177683001"/>
    <n v="7613.78769472761"/>
    <n v="10709.5346169534"/>
    <n v="8998.0266461133306"/>
    <n v="7337.6415528479101"/>
    <n v="9015.067605304881"/>
    <n v="9171.5065619830184"/>
    <n v="9327.9455186611558"/>
    <n v="9484.3844753392932"/>
    <n v="9640.8234320174306"/>
    <n v="9797.262388695568"/>
    <n v="9953.7013453737054"/>
    <n v="10110.140302051843"/>
    <n v="10266.57925872998"/>
    <n v="10423.018215408118"/>
    <n v="10579.457172086255"/>
    <n v="10735.896128764392"/>
    <n v="10892.33508544253"/>
    <n v="11048.774042120667"/>
    <n v="11205.212998798805"/>
    <n v="11361.651955476942"/>
    <n v="11518.090912155079"/>
    <n v="11674.529868833217"/>
    <n v="11830.968825511354"/>
    <n v="11987.407782189492"/>
    <n v="12143.846738867629"/>
    <n v="12300.285695545766"/>
    <n v="12456.724652223904"/>
    <n v="12613.163608902041"/>
    <n v="12769.602565580179"/>
    <n v="12926.041522258316"/>
    <n v="13082.480478936453"/>
    <n v="13238.919435614591"/>
    <n v="13395.358392292728"/>
    <n v="13551.797348970866"/>
    <n v="13708.236305649003"/>
    <n v="13864.67526232714"/>
    <n v="14021.114219005278"/>
    <n v="14177.553175683415"/>
    <n v="14333.992132361553"/>
    <n v="14490.43108903969"/>
  </r>
  <r>
    <s v="Other Product Manufacture and Use"/>
    <x v="2"/>
    <x v="0"/>
    <n v="0"/>
    <n v="0"/>
    <n v="2.1703429103832898E-6"/>
    <n v="9.0238642035116001E-2"/>
    <n v="0.81180264504673505"/>
    <n v="2.1001606752077802"/>
    <n v="3.5018800419326199"/>
    <n v="4.6287651892776598"/>
    <n v="5.8910666191974901"/>
    <n v="6.77586206035601"/>
    <n v="7.5287356226177886"/>
    <n v="8.2816091848795672"/>
    <n v="9.0344827471413467"/>
    <n v="9.7873563094031262"/>
    <n v="10.540229871664906"/>
    <n v="11.293103433926685"/>
    <n v="12.045976996188465"/>
    <n v="12.798850558450244"/>
    <n v="13.551724120712024"/>
    <n v="14.304597682973803"/>
    <n v="15.057471245235583"/>
    <n v="15.810344807497362"/>
    <n v="16.563218369759142"/>
    <n v="17.316091932020921"/>
    <n v="18.0689654942827"/>
    <n v="18.82183905654448"/>
    <n v="19.574712618806259"/>
    <n v="20.327586181068039"/>
    <n v="21.080459743329818"/>
    <n v="21.833333305591598"/>
    <n v="22.586206867853377"/>
    <n v="23.339080430115157"/>
    <n v="24.091953992376936"/>
    <n v="24.844827554638716"/>
    <n v="25.597701116900495"/>
    <n v="26.350574679162275"/>
    <n v="27.103448241424054"/>
    <n v="27.856321803685834"/>
    <n v="28.609195365947613"/>
    <n v="29.362068928209393"/>
    <n v="30.114942490471172"/>
    <n v="30.867816052732952"/>
    <n v="31.620689614994731"/>
    <n v="32.373563177256507"/>
    <n v="33.126436739518283"/>
  </r>
  <r>
    <s v="Field Burning of Agricultural Residues"/>
    <x v="3"/>
    <x v="0"/>
    <n v="0"/>
    <n v="0"/>
    <n v="0"/>
    <n v="0"/>
    <n v="0"/>
    <n v="0"/>
    <n v="0"/>
    <n v="0"/>
    <n v="0"/>
    <n v="0"/>
    <n v="0"/>
    <n v="0"/>
    <n v="0"/>
    <n v="0"/>
    <n v="0"/>
    <n v="0"/>
    <n v="0"/>
    <n v="0"/>
    <n v="0"/>
    <n v="0"/>
    <n v="0"/>
    <n v="0"/>
    <n v="0"/>
    <n v="0"/>
    <n v="0"/>
    <n v="0"/>
    <n v="0"/>
    <n v="0"/>
    <n v="0"/>
    <n v="0"/>
    <n v="0"/>
    <n v="0"/>
    <n v="0"/>
    <n v="0"/>
    <n v="0"/>
    <n v="0"/>
    <n v="0"/>
    <n v="0"/>
    <n v="0"/>
    <n v="0"/>
    <n v="0"/>
    <n v="0"/>
    <n v="0"/>
    <n v="0"/>
    <n v="0"/>
  </r>
  <r>
    <s v="Liming, Urea Application and Other Carbon-containing Fertilizers "/>
    <x v="3"/>
    <x v="0"/>
    <n v="389.79456266666699"/>
    <n v="479.11456266666698"/>
    <n v="535.55333333333294"/>
    <n v="564.59333333333302"/>
    <n v="555.79333333333295"/>
    <n v="627.14666666666699"/>
    <n v="707.006666666667"/>
    <n v="765.31980799999997"/>
    <n v="787.89480000000003"/>
    <n v="870.781652331685"/>
    <n v="924.22466229446479"/>
    <n v="977.66767225724459"/>
    <n v="1031.1106822200243"/>
    <n v="1084.5536921828041"/>
    <n v="1137.9967021455839"/>
    <n v="1191.4397121083637"/>
    <n v="1244.8827220711435"/>
    <n v="1298.3257320339233"/>
    <n v="1351.7687419967031"/>
    <n v="1405.2117519594829"/>
    <n v="1458.6547619222627"/>
    <n v="1512.0977718850424"/>
    <n v="1565.5407818478222"/>
    <n v="1618.983791810602"/>
    <n v="1672.4268017733818"/>
    <n v="1725.8698117361616"/>
    <n v="1779.3128216989414"/>
    <n v="1832.7558316617212"/>
    <n v="1886.198841624501"/>
    <n v="1939.6418515872808"/>
    <n v="1993.0848615500606"/>
    <n v="2046.5278715128404"/>
    <n v="2099.97088147562"/>
    <n v="2153.4138914383998"/>
    <n v="2206.8569014011796"/>
    <n v="2260.2999113639594"/>
    <n v="2313.7429213267392"/>
    <n v="2367.185931289519"/>
    <n v="2420.6289412522988"/>
    <n v="2474.0719512150786"/>
    <n v="2527.5149611778584"/>
    <n v="2580.9579711406382"/>
    <n v="2634.400981103418"/>
    <n v="2687.8439910661978"/>
    <n v="2741.2870010289776"/>
  </r>
  <r>
    <s v="Ammonia Production"/>
    <x v="0"/>
    <x v="1"/>
    <n v="0"/>
    <n v="0"/>
    <n v="0"/>
    <n v="0"/>
    <n v="0"/>
    <n v="0"/>
    <n v="0"/>
    <n v="0"/>
    <n v="0"/>
    <n v="0"/>
    <n v="0"/>
    <n v="0"/>
    <n v="0"/>
    <n v="0"/>
    <n v="0"/>
    <n v="0"/>
    <n v="0"/>
    <n v="0"/>
    <n v="0"/>
    <n v="0"/>
    <n v="0"/>
    <n v="0"/>
    <n v="0"/>
    <n v="0"/>
    <n v="0"/>
    <n v="0"/>
    <n v="0"/>
    <n v="0"/>
    <n v="0"/>
    <n v="0"/>
    <n v="0"/>
    <n v="0"/>
    <n v="0"/>
    <n v="0"/>
    <n v="0"/>
    <n v="0"/>
    <n v="0"/>
    <n v="0"/>
    <n v="0"/>
    <n v="0"/>
    <n v="0"/>
    <n v="0"/>
    <n v="0"/>
    <n v="0"/>
    <n v="0"/>
  </r>
  <r>
    <s v="Nitric Acid Production"/>
    <x v="0"/>
    <x v="1"/>
    <n v="0"/>
    <n v="0"/>
    <n v="0"/>
    <n v="0"/>
    <n v="0"/>
    <n v="0"/>
    <n v="0"/>
    <n v="0"/>
    <n v="0"/>
    <n v="0"/>
    <n v="0"/>
    <n v="0"/>
    <n v="0"/>
    <n v="0"/>
    <n v="0"/>
    <n v="0"/>
    <n v="0"/>
    <n v="0"/>
    <n v="0"/>
    <n v="0"/>
    <n v="0"/>
    <n v="0"/>
    <n v="0"/>
    <n v="0"/>
    <n v="0"/>
    <n v="0"/>
    <n v="0"/>
    <n v="0"/>
    <n v="0"/>
    <n v="0"/>
    <n v="0"/>
    <n v="0"/>
    <n v="0"/>
    <n v="0"/>
    <n v="0"/>
    <n v="0"/>
    <n v="0"/>
    <n v="0"/>
    <n v="0"/>
    <n v="0"/>
    <n v="0"/>
    <n v="0"/>
    <n v="0"/>
    <n v="0"/>
    <n v="0"/>
  </r>
  <r>
    <s v="Adipic Acid Production"/>
    <x v="0"/>
    <x v="1"/>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1"/>
    <n v="1.80109393884894"/>
    <n v="1.7338869207791801"/>
    <n v="1.5749408036061301"/>
    <n v="1.3488524770008501"/>
    <n v="1.34388482218181"/>
    <n v="1.3895930320868799"/>
    <n v="1.45652664481255"/>
    <n v="1.4467485704254499"/>
    <n v="1.58180197573578"/>
    <n v="1.5266043934231841"/>
    <n v="0"/>
    <n v="0"/>
    <n v="0"/>
    <n v="0"/>
    <n v="0"/>
    <n v="0"/>
    <n v="0"/>
    <n v="0"/>
    <n v="0"/>
    <n v="0"/>
    <n v="0"/>
    <n v="0"/>
    <n v="0"/>
    <n v="0"/>
    <n v="0"/>
    <n v="0"/>
    <n v="0"/>
    <n v="0"/>
    <n v="0"/>
    <n v="0"/>
    <n v="0"/>
    <n v="0"/>
    <n v="0"/>
    <n v="0"/>
    <n v="0"/>
    <n v="0"/>
    <n v="0"/>
    <n v="0"/>
    <n v="0"/>
    <n v="0"/>
    <n v="0"/>
    <n v="0"/>
    <n v="0"/>
    <n v="0"/>
    <n v="0"/>
  </r>
  <r>
    <s v="Non-Energy Products from Fuels and Solvent Use"/>
    <x v="1"/>
    <x v="1"/>
    <n v="1.80109393884894"/>
    <n v="1.7338869207791801"/>
    <n v="1.5749408036061301"/>
    <n v="1.3488524770008501"/>
    <n v="1.34388482218181"/>
    <n v="1.3895930320868799"/>
    <n v="1.45652664481255"/>
    <n v="1.4467485704254499"/>
    <n v="1.58180197573578"/>
    <n v="1.4950257303245931"/>
    <n v="0"/>
    <n v="0"/>
    <n v="0"/>
    <n v="0"/>
    <n v="0"/>
    <n v="0"/>
    <n v="0"/>
    <n v="0"/>
    <n v="0"/>
    <n v="0"/>
    <n v="0"/>
    <n v="0"/>
    <n v="0"/>
    <n v="0"/>
    <n v="0"/>
    <n v="0"/>
    <n v="0"/>
    <n v="0"/>
    <n v="0"/>
    <n v="0"/>
    <n v="0"/>
    <n v="0"/>
    <n v="0"/>
    <n v="0"/>
    <n v="0"/>
    <n v="0"/>
    <n v="0"/>
    <n v="0"/>
    <n v="0"/>
    <n v="0"/>
    <n v="0"/>
    <n v="0"/>
    <n v="0"/>
    <n v="0"/>
    <n v="0"/>
  </r>
  <r>
    <s v="Other Product Manufacture and Use"/>
    <x v="2"/>
    <x v="1"/>
    <n v="0"/>
    <n v="0"/>
    <n v="0"/>
    <n v="0"/>
    <n v="0"/>
    <n v="0"/>
    <n v="0"/>
    <n v="0"/>
    <n v="0"/>
    <n v="0"/>
    <n v="0"/>
    <n v="0"/>
    <n v="0"/>
    <n v="0"/>
    <n v="0"/>
    <n v="0"/>
    <n v="0"/>
    <n v="0"/>
    <n v="0"/>
    <n v="0"/>
    <n v="0"/>
    <n v="0"/>
    <n v="0"/>
    <n v="0"/>
    <n v="0"/>
    <n v="0"/>
    <n v="0"/>
    <n v="0"/>
    <n v="0"/>
    <n v="0"/>
    <n v="0"/>
    <n v="0"/>
    <n v="0"/>
    <n v="0"/>
    <n v="0"/>
    <n v="0"/>
    <n v="0"/>
    <n v="0"/>
    <n v="0"/>
    <n v="0"/>
    <n v="0"/>
    <n v="0"/>
    <n v="0"/>
    <n v="0"/>
    <n v="0"/>
  </r>
  <r>
    <s v="Field Burning of Agricultural Residues"/>
    <x v="3"/>
    <x v="1"/>
    <n v="1.7367516553846201E-2"/>
    <n v="6.4921824000000001E-3"/>
    <n v="1.35209088E-2"/>
    <n v="1.20350946461538E-2"/>
    <n v="1.27119655384615E-2"/>
    <n v="2.0966488615384599E-2"/>
    <n v="1.7293225846153799E-2"/>
    <n v="3.0046463999999998E-2"/>
    <n v="3.6154811076923102E-2"/>
    <n v="3.4586451692307701E-2"/>
    <n v="3.6499666707692315E-2"/>
    <n v="3.8412881723076928E-2"/>
    <n v="4.0326096738461541E-2"/>
    <n v="4.2239311753846154E-2"/>
    <n v="4.4152526769230767E-2"/>
    <n v="4.606574178461538E-2"/>
    <n v="4.7978956799999993E-2"/>
    <n v="4.9892171815384606E-2"/>
    <n v="5.1805386830769219E-2"/>
    <n v="5.3718601846153832E-2"/>
    <n v="5.5631816861538445E-2"/>
    <n v="5.7545031876923058E-2"/>
    <n v="5.9458246892307672E-2"/>
    <n v="6.1371461907692285E-2"/>
    <n v="6.3284676923076891E-2"/>
    <n v="6.5197891938461497E-2"/>
    <n v="6.7111106953846103E-2"/>
    <n v="6.9024321969230709E-2"/>
    <n v="7.0937536984615315E-2"/>
    <n v="7.2850751999999921E-2"/>
    <n v="7.4763967015384528E-2"/>
    <n v="7.6677182030769134E-2"/>
    <n v="7.859039704615374E-2"/>
    <n v="8.0503612061538346E-2"/>
    <n v="8.2416827076922952E-2"/>
    <n v="8.4330042092307558E-2"/>
    <n v="8.6243257107692164E-2"/>
    <n v="8.8156472123076771E-2"/>
    <n v="9.0069687138461377E-2"/>
    <n v="9.1982902153845983E-2"/>
    <n v="9.3896117169230589E-2"/>
    <n v="9.5809332184615195E-2"/>
    <n v="9.7722547199999801E-2"/>
    <n v="9.9635762215384407E-2"/>
    <n v="0.10154897723076901"/>
  </r>
  <r>
    <s v="Liming, Urea Application and Other Carbon-containing Fertilizers "/>
    <x v="3"/>
    <x v="1"/>
    <n v="0"/>
    <n v="0"/>
    <n v="0"/>
    <n v="0"/>
    <n v="0"/>
    <n v="0"/>
    <n v="0"/>
    <n v="0"/>
    <n v="0"/>
    <n v="0"/>
    <n v="0"/>
    <n v="0"/>
    <n v="0"/>
    <n v="0"/>
    <n v="0"/>
    <n v="0"/>
    <n v="0"/>
    <n v="0"/>
    <n v="0"/>
    <n v="0"/>
    <n v="0"/>
    <n v="0"/>
    <n v="0"/>
    <n v="0"/>
    <n v="0"/>
    <n v="0"/>
    <n v="0"/>
    <n v="0"/>
    <n v="0"/>
    <n v="0"/>
    <n v="0"/>
    <n v="0"/>
    <n v="0"/>
    <n v="0"/>
    <n v="0"/>
    <n v="0"/>
    <n v="0"/>
    <n v="0"/>
    <n v="0"/>
    <n v="0"/>
    <n v="0"/>
    <n v="0"/>
    <n v="0"/>
    <n v="0"/>
    <n v="0"/>
  </r>
  <r>
    <s v="Ammonia Production"/>
    <x v="0"/>
    <x v="2"/>
    <n v="0"/>
    <n v="0"/>
    <n v="0"/>
    <n v="0"/>
    <n v="0"/>
    <n v="0"/>
    <n v="0"/>
    <n v="0"/>
    <n v="0"/>
    <n v="0"/>
    <n v="0"/>
    <n v="0"/>
    <n v="0"/>
    <n v="0"/>
    <n v="0"/>
    <n v="0"/>
    <n v="0"/>
    <n v="0"/>
    <n v="0"/>
    <n v="0"/>
    <n v="0"/>
    <n v="0"/>
    <n v="0"/>
    <n v="0"/>
    <n v="0"/>
    <n v="0"/>
    <n v="0"/>
    <n v="0"/>
    <n v="0"/>
    <n v="0"/>
    <n v="0"/>
    <n v="0"/>
    <n v="0"/>
    <n v="0"/>
    <n v="0"/>
    <n v="0"/>
    <n v="0"/>
    <n v="0"/>
    <n v="0"/>
    <n v="0"/>
    <n v="0"/>
    <n v="0"/>
    <n v="0"/>
    <n v="0"/>
    <n v="0"/>
  </r>
  <r>
    <s v="Nitric Acid Production"/>
    <x v="0"/>
    <x v="2"/>
    <n v="0.11035701018137983"/>
    <n v="0.11125360286289047"/>
    <n v="0.118225896136227"/>
    <n v="9.1213448279391054E-2"/>
    <n v="8.4890687529199385E-2"/>
    <n v="8.7285364968947149E-2"/>
    <n v="9.350527721212426E-2"/>
    <n v="9.3033416563542151E-2"/>
    <n v="9.3242216021370991E-2"/>
    <n v="0.10205837790887032"/>
    <n v="3.1311117282743588"/>
    <n v="3.0966612488842942"/>
    <n v="3.0625898155434275"/>
    <n v="3.0288932577464474"/>
    <n v="2.9955674508745829"/>
    <n v="2.9626083156907419"/>
    <n v="2.9300118178401884"/>
    <n v="2.8977739673567178"/>
    <n v="2.8658908181742668"/>
    <n v="2.8343584676438995"/>
    <n v="2.8031730560561008"/>
    <n v="2.7723307661683272"/>
    <n v="2.7418278227377635"/>
    <n v="2.7116604920592153"/>
    <n v="2.6818250815080802"/>
    <n v="2.6523179390883573"/>
    <n v="2.6231354529856268"/>
    <n v="2.5942740511249416"/>
    <n v="2.5657302007335931"/>
    <n v="2.5375004079086807"/>
    <n v="2.5095812171894405"/>
    <n v="2.4819692111342855"/>
    <n v="2.454661009902487"/>
    <n v="2.4276532708404743"/>
    <n v="2.4009426880726701"/>
    <n v="2.3745259920968418"/>
    <n v="2.3483999493838943"/>
    <n v="2.3225613619820749"/>
    <n v="2.2970070671255249"/>
    <n v="2.2717339368471445"/>
    <n v="2.2467388775957149"/>
    <n v="2.2220188298572308"/>
    <n v="2.1975707677804035"/>
    <n v="2.1733916988062814"/>
    <n v="2.1494786633019465"/>
  </r>
  <r>
    <s v="Adipic Acid Production"/>
    <x v="0"/>
    <x v="2"/>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2"/>
    <n v="1.2470704691261835E-3"/>
    <n v="1.2206095098755334E-3"/>
    <n v="9.6442427437700958E-4"/>
    <n v="7.1626691901244851E-4"/>
    <n v="7.8409270623371497E-4"/>
    <n v="7.9166883757126119E-4"/>
    <n v="9.8146301473363263E-4"/>
    <n v="1.0954825127853418E-3"/>
    <n v="1.0613428445712093E-3"/>
    <n v="1.1015547201659581E-3"/>
    <n v="0"/>
    <n v="0"/>
    <n v="0"/>
    <n v="0"/>
    <n v="0"/>
    <n v="0"/>
    <n v="0"/>
    <n v="0"/>
    <n v="0"/>
    <n v="0"/>
    <n v="0"/>
    <n v="0"/>
    <n v="0"/>
    <n v="0"/>
    <n v="0"/>
    <n v="0"/>
    <n v="0"/>
    <n v="0"/>
    <n v="0"/>
    <n v="0"/>
    <n v="0"/>
    <n v="0"/>
    <n v="0"/>
    <n v="0"/>
    <n v="0"/>
    <n v="0"/>
    <n v="0"/>
    <n v="0"/>
    <n v="0"/>
    <n v="0"/>
    <n v="0"/>
    <n v="0"/>
    <n v="0"/>
    <n v="0"/>
    <n v="0"/>
  </r>
  <r>
    <s v="Non-Energy Products from Fuels and Solvent Use"/>
    <x v="1"/>
    <x v="2"/>
    <n v="3.5340150435612601"/>
    <n v="3.2199900060003301"/>
    <n v="3.7128665249388302"/>
    <n v="3.29565468741019"/>
    <n v="3.2957664256472499"/>
    <n v="3.46094917269513"/>
    <n v="3.3577943038767302"/>
    <n v="3.05840472435102"/>
    <n v="3.18756130655877"/>
    <n v="3.2012534449288399"/>
    <n v="0"/>
    <n v="0"/>
    <n v="0"/>
    <n v="0"/>
    <n v="0"/>
    <n v="0"/>
    <n v="0"/>
    <n v="0"/>
    <n v="0"/>
    <n v="0"/>
    <n v="0"/>
    <n v="0"/>
    <n v="0"/>
    <n v="0"/>
    <n v="0"/>
    <n v="0"/>
    <n v="0"/>
    <n v="0"/>
    <n v="0"/>
    <n v="0"/>
    <n v="0"/>
    <n v="0"/>
    <n v="0"/>
    <n v="0"/>
    <n v="0"/>
    <n v="0"/>
    <n v="0"/>
    <n v="0"/>
    <n v="0"/>
    <n v="0"/>
    <n v="0"/>
    <n v="0"/>
    <n v="0"/>
    <n v="0"/>
    <n v="0"/>
  </r>
  <r>
    <s v="Other Product Manufacture and Use"/>
    <x v="2"/>
    <x v="2"/>
    <n v="0.111604080650506"/>
    <n v="0.112474212372766"/>
    <n v="0.119190320410604"/>
    <n v="9.1929715198403497E-2"/>
    <n v="8.5674780235433096E-2"/>
    <n v="8.8077033806518407E-2"/>
    <n v="9.4486740226857893E-2"/>
    <n v="9.4128899076327502E-2"/>
    <n v="9.4303558865942202E-2"/>
    <n v="9.8372002639248196E-2"/>
    <n v="0"/>
    <n v="0"/>
    <n v="0"/>
    <n v="0"/>
    <n v="0"/>
    <n v="0"/>
    <n v="0"/>
    <n v="0"/>
    <n v="0"/>
    <n v="0"/>
    <n v="0"/>
    <n v="0"/>
    <n v="0"/>
    <n v="0"/>
    <n v="0"/>
    <n v="0"/>
    <n v="0"/>
    <n v="0"/>
    <n v="0"/>
    <n v="0"/>
    <n v="0"/>
    <n v="0"/>
    <n v="0"/>
    <n v="0"/>
    <n v="0"/>
    <n v="0"/>
    <n v="0"/>
    <n v="0"/>
    <n v="0"/>
    <n v="0"/>
    <n v="0"/>
    <n v="0"/>
    <n v="0"/>
    <n v="0"/>
    <n v="0"/>
  </r>
  <r>
    <s v="Field Burning of Agricultural Residues"/>
    <x v="3"/>
    <x v="2"/>
    <n v="4.5026894769230802E-4"/>
    <n v="1.6831583999999999E-4"/>
    <n v="3.5054208000000002E-4"/>
    <n v="3.1202097230769203E-4"/>
    <n v="3.2956947692307697E-4"/>
    <n v="5.4357563076923104E-4"/>
    <n v="4.4834289230769199E-4"/>
    <n v="7.7898240000000003E-4"/>
    <n v="9.3734695384615401E-4"/>
    <n v="8.9668578461538496E-4"/>
    <n v="9.4628765538461569E-4"/>
    <n v="9.9588952615384642E-4"/>
    <n v="1.0454913969230773E-3"/>
    <n v="1.0950932676923081E-3"/>
    <n v="1.1446951384615389E-3"/>
    <n v="1.1942970092307698E-3"/>
    <n v="1.2438988800000006E-3"/>
    <n v="1.2935007507692315E-3"/>
    <n v="1.3431026215384623E-3"/>
    <n v="1.3927044923076931E-3"/>
    <n v="1.442306363076924E-3"/>
    <n v="1.4919082338461548E-3"/>
    <n v="1.5415101046153856E-3"/>
    <n v="1.5911119753846165E-3"/>
    <n v="1.6407138461538473E-3"/>
    <n v="1.6903157169230782E-3"/>
    <n v="1.739917587692309E-3"/>
    <n v="1.7895194584615398E-3"/>
    <n v="1.8391213292307707E-3"/>
    <n v="1.8887232000000015E-3"/>
    <n v="1.9383250707692323E-3"/>
    <n v="1.9879269415384632E-3"/>
    <n v="2.037528812307694E-3"/>
    <n v="2.0871306830769249E-3"/>
    <n v="2.1367325538461557E-3"/>
    <n v="2.1863344246153865E-3"/>
    <n v="2.2359362953846174E-3"/>
    <n v="2.2855381661538482E-3"/>
    <n v="2.335140036923079E-3"/>
    <n v="2.3847419076923099E-3"/>
    <n v="2.4343437784615407E-3"/>
    <n v="2.4839456492307716E-3"/>
    <n v="2.5335475200000024E-3"/>
    <n v="2.5831493907692332E-3"/>
    <n v="2.6327512615384641E-3"/>
  </r>
  <r>
    <s v="Liming, Urea Application and Other Carbon-containing Fertilizers "/>
    <x v="3"/>
    <x v="2"/>
    <n v="0"/>
    <n v="0"/>
    <n v="0"/>
    <n v="0"/>
    <n v="0"/>
    <n v="0"/>
    <n v="0"/>
    <n v="0"/>
    <n v="0"/>
    <n v="0"/>
    <n v="0"/>
    <n v="0"/>
    <n v="0"/>
    <n v="0"/>
    <n v="0"/>
    <n v="0"/>
    <n v="0"/>
    <n v="0"/>
    <n v="0"/>
    <n v="0"/>
    <n v="0"/>
    <n v="0"/>
    <n v="0"/>
    <n v="0"/>
    <n v="0"/>
    <n v="0"/>
    <n v="0"/>
    <n v="0"/>
    <n v="0"/>
    <n v="0"/>
    <n v="0"/>
    <n v="0"/>
    <n v="0"/>
    <n v="0"/>
    <n v="0"/>
    <n v="0"/>
    <n v="0"/>
    <n v="0"/>
    <n v="0"/>
    <n v="0"/>
    <n v="0"/>
    <n v="0"/>
    <n v="0"/>
    <n v="0"/>
    <n v="0"/>
  </r>
  <r>
    <s v="Ammonia Production"/>
    <x v="0"/>
    <x v="3"/>
    <n v="0"/>
    <n v="0"/>
    <n v="0"/>
    <n v="0"/>
    <n v="0"/>
    <n v="0"/>
    <n v="0"/>
    <n v="0"/>
    <n v="0"/>
    <n v="0"/>
    <n v="0"/>
    <n v="0"/>
    <n v="0"/>
    <n v="0"/>
    <n v="0"/>
    <n v="0"/>
    <n v="0"/>
    <n v="0"/>
    <n v="0"/>
    <n v="0"/>
    <n v="0"/>
    <n v="0"/>
    <n v="0"/>
    <n v="0"/>
    <n v="0"/>
    <n v="0"/>
    <n v="0"/>
    <n v="0"/>
    <n v="0"/>
    <n v="0"/>
    <n v="0"/>
    <n v="0"/>
    <n v="0"/>
    <n v="0"/>
    <n v="0"/>
    <n v="0"/>
    <n v="0"/>
    <n v="0"/>
    <n v="0"/>
    <n v="0"/>
    <n v="0"/>
    <n v="0"/>
    <n v="0"/>
    <n v="0"/>
    <n v="0"/>
  </r>
  <r>
    <s v="Nitric Acid Production"/>
    <x v="0"/>
    <x v="3"/>
    <n v="0"/>
    <n v="0"/>
    <n v="0"/>
    <n v="0"/>
    <n v="0"/>
    <n v="0"/>
    <n v="0"/>
    <n v="0"/>
    <n v="0"/>
    <n v="0"/>
    <n v="0"/>
    <n v="0"/>
    <n v="0"/>
    <n v="0"/>
    <n v="0"/>
    <n v="0"/>
    <n v="0"/>
    <n v="0"/>
    <n v="0"/>
    <n v="0"/>
    <n v="0"/>
    <n v="0"/>
    <n v="0"/>
    <n v="0"/>
    <n v="0"/>
    <n v="0"/>
    <n v="0"/>
    <n v="0"/>
    <n v="0"/>
    <n v="0"/>
    <n v="0"/>
    <n v="0"/>
    <n v="0"/>
    <n v="0"/>
    <n v="0"/>
    <n v="0"/>
    <n v="0"/>
    <n v="0"/>
    <n v="0"/>
    <n v="0"/>
    <n v="0"/>
    <n v="0"/>
    <n v="0"/>
    <n v="0"/>
    <n v="0"/>
  </r>
  <r>
    <s v="Adipic Acid Production"/>
    <x v="0"/>
    <x v="3"/>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3"/>
    <n v="0"/>
    <n v="0"/>
    <n v="0"/>
    <n v="0"/>
    <n v="0"/>
    <n v="0"/>
    <n v="0"/>
    <n v="0"/>
    <n v="0"/>
    <n v="0"/>
    <n v="0"/>
    <n v="0"/>
    <n v="0"/>
    <n v="0"/>
    <n v="0"/>
    <n v="0"/>
    <n v="0"/>
    <n v="0"/>
    <n v="0"/>
    <n v="0"/>
    <n v="0"/>
    <n v="0"/>
    <n v="0"/>
    <n v="0"/>
    <n v="0"/>
    <n v="0"/>
    <n v="0"/>
    <n v="0"/>
    <n v="0"/>
    <n v="0"/>
    <n v="0"/>
    <n v="0"/>
    <n v="0"/>
    <n v="0"/>
    <n v="0"/>
    <n v="0"/>
    <n v="0"/>
    <n v="0"/>
    <n v="0"/>
    <n v="0"/>
    <n v="0"/>
    <n v="0"/>
    <n v="0"/>
    <n v="0"/>
    <n v="0"/>
  </r>
  <r>
    <s v="Non-Energy Products from Fuels and Solvent Use"/>
    <x v="1"/>
    <x v="3"/>
    <n v="0"/>
    <n v="0"/>
    <n v="0"/>
    <n v="0"/>
    <n v="0"/>
    <n v="0"/>
    <n v="0"/>
    <n v="0"/>
    <n v="0"/>
    <n v="0"/>
    <n v="0"/>
    <n v="0"/>
    <n v="0"/>
    <n v="0"/>
    <n v="0"/>
    <n v="0"/>
    <n v="0"/>
    <n v="0"/>
    <n v="0"/>
    <n v="0"/>
    <n v="0"/>
    <n v="0"/>
    <n v="0"/>
    <n v="0"/>
    <n v="0"/>
    <n v="0"/>
    <n v="0"/>
    <n v="0"/>
    <n v="0"/>
    <n v="0"/>
    <n v="0"/>
    <n v="0"/>
    <n v="0"/>
    <n v="0"/>
    <n v="0"/>
    <n v="0"/>
    <n v="0"/>
    <n v="0"/>
    <n v="0"/>
    <n v="0"/>
    <n v="0"/>
    <n v="0"/>
    <n v="0"/>
    <n v="0"/>
    <n v="0"/>
  </r>
  <r>
    <s v="Other Product Manufacture and Use"/>
    <x v="2"/>
    <x v="3"/>
    <n v="0"/>
    <n v="0"/>
    <n v="0"/>
    <n v="0"/>
    <n v="0"/>
    <n v="0"/>
    <n v="0"/>
    <n v="0"/>
    <n v="0"/>
    <n v="0"/>
    <n v="0"/>
    <n v="0"/>
    <n v="0"/>
    <n v="0"/>
    <n v="0"/>
    <n v="0"/>
    <n v="0"/>
    <n v="0"/>
    <n v="0"/>
    <n v="0"/>
    <n v="0"/>
    <n v="0"/>
    <n v="0"/>
    <n v="0"/>
    <n v="0"/>
    <n v="0"/>
    <n v="0"/>
    <n v="0"/>
    <n v="0"/>
    <n v="0"/>
    <n v="0"/>
    <n v="0"/>
    <n v="0"/>
    <n v="0"/>
    <n v="0"/>
    <n v="0"/>
    <n v="0"/>
    <n v="0"/>
    <n v="0"/>
    <n v="0"/>
    <n v="0"/>
    <n v="0"/>
    <n v="0"/>
    <n v="0"/>
    <n v="0"/>
  </r>
  <r>
    <s v="Field Burning of Agricultural Residues"/>
    <x v="3"/>
    <x v="3"/>
    <n v="0"/>
    <n v="0"/>
    <n v="0"/>
    <n v="0"/>
    <n v="0"/>
    <n v="0"/>
    <n v="0"/>
    <n v="0"/>
    <n v="0"/>
    <n v="0"/>
    <n v="0"/>
    <n v="0"/>
    <n v="0"/>
    <n v="0"/>
    <n v="0"/>
    <n v="0"/>
    <n v="0"/>
    <n v="0"/>
    <n v="0"/>
    <n v="0"/>
    <n v="0"/>
    <n v="0"/>
    <n v="0"/>
    <n v="0"/>
    <n v="0"/>
    <n v="0"/>
    <n v="0"/>
    <n v="0"/>
    <n v="0"/>
    <n v="0"/>
    <n v="0"/>
    <n v="0"/>
    <n v="0"/>
    <n v="0"/>
    <n v="0"/>
    <n v="0"/>
    <n v="0"/>
    <n v="0"/>
    <n v="0"/>
    <n v="0"/>
    <n v="0"/>
    <n v="0"/>
    <n v="0"/>
    <n v="0"/>
    <n v="0"/>
  </r>
  <r>
    <s v="Liming, Urea Application and Other Carbon-containing Fertilizers "/>
    <x v="3"/>
    <x v="3"/>
    <n v="0"/>
    <n v="0"/>
    <n v="0"/>
    <n v="0"/>
    <n v="0"/>
    <n v="0"/>
    <n v="0"/>
    <n v="0"/>
    <n v="0"/>
    <n v="0"/>
    <n v="0"/>
    <n v="0"/>
    <n v="0"/>
    <n v="0"/>
    <n v="0"/>
    <n v="0"/>
    <n v="0"/>
    <n v="0"/>
    <n v="0"/>
    <n v="0"/>
    <n v="0"/>
    <n v="0"/>
    <n v="0"/>
    <n v="0"/>
    <n v="0"/>
    <n v="0"/>
    <n v="0"/>
    <n v="0"/>
    <n v="0"/>
    <n v="0"/>
    <n v="0"/>
    <n v="0"/>
    <n v="0"/>
    <n v="0"/>
    <n v="0"/>
    <n v="0"/>
    <n v="0"/>
    <n v="0"/>
    <n v="0"/>
    <n v="0"/>
    <n v="0"/>
    <n v="0"/>
    <n v="0"/>
    <n v="0"/>
    <n v="0"/>
  </r>
  <r>
    <s v="Ammonia Production"/>
    <x v="0"/>
    <x v="4"/>
    <n v="0"/>
    <n v="0"/>
    <n v="0"/>
    <n v="0"/>
    <n v="0"/>
    <n v="0"/>
    <n v="0"/>
    <n v="0"/>
    <n v="0"/>
    <n v="0"/>
    <n v="0"/>
    <n v="0"/>
    <n v="0"/>
    <n v="0"/>
    <n v="0"/>
    <n v="0"/>
    <n v="0"/>
    <n v="0"/>
    <n v="0"/>
    <n v="0"/>
    <n v="0"/>
    <n v="0"/>
    <n v="0"/>
    <n v="0"/>
    <n v="0"/>
    <n v="0"/>
    <n v="0"/>
    <n v="0"/>
    <n v="0"/>
    <n v="0"/>
    <n v="0"/>
    <n v="0"/>
    <n v="0"/>
    <n v="0"/>
    <n v="0"/>
    <n v="0"/>
    <n v="0"/>
    <n v="0"/>
    <n v="0"/>
    <n v="0"/>
    <n v="0"/>
    <n v="0"/>
    <n v="0"/>
    <n v="0"/>
    <n v="0"/>
  </r>
  <r>
    <s v="Nitric Acid Production"/>
    <x v="0"/>
    <x v="4"/>
    <n v="0"/>
    <n v="0"/>
    <n v="0"/>
    <n v="0"/>
    <n v="0"/>
    <n v="0"/>
    <n v="0"/>
    <n v="0"/>
    <n v="0"/>
    <n v="0"/>
    <n v="0"/>
    <n v="0"/>
    <n v="0"/>
    <n v="0"/>
    <n v="0"/>
    <n v="0"/>
    <n v="0"/>
    <n v="0"/>
    <n v="0"/>
    <n v="0"/>
    <n v="0"/>
    <n v="0"/>
    <n v="0"/>
    <n v="0"/>
    <n v="0"/>
    <n v="0"/>
    <n v="0"/>
    <n v="0"/>
    <n v="0"/>
    <n v="0"/>
    <n v="0"/>
    <n v="0"/>
    <n v="0"/>
    <n v="0"/>
    <n v="0"/>
    <n v="0"/>
    <n v="0"/>
    <n v="0"/>
    <n v="0"/>
    <n v="0"/>
    <n v="0"/>
    <n v="0"/>
    <n v="0"/>
    <n v="0"/>
    <n v="0"/>
  </r>
  <r>
    <s v="Adipic Acid Production"/>
    <x v="0"/>
    <x v="4"/>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4"/>
    <n v="0"/>
    <n v="0"/>
    <n v="0"/>
    <n v="0"/>
    <n v="0"/>
    <n v="0"/>
    <n v="0"/>
    <n v="0"/>
    <n v="0"/>
    <n v="0"/>
    <n v="0"/>
    <n v="0"/>
    <n v="0"/>
    <n v="0"/>
    <n v="0"/>
    <n v="0"/>
    <n v="0"/>
    <n v="0"/>
    <n v="0"/>
    <n v="0"/>
    <n v="0"/>
    <n v="0"/>
    <n v="0"/>
    <n v="0"/>
    <n v="0"/>
    <n v="0"/>
    <n v="0"/>
    <n v="0"/>
    <n v="0"/>
    <n v="0"/>
    <n v="0"/>
    <n v="0"/>
    <n v="0"/>
    <n v="0"/>
    <n v="0"/>
    <n v="0"/>
    <n v="0"/>
    <n v="0"/>
    <n v="0"/>
    <n v="0"/>
    <n v="0"/>
    <n v="0"/>
    <n v="0"/>
    <n v="0"/>
    <n v="0"/>
  </r>
  <r>
    <s v="Non-Energy Products from Fuels and Solvent Use"/>
    <x v="1"/>
    <x v="4"/>
    <n v="0"/>
    <n v="0"/>
    <n v="0"/>
    <n v="0"/>
    <n v="0"/>
    <n v="0"/>
    <n v="0"/>
    <n v="0"/>
    <n v="0"/>
    <n v="0"/>
    <n v="0"/>
    <n v="0"/>
    <n v="0"/>
    <n v="0"/>
    <n v="0"/>
    <n v="0"/>
    <n v="0"/>
    <n v="0"/>
    <n v="0"/>
    <n v="0"/>
    <n v="0"/>
    <n v="0"/>
    <n v="0"/>
    <n v="0"/>
    <n v="0"/>
    <n v="0"/>
    <n v="0"/>
    <n v="0"/>
    <n v="0"/>
    <n v="0"/>
    <n v="0"/>
    <n v="0"/>
    <n v="0"/>
    <n v="0"/>
    <n v="0"/>
    <n v="0"/>
    <n v="0"/>
    <n v="0"/>
    <n v="0"/>
    <n v="0"/>
    <n v="0"/>
    <n v="0"/>
    <n v="0"/>
    <n v="0"/>
    <n v="0"/>
  </r>
  <r>
    <s v="Other Product Manufacture and Use"/>
    <x v="2"/>
    <x v="4"/>
    <n v="0.24578780637556799"/>
    <n v="0.29086554519368002"/>
    <n v="0.34583001487606402"/>
    <n v="0.31923265363998599"/>
    <n v="0.54045045398687097"/>
    <n v="1.20855662001047"/>
    <n v="2.71516612616742"/>
    <n v="1.4014978967987599"/>
    <n v="0.86249475224353001"/>
    <n v="0.83792461175920596"/>
    <n v="0.90371759013516573"/>
    <n v="0.96951056851112549"/>
    <n v="1.0353035468870853"/>
    <n v="1.1010965252630451"/>
    <n v="1.166889503639005"/>
    <n v="1.2326824820149649"/>
    <n v="1.2984754603909248"/>
    <n v="1.3642684387668846"/>
    <n v="1.4300614171428445"/>
    <n v="1.4958543955188044"/>
    <n v="1.5616473738947643"/>
    <n v="1.6274403522707241"/>
    <n v="1.693233330646684"/>
    <n v="1.7590263090226439"/>
    <n v="1.8248192873986038"/>
    <n v="1.8906122657745636"/>
    <n v="1.9564052441505235"/>
    <n v="2.0221982225264834"/>
    <n v="2.0879912009024433"/>
    <n v="2.1537841792784032"/>
    <n v="2.219577157654363"/>
    <n v="2.2853701360303229"/>
    <n v="2.3511631144062828"/>
    <n v="2.4169560927822427"/>
    <n v="2.4827490711582025"/>
    <n v="2.5485420495341624"/>
    <n v="2.6143350279101223"/>
    <n v="2.6801280062860822"/>
    <n v="2.745920984662042"/>
    <n v="2.8117139630380019"/>
    <n v="2.8775069414139618"/>
    <n v="2.9432999197899217"/>
    <n v="3.0090928981658815"/>
    <n v="3.0748858765418414"/>
    <n v="3.1406788549178013"/>
  </r>
  <r>
    <s v="Field Burning of Agricultural Residues"/>
    <x v="3"/>
    <x v="4"/>
    <n v="0"/>
    <n v="0"/>
    <n v="0"/>
    <n v="0"/>
    <n v="0"/>
    <n v="0"/>
    <n v="0"/>
    <n v="0"/>
    <n v="0"/>
    <n v="0"/>
    <n v="0"/>
    <n v="0"/>
    <n v="0"/>
    <n v="0"/>
    <n v="0"/>
    <n v="0"/>
    <n v="0"/>
    <n v="0"/>
    <n v="0"/>
    <n v="0"/>
    <n v="0"/>
    <n v="0"/>
    <n v="0"/>
    <n v="0"/>
    <n v="0"/>
    <n v="0"/>
    <n v="0"/>
    <n v="0"/>
    <n v="0"/>
    <n v="0"/>
    <n v="0"/>
    <n v="0"/>
    <n v="0"/>
    <n v="0"/>
    <n v="0"/>
    <n v="0"/>
    <n v="0"/>
    <n v="0"/>
    <n v="0"/>
    <n v="0"/>
    <n v="0"/>
    <n v="0"/>
    <n v="0"/>
    <n v="0"/>
    <n v="0"/>
  </r>
  <r>
    <s v="Liming, Urea Application and Other Carbon-containing Fertilizers "/>
    <x v="3"/>
    <x v="4"/>
    <n v="0"/>
    <n v="0"/>
    <n v="0"/>
    <n v="0"/>
    <n v="0"/>
    <n v="0"/>
    <n v="0"/>
    <n v="0"/>
    <n v="0"/>
    <n v="0"/>
    <n v="0"/>
    <n v="0"/>
    <n v="0"/>
    <n v="0"/>
    <n v="0"/>
    <n v="0"/>
    <n v="0"/>
    <n v="0"/>
    <n v="0"/>
    <n v="0"/>
    <n v="0"/>
    <n v="0"/>
    <n v="0"/>
    <n v="0"/>
    <n v="0"/>
    <n v="0"/>
    <n v="0"/>
    <n v="0"/>
    <n v="0"/>
    <n v="0"/>
    <n v="0"/>
    <n v="0"/>
    <n v="0"/>
    <n v="0"/>
    <n v="0"/>
    <n v="0"/>
    <n v="0"/>
    <n v="0"/>
    <n v="0"/>
    <n v="0"/>
    <n v="0"/>
    <n v="0"/>
    <n v="0"/>
    <n v="0"/>
    <n v="0"/>
  </r>
  <r>
    <s v="Ammonia Production"/>
    <x v="0"/>
    <x v="5"/>
    <n v="0"/>
    <n v="0"/>
    <n v="0"/>
    <n v="0"/>
    <n v="0"/>
    <n v="0"/>
    <n v="0"/>
    <n v="0"/>
    <n v="0"/>
    <n v="0"/>
    <n v="0"/>
    <n v="0"/>
    <n v="0"/>
    <n v="0"/>
    <n v="0"/>
    <n v="0"/>
    <n v="0"/>
    <n v="0"/>
    <n v="0"/>
    <n v="0"/>
    <n v="0"/>
    <n v="0"/>
    <n v="0"/>
    <n v="0"/>
    <n v="0"/>
    <n v="0"/>
    <n v="0"/>
    <n v="0"/>
    <n v="0"/>
    <n v="0"/>
    <n v="0"/>
    <n v="0"/>
    <n v="0"/>
    <n v="0"/>
    <n v="0"/>
    <n v="0"/>
    <n v="0"/>
    <n v="0"/>
    <n v="0"/>
    <n v="0"/>
    <n v="0"/>
    <n v="0"/>
    <n v="0"/>
    <n v="0"/>
    <n v="0"/>
  </r>
  <r>
    <s v="Nitric Acid Production"/>
    <x v="0"/>
    <x v="5"/>
    <n v="0"/>
    <n v="0"/>
    <n v="0"/>
    <n v="0"/>
    <n v="0"/>
    <n v="0"/>
    <n v="0"/>
    <n v="0"/>
    <n v="0"/>
    <n v="0"/>
    <n v="0"/>
    <n v="0"/>
    <n v="0"/>
    <n v="0"/>
    <n v="0"/>
    <n v="0"/>
    <n v="0"/>
    <n v="0"/>
    <n v="0"/>
    <n v="0"/>
    <n v="0"/>
    <n v="0"/>
    <n v="0"/>
    <n v="0"/>
    <n v="0"/>
    <n v="0"/>
    <n v="0"/>
    <n v="0"/>
    <n v="0"/>
    <n v="0"/>
    <n v="0"/>
    <n v="0"/>
    <n v="0"/>
    <n v="0"/>
    <n v="0"/>
    <n v="0"/>
    <n v="0"/>
    <n v="0"/>
    <n v="0"/>
    <n v="0"/>
    <n v="0"/>
    <n v="0"/>
    <n v="0"/>
    <n v="0"/>
    <n v="0"/>
  </r>
  <r>
    <s v="Adipic Acid Production"/>
    <x v="0"/>
    <x v="5"/>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5"/>
    <n v="0"/>
    <n v="0"/>
    <n v="0"/>
    <n v="0"/>
    <n v="0"/>
    <n v="0"/>
    <n v="0"/>
    <n v="0"/>
    <n v="0"/>
    <n v="0"/>
    <n v="0"/>
    <n v="0"/>
    <n v="0"/>
    <n v="0"/>
    <n v="0"/>
    <n v="0"/>
    <n v="0"/>
    <n v="0"/>
    <n v="0"/>
    <n v="0"/>
    <n v="0"/>
    <n v="0"/>
    <n v="0"/>
    <n v="0"/>
    <n v="0"/>
    <n v="0"/>
    <n v="0"/>
    <n v="0"/>
    <n v="0"/>
    <n v="0"/>
    <n v="0"/>
    <n v="0"/>
    <n v="0"/>
    <n v="0"/>
    <n v="0"/>
    <n v="0"/>
    <n v="0"/>
    <n v="0"/>
    <n v="0"/>
    <n v="0"/>
    <n v="0"/>
    <n v="0"/>
    <n v="0"/>
    <n v="0"/>
    <n v="0"/>
  </r>
  <r>
    <s v="Non-Energy Products from Fuels and Solvent Use"/>
    <x v="1"/>
    <x v="5"/>
    <n v="0"/>
    <n v="0"/>
    <n v="0"/>
    <n v="0"/>
    <n v="0"/>
    <n v="0"/>
    <n v="0"/>
    <n v="0"/>
    <n v="0"/>
    <n v="0"/>
    <n v="0"/>
    <n v="0"/>
    <n v="0"/>
    <n v="0"/>
    <n v="0"/>
    <n v="0"/>
    <n v="0"/>
    <n v="0"/>
    <n v="0"/>
    <n v="0"/>
    <n v="0"/>
    <n v="0"/>
    <n v="0"/>
    <n v="0"/>
    <n v="0"/>
    <n v="0"/>
    <n v="0"/>
    <n v="0"/>
    <n v="0"/>
    <n v="0"/>
    <n v="0"/>
    <n v="0"/>
    <n v="0"/>
    <n v="0"/>
    <n v="0"/>
    <n v="0"/>
    <n v="0"/>
    <n v="0"/>
    <n v="0"/>
    <n v="0"/>
    <n v="0"/>
    <n v="0"/>
    <n v="0"/>
    <n v="0"/>
    <n v="0"/>
  </r>
  <r>
    <s v="Other Product Manufacture and Use"/>
    <x v="2"/>
    <x v="5"/>
    <n v="0.86639999999999995"/>
    <n v="0.68400000000000005"/>
    <n v="2.4464399999999999"/>
    <n v="2.1204000000000001"/>
    <n v="1.0136879999999999"/>
    <n v="1.1593800000000001"/>
    <n v="3.147084"/>
    <n v="2.4056280000000001"/>
    <n v="3.1147079999999998"/>
    <n v="3.189492"/>
    <n v="3.4476133333333334"/>
    <n v="3.7057346666666668"/>
    <n v="3.9638560000000003"/>
    <n v="4.2219773333333332"/>
    <n v="4.4800986666666667"/>
    <n v="4.7382200000000001"/>
    <n v="4.9963413333333335"/>
    <n v="5.2544626666666669"/>
    <n v="5.5125840000000004"/>
    <n v="5.7707053333333338"/>
    <n v="6.0288266666666672"/>
    <n v="6.2869480000000006"/>
    <n v="6.5450693333333341"/>
    <n v="6.8031906666666675"/>
    <n v="7.0613120000000009"/>
    <n v="7.3194333333333343"/>
    <n v="7.5775546666666678"/>
    <n v="7.8356760000000012"/>
    <n v="8.0937973333333346"/>
    <n v="8.351918666666668"/>
    <n v="8.6100400000000015"/>
    <n v="8.8681613333333349"/>
    <n v="9.1262826666666683"/>
    <n v="9.3844040000000017"/>
    <n v="9.6425253333333352"/>
    <n v="9.9006466666666686"/>
    <n v="10.158768000000002"/>
    <n v="10.416889333333335"/>
    <n v="10.675010666666669"/>
    <n v="10.933132000000002"/>
    <n v="11.191253333333336"/>
    <n v="11.449374666666669"/>
    <n v="11.707496000000003"/>
    <n v="11.965617333333336"/>
    <n v="12.223738666666669"/>
  </r>
  <r>
    <s v="Field Burning of Agricultural Residues"/>
    <x v="3"/>
    <x v="5"/>
    <n v="0"/>
    <n v="0"/>
    <n v="0"/>
    <n v="0"/>
    <n v="0"/>
    <n v="0"/>
    <n v="0"/>
    <n v="0"/>
    <n v="0"/>
    <n v="0"/>
    <n v="0"/>
    <n v="0"/>
    <n v="0"/>
    <n v="0"/>
    <n v="0"/>
    <n v="0"/>
    <n v="0"/>
    <n v="0"/>
    <n v="0"/>
    <n v="0"/>
    <n v="0"/>
    <n v="0"/>
    <n v="0"/>
    <n v="0"/>
    <n v="0"/>
    <n v="0"/>
    <n v="0"/>
    <n v="0"/>
    <n v="0"/>
    <n v="0"/>
    <n v="0"/>
    <n v="0"/>
    <n v="0"/>
    <n v="0"/>
    <n v="0"/>
    <n v="0"/>
    <n v="0"/>
    <n v="0"/>
    <n v="0"/>
    <n v="0"/>
    <n v="0"/>
    <n v="0"/>
    <n v="0"/>
    <n v="0"/>
    <n v="0"/>
  </r>
  <r>
    <s v="Liming, Urea Application and Other Carbon-containing Fertilizers "/>
    <x v="3"/>
    <x v="5"/>
    <n v="0"/>
    <n v="0"/>
    <n v="0"/>
    <n v="0"/>
    <n v="0"/>
    <n v="0"/>
    <n v="0"/>
    <n v="0"/>
    <n v="0"/>
    <n v="0"/>
    <n v="0"/>
    <n v="0"/>
    <n v="0"/>
    <n v="0"/>
    <n v="0"/>
    <n v="0"/>
    <n v="0"/>
    <n v="0"/>
    <n v="0"/>
    <n v="0"/>
    <n v="0"/>
    <n v="0"/>
    <n v="0"/>
    <n v="0"/>
    <n v="0"/>
    <n v="0"/>
    <n v="0"/>
    <n v="0"/>
    <n v="0"/>
    <n v="0"/>
    <n v="0"/>
    <n v="0"/>
    <n v="0"/>
    <n v="0"/>
    <n v="0"/>
    <n v="0"/>
    <n v="0"/>
    <n v="0"/>
    <n v="0"/>
    <n v="0"/>
    <n v="0"/>
    <n v="0"/>
    <n v="0"/>
    <n v="0"/>
    <n v="0"/>
  </r>
  <r>
    <s v="Ammonia Production"/>
    <x v="0"/>
    <x v="6"/>
    <n v="0"/>
    <n v="0"/>
    <n v="0"/>
    <n v="0"/>
    <n v="0"/>
    <n v="0"/>
    <n v="0"/>
    <n v="0"/>
    <n v="0"/>
    <n v="0"/>
    <n v="0"/>
    <n v="0"/>
    <n v="0"/>
    <n v="0"/>
    <n v="0"/>
    <n v="0"/>
    <n v="0"/>
    <n v="0"/>
    <n v="0"/>
    <n v="0"/>
    <n v="0"/>
    <n v="0"/>
    <n v="0"/>
    <n v="0"/>
    <n v="0"/>
    <n v="0"/>
    <n v="0"/>
    <n v="0"/>
    <n v="0"/>
    <n v="0"/>
    <n v="0"/>
    <n v="0"/>
    <n v="0"/>
    <n v="0"/>
    <n v="0"/>
    <n v="0"/>
    <n v="0"/>
    <n v="0"/>
    <n v="0"/>
    <n v="0"/>
    <n v="0"/>
    <n v="0"/>
    <n v="0"/>
    <n v="0"/>
    <n v="0"/>
  </r>
  <r>
    <s v="Nitric Acid Production"/>
    <x v="0"/>
    <x v="6"/>
    <n v="0"/>
    <n v="0"/>
    <n v="0"/>
    <n v="0"/>
    <n v="0"/>
    <n v="0"/>
    <n v="0"/>
    <n v="0"/>
    <n v="0"/>
    <n v="0"/>
    <n v="0"/>
    <n v="0"/>
    <n v="0"/>
    <n v="0"/>
    <n v="0"/>
    <n v="0"/>
    <n v="0"/>
    <n v="0"/>
    <n v="0"/>
    <n v="0"/>
    <n v="0"/>
    <n v="0"/>
    <n v="0"/>
    <n v="0"/>
    <n v="0"/>
    <n v="0"/>
    <n v="0"/>
    <n v="0"/>
    <n v="0"/>
    <n v="0"/>
    <n v="0"/>
    <n v="0"/>
    <n v="0"/>
    <n v="0"/>
    <n v="0"/>
    <n v="0"/>
    <n v="0"/>
    <n v="0"/>
    <n v="0"/>
    <n v="0"/>
    <n v="0"/>
    <n v="0"/>
    <n v="0"/>
    <n v="0"/>
    <n v="0"/>
  </r>
  <r>
    <s v="Adipic Acid Production"/>
    <x v="0"/>
    <x v="6"/>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6"/>
    <n v="0"/>
    <n v="0"/>
    <n v="0"/>
    <n v="0"/>
    <n v="0"/>
    <n v="0"/>
    <n v="0"/>
    <n v="0"/>
    <n v="0"/>
    <n v="0"/>
    <n v="0"/>
    <n v="0"/>
    <n v="0"/>
    <n v="0"/>
    <n v="0"/>
    <n v="0"/>
    <n v="0"/>
    <n v="0"/>
    <n v="0"/>
    <n v="0"/>
    <n v="0"/>
    <n v="0"/>
    <n v="0"/>
    <n v="0"/>
    <n v="0"/>
    <n v="0"/>
    <n v="0"/>
    <n v="0"/>
    <n v="0"/>
    <n v="0"/>
    <n v="0"/>
    <n v="0"/>
    <n v="0"/>
    <n v="0"/>
    <n v="0"/>
    <n v="0"/>
    <n v="0"/>
    <n v="0"/>
    <n v="0"/>
    <n v="0"/>
    <n v="0"/>
    <n v="0"/>
    <n v="0"/>
    <n v="0"/>
    <n v="0"/>
  </r>
  <r>
    <s v="Non-Energy Products from Fuels and Solvent Use"/>
    <x v="1"/>
    <x v="6"/>
    <n v="0"/>
    <n v="0"/>
    <n v="0"/>
    <n v="0"/>
    <n v="0"/>
    <n v="0"/>
    <n v="0"/>
    <n v="0"/>
    <n v="0"/>
    <n v="0"/>
    <n v="0"/>
    <n v="0"/>
    <n v="0"/>
    <n v="0"/>
    <n v="0"/>
    <n v="0"/>
    <n v="0"/>
    <n v="0"/>
    <n v="0"/>
    <n v="0"/>
    <n v="0"/>
    <n v="0"/>
    <n v="0"/>
    <n v="0"/>
    <n v="0"/>
    <n v="0"/>
    <n v="0"/>
    <n v="0"/>
    <n v="0"/>
    <n v="0"/>
    <n v="0"/>
    <n v="0"/>
    <n v="0"/>
    <n v="0"/>
    <n v="0"/>
    <n v="0"/>
    <n v="0"/>
    <n v="0"/>
    <n v="0"/>
    <n v="0"/>
    <n v="0"/>
    <n v="0"/>
    <n v="0"/>
    <n v="0"/>
    <n v="0"/>
  </r>
  <r>
    <s v="Other Product Manufacture and Use"/>
    <x v="2"/>
    <x v="6"/>
    <n v="0"/>
    <n v="0"/>
    <n v="0"/>
    <n v="0"/>
    <n v="0"/>
    <n v="0"/>
    <n v="0"/>
    <n v="0"/>
    <n v="0"/>
    <n v="0"/>
    <n v="0"/>
    <n v="0"/>
    <n v="0"/>
    <n v="0"/>
    <n v="0"/>
    <n v="0"/>
    <n v="0"/>
    <n v="0"/>
    <n v="0"/>
    <n v="0"/>
    <n v="0"/>
    <n v="0"/>
    <n v="0"/>
    <n v="0"/>
    <n v="0"/>
    <n v="0"/>
    <n v="0"/>
    <n v="0"/>
    <n v="0"/>
    <n v="0"/>
    <n v="0"/>
    <n v="0"/>
    <n v="0"/>
    <n v="0"/>
    <n v="0"/>
    <n v="0"/>
    <n v="0"/>
    <n v="0"/>
    <n v="0"/>
    <n v="0"/>
    <n v="0"/>
    <n v="0"/>
    <n v="0"/>
    <n v="0"/>
    <n v="0"/>
  </r>
  <r>
    <s v="Field Burning of Agricultural Residues"/>
    <x v="3"/>
    <x v="6"/>
    <n v="0"/>
    <n v="0"/>
    <n v="0"/>
    <n v="0"/>
    <n v="0"/>
    <n v="0"/>
    <n v="0"/>
    <n v="0"/>
    <n v="0"/>
    <n v="0"/>
    <n v="0"/>
    <n v="0"/>
    <n v="0"/>
    <n v="0"/>
    <n v="0"/>
    <n v="0"/>
    <n v="0"/>
    <n v="0"/>
    <n v="0"/>
    <n v="0"/>
    <n v="0"/>
    <n v="0"/>
    <n v="0"/>
    <n v="0"/>
    <n v="0"/>
    <n v="0"/>
    <n v="0"/>
    <n v="0"/>
    <n v="0"/>
    <n v="0"/>
    <n v="0"/>
    <n v="0"/>
    <n v="0"/>
    <n v="0"/>
    <n v="0"/>
    <n v="0"/>
    <n v="0"/>
    <n v="0"/>
    <n v="0"/>
    <n v="0"/>
    <n v="0"/>
    <n v="0"/>
    <n v="0"/>
    <n v="0"/>
    <n v="0"/>
  </r>
  <r>
    <s v="Liming, Urea Application and Other Carbon-containing Fertilizers "/>
    <x v="3"/>
    <x v="6"/>
    <n v="0"/>
    <n v="0"/>
    <n v="0"/>
    <n v="0"/>
    <n v="0"/>
    <n v="0"/>
    <n v="0"/>
    <n v="0"/>
    <n v="0"/>
    <n v="0"/>
    <n v="0"/>
    <n v="0"/>
    <n v="0"/>
    <n v="0"/>
    <n v="0"/>
    <n v="0"/>
    <n v="0"/>
    <n v="0"/>
    <n v="0"/>
    <n v="0"/>
    <n v="0"/>
    <n v="0"/>
    <n v="0"/>
    <n v="0"/>
    <n v="0"/>
    <n v="0"/>
    <n v="0"/>
    <n v="0"/>
    <n v="0"/>
    <n v="0"/>
    <n v="0"/>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200-000000000000}" name="PivotTable1" cacheId="15"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120:AL133" firstHeaderRow="0" firstDataRow="1" firstDataCol="2"/>
  <pivotFields count="48">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x="3"/>
        <item m="1" x="9"/>
        <item x="0"/>
        <item m="1" x="6"/>
        <item m="1" x="5"/>
        <item m="1" x="4"/>
        <item m="1" x="8"/>
        <item m="1" x="7"/>
        <item x="2"/>
        <item x="1"/>
      </items>
      <extLst>
        <ext xmlns:x14="http://schemas.microsoft.com/office/spreadsheetml/2009/9/main" uri="{2946ED86-A175-432a-8AC1-64E0C546D7DE}">
          <x14:pivotField fillDownLabels="1"/>
        </ext>
      </extLst>
    </pivotField>
    <pivotField axis="axisRow" compact="0" outline="0" showAll="0" measureFilter="1" defaultSubtotal="0">
      <items count="8">
        <item x="1"/>
        <item x="0"/>
        <item x="3"/>
        <item x="2"/>
        <item x="6"/>
        <item x="4"/>
        <item x="5"/>
        <item m="1"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2"/>
  </rowFields>
  <rowItems count="13">
    <i>
      <x/>
      <x/>
    </i>
    <i r="1">
      <x v="1"/>
    </i>
    <i r="1">
      <x v="3"/>
    </i>
    <i>
      <x v="2"/>
      <x/>
    </i>
    <i r="1">
      <x v="1"/>
    </i>
    <i r="1">
      <x v="3"/>
    </i>
    <i>
      <x v="8"/>
      <x v="1"/>
    </i>
    <i r="1">
      <x v="3"/>
    </i>
    <i r="1">
      <x v="5"/>
    </i>
    <i r="1">
      <x v="6"/>
    </i>
    <i>
      <x v="9"/>
      <x/>
    </i>
    <i r="1">
      <x v="1"/>
    </i>
    <i r="1">
      <x v="3"/>
    </i>
  </rowItems>
  <colFields count="1">
    <field x="-2"/>
  </colFields>
  <colItems count="36">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colItems>
  <dataFields count="36">
    <dataField name="Sum of 2015" fld="12" baseField="1" baseItem="0"/>
    <dataField name="Sum of 2016" fld="13" baseField="0" baseItem="0"/>
    <dataField name="Sum of 2017" fld="14" baseField="0" baseItem="0"/>
    <dataField name="Sum of 2018" fld="15" baseField="0" baseItem="0"/>
    <dataField name="Sum of 2019" fld="16" baseField="0" baseItem="0"/>
    <dataField name="Sum of 2020" fld="17" baseField="0" baseItem="0"/>
    <dataField name="Sum of 2021" fld="18" baseField="0" baseItem="0"/>
    <dataField name="Sum of 2022" fld="19" baseField="0" baseItem="0"/>
    <dataField name="Sum of 2023" fld="20" baseField="0" baseItem="0"/>
    <dataField name="Sum of 2024" fld="21" baseField="0" baseItem="0"/>
    <dataField name="Sum of 2025" fld="22" baseField="0" baseItem="0"/>
    <dataField name="Sum of 2026" fld="23" baseField="0" baseItem="0"/>
    <dataField name="Sum of 2027" fld="24" baseField="0" baseItem="0"/>
    <dataField name="Sum of 2028" fld="25" baseField="0" baseItem="0"/>
    <dataField name="Sum of 2029" fld="26" baseField="0" baseItem="0"/>
    <dataField name="Sum of 2030" fld="27" baseField="0" baseItem="0"/>
    <dataField name="Sum of 2031" fld="28" baseField="0" baseItem="0"/>
    <dataField name="Sum of 2032" fld="29" baseField="0" baseItem="0"/>
    <dataField name="Sum of 2033" fld="30" baseField="0" baseItem="0"/>
    <dataField name="Sum of 2034" fld="31" baseField="0" baseItem="0"/>
    <dataField name="Sum of 2035" fld="32" baseField="0" baseItem="0"/>
    <dataField name="Sum of 2036" fld="33" baseField="0" baseItem="0"/>
    <dataField name="Sum of 2037" fld="34" baseField="0" baseItem="0"/>
    <dataField name="Sum of 2038" fld="35" baseField="0" baseItem="0"/>
    <dataField name="Sum of 2039" fld="36" baseField="0" baseItem="0"/>
    <dataField name="Sum of 2040" fld="37" baseField="0" baseItem="0"/>
    <dataField name="Sum of 2041" fld="38" baseField="0" baseItem="0"/>
    <dataField name="Sum of 2042" fld="39" baseField="0" baseItem="0"/>
    <dataField name="Sum of 2043" fld="40" baseField="0" baseItem="0"/>
    <dataField name="Sum of 2044" fld="41" baseField="0" baseItem="0"/>
    <dataField name="Sum of 2045" fld="42" baseField="0" baseItem="0"/>
    <dataField name="Sum of 2046" fld="43" baseField="0" baseItem="0"/>
    <dataField name="Sum of 2047" fld="44" baseField="0" baseItem="0"/>
    <dataField name="Sum of 2048" fld="45" baseField="0" baseItem="0"/>
    <dataField name="Sum of 2049" fld="46" baseField="0" baseItem="0"/>
    <dataField name="Sum of 2050" fld="47" baseField="0" baseItem="0"/>
  </dataFields>
  <formats count="10">
    <format dxfId="15">
      <pivotArea outline="0" collapsedLevelsAreSubtotals="1" fieldPosition="0"/>
    </format>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outline="0" collapsedLevelsAreSubtotals="1" fieldPosition="0"/>
    </format>
    <format dxfId="7">
      <pivotArea field="1" type="button" dataOnly="0" labelOnly="1" outline="0" axis="axisRow" fieldPosition="0"/>
    </format>
    <format dxfId="6">
      <pivotArea dataOnly="0" labelOnly="1" outline="0" fieldPosition="0">
        <references count="1">
          <reference field="1" count="0"/>
        </references>
      </pivotArea>
    </format>
  </formats>
  <pivotTableStyleInfo name="PivotStyleLight16" showRowHeaders="1" showColHeaders="1" showRowStripes="0" showColStripes="0" showLastColumn="1"/>
  <filters count="1">
    <filter fld="2"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0000000}" name="Table117" displayName="Table117" ref="A8:AK9" totalsRowShown="0">
  <tableColumns count="37">
    <tableColumn id="1" xr3:uid="{00000000-0010-0000-0000-000001000000}" name="_"/>
    <tableColumn id="2" xr3:uid="{00000000-0010-0000-0000-000002000000}" name="2005"/>
    <tableColumn id="3" xr3:uid="{00000000-0010-0000-0000-000003000000}" name="2006"/>
    <tableColumn id="4" xr3:uid="{00000000-0010-0000-0000-000004000000}" name="2007"/>
    <tableColumn id="5" xr3:uid="{00000000-0010-0000-0000-000005000000}" name="2008"/>
    <tableColumn id="6" xr3:uid="{00000000-0010-0000-0000-000006000000}" name="2009"/>
    <tableColumn id="7" xr3:uid="{00000000-0010-0000-0000-000007000000}" name="2010"/>
    <tableColumn id="8" xr3:uid="{00000000-0010-0000-0000-000008000000}" name="2011"/>
    <tableColumn id="9" xr3:uid="{00000000-0010-0000-0000-000009000000}" name="2012"/>
    <tableColumn id="10" xr3:uid="{00000000-0010-0000-0000-00000A000000}" name="2013"/>
    <tableColumn id="11" xr3:uid="{00000000-0010-0000-0000-00000B000000}" name="2014"/>
    <tableColumn id="12" xr3:uid="{00000000-0010-0000-0000-00000C000000}" name="2015"/>
    <tableColumn id="13" xr3:uid="{00000000-0010-0000-0000-00000D000000}" name="2016"/>
    <tableColumn id="14" xr3:uid="{00000000-0010-0000-0000-00000E000000}" name="2017"/>
    <tableColumn id="15" xr3:uid="{00000000-0010-0000-0000-00000F000000}" name="2018"/>
    <tableColumn id="16" xr3:uid="{00000000-0010-0000-0000-000010000000}" name="2019"/>
    <tableColumn id="17" xr3:uid="{00000000-0010-0000-0000-000011000000}" name="2020"/>
    <tableColumn id="18" xr3:uid="{00000000-0010-0000-0000-000012000000}" name="2021"/>
    <tableColumn id="19" xr3:uid="{00000000-0010-0000-0000-000013000000}" name="2022"/>
    <tableColumn id="20" xr3:uid="{00000000-0010-0000-0000-000014000000}" name="2023"/>
    <tableColumn id="21" xr3:uid="{00000000-0010-0000-0000-000015000000}" name="2024"/>
    <tableColumn id="22" xr3:uid="{00000000-0010-0000-0000-000016000000}" name="2025"/>
    <tableColumn id="23" xr3:uid="{00000000-0010-0000-0000-000017000000}" name="2026"/>
    <tableColumn id="24" xr3:uid="{00000000-0010-0000-0000-000018000000}" name="2027"/>
    <tableColumn id="25" xr3:uid="{00000000-0010-0000-0000-000019000000}" name="2028"/>
    <tableColumn id="26" xr3:uid="{00000000-0010-0000-0000-00001A000000}" name="2029"/>
    <tableColumn id="27" xr3:uid="{00000000-0010-0000-0000-00001B000000}" name="2030"/>
    <tableColumn id="28" xr3:uid="{00000000-0010-0000-0000-00001C000000}" name="2031"/>
    <tableColumn id="29" xr3:uid="{00000000-0010-0000-0000-00001D000000}" name="2032"/>
    <tableColumn id="30" xr3:uid="{00000000-0010-0000-0000-00001E000000}" name="2033"/>
    <tableColumn id="31" xr3:uid="{00000000-0010-0000-0000-00001F000000}" name="2034"/>
    <tableColumn id="32" xr3:uid="{00000000-0010-0000-0000-000020000000}" name="2035"/>
    <tableColumn id="33" xr3:uid="{00000000-0010-0000-0000-000021000000}" name="2036"/>
    <tableColumn id="34" xr3:uid="{00000000-0010-0000-0000-000022000000}" name="2037"/>
    <tableColumn id="35" xr3:uid="{00000000-0010-0000-0000-000023000000}" name="2038"/>
    <tableColumn id="36" xr3:uid="{00000000-0010-0000-0000-000024000000}" name="2039"/>
    <tableColumn id="37" xr3:uid="{00000000-0010-0000-0000-000025000000}" name="204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1000000}" name="Table218" displayName="Table218" ref="A12:AK18" totalsRowShown="0">
  <tableColumns count="37">
    <tableColumn id="1" xr3:uid="{00000000-0010-0000-0100-000001000000}" name="_"/>
    <tableColumn id="2" xr3:uid="{00000000-0010-0000-0100-000002000000}" name="2005"/>
    <tableColumn id="3" xr3:uid="{00000000-0010-0000-0100-000003000000}" name="2006"/>
    <tableColumn id="4" xr3:uid="{00000000-0010-0000-0100-000004000000}" name="2007"/>
    <tableColumn id="5" xr3:uid="{00000000-0010-0000-0100-000005000000}" name="2008"/>
    <tableColumn id="6" xr3:uid="{00000000-0010-0000-0100-000006000000}" name="2009"/>
    <tableColumn id="7" xr3:uid="{00000000-0010-0000-0100-000007000000}" name="2010"/>
    <tableColumn id="8" xr3:uid="{00000000-0010-0000-0100-000008000000}" name="2011"/>
    <tableColumn id="9" xr3:uid="{00000000-0010-0000-0100-000009000000}" name="2012"/>
    <tableColumn id="10" xr3:uid="{00000000-0010-0000-0100-00000A000000}" name="2013"/>
    <tableColumn id="11" xr3:uid="{00000000-0010-0000-0100-00000B000000}" name="2014"/>
    <tableColumn id="12" xr3:uid="{00000000-0010-0000-0100-00000C000000}" name="2015"/>
    <tableColumn id="13" xr3:uid="{00000000-0010-0000-0100-00000D000000}" name="2016"/>
    <tableColumn id="14" xr3:uid="{00000000-0010-0000-0100-00000E000000}" name="2017"/>
    <tableColumn id="15" xr3:uid="{00000000-0010-0000-0100-00000F000000}" name="2018"/>
    <tableColumn id="16" xr3:uid="{00000000-0010-0000-0100-000010000000}" name="2019"/>
    <tableColumn id="17" xr3:uid="{00000000-0010-0000-0100-000011000000}" name="2020"/>
    <tableColumn id="18" xr3:uid="{00000000-0010-0000-0100-000012000000}" name="2021"/>
    <tableColumn id="19" xr3:uid="{00000000-0010-0000-0100-000013000000}" name="2022"/>
    <tableColumn id="20" xr3:uid="{00000000-0010-0000-0100-000014000000}" name="2023"/>
    <tableColumn id="21" xr3:uid="{00000000-0010-0000-0100-000015000000}" name="2024"/>
    <tableColumn id="22" xr3:uid="{00000000-0010-0000-0100-000016000000}" name="2025"/>
    <tableColumn id="23" xr3:uid="{00000000-0010-0000-0100-000017000000}" name="2026"/>
    <tableColumn id="24" xr3:uid="{00000000-0010-0000-0100-000018000000}" name="2027"/>
    <tableColumn id="25" xr3:uid="{00000000-0010-0000-0100-000019000000}" name="2028"/>
    <tableColumn id="26" xr3:uid="{00000000-0010-0000-0100-00001A000000}" name="2029"/>
    <tableColumn id="27" xr3:uid="{00000000-0010-0000-0100-00001B000000}" name="2030"/>
    <tableColumn id="28" xr3:uid="{00000000-0010-0000-0100-00001C000000}" name="2031"/>
    <tableColumn id="29" xr3:uid="{00000000-0010-0000-0100-00001D000000}" name="2032"/>
    <tableColumn id="30" xr3:uid="{00000000-0010-0000-0100-00001E000000}" name="2033"/>
    <tableColumn id="31" xr3:uid="{00000000-0010-0000-0100-00001F000000}" name="2034"/>
    <tableColumn id="32" xr3:uid="{00000000-0010-0000-0100-000020000000}" name="2035"/>
    <tableColumn id="33" xr3:uid="{00000000-0010-0000-0100-000021000000}" name="2036"/>
    <tableColumn id="34" xr3:uid="{00000000-0010-0000-0100-000022000000}" name="2037"/>
    <tableColumn id="35" xr3:uid="{00000000-0010-0000-0100-000023000000}" name="2038"/>
    <tableColumn id="36" xr3:uid="{00000000-0010-0000-0100-000024000000}" name="2039"/>
    <tableColumn id="37" xr3:uid="{00000000-0010-0000-0100-000025000000}" name="204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le319" displayName="Table319" ref="A21:AK22" totalsRowShown="0">
  <tableColumns count="37">
    <tableColumn id="1" xr3:uid="{00000000-0010-0000-0200-000001000000}" name="_"/>
    <tableColumn id="2" xr3:uid="{00000000-0010-0000-0200-000002000000}" name="2005"/>
    <tableColumn id="3" xr3:uid="{00000000-0010-0000-0200-000003000000}" name="2006"/>
    <tableColumn id="4" xr3:uid="{00000000-0010-0000-0200-000004000000}" name="2007"/>
    <tableColumn id="5" xr3:uid="{00000000-0010-0000-0200-000005000000}" name="2008"/>
    <tableColumn id="6" xr3:uid="{00000000-0010-0000-0200-000006000000}" name="2009"/>
    <tableColumn id="7" xr3:uid="{00000000-0010-0000-0200-000007000000}" name="2010"/>
    <tableColumn id="8" xr3:uid="{00000000-0010-0000-0200-000008000000}" name="2011"/>
    <tableColumn id="9" xr3:uid="{00000000-0010-0000-0200-000009000000}" name="2012"/>
    <tableColumn id="10" xr3:uid="{00000000-0010-0000-0200-00000A000000}" name="2013"/>
    <tableColumn id="11" xr3:uid="{00000000-0010-0000-0200-00000B000000}" name="2014"/>
    <tableColumn id="12" xr3:uid="{00000000-0010-0000-0200-00000C000000}" name="2015"/>
    <tableColumn id="13" xr3:uid="{00000000-0010-0000-0200-00000D000000}" name="2016"/>
    <tableColumn id="14" xr3:uid="{00000000-0010-0000-0200-00000E000000}" name="2017"/>
    <tableColumn id="15" xr3:uid="{00000000-0010-0000-0200-00000F000000}" name="2018"/>
    <tableColumn id="16" xr3:uid="{00000000-0010-0000-0200-000010000000}" name="2019"/>
    <tableColumn id="17" xr3:uid="{00000000-0010-0000-0200-000011000000}" name="2020"/>
    <tableColumn id="18" xr3:uid="{00000000-0010-0000-0200-000012000000}" name="2021"/>
    <tableColumn id="19" xr3:uid="{00000000-0010-0000-0200-000013000000}" name="2022"/>
    <tableColumn id="20" xr3:uid="{00000000-0010-0000-0200-000014000000}" name="2023"/>
    <tableColumn id="21" xr3:uid="{00000000-0010-0000-0200-000015000000}" name="2024"/>
    <tableColumn id="22" xr3:uid="{00000000-0010-0000-0200-000016000000}" name="2025"/>
    <tableColumn id="23" xr3:uid="{00000000-0010-0000-0200-000017000000}" name="2026"/>
    <tableColumn id="24" xr3:uid="{00000000-0010-0000-0200-000018000000}" name="2027"/>
    <tableColumn id="25" xr3:uid="{00000000-0010-0000-0200-000019000000}" name="2028"/>
    <tableColumn id="26" xr3:uid="{00000000-0010-0000-0200-00001A000000}" name="2029"/>
    <tableColumn id="27" xr3:uid="{00000000-0010-0000-0200-00001B000000}" name="2030"/>
    <tableColumn id="28" xr3:uid="{00000000-0010-0000-0200-00001C000000}" name="2031"/>
    <tableColumn id="29" xr3:uid="{00000000-0010-0000-0200-00001D000000}" name="2032"/>
    <tableColumn id="30" xr3:uid="{00000000-0010-0000-0200-00001E000000}" name="2033"/>
    <tableColumn id="31" xr3:uid="{00000000-0010-0000-0200-00001F000000}" name="2034"/>
    <tableColumn id="32" xr3:uid="{00000000-0010-0000-0200-000020000000}" name="2035"/>
    <tableColumn id="33" xr3:uid="{00000000-0010-0000-0200-000021000000}" name="2036"/>
    <tableColumn id="34" xr3:uid="{00000000-0010-0000-0200-000022000000}" name="2037"/>
    <tableColumn id="35" xr3:uid="{00000000-0010-0000-0200-000023000000}" name="2038"/>
    <tableColumn id="36" xr3:uid="{00000000-0010-0000-0200-000024000000}" name="2039"/>
    <tableColumn id="37" xr3:uid="{00000000-0010-0000-0200-000025000000}" name="204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3000000}" name="Table420" displayName="Table420" ref="A25:AK26" totalsRowShown="0">
  <tableColumns count="37">
    <tableColumn id="1" xr3:uid="{00000000-0010-0000-0300-000001000000}" name="_"/>
    <tableColumn id="2" xr3:uid="{00000000-0010-0000-0300-000002000000}" name="2005"/>
    <tableColumn id="3" xr3:uid="{00000000-0010-0000-0300-000003000000}" name="2006"/>
    <tableColumn id="4" xr3:uid="{00000000-0010-0000-0300-000004000000}" name="2007"/>
    <tableColumn id="5" xr3:uid="{00000000-0010-0000-0300-000005000000}" name="2008"/>
    <tableColumn id="6" xr3:uid="{00000000-0010-0000-0300-000006000000}" name="2009"/>
    <tableColumn id="7" xr3:uid="{00000000-0010-0000-0300-000007000000}" name="2010"/>
    <tableColumn id="8" xr3:uid="{00000000-0010-0000-0300-000008000000}" name="2011"/>
    <tableColumn id="9" xr3:uid="{00000000-0010-0000-0300-000009000000}" name="2012"/>
    <tableColumn id="10" xr3:uid="{00000000-0010-0000-0300-00000A000000}" name="2013"/>
    <tableColumn id="11" xr3:uid="{00000000-0010-0000-0300-00000B000000}" name="2014"/>
    <tableColumn id="12" xr3:uid="{00000000-0010-0000-0300-00000C000000}" name="2015"/>
    <tableColumn id="13" xr3:uid="{00000000-0010-0000-0300-00000D000000}" name="2016"/>
    <tableColumn id="14" xr3:uid="{00000000-0010-0000-0300-00000E000000}" name="2017"/>
    <tableColumn id="15" xr3:uid="{00000000-0010-0000-0300-00000F000000}" name="2018"/>
    <tableColumn id="16" xr3:uid="{00000000-0010-0000-0300-000010000000}" name="2019"/>
    <tableColumn id="17" xr3:uid="{00000000-0010-0000-0300-000011000000}" name="2020"/>
    <tableColumn id="18" xr3:uid="{00000000-0010-0000-0300-000012000000}" name="2021"/>
    <tableColumn id="19" xr3:uid="{00000000-0010-0000-0300-000013000000}" name="2022"/>
    <tableColumn id="20" xr3:uid="{00000000-0010-0000-0300-000014000000}" name="2023"/>
    <tableColumn id="21" xr3:uid="{00000000-0010-0000-0300-000015000000}" name="2024"/>
    <tableColumn id="22" xr3:uid="{00000000-0010-0000-0300-000016000000}" name="2025"/>
    <tableColumn id="23" xr3:uid="{00000000-0010-0000-0300-000017000000}" name="2026"/>
    <tableColumn id="24" xr3:uid="{00000000-0010-0000-0300-000018000000}" name="2027"/>
    <tableColumn id="25" xr3:uid="{00000000-0010-0000-0300-000019000000}" name="2028"/>
    <tableColumn id="26" xr3:uid="{00000000-0010-0000-0300-00001A000000}" name="2029"/>
    <tableColumn id="27" xr3:uid="{00000000-0010-0000-0300-00001B000000}" name="2030"/>
    <tableColumn id="28" xr3:uid="{00000000-0010-0000-0300-00001C000000}" name="2031"/>
    <tableColumn id="29" xr3:uid="{00000000-0010-0000-0300-00001D000000}" name="2032"/>
    <tableColumn id="30" xr3:uid="{00000000-0010-0000-0300-00001E000000}" name="2033"/>
    <tableColumn id="31" xr3:uid="{00000000-0010-0000-0300-00001F000000}" name="2034"/>
    <tableColumn id="32" xr3:uid="{00000000-0010-0000-0300-000020000000}" name="2035"/>
    <tableColumn id="33" xr3:uid="{00000000-0010-0000-0300-000021000000}" name="2036"/>
    <tableColumn id="34" xr3:uid="{00000000-0010-0000-0300-000022000000}" name="2037"/>
    <tableColumn id="35" xr3:uid="{00000000-0010-0000-0300-000023000000}" name="2038"/>
    <tableColumn id="36" xr3:uid="{00000000-0010-0000-0300-000024000000}" name="2039"/>
    <tableColumn id="37" xr3:uid="{00000000-0010-0000-0300-000025000000}" name="204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4000000}" name="Table521" displayName="Table521" ref="A29:AK30" totalsRowShown="0">
  <tableColumns count="37">
    <tableColumn id="1" xr3:uid="{00000000-0010-0000-0400-000001000000}" name="_"/>
    <tableColumn id="2" xr3:uid="{00000000-0010-0000-0400-000002000000}" name="2005"/>
    <tableColumn id="3" xr3:uid="{00000000-0010-0000-0400-000003000000}" name="2006"/>
    <tableColumn id="4" xr3:uid="{00000000-0010-0000-0400-000004000000}" name="2007"/>
    <tableColumn id="5" xr3:uid="{00000000-0010-0000-0400-000005000000}" name="2008"/>
    <tableColumn id="6" xr3:uid="{00000000-0010-0000-0400-000006000000}" name="2009"/>
    <tableColumn id="7" xr3:uid="{00000000-0010-0000-0400-000007000000}" name="2010"/>
    <tableColumn id="8" xr3:uid="{00000000-0010-0000-0400-000008000000}" name="2011"/>
    <tableColumn id="9" xr3:uid="{00000000-0010-0000-0400-000009000000}" name="2012"/>
    <tableColumn id="10" xr3:uid="{00000000-0010-0000-0400-00000A000000}" name="2013"/>
    <tableColumn id="11" xr3:uid="{00000000-0010-0000-0400-00000B000000}" name="2014"/>
    <tableColumn id="12" xr3:uid="{00000000-0010-0000-0400-00000C000000}" name="2015"/>
    <tableColumn id="13" xr3:uid="{00000000-0010-0000-0400-00000D000000}" name="2016"/>
    <tableColumn id="14" xr3:uid="{00000000-0010-0000-0400-00000E000000}" name="2017"/>
    <tableColumn id="15" xr3:uid="{00000000-0010-0000-0400-00000F000000}" name="2018"/>
    <tableColumn id="16" xr3:uid="{00000000-0010-0000-0400-000010000000}" name="2019"/>
    <tableColumn id="17" xr3:uid="{00000000-0010-0000-0400-000011000000}" name="2020"/>
    <tableColumn id="18" xr3:uid="{00000000-0010-0000-0400-000012000000}" name="2021"/>
    <tableColumn id="19" xr3:uid="{00000000-0010-0000-0400-000013000000}" name="2022"/>
    <tableColumn id="20" xr3:uid="{00000000-0010-0000-0400-000014000000}" name="2023"/>
    <tableColumn id="21" xr3:uid="{00000000-0010-0000-0400-000015000000}" name="2024"/>
    <tableColumn id="22" xr3:uid="{00000000-0010-0000-0400-000016000000}" name="2025"/>
    <tableColumn id="23" xr3:uid="{00000000-0010-0000-0400-000017000000}" name="2026"/>
    <tableColumn id="24" xr3:uid="{00000000-0010-0000-0400-000018000000}" name="2027"/>
    <tableColumn id="25" xr3:uid="{00000000-0010-0000-0400-000019000000}" name="2028"/>
    <tableColumn id="26" xr3:uid="{00000000-0010-0000-0400-00001A000000}" name="2029"/>
    <tableColumn id="27" xr3:uid="{00000000-0010-0000-0400-00001B000000}" name="2030"/>
    <tableColumn id="28" xr3:uid="{00000000-0010-0000-0400-00001C000000}" name="2031"/>
    <tableColumn id="29" xr3:uid="{00000000-0010-0000-0400-00001D000000}" name="2032"/>
    <tableColumn id="30" xr3:uid="{00000000-0010-0000-0400-00001E000000}" name="2033"/>
    <tableColumn id="31" xr3:uid="{00000000-0010-0000-0400-00001F000000}" name="2034"/>
    <tableColumn id="32" xr3:uid="{00000000-0010-0000-0400-000020000000}" name="2035"/>
    <tableColumn id="33" xr3:uid="{00000000-0010-0000-0400-000021000000}" name="2036"/>
    <tableColumn id="34" xr3:uid="{00000000-0010-0000-0400-000022000000}" name="2037"/>
    <tableColumn id="35" xr3:uid="{00000000-0010-0000-0400-000023000000}" name="2038"/>
    <tableColumn id="36" xr3:uid="{00000000-0010-0000-0400-000024000000}" name="2039"/>
    <tableColumn id="37" xr3:uid="{00000000-0010-0000-0400-000025000000}" name="204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5000000}" name="Table622" displayName="Table622" ref="A33:AK39" totalsRowShown="0">
  <tableColumns count="37">
    <tableColumn id="1" xr3:uid="{00000000-0010-0000-0500-000001000000}" name="_"/>
    <tableColumn id="2" xr3:uid="{00000000-0010-0000-0500-000002000000}" name="2005"/>
    <tableColumn id="3" xr3:uid="{00000000-0010-0000-0500-000003000000}" name="2006"/>
    <tableColumn id="4" xr3:uid="{00000000-0010-0000-0500-000004000000}" name="2007"/>
    <tableColumn id="5" xr3:uid="{00000000-0010-0000-0500-000005000000}" name="2008"/>
    <tableColumn id="6" xr3:uid="{00000000-0010-0000-0500-000006000000}" name="2009"/>
    <tableColumn id="7" xr3:uid="{00000000-0010-0000-0500-000007000000}" name="2010"/>
    <tableColumn id="8" xr3:uid="{00000000-0010-0000-0500-000008000000}" name="2011"/>
    <tableColumn id="9" xr3:uid="{00000000-0010-0000-0500-000009000000}" name="2012"/>
    <tableColumn id="10" xr3:uid="{00000000-0010-0000-0500-00000A000000}" name="2013"/>
    <tableColumn id="11" xr3:uid="{00000000-0010-0000-0500-00000B000000}" name="2014"/>
    <tableColumn id="12" xr3:uid="{00000000-0010-0000-0500-00000C000000}" name="2015"/>
    <tableColumn id="13" xr3:uid="{00000000-0010-0000-0500-00000D000000}" name="2016"/>
    <tableColumn id="14" xr3:uid="{00000000-0010-0000-0500-00000E000000}" name="2017"/>
    <tableColumn id="15" xr3:uid="{00000000-0010-0000-0500-00000F000000}" name="2018"/>
    <tableColumn id="16" xr3:uid="{00000000-0010-0000-0500-000010000000}" name="2019"/>
    <tableColumn id="17" xr3:uid="{00000000-0010-0000-0500-000011000000}" name="2020"/>
    <tableColumn id="18" xr3:uid="{00000000-0010-0000-0500-000012000000}" name="2021"/>
    <tableColumn id="19" xr3:uid="{00000000-0010-0000-0500-000013000000}" name="2022"/>
    <tableColumn id="20" xr3:uid="{00000000-0010-0000-0500-000014000000}" name="2023"/>
    <tableColumn id="21" xr3:uid="{00000000-0010-0000-0500-000015000000}" name="2024"/>
    <tableColumn id="22" xr3:uid="{00000000-0010-0000-0500-000016000000}" name="2025"/>
    <tableColumn id="23" xr3:uid="{00000000-0010-0000-0500-000017000000}" name="2026"/>
    <tableColumn id="24" xr3:uid="{00000000-0010-0000-0500-000018000000}" name="2027"/>
    <tableColumn id="25" xr3:uid="{00000000-0010-0000-0500-000019000000}" name="2028"/>
    <tableColumn id="26" xr3:uid="{00000000-0010-0000-0500-00001A000000}" name="2029"/>
    <tableColumn id="27" xr3:uid="{00000000-0010-0000-0500-00001B000000}" name="2030"/>
    <tableColumn id="28" xr3:uid="{00000000-0010-0000-0500-00001C000000}" name="2031"/>
    <tableColumn id="29" xr3:uid="{00000000-0010-0000-0500-00001D000000}" name="2032"/>
    <tableColumn id="30" xr3:uid="{00000000-0010-0000-0500-00001E000000}" name="2033"/>
    <tableColumn id="31" xr3:uid="{00000000-0010-0000-0500-00001F000000}" name="2034"/>
    <tableColumn id="32" xr3:uid="{00000000-0010-0000-0500-000020000000}" name="2035"/>
    <tableColumn id="33" xr3:uid="{00000000-0010-0000-0500-000021000000}" name="2036"/>
    <tableColumn id="34" xr3:uid="{00000000-0010-0000-0500-000022000000}" name="2037"/>
    <tableColumn id="35" xr3:uid="{00000000-0010-0000-0500-000023000000}" name="2038"/>
    <tableColumn id="36" xr3:uid="{00000000-0010-0000-0500-000024000000}" name="2039"/>
    <tableColumn id="37" xr3:uid="{00000000-0010-0000-0500-000025000000}" name="204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6000000}" name="Table723" displayName="Table723" ref="A42:AK47" totalsRowShown="0">
  <tableColumns count="37">
    <tableColumn id="1" xr3:uid="{00000000-0010-0000-0600-000001000000}" name="_"/>
    <tableColumn id="2" xr3:uid="{00000000-0010-0000-0600-000002000000}" name="2005"/>
    <tableColumn id="3" xr3:uid="{00000000-0010-0000-0600-000003000000}" name="2006"/>
    <tableColumn id="4" xr3:uid="{00000000-0010-0000-0600-000004000000}" name="2007"/>
    <tableColumn id="5" xr3:uid="{00000000-0010-0000-0600-000005000000}" name="2008"/>
    <tableColumn id="6" xr3:uid="{00000000-0010-0000-0600-000006000000}" name="2009"/>
    <tableColumn id="7" xr3:uid="{00000000-0010-0000-0600-000007000000}" name="2010"/>
    <tableColumn id="8" xr3:uid="{00000000-0010-0000-0600-000008000000}" name="2011"/>
    <tableColumn id="9" xr3:uid="{00000000-0010-0000-0600-000009000000}" name="2012"/>
    <tableColumn id="10" xr3:uid="{00000000-0010-0000-0600-00000A000000}" name="2013"/>
    <tableColumn id="11" xr3:uid="{00000000-0010-0000-0600-00000B000000}" name="2014"/>
    <tableColumn id="12" xr3:uid="{00000000-0010-0000-0600-00000C000000}" name="2015"/>
    <tableColumn id="13" xr3:uid="{00000000-0010-0000-0600-00000D000000}" name="2016"/>
    <tableColumn id="14" xr3:uid="{00000000-0010-0000-0600-00000E000000}" name="2017"/>
    <tableColumn id="15" xr3:uid="{00000000-0010-0000-0600-00000F000000}" name="2018"/>
    <tableColumn id="16" xr3:uid="{00000000-0010-0000-0600-000010000000}" name="2019"/>
    <tableColumn id="17" xr3:uid="{00000000-0010-0000-0600-000011000000}" name="2020"/>
    <tableColumn id="18" xr3:uid="{00000000-0010-0000-0600-000012000000}" name="2021"/>
    <tableColumn id="19" xr3:uid="{00000000-0010-0000-0600-000013000000}" name="2022"/>
    <tableColumn id="20" xr3:uid="{00000000-0010-0000-0600-000014000000}" name="2023"/>
    <tableColumn id="21" xr3:uid="{00000000-0010-0000-0600-000015000000}" name="2024"/>
    <tableColumn id="22" xr3:uid="{00000000-0010-0000-0600-000016000000}" name="2025"/>
    <tableColumn id="23" xr3:uid="{00000000-0010-0000-0600-000017000000}" name="2026"/>
    <tableColumn id="24" xr3:uid="{00000000-0010-0000-0600-000018000000}" name="2027"/>
    <tableColumn id="25" xr3:uid="{00000000-0010-0000-0600-000019000000}" name="2028"/>
    <tableColumn id="26" xr3:uid="{00000000-0010-0000-0600-00001A000000}" name="2029"/>
    <tableColumn id="27" xr3:uid="{00000000-0010-0000-0600-00001B000000}" name="2030"/>
    <tableColumn id="28" xr3:uid="{00000000-0010-0000-0600-00001C000000}" name="2031"/>
    <tableColumn id="29" xr3:uid="{00000000-0010-0000-0600-00001D000000}" name="2032"/>
    <tableColumn id="30" xr3:uid="{00000000-0010-0000-0600-00001E000000}" name="2033"/>
    <tableColumn id="31" xr3:uid="{00000000-0010-0000-0600-00001F000000}" name="2034"/>
    <tableColumn id="32" xr3:uid="{00000000-0010-0000-0600-000020000000}" name="2035"/>
    <tableColumn id="33" xr3:uid="{00000000-0010-0000-0600-000021000000}" name="2036"/>
    <tableColumn id="34" xr3:uid="{00000000-0010-0000-0600-000022000000}" name="2037"/>
    <tableColumn id="35" xr3:uid="{00000000-0010-0000-0600-000023000000}" name="2038"/>
    <tableColumn id="36" xr3:uid="{00000000-0010-0000-0600-000024000000}" name="2039"/>
    <tableColumn id="37" xr3:uid="{00000000-0010-0000-0600-000025000000}" name="204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7000000}" name="Table824" displayName="Table824" ref="A50:AK54" totalsRowShown="0">
  <tableColumns count="37">
    <tableColumn id="1" xr3:uid="{00000000-0010-0000-0700-000001000000}" name="_"/>
    <tableColumn id="2" xr3:uid="{00000000-0010-0000-0700-000002000000}" name="2005"/>
    <tableColumn id="3" xr3:uid="{00000000-0010-0000-0700-000003000000}" name="2006"/>
    <tableColumn id="4" xr3:uid="{00000000-0010-0000-0700-000004000000}" name="2007"/>
    <tableColumn id="5" xr3:uid="{00000000-0010-0000-0700-000005000000}" name="2008"/>
    <tableColumn id="6" xr3:uid="{00000000-0010-0000-0700-000006000000}" name="2009"/>
    <tableColumn id="7" xr3:uid="{00000000-0010-0000-0700-000007000000}" name="2010"/>
    <tableColumn id="8" xr3:uid="{00000000-0010-0000-0700-000008000000}" name="2011"/>
    <tableColumn id="9" xr3:uid="{00000000-0010-0000-0700-000009000000}" name="2012"/>
    <tableColumn id="10" xr3:uid="{00000000-0010-0000-0700-00000A000000}" name="2013"/>
    <tableColumn id="11" xr3:uid="{00000000-0010-0000-0700-00000B000000}" name="2014"/>
    <tableColumn id="12" xr3:uid="{00000000-0010-0000-0700-00000C000000}" name="2015"/>
    <tableColumn id="13" xr3:uid="{00000000-0010-0000-0700-00000D000000}" name="2016"/>
    <tableColumn id="14" xr3:uid="{00000000-0010-0000-0700-00000E000000}" name="2017"/>
    <tableColumn id="15" xr3:uid="{00000000-0010-0000-0700-00000F000000}" name="2018"/>
    <tableColumn id="16" xr3:uid="{00000000-0010-0000-0700-000010000000}" name="2019"/>
    <tableColumn id="17" xr3:uid="{00000000-0010-0000-0700-000011000000}" name="2020"/>
    <tableColumn id="18" xr3:uid="{00000000-0010-0000-0700-000012000000}" name="2021"/>
    <tableColumn id="19" xr3:uid="{00000000-0010-0000-0700-000013000000}" name="2022"/>
    <tableColumn id="20" xr3:uid="{00000000-0010-0000-0700-000014000000}" name="2023"/>
    <tableColumn id="21" xr3:uid="{00000000-0010-0000-0700-000015000000}" name="2024"/>
    <tableColumn id="22" xr3:uid="{00000000-0010-0000-0700-000016000000}" name="2025"/>
    <tableColumn id="23" xr3:uid="{00000000-0010-0000-0700-000017000000}" name="2026"/>
    <tableColumn id="24" xr3:uid="{00000000-0010-0000-0700-000018000000}" name="2027"/>
    <tableColumn id="25" xr3:uid="{00000000-0010-0000-0700-000019000000}" name="2028"/>
    <tableColumn id="26" xr3:uid="{00000000-0010-0000-0700-00001A000000}" name="2029"/>
    <tableColumn id="27" xr3:uid="{00000000-0010-0000-0700-00001B000000}" name="2030"/>
    <tableColumn id="28" xr3:uid="{00000000-0010-0000-0700-00001C000000}" name="2031"/>
    <tableColumn id="29" xr3:uid="{00000000-0010-0000-0700-00001D000000}" name="2032"/>
    <tableColumn id="30" xr3:uid="{00000000-0010-0000-0700-00001E000000}" name="2033"/>
    <tableColumn id="31" xr3:uid="{00000000-0010-0000-0700-00001F000000}" name="2034"/>
    <tableColumn id="32" xr3:uid="{00000000-0010-0000-0700-000020000000}" name="2035"/>
    <tableColumn id="33" xr3:uid="{00000000-0010-0000-0700-000021000000}" name="2036"/>
    <tableColumn id="34" xr3:uid="{00000000-0010-0000-0700-000022000000}" name="2037"/>
    <tableColumn id="35" xr3:uid="{00000000-0010-0000-0700-000023000000}" name="2038"/>
    <tableColumn id="36" xr3:uid="{00000000-0010-0000-0700-000024000000}" name="2039"/>
    <tableColumn id="37" xr3:uid="{00000000-0010-0000-0700-000025000000}" name="204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8000000}" name="Table925" displayName="Table925" ref="A57:AK58" totalsRowShown="0">
  <tableColumns count="37">
    <tableColumn id="1" xr3:uid="{00000000-0010-0000-0800-000001000000}" name="_"/>
    <tableColumn id="2" xr3:uid="{00000000-0010-0000-0800-000002000000}" name="2005"/>
    <tableColumn id="3" xr3:uid="{00000000-0010-0000-0800-000003000000}" name="2006"/>
    <tableColumn id="4" xr3:uid="{00000000-0010-0000-0800-000004000000}" name="2007"/>
    <tableColumn id="5" xr3:uid="{00000000-0010-0000-0800-000005000000}" name="2008"/>
    <tableColumn id="6" xr3:uid="{00000000-0010-0000-0800-000006000000}" name="2009"/>
    <tableColumn id="7" xr3:uid="{00000000-0010-0000-0800-000007000000}" name="2010"/>
    <tableColumn id="8" xr3:uid="{00000000-0010-0000-0800-000008000000}" name="2011"/>
    <tableColumn id="9" xr3:uid="{00000000-0010-0000-0800-000009000000}" name="2012"/>
    <tableColumn id="10" xr3:uid="{00000000-0010-0000-0800-00000A000000}" name="2013"/>
    <tableColumn id="11" xr3:uid="{00000000-0010-0000-0800-00000B000000}" name="2014"/>
    <tableColumn id="12" xr3:uid="{00000000-0010-0000-0800-00000C000000}" name="2015"/>
    <tableColumn id="13" xr3:uid="{00000000-0010-0000-0800-00000D000000}" name="2016"/>
    <tableColumn id="14" xr3:uid="{00000000-0010-0000-0800-00000E000000}" name="2017"/>
    <tableColumn id="15" xr3:uid="{00000000-0010-0000-0800-00000F000000}" name="2018"/>
    <tableColumn id="16" xr3:uid="{00000000-0010-0000-0800-000010000000}" name="2019"/>
    <tableColumn id="17" xr3:uid="{00000000-0010-0000-0800-000011000000}" name="2020"/>
    <tableColumn id="18" xr3:uid="{00000000-0010-0000-0800-000012000000}" name="2021"/>
    <tableColumn id="19" xr3:uid="{00000000-0010-0000-0800-000013000000}" name="2022"/>
    <tableColumn id="20" xr3:uid="{00000000-0010-0000-0800-000014000000}" name="2023"/>
    <tableColumn id="21" xr3:uid="{00000000-0010-0000-0800-000015000000}" name="2024"/>
    <tableColumn id="22" xr3:uid="{00000000-0010-0000-0800-000016000000}" name="2025"/>
    <tableColumn id="23" xr3:uid="{00000000-0010-0000-0800-000017000000}" name="2026"/>
    <tableColumn id="24" xr3:uid="{00000000-0010-0000-0800-000018000000}" name="2027"/>
    <tableColumn id="25" xr3:uid="{00000000-0010-0000-0800-000019000000}" name="2028"/>
    <tableColumn id="26" xr3:uid="{00000000-0010-0000-0800-00001A000000}" name="2029"/>
    <tableColumn id="27" xr3:uid="{00000000-0010-0000-0800-00001B000000}" name="2030"/>
    <tableColumn id="28" xr3:uid="{00000000-0010-0000-0800-00001C000000}" name="2031"/>
    <tableColumn id="29" xr3:uid="{00000000-0010-0000-0800-00001D000000}" name="2032"/>
    <tableColumn id="30" xr3:uid="{00000000-0010-0000-0800-00001E000000}" name="2033"/>
    <tableColumn id="31" xr3:uid="{00000000-0010-0000-0800-00001F000000}" name="2034"/>
    <tableColumn id="32" xr3:uid="{00000000-0010-0000-0800-000020000000}" name="2035"/>
    <tableColumn id="33" xr3:uid="{00000000-0010-0000-0800-000021000000}" name="2036"/>
    <tableColumn id="34" xr3:uid="{00000000-0010-0000-0800-000022000000}" name="2037"/>
    <tableColumn id="35" xr3:uid="{00000000-0010-0000-0800-000023000000}" name="2038"/>
    <tableColumn id="36" xr3:uid="{00000000-0010-0000-0800-000024000000}" name="2039"/>
    <tableColumn id="37" xr3:uid="{00000000-0010-0000-0800-000025000000}" name="204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9000000}" name="Table1627" displayName="Table1627" ref="A8:AK16" totalsRowShown="0">
  <tableColumns count="37">
    <tableColumn id="1" xr3:uid="{00000000-0010-0000-0900-000001000000}" name="_"/>
    <tableColumn id="2" xr3:uid="{00000000-0010-0000-0900-000002000000}" name="2005"/>
    <tableColumn id="3" xr3:uid="{00000000-0010-0000-0900-000003000000}" name="2006"/>
    <tableColumn id="4" xr3:uid="{00000000-0010-0000-0900-000004000000}" name="2007"/>
    <tableColumn id="5" xr3:uid="{00000000-0010-0000-0900-000005000000}" name="2008"/>
    <tableColumn id="6" xr3:uid="{00000000-0010-0000-0900-000006000000}" name="2009"/>
    <tableColumn id="7" xr3:uid="{00000000-0010-0000-0900-000007000000}" name="2010"/>
    <tableColumn id="8" xr3:uid="{00000000-0010-0000-0900-000008000000}" name="2011"/>
    <tableColumn id="9" xr3:uid="{00000000-0010-0000-0900-000009000000}" name="2012"/>
    <tableColumn id="10" xr3:uid="{00000000-0010-0000-0900-00000A000000}" name="2013"/>
    <tableColumn id="11" xr3:uid="{00000000-0010-0000-0900-00000B000000}" name="2014"/>
    <tableColumn id="12" xr3:uid="{00000000-0010-0000-0900-00000C000000}" name="2015"/>
    <tableColumn id="13" xr3:uid="{00000000-0010-0000-0900-00000D000000}" name="2016"/>
    <tableColumn id="14" xr3:uid="{00000000-0010-0000-0900-00000E000000}" name="2017"/>
    <tableColumn id="15" xr3:uid="{00000000-0010-0000-0900-00000F000000}" name="2018"/>
    <tableColumn id="16" xr3:uid="{00000000-0010-0000-0900-000010000000}" name="2019"/>
    <tableColumn id="17" xr3:uid="{00000000-0010-0000-0900-000011000000}" name="2020"/>
    <tableColumn id="18" xr3:uid="{00000000-0010-0000-0900-000012000000}" name="2021"/>
    <tableColumn id="19" xr3:uid="{00000000-0010-0000-0900-000013000000}" name="2022"/>
    <tableColumn id="20" xr3:uid="{00000000-0010-0000-0900-000014000000}" name="2023"/>
    <tableColumn id="21" xr3:uid="{00000000-0010-0000-0900-000015000000}" name="2024"/>
    <tableColumn id="22" xr3:uid="{00000000-0010-0000-0900-000016000000}" name="2025"/>
    <tableColumn id="23" xr3:uid="{00000000-0010-0000-0900-000017000000}" name="2026"/>
    <tableColumn id="24" xr3:uid="{00000000-0010-0000-0900-000018000000}" name="2027"/>
    <tableColumn id="25" xr3:uid="{00000000-0010-0000-0900-000019000000}" name="2028"/>
    <tableColumn id="26" xr3:uid="{00000000-0010-0000-0900-00001A000000}" name="2029"/>
    <tableColumn id="27" xr3:uid="{00000000-0010-0000-0900-00001B000000}" name="2030"/>
    <tableColumn id="28" xr3:uid="{00000000-0010-0000-0900-00001C000000}" name="2031"/>
    <tableColumn id="29" xr3:uid="{00000000-0010-0000-0900-00001D000000}" name="2032"/>
    <tableColumn id="30" xr3:uid="{00000000-0010-0000-0900-00001E000000}" name="2033"/>
    <tableColumn id="31" xr3:uid="{00000000-0010-0000-0900-00001F000000}" name="2034"/>
    <tableColumn id="32" xr3:uid="{00000000-0010-0000-0900-000020000000}" name="2035"/>
    <tableColumn id="33" xr3:uid="{00000000-0010-0000-0900-000021000000}" name="2036"/>
    <tableColumn id="34" xr3:uid="{00000000-0010-0000-0900-000022000000}" name="2037"/>
    <tableColumn id="35" xr3:uid="{00000000-0010-0000-0900-000023000000}" name="2038"/>
    <tableColumn id="36" xr3:uid="{00000000-0010-0000-0900-000024000000}" name="2039"/>
    <tableColumn id="37" xr3:uid="{00000000-0010-0000-0900-000025000000}" name="2040"/>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A000000}" name="Table2728" displayName="Table2728" ref="A19:AK21" totalsRowShown="0">
  <tableColumns count="37">
    <tableColumn id="1" xr3:uid="{00000000-0010-0000-0A00-000001000000}" name="_"/>
    <tableColumn id="2" xr3:uid="{00000000-0010-0000-0A00-000002000000}" name="2005"/>
    <tableColumn id="3" xr3:uid="{00000000-0010-0000-0A00-000003000000}" name="2006"/>
    <tableColumn id="4" xr3:uid="{00000000-0010-0000-0A00-000004000000}" name="2007"/>
    <tableColumn id="5" xr3:uid="{00000000-0010-0000-0A00-000005000000}" name="2008"/>
    <tableColumn id="6" xr3:uid="{00000000-0010-0000-0A00-000006000000}" name="2009"/>
    <tableColumn id="7" xr3:uid="{00000000-0010-0000-0A00-000007000000}" name="2010"/>
    <tableColumn id="8" xr3:uid="{00000000-0010-0000-0A00-000008000000}" name="2011"/>
    <tableColumn id="9" xr3:uid="{00000000-0010-0000-0A00-000009000000}" name="2012"/>
    <tableColumn id="10" xr3:uid="{00000000-0010-0000-0A00-00000A000000}" name="2013"/>
    <tableColumn id="11" xr3:uid="{00000000-0010-0000-0A00-00000B000000}" name="2014"/>
    <tableColumn id="12" xr3:uid="{00000000-0010-0000-0A00-00000C000000}" name="2015"/>
    <tableColumn id="13" xr3:uid="{00000000-0010-0000-0A00-00000D000000}" name="2016"/>
    <tableColumn id="14" xr3:uid="{00000000-0010-0000-0A00-00000E000000}" name="2017"/>
    <tableColumn id="15" xr3:uid="{00000000-0010-0000-0A00-00000F000000}" name="2018"/>
    <tableColumn id="16" xr3:uid="{00000000-0010-0000-0A00-000010000000}" name="2019"/>
    <tableColumn id="17" xr3:uid="{00000000-0010-0000-0A00-000011000000}" name="2020"/>
    <tableColumn id="18" xr3:uid="{00000000-0010-0000-0A00-000012000000}" name="2021"/>
    <tableColumn id="19" xr3:uid="{00000000-0010-0000-0A00-000013000000}" name="2022"/>
    <tableColumn id="20" xr3:uid="{00000000-0010-0000-0A00-000014000000}" name="2023"/>
    <tableColumn id="21" xr3:uid="{00000000-0010-0000-0A00-000015000000}" name="2024"/>
    <tableColumn id="22" xr3:uid="{00000000-0010-0000-0A00-000016000000}" name="2025"/>
    <tableColumn id="23" xr3:uid="{00000000-0010-0000-0A00-000017000000}" name="2026"/>
    <tableColumn id="24" xr3:uid="{00000000-0010-0000-0A00-000018000000}" name="2027"/>
    <tableColumn id="25" xr3:uid="{00000000-0010-0000-0A00-000019000000}" name="2028"/>
    <tableColumn id="26" xr3:uid="{00000000-0010-0000-0A00-00001A000000}" name="2029"/>
    <tableColumn id="27" xr3:uid="{00000000-0010-0000-0A00-00001B000000}" name="2030"/>
    <tableColumn id="28" xr3:uid="{00000000-0010-0000-0A00-00001C000000}" name="2031"/>
    <tableColumn id="29" xr3:uid="{00000000-0010-0000-0A00-00001D000000}" name="2032"/>
    <tableColumn id="30" xr3:uid="{00000000-0010-0000-0A00-00001E000000}" name="2033"/>
    <tableColumn id="31" xr3:uid="{00000000-0010-0000-0A00-00001F000000}" name="2034"/>
    <tableColumn id="32" xr3:uid="{00000000-0010-0000-0A00-000020000000}" name="2035"/>
    <tableColumn id="33" xr3:uid="{00000000-0010-0000-0A00-000021000000}" name="2036"/>
    <tableColumn id="34" xr3:uid="{00000000-0010-0000-0A00-000022000000}" name="2037"/>
    <tableColumn id="35" xr3:uid="{00000000-0010-0000-0A00-000023000000}" name="2038"/>
    <tableColumn id="36" xr3:uid="{00000000-0010-0000-0A00-000024000000}" name="2039"/>
    <tableColumn id="37" xr3:uid="{00000000-0010-0000-0A00-000025000000}" name="2040"/>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0B000000}" name="Table3829" displayName="Table3829" ref="A24:AK26" totalsRowShown="0">
  <tableColumns count="37">
    <tableColumn id="1" xr3:uid="{00000000-0010-0000-0B00-000001000000}" name="_"/>
    <tableColumn id="2" xr3:uid="{00000000-0010-0000-0B00-000002000000}" name="2005"/>
    <tableColumn id="3" xr3:uid="{00000000-0010-0000-0B00-000003000000}" name="2006"/>
    <tableColumn id="4" xr3:uid="{00000000-0010-0000-0B00-000004000000}" name="2007"/>
    <tableColumn id="5" xr3:uid="{00000000-0010-0000-0B00-000005000000}" name="2008"/>
    <tableColumn id="6" xr3:uid="{00000000-0010-0000-0B00-000006000000}" name="2009"/>
    <tableColumn id="7" xr3:uid="{00000000-0010-0000-0B00-000007000000}" name="2010"/>
    <tableColumn id="8" xr3:uid="{00000000-0010-0000-0B00-000008000000}" name="2011"/>
    <tableColumn id="9" xr3:uid="{00000000-0010-0000-0B00-000009000000}" name="2012"/>
    <tableColumn id="10" xr3:uid="{00000000-0010-0000-0B00-00000A000000}" name="2013"/>
    <tableColumn id="11" xr3:uid="{00000000-0010-0000-0B00-00000B000000}" name="2014"/>
    <tableColumn id="12" xr3:uid="{00000000-0010-0000-0B00-00000C000000}" name="2015"/>
    <tableColumn id="13" xr3:uid="{00000000-0010-0000-0B00-00000D000000}" name="2016"/>
    <tableColumn id="14" xr3:uid="{00000000-0010-0000-0B00-00000E000000}" name="2017"/>
    <tableColumn id="15" xr3:uid="{00000000-0010-0000-0B00-00000F000000}" name="2018"/>
    <tableColumn id="16" xr3:uid="{00000000-0010-0000-0B00-000010000000}" name="2019"/>
    <tableColumn id="17" xr3:uid="{00000000-0010-0000-0B00-000011000000}" name="2020"/>
    <tableColumn id="18" xr3:uid="{00000000-0010-0000-0B00-000012000000}" name="2021"/>
    <tableColumn id="19" xr3:uid="{00000000-0010-0000-0B00-000013000000}" name="2022"/>
    <tableColumn id="20" xr3:uid="{00000000-0010-0000-0B00-000014000000}" name="2023"/>
    <tableColumn id="21" xr3:uid="{00000000-0010-0000-0B00-000015000000}" name="2024"/>
    <tableColumn id="22" xr3:uid="{00000000-0010-0000-0B00-000016000000}" name="2025"/>
    <tableColumn id="23" xr3:uid="{00000000-0010-0000-0B00-000017000000}" name="2026"/>
    <tableColumn id="24" xr3:uid="{00000000-0010-0000-0B00-000018000000}" name="2027"/>
    <tableColumn id="25" xr3:uid="{00000000-0010-0000-0B00-000019000000}" name="2028"/>
    <tableColumn id="26" xr3:uid="{00000000-0010-0000-0B00-00001A000000}" name="2029"/>
    <tableColumn id="27" xr3:uid="{00000000-0010-0000-0B00-00001B000000}" name="2030"/>
    <tableColumn id="28" xr3:uid="{00000000-0010-0000-0B00-00001C000000}" name="2031"/>
    <tableColumn id="29" xr3:uid="{00000000-0010-0000-0B00-00001D000000}" name="2032"/>
    <tableColumn id="30" xr3:uid="{00000000-0010-0000-0B00-00001E000000}" name="2033"/>
    <tableColumn id="31" xr3:uid="{00000000-0010-0000-0B00-00001F000000}" name="2034"/>
    <tableColumn id="32" xr3:uid="{00000000-0010-0000-0B00-000020000000}" name="2035"/>
    <tableColumn id="33" xr3:uid="{00000000-0010-0000-0B00-000021000000}" name="2036"/>
    <tableColumn id="34" xr3:uid="{00000000-0010-0000-0B00-000022000000}" name="2037"/>
    <tableColumn id="35" xr3:uid="{00000000-0010-0000-0B00-000023000000}" name="2038"/>
    <tableColumn id="36" xr3:uid="{00000000-0010-0000-0B00-000024000000}" name="2039"/>
    <tableColumn id="37" xr3:uid="{00000000-0010-0000-0B00-000025000000}" name="2040"/>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0C000000}" name="Table4930" displayName="Table4930" ref="A29:AK31" totalsRowShown="0">
  <tableColumns count="37">
    <tableColumn id="1" xr3:uid="{00000000-0010-0000-0C00-000001000000}" name="_"/>
    <tableColumn id="2" xr3:uid="{00000000-0010-0000-0C00-000002000000}" name="2005"/>
    <tableColumn id="3" xr3:uid="{00000000-0010-0000-0C00-000003000000}" name="2006"/>
    <tableColumn id="4" xr3:uid="{00000000-0010-0000-0C00-000004000000}" name="2007"/>
    <tableColumn id="5" xr3:uid="{00000000-0010-0000-0C00-000005000000}" name="2008"/>
    <tableColumn id="6" xr3:uid="{00000000-0010-0000-0C00-000006000000}" name="2009"/>
    <tableColumn id="7" xr3:uid="{00000000-0010-0000-0C00-000007000000}" name="2010"/>
    <tableColumn id="8" xr3:uid="{00000000-0010-0000-0C00-000008000000}" name="2011"/>
    <tableColumn id="9" xr3:uid="{00000000-0010-0000-0C00-000009000000}" name="2012"/>
    <tableColumn id="10" xr3:uid="{00000000-0010-0000-0C00-00000A000000}" name="2013"/>
    <tableColumn id="11" xr3:uid="{00000000-0010-0000-0C00-00000B000000}" name="2014"/>
    <tableColumn id="12" xr3:uid="{00000000-0010-0000-0C00-00000C000000}" name="2015"/>
    <tableColumn id="13" xr3:uid="{00000000-0010-0000-0C00-00000D000000}" name="2016"/>
    <tableColumn id="14" xr3:uid="{00000000-0010-0000-0C00-00000E000000}" name="2017"/>
    <tableColumn id="15" xr3:uid="{00000000-0010-0000-0C00-00000F000000}" name="2018"/>
    <tableColumn id="16" xr3:uid="{00000000-0010-0000-0C00-000010000000}" name="2019"/>
    <tableColumn id="17" xr3:uid="{00000000-0010-0000-0C00-000011000000}" name="2020"/>
    <tableColumn id="18" xr3:uid="{00000000-0010-0000-0C00-000012000000}" name="2021"/>
    <tableColumn id="19" xr3:uid="{00000000-0010-0000-0C00-000013000000}" name="2022"/>
    <tableColumn id="20" xr3:uid="{00000000-0010-0000-0C00-000014000000}" name="2023"/>
    <tableColumn id="21" xr3:uid="{00000000-0010-0000-0C00-000015000000}" name="2024"/>
    <tableColumn id="22" xr3:uid="{00000000-0010-0000-0C00-000016000000}" name="2025"/>
    <tableColumn id="23" xr3:uid="{00000000-0010-0000-0C00-000017000000}" name="2026"/>
    <tableColumn id="24" xr3:uid="{00000000-0010-0000-0C00-000018000000}" name="2027"/>
    <tableColumn id="25" xr3:uid="{00000000-0010-0000-0C00-000019000000}" name="2028"/>
    <tableColumn id="26" xr3:uid="{00000000-0010-0000-0C00-00001A000000}" name="2029"/>
    <tableColumn id="27" xr3:uid="{00000000-0010-0000-0C00-00001B000000}" name="2030"/>
    <tableColumn id="28" xr3:uid="{00000000-0010-0000-0C00-00001C000000}" name="2031"/>
    <tableColumn id="29" xr3:uid="{00000000-0010-0000-0C00-00001D000000}" name="2032"/>
    <tableColumn id="30" xr3:uid="{00000000-0010-0000-0C00-00001E000000}" name="2033"/>
    <tableColumn id="31" xr3:uid="{00000000-0010-0000-0C00-00001F000000}" name="2034"/>
    <tableColumn id="32" xr3:uid="{00000000-0010-0000-0C00-000020000000}" name="2035"/>
    <tableColumn id="33" xr3:uid="{00000000-0010-0000-0C00-000021000000}" name="2036"/>
    <tableColumn id="34" xr3:uid="{00000000-0010-0000-0C00-000022000000}" name="2037"/>
    <tableColumn id="35" xr3:uid="{00000000-0010-0000-0C00-000023000000}" name="2038"/>
    <tableColumn id="36" xr3:uid="{00000000-0010-0000-0C00-000024000000}" name="2039"/>
    <tableColumn id="37" xr3:uid="{00000000-0010-0000-0C00-000025000000}" name="2040"/>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D000000}" name="Table531" displayName="Table531" ref="A34:AK36" totalsRowShown="0">
  <tableColumns count="37">
    <tableColumn id="1" xr3:uid="{00000000-0010-0000-0D00-000001000000}" name="_"/>
    <tableColumn id="2" xr3:uid="{00000000-0010-0000-0D00-000002000000}" name="2005"/>
    <tableColumn id="3" xr3:uid="{00000000-0010-0000-0D00-000003000000}" name="2006"/>
    <tableColumn id="4" xr3:uid="{00000000-0010-0000-0D00-000004000000}" name="2007"/>
    <tableColumn id="5" xr3:uid="{00000000-0010-0000-0D00-000005000000}" name="2008"/>
    <tableColumn id="6" xr3:uid="{00000000-0010-0000-0D00-000006000000}" name="2009"/>
    <tableColumn id="7" xr3:uid="{00000000-0010-0000-0D00-000007000000}" name="2010"/>
    <tableColumn id="8" xr3:uid="{00000000-0010-0000-0D00-000008000000}" name="2011"/>
    <tableColumn id="9" xr3:uid="{00000000-0010-0000-0D00-000009000000}" name="2012"/>
    <tableColumn id="10" xr3:uid="{00000000-0010-0000-0D00-00000A000000}" name="2013"/>
    <tableColumn id="11" xr3:uid="{00000000-0010-0000-0D00-00000B000000}" name="2014"/>
    <tableColumn id="12" xr3:uid="{00000000-0010-0000-0D00-00000C000000}" name="2015"/>
    <tableColumn id="13" xr3:uid="{00000000-0010-0000-0D00-00000D000000}" name="2016"/>
    <tableColumn id="14" xr3:uid="{00000000-0010-0000-0D00-00000E000000}" name="2017"/>
    <tableColumn id="15" xr3:uid="{00000000-0010-0000-0D00-00000F000000}" name="2018"/>
    <tableColumn id="16" xr3:uid="{00000000-0010-0000-0D00-000010000000}" name="2019"/>
    <tableColumn id="17" xr3:uid="{00000000-0010-0000-0D00-000011000000}" name="2020"/>
    <tableColumn id="18" xr3:uid="{00000000-0010-0000-0D00-000012000000}" name="2021"/>
    <tableColumn id="19" xr3:uid="{00000000-0010-0000-0D00-000013000000}" name="2022"/>
    <tableColumn id="20" xr3:uid="{00000000-0010-0000-0D00-000014000000}" name="2023"/>
    <tableColumn id="21" xr3:uid="{00000000-0010-0000-0D00-000015000000}" name="2024"/>
    <tableColumn id="22" xr3:uid="{00000000-0010-0000-0D00-000016000000}" name="2025"/>
    <tableColumn id="23" xr3:uid="{00000000-0010-0000-0D00-000017000000}" name="2026"/>
    <tableColumn id="24" xr3:uid="{00000000-0010-0000-0D00-000018000000}" name="2027"/>
    <tableColumn id="25" xr3:uid="{00000000-0010-0000-0D00-000019000000}" name="2028"/>
    <tableColumn id="26" xr3:uid="{00000000-0010-0000-0D00-00001A000000}" name="2029"/>
    <tableColumn id="27" xr3:uid="{00000000-0010-0000-0D00-00001B000000}" name="2030"/>
    <tableColumn id="28" xr3:uid="{00000000-0010-0000-0D00-00001C000000}" name="2031"/>
    <tableColumn id="29" xr3:uid="{00000000-0010-0000-0D00-00001D000000}" name="2032"/>
    <tableColumn id="30" xr3:uid="{00000000-0010-0000-0D00-00001E000000}" name="2033"/>
    <tableColumn id="31" xr3:uid="{00000000-0010-0000-0D00-00001F000000}" name="2034"/>
    <tableColumn id="32" xr3:uid="{00000000-0010-0000-0D00-000020000000}" name="2035"/>
    <tableColumn id="33" xr3:uid="{00000000-0010-0000-0D00-000021000000}" name="2036"/>
    <tableColumn id="34" xr3:uid="{00000000-0010-0000-0D00-000022000000}" name="2037"/>
    <tableColumn id="35" xr3:uid="{00000000-0010-0000-0D00-000023000000}" name="2038"/>
    <tableColumn id="36" xr3:uid="{00000000-0010-0000-0D00-000024000000}" name="2039"/>
    <tableColumn id="37" xr3:uid="{00000000-0010-0000-0D00-000025000000}" name="2040"/>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E000000}" name="Table632" displayName="Table632" ref="A39:AK47" totalsRowShown="0">
  <tableColumns count="37">
    <tableColumn id="1" xr3:uid="{00000000-0010-0000-0E00-000001000000}" name="_"/>
    <tableColumn id="2" xr3:uid="{00000000-0010-0000-0E00-000002000000}" name="2005"/>
    <tableColumn id="3" xr3:uid="{00000000-0010-0000-0E00-000003000000}" name="2006"/>
    <tableColumn id="4" xr3:uid="{00000000-0010-0000-0E00-000004000000}" name="2007"/>
    <tableColumn id="5" xr3:uid="{00000000-0010-0000-0E00-000005000000}" name="2008"/>
    <tableColumn id="6" xr3:uid="{00000000-0010-0000-0E00-000006000000}" name="2009"/>
    <tableColumn id="7" xr3:uid="{00000000-0010-0000-0E00-000007000000}" name="2010"/>
    <tableColumn id="8" xr3:uid="{00000000-0010-0000-0E00-000008000000}" name="2011"/>
    <tableColumn id="9" xr3:uid="{00000000-0010-0000-0E00-000009000000}" name="2012"/>
    <tableColumn id="10" xr3:uid="{00000000-0010-0000-0E00-00000A000000}" name="2013"/>
    <tableColumn id="11" xr3:uid="{00000000-0010-0000-0E00-00000B000000}" name="2014"/>
    <tableColumn id="12" xr3:uid="{00000000-0010-0000-0E00-00000C000000}" name="2015"/>
    <tableColumn id="13" xr3:uid="{00000000-0010-0000-0E00-00000D000000}" name="2016"/>
    <tableColumn id="14" xr3:uid="{00000000-0010-0000-0E00-00000E000000}" name="2017"/>
    <tableColumn id="15" xr3:uid="{00000000-0010-0000-0E00-00000F000000}" name="2018"/>
    <tableColumn id="16" xr3:uid="{00000000-0010-0000-0E00-000010000000}" name="2019"/>
    <tableColumn id="17" xr3:uid="{00000000-0010-0000-0E00-000011000000}" name="2020"/>
    <tableColumn id="18" xr3:uid="{00000000-0010-0000-0E00-000012000000}" name="2021"/>
    <tableColumn id="19" xr3:uid="{00000000-0010-0000-0E00-000013000000}" name="2022"/>
    <tableColumn id="20" xr3:uid="{00000000-0010-0000-0E00-000014000000}" name="2023"/>
    <tableColumn id="21" xr3:uid="{00000000-0010-0000-0E00-000015000000}" name="2024"/>
    <tableColumn id="22" xr3:uid="{00000000-0010-0000-0E00-000016000000}" name="2025"/>
    <tableColumn id="23" xr3:uid="{00000000-0010-0000-0E00-000017000000}" name="2026"/>
    <tableColumn id="24" xr3:uid="{00000000-0010-0000-0E00-000018000000}" name="2027"/>
    <tableColumn id="25" xr3:uid="{00000000-0010-0000-0E00-000019000000}" name="2028"/>
    <tableColumn id="26" xr3:uid="{00000000-0010-0000-0E00-00001A000000}" name="2029"/>
    <tableColumn id="27" xr3:uid="{00000000-0010-0000-0E00-00001B000000}" name="2030"/>
    <tableColumn id="28" xr3:uid="{00000000-0010-0000-0E00-00001C000000}" name="2031"/>
    <tableColumn id="29" xr3:uid="{00000000-0010-0000-0E00-00001D000000}" name="2032"/>
    <tableColumn id="30" xr3:uid="{00000000-0010-0000-0E00-00001E000000}" name="2033"/>
    <tableColumn id="31" xr3:uid="{00000000-0010-0000-0E00-00001F000000}" name="2034"/>
    <tableColumn id="32" xr3:uid="{00000000-0010-0000-0E00-000020000000}" name="2035"/>
    <tableColumn id="33" xr3:uid="{00000000-0010-0000-0E00-000021000000}" name="2036"/>
    <tableColumn id="34" xr3:uid="{00000000-0010-0000-0E00-000022000000}" name="2037"/>
    <tableColumn id="35" xr3:uid="{00000000-0010-0000-0E00-000023000000}" name="2038"/>
    <tableColumn id="36" xr3:uid="{00000000-0010-0000-0E00-000024000000}" name="2039"/>
    <tableColumn id="37" xr3:uid="{00000000-0010-0000-0E00-000025000000}" name="2040"/>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0F000000}" name="Table733" displayName="Table733" ref="A50:AK54" totalsRowShown="0">
  <tableColumns count="37">
    <tableColumn id="1" xr3:uid="{00000000-0010-0000-0F00-000001000000}" name="_"/>
    <tableColumn id="2" xr3:uid="{00000000-0010-0000-0F00-000002000000}" name="2005"/>
    <tableColumn id="3" xr3:uid="{00000000-0010-0000-0F00-000003000000}" name="2006"/>
    <tableColumn id="4" xr3:uid="{00000000-0010-0000-0F00-000004000000}" name="2007"/>
    <tableColumn id="5" xr3:uid="{00000000-0010-0000-0F00-000005000000}" name="2008"/>
    <tableColumn id="6" xr3:uid="{00000000-0010-0000-0F00-000006000000}" name="2009"/>
    <tableColumn id="7" xr3:uid="{00000000-0010-0000-0F00-000007000000}" name="2010"/>
    <tableColumn id="8" xr3:uid="{00000000-0010-0000-0F00-000008000000}" name="2011"/>
    <tableColumn id="9" xr3:uid="{00000000-0010-0000-0F00-000009000000}" name="2012"/>
    <tableColumn id="10" xr3:uid="{00000000-0010-0000-0F00-00000A000000}" name="2013"/>
    <tableColumn id="11" xr3:uid="{00000000-0010-0000-0F00-00000B000000}" name="2014"/>
    <tableColumn id="12" xr3:uid="{00000000-0010-0000-0F00-00000C000000}" name="2015"/>
    <tableColumn id="13" xr3:uid="{00000000-0010-0000-0F00-00000D000000}" name="2016"/>
    <tableColumn id="14" xr3:uid="{00000000-0010-0000-0F00-00000E000000}" name="2017"/>
    <tableColumn id="15" xr3:uid="{00000000-0010-0000-0F00-00000F000000}" name="2018"/>
    <tableColumn id="16" xr3:uid="{00000000-0010-0000-0F00-000010000000}" name="2019"/>
    <tableColumn id="17" xr3:uid="{00000000-0010-0000-0F00-000011000000}" name="2020"/>
    <tableColumn id="18" xr3:uid="{00000000-0010-0000-0F00-000012000000}" name="2021"/>
    <tableColumn id="19" xr3:uid="{00000000-0010-0000-0F00-000013000000}" name="2022"/>
    <tableColumn id="20" xr3:uid="{00000000-0010-0000-0F00-000014000000}" name="2023"/>
    <tableColumn id="21" xr3:uid="{00000000-0010-0000-0F00-000015000000}" name="2024"/>
    <tableColumn id="22" xr3:uid="{00000000-0010-0000-0F00-000016000000}" name="2025"/>
    <tableColumn id="23" xr3:uid="{00000000-0010-0000-0F00-000017000000}" name="2026"/>
    <tableColumn id="24" xr3:uid="{00000000-0010-0000-0F00-000018000000}" name="2027"/>
    <tableColumn id="25" xr3:uid="{00000000-0010-0000-0F00-000019000000}" name="2028"/>
    <tableColumn id="26" xr3:uid="{00000000-0010-0000-0F00-00001A000000}" name="2029"/>
    <tableColumn id="27" xr3:uid="{00000000-0010-0000-0F00-00001B000000}" name="2030"/>
    <tableColumn id="28" xr3:uid="{00000000-0010-0000-0F00-00001C000000}" name="2031"/>
    <tableColumn id="29" xr3:uid="{00000000-0010-0000-0F00-00001D000000}" name="2032"/>
    <tableColumn id="30" xr3:uid="{00000000-0010-0000-0F00-00001E000000}" name="2033"/>
    <tableColumn id="31" xr3:uid="{00000000-0010-0000-0F00-00001F000000}" name="2034"/>
    <tableColumn id="32" xr3:uid="{00000000-0010-0000-0F00-000020000000}" name="2035"/>
    <tableColumn id="33" xr3:uid="{00000000-0010-0000-0F00-000021000000}" name="2036"/>
    <tableColumn id="34" xr3:uid="{00000000-0010-0000-0F00-000022000000}" name="2037"/>
    <tableColumn id="35" xr3:uid="{00000000-0010-0000-0F00-000023000000}" name="2038"/>
    <tableColumn id="36" xr3:uid="{00000000-0010-0000-0F00-000024000000}" name="2039"/>
    <tableColumn id="37" xr3:uid="{00000000-0010-0000-0F00-000025000000}" name="2040"/>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0000000}" name="Table834" displayName="Table834" ref="A57:AK61" totalsRowShown="0">
  <tableColumns count="37">
    <tableColumn id="1" xr3:uid="{00000000-0010-0000-1000-000001000000}" name="_"/>
    <tableColumn id="2" xr3:uid="{00000000-0010-0000-1000-000002000000}" name="2005"/>
    <tableColumn id="3" xr3:uid="{00000000-0010-0000-1000-000003000000}" name="2006"/>
    <tableColumn id="4" xr3:uid="{00000000-0010-0000-1000-000004000000}" name="2007"/>
    <tableColumn id="5" xr3:uid="{00000000-0010-0000-1000-000005000000}" name="2008"/>
    <tableColumn id="6" xr3:uid="{00000000-0010-0000-1000-000006000000}" name="2009"/>
    <tableColumn id="7" xr3:uid="{00000000-0010-0000-1000-000007000000}" name="2010"/>
    <tableColumn id="8" xr3:uid="{00000000-0010-0000-1000-000008000000}" name="2011"/>
    <tableColumn id="9" xr3:uid="{00000000-0010-0000-1000-000009000000}" name="2012"/>
    <tableColumn id="10" xr3:uid="{00000000-0010-0000-1000-00000A000000}" name="2013"/>
    <tableColumn id="11" xr3:uid="{00000000-0010-0000-1000-00000B000000}" name="2014"/>
    <tableColumn id="12" xr3:uid="{00000000-0010-0000-1000-00000C000000}" name="2015"/>
    <tableColumn id="13" xr3:uid="{00000000-0010-0000-1000-00000D000000}" name="2016"/>
    <tableColumn id="14" xr3:uid="{00000000-0010-0000-1000-00000E000000}" name="2017"/>
    <tableColumn id="15" xr3:uid="{00000000-0010-0000-1000-00000F000000}" name="2018"/>
    <tableColumn id="16" xr3:uid="{00000000-0010-0000-1000-000010000000}" name="2019"/>
    <tableColumn id="17" xr3:uid="{00000000-0010-0000-1000-000011000000}" name="2020"/>
    <tableColumn id="18" xr3:uid="{00000000-0010-0000-1000-000012000000}" name="2021"/>
    <tableColumn id="19" xr3:uid="{00000000-0010-0000-1000-000013000000}" name="2022"/>
    <tableColumn id="20" xr3:uid="{00000000-0010-0000-1000-000014000000}" name="2023"/>
    <tableColumn id="21" xr3:uid="{00000000-0010-0000-1000-000015000000}" name="2024"/>
    <tableColumn id="22" xr3:uid="{00000000-0010-0000-1000-000016000000}" name="2025"/>
    <tableColumn id="23" xr3:uid="{00000000-0010-0000-1000-000017000000}" name="2026"/>
    <tableColumn id="24" xr3:uid="{00000000-0010-0000-1000-000018000000}" name="2027"/>
    <tableColumn id="25" xr3:uid="{00000000-0010-0000-1000-000019000000}" name="2028"/>
    <tableColumn id="26" xr3:uid="{00000000-0010-0000-1000-00001A000000}" name="2029"/>
    <tableColumn id="27" xr3:uid="{00000000-0010-0000-1000-00001B000000}" name="2030"/>
    <tableColumn id="28" xr3:uid="{00000000-0010-0000-1000-00001C000000}" name="2031"/>
    <tableColumn id="29" xr3:uid="{00000000-0010-0000-1000-00001D000000}" name="2032"/>
    <tableColumn id="30" xr3:uid="{00000000-0010-0000-1000-00001E000000}" name="2033"/>
    <tableColumn id="31" xr3:uid="{00000000-0010-0000-1000-00001F000000}" name="2034"/>
    <tableColumn id="32" xr3:uid="{00000000-0010-0000-1000-000020000000}" name="2035"/>
    <tableColumn id="33" xr3:uid="{00000000-0010-0000-1000-000021000000}" name="2036"/>
    <tableColumn id="34" xr3:uid="{00000000-0010-0000-1000-000022000000}" name="2037"/>
    <tableColumn id="35" xr3:uid="{00000000-0010-0000-1000-000023000000}" name="2038"/>
    <tableColumn id="36" xr3:uid="{00000000-0010-0000-1000-000024000000}" name="2039"/>
    <tableColumn id="37" xr3:uid="{00000000-0010-0000-1000-000025000000}" name="2040"/>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1000000}" name="Table935" displayName="Table935" ref="A64:AK66" totalsRowShown="0">
  <tableColumns count="37">
    <tableColumn id="1" xr3:uid="{00000000-0010-0000-1100-000001000000}" name="_"/>
    <tableColumn id="2" xr3:uid="{00000000-0010-0000-1100-000002000000}" name="2005"/>
    <tableColumn id="3" xr3:uid="{00000000-0010-0000-1100-000003000000}" name="2006"/>
    <tableColumn id="4" xr3:uid="{00000000-0010-0000-1100-000004000000}" name="2007"/>
    <tableColumn id="5" xr3:uid="{00000000-0010-0000-1100-000005000000}" name="2008"/>
    <tableColumn id="6" xr3:uid="{00000000-0010-0000-1100-000006000000}" name="2009"/>
    <tableColumn id="7" xr3:uid="{00000000-0010-0000-1100-000007000000}" name="2010"/>
    <tableColumn id="8" xr3:uid="{00000000-0010-0000-1100-000008000000}" name="2011"/>
    <tableColumn id="9" xr3:uid="{00000000-0010-0000-1100-000009000000}" name="2012"/>
    <tableColumn id="10" xr3:uid="{00000000-0010-0000-1100-00000A000000}" name="2013"/>
    <tableColumn id="11" xr3:uid="{00000000-0010-0000-1100-00000B000000}" name="2014"/>
    <tableColumn id="12" xr3:uid="{00000000-0010-0000-1100-00000C000000}" name="2015"/>
    <tableColumn id="13" xr3:uid="{00000000-0010-0000-1100-00000D000000}" name="2016"/>
    <tableColumn id="14" xr3:uid="{00000000-0010-0000-1100-00000E000000}" name="2017"/>
    <tableColumn id="15" xr3:uid="{00000000-0010-0000-1100-00000F000000}" name="2018"/>
    <tableColumn id="16" xr3:uid="{00000000-0010-0000-1100-000010000000}" name="2019"/>
    <tableColumn id="17" xr3:uid="{00000000-0010-0000-1100-000011000000}" name="2020"/>
    <tableColumn id="18" xr3:uid="{00000000-0010-0000-1100-000012000000}" name="2021"/>
    <tableColumn id="19" xr3:uid="{00000000-0010-0000-1100-000013000000}" name="2022"/>
    <tableColumn id="20" xr3:uid="{00000000-0010-0000-1100-000014000000}" name="2023"/>
    <tableColumn id="21" xr3:uid="{00000000-0010-0000-1100-000015000000}" name="2024"/>
    <tableColumn id="22" xr3:uid="{00000000-0010-0000-1100-000016000000}" name="2025"/>
    <tableColumn id="23" xr3:uid="{00000000-0010-0000-1100-000017000000}" name="2026"/>
    <tableColumn id="24" xr3:uid="{00000000-0010-0000-1100-000018000000}" name="2027"/>
    <tableColumn id="25" xr3:uid="{00000000-0010-0000-1100-000019000000}" name="2028"/>
    <tableColumn id="26" xr3:uid="{00000000-0010-0000-1100-00001A000000}" name="2029"/>
    <tableColumn id="27" xr3:uid="{00000000-0010-0000-1100-00001B000000}" name="2030"/>
    <tableColumn id="28" xr3:uid="{00000000-0010-0000-1100-00001C000000}" name="2031"/>
    <tableColumn id="29" xr3:uid="{00000000-0010-0000-1100-00001D000000}" name="2032"/>
    <tableColumn id="30" xr3:uid="{00000000-0010-0000-1100-00001E000000}" name="2033"/>
    <tableColumn id="31" xr3:uid="{00000000-0010-0000-1100-00001F000000}" name="2034"/>
    <tableColumn id="32" xr3:uid="{00000000-0010-0000-1100-000020000000}" name="2035"/>
    <tableColumn id="33" xr3:uid="{00000000-0010-0000-1100-000021000000}" name="2036"/>
    <tableColumn id="34" xr3:uid="{00000000-0010-0000-1100-000022000000}" name="2037"/>
    <tableColumn id="35" xr3:uid="{00000000-0010-0000-1100-000023000000}" name="2038"/>
    <tableColumn id="36" xr3:uid="{00000000-0010-0000-1100-000024000000}" name="2039"/>
    <tableColumn id="37" xr3:uid="{00000000-0010-0000-1100-000025000000}" name="2040"/>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2000000}" name="Table115" displayName="Table115" ref="A8:AK19" totalsRowShown="0">
  <tableColumns count="37">
    <tableColumn id="1" xr3:uid="{00000000-0010-0000-1200-000001000000}" name="_"/>
    <tableColumn id="2" xr3:uid="{00000000-0010-0000-1200-000002000000}" name="2005"/>
    <tableColumn id="3" xr3:uid="{00000000-0010-0000-1200-000003000000}" name="2006"/>
    <tableColumn id="4" xr3:uid="{00000000-0010-0000-1200-000004000000}" name="2007"/>
    <tableColumn id="5" xr3:uid="{00000000-0010-0000-1200-000005000000}" name="2008"/>
    <tableColumn id="6" xr3:uid="{00000000-0010-0000-1200-000006000000}" name="2009"/>
    <tableColumn id="7" xr3:uid="{00000000-0010-0000-1200-000007000000}" name="2010"/>
    <tableColumn id="8" xr3:uid="{00000000-0010-0000-1200-000008000000}" name="2011"/>
    <tableColumn id="9" xr3:uid="{00000000-0010-0000-1200-000009000000}" name="2012"/>
    <tableColumn id="10" xr3:uid="{00000000-0010-0000-1200-00000A000000}" name="2013"/>
    <tableColumn id="11" xr3:uid="{00000000-0010-0000-1200-00000B000000}" name="2014"/>
    <tableColumn id="12" xr3:uid="{00000000-0010-0000-1200-00000C000000}" name="2015"/>
    <tableColumn id="13" xr3:uid="{00000000-0010-0000-1200-00000D000000}" name="2016"/>
    <tableColumn id="14" xr3:uid="{00000000-0010-0000-1200-00000E000000}" name="2017"/>
    <tableColumn id="15" xr3:uid="{00000000-0010-0000-1200-00000F000000}" name="2018"/>
    <tableColumn id="16" xr3:uid="{00000000-0010-0000-1200-000010000000}" name="2019"/>
    <tableColumn id="17" xr3:uid="{00000000-0010-0000-1200-000011000000}" name="2020"/>
    <tableColumn id="18" xr3:uid="{00000000-0010-0000-1200-000012000000}" name="2021"/>
    <tableColumn id="19" xr3:uid="{00000000-0010-0000-1200-000013000000}" name="2022"/>
    <tableColumn id="20" xr3:uid="{00000000-0010-0000-1200-000014000000}" name="2023"/>
    <tableColumn id="21" xr3:uid="{00000000-0010-0000-1200-000015000000}" name="2024"/>
    <tableColumn id="22" xr3:uid="{00000000-0010-0000-1200-000016000000}" name="2025"/>
    <tableColumn id="23" xr3:uid="{00000000-0010-0000-1200-000017000000}" name="2026"/>
    <tableColumn id="24" xr3:uid="{00000000-0010-0000-1200-000018000000}" name="2027"/>
    <tableColumn id="25" xr3:uid="{00000000-0010-0000-1200-000019000000}" name="2028"/>
    <tableColumn id="26" xr3:uid="{00000000-0010-0000-1200-00001A000000}" name="2029"/>
    <tableColumn id="27" xr3:uid="{00000000-0010-0000-1200-00001B000000}" name="2030"/>
    <tableColumn id="28" xr3:uid="{00000000-0010-0000-1200-00001C000000}" name="2031"/>
    <tableColumn id="29" xr3:uid="{00000000-0010-0000-1200-00001D000000}" name="2032"/>
    <tableColumn id="30" xr3:uid="{00000000-0010-0000-1200-00001E000000}" name="2033"/>
    <tableColumn id="31" xr3:uid="{00000000-0010-0000-1200-00001F000000}" name="2034"/>
    <tableColumn id="32" xr3:uid="{00000000-0010-0000-1200-000020000000}" name="2035"/>
    <tableColumn id="33" xr3:uid="{00000000-0010-0000-1200-000021000000}" name="2036"/>
    <tableColumn id="34" xr3:uid="{00000000-0010-0000-1200-000022000000}" name="2037"/>
    <tableColumn id="35" xr3:uid="{00000000-0010-0000-1200-000023000000}" name="2038"/>
    <tableColumn id="36" xr3:uid="{00000000-0010-0000-1200-000024000000}" name="2039"/>
    <tableColumn id="37" xr3:uid="{00000000-0010-0000-1200-000025000000}" name="2040"/>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3000000}" name="Table216" displayName="Table216" ref="A22:AK29" totalsRowShown="0">
  <tableColumns count="37">
    <tableColumn id="1" xr3:uid="{00000000-0010-0000-1300-000001000000}" name="_"/>
    <tableColumn id="2" xr3:uid="{00000000-0010-0000-1300-000002000000}" name="2005"/>
    <tableColumn id="3" xr3:uid="{00000000-0010-0000-1300-000003000000}" name="2006"/>
    <tableColumn id="4" xr3:uid="{00000000-0010-0000-1300-000004000000}" name="2007"/>
    <tableColumn id="5" xr3:uid="{00000000-0010-0000-1300-000005000000}" name="2008"/>
    <tableColumn id="6" xr3:uid="{00000000-0010-0000-1300-000006000000}" name="2009"/>
    <tableColumn id="7" xr3:uid="{00000000-0010-0000-1300-000007000000}" name="2010"/>
    <tableColumn id="8" xr3:uid="{00000000-0010-0000-1300-000008000000}" name="2011"/>
    <tableColumn id="9" xr3:uid="{00000000-0010-0000-1300-000009000000}" name="2012"/>
    <tableColumn id="10" xr3:uid="{00000000-0010-0000-1300-00000A000000}" name="2013"/>
    <tableColumn id="11" xr3:uid="{00000000-0010-0000-1300-00000B000000}" name="2014"/>
    <tableColumn id="12" xr3:uid="{00000000-0010-0000-1300-00000C000000}" name="2015"/>
    <tableColumn id="13" xr3:uid="{00000000-0010-0000-1300-00000D000000}" name="2016"/>
    <tableColumn id="14" xr3:uid="{00000000-0010-0000-1300-00000E000000}" name="2017"/>
    <tableColumn id="15" xr3:uid="{00000000-0010-0000-1300-00000F000000}" name="2018"/>
    <tableColumn id="16" xr3:uid="{00000000-0010-0000-1300-000010000000}" name="2019"/>
    <tableColumn id="17" xr3:uid="{00000000-0010-0000-1300-000011000000}" name="2020"/>
    <tableColumn id="18" xr3:uid="{00000000-0010-0000-1300-000012000000}" name="2021"/>
    <tableColumn id="19" xr3:uid="{00000000-0010-0000-1300-000013000000}" name="2022"/>
    <tableColumn id="20" xr3:uid="{00000000-0010-0000-1300-000014000000}" name="2023"/>
    <tableColumn id="21" xr3:uid="{00000000-0010-0000-1300-000015000000}" name="2024"/>
    <tableColumn id="22" xr3:uid="{00000000-0010-0000-1300-000016000000}" name="2025"/>
    <tableColumn id="23" xr3:uid="{00000000-0010-0000-1300-000017000000}" name="2026"/>
    <tableColumn id="24" xr3:uid="{00000000-0010-0000-1300-000018000000}" name="2027"/>
    <tableColumn id="25" xr3:uid="{00000000-0010-0000-1300-000019000000}" name="2028"/>
    <tableColumn id="26" xr3:uid="{00000000-0010-0000-1300-00001A000000}" name="2029"/>
    <tableColumn id="27" xr3:uid="{00000000-0010-0000-1300-00001B000000}" name="2030"/>
    <tableColumn id="28" xr3:uid="{00000000-0010-0000-1300-00001C000000}" name="2031"/>
    <tableColumn id="29" xr3:uid="{00000000-0010-0000-1300-00001D000000}" name="2032"/>
    <tableColumn id="30" xr3:uid="{00000000-0010-0000-1300-00001E000000}" name="2033"/>
    <tableColumn id="31" xr3:uid="{00000000-0010-0000-1300-00001F000000}" name="2034"/>
    <tableColumn id="32" xr3:uid="{00000000-0010-0000-1300-000020000000}" name="2035"/>
    <tableColumn id="33" xr3:uid="{00000000-0010-0000-1300-000021000000}" name="2036"/>
    <tableColumn id="34" xr3:uid="{00000000-0010-0000-1300-000022000000}" name="2037"/>
    <tableColumn id="35" xr3:uid="{00000000-0010-0000-1300-000023000000}" name="2038"/>
    <tableColumn id="36" xr3:uid="{00000000-0010-0000-1300-000024000000}" name="2039"/>
    <tableColumn id="37" xr3:uid="{00000000-0010-0000-1300-000025000000}" name="2040"/>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4000000}" name="Table126" displayName="Table126" ref="A8:AK13" totalsRowShown="0">
  <tableColumns count="37">
    <tableColumn id="1" xr3:uid="{00000000-0010-0000-1400-000001000000}" name="_" dataDxfId="5"/>
    <tableColumn id="2" xr3:uid="{00000000-0010-0000-1400-000002000000}" name="2005"/>
    <tableColumn id="3" xr3:uid="{00000000-0010-0000-1400-000003000000}" name="2006"/>
    <tableColumn id="4" xr3:uid="{00000000-0010-0000-1400-000004000000}" name="2007"/>
    <tableColumn id="5" xr3:uid="{00000000-0010-0000-1400-000005000000}" name="2008"/>
    <tableColumn id="6" xr3:uid="{00000000-0010-0000-1400-000006000000}" name="2009"/>
    <tableColumn id="7" xr3:uid="{00000000-0010-0000-1400-000007000000}" name="2010"/>
    <tableColumn id="8" xr3:uid="{00000000-0010-0000-1400-000008000000}" name="2011"/>
    <tableColumn id="9" xr3:uid="{00000000-0010-0000-1400-000009000000}" name="2012"/>
    <tableColumn id="10" xr3:uid="{00000000-0010-0000-1400-00000A000000}" name="2013"/>
    <tableColumn id="11" xr3:uid="{00000000-0010-0000-1400-00000B000000}" name="2014"/>
    <tableColumn id="12" xr3:uid="{00000000-0010-0000-1400-00000C000000}" name="2015"/>
    <tableColumn id="13" xr3:uid="{00000000-0010-0000-1400-00000D000000}" name="2016"/>
    <tableColumn id="14" xr3:uid="{00000000-0010-0000-1400-00000E000000}" name="2017"/>
    <tableColumn id="15" xr3:uid="{00000000-0010-0000-1400-00000F000000}" name="2018"/>
    <tableColumn id="16" xr3:uid="{00000000-0010-0000-1400-000010000000}" name="2019"/>
    <tableColumn id="17" xr3:uid="{00000000-0010-0000-1400-000011000000}" name="2020"/>
    <tableColumn id="18" xr3:uid="{00000000-0010-0000-1400-000012000000}" name="2021"/>
    <tableColumn id="19" xr3:uid="{00000000-0010-0000-1400-000013000000}" name="2022"/>
    <tableColumn id="20" xr3:uid="{00000000-0010-0000-1400-000014000000}" name="2023"/>
    <tableColumn id="21" xr3:uid="{00000000-0010-0000-1400-000015000000}" name="2024"/>
    <tableColumn id="22" xr3:uid="{00000000-0010-0000-1400-000016000000}" name="2025"/>
    <tableColumn id="23" xr3:uid="{00000000-0010-0000-1400-000017000000}" name="2026"/>
    <tableColumn id="24" xr3:uid="{00000000-0010-0000-1400-000018000000}" name="2027"/>
    <tableColumn id="25" xr3:uid="{00000000-0010-0000-1400-000019000000}" name="2028"/>
    <tableColumn id="26" xr3:uid="{00000000-0010-0000-1400-00001A000000}" name="2029"/>
    <tableColumn id="27" xr3:uid="{00000000-0010-0000-1400-00001B000000}" name="2030"/>
    <tableColumn id="28" xr3:uid="{00000000-0010-0000-1400-00001C000000}" name="2031"/>
    <tableColumn id="29" xr3:uid="{00000000-0010-0000-1400-00001D000000}" name="2032"/>
    <tableColumn id="30" xr3:uid="{00000000-0010-0000-1400-00001E000000}" name="2033"/>
    <tableColumn id="31" xr3:uid="{00000000-0010-0000-1400-00001F000000}" name="2034"/>
    <tableColumn id="32" xr3:uid="{00000000-0010-0000-1400-000020000000}" name="2035"/>
    <tableColumn id="33" xr3:uid="{00000000-0010-0000-1400-000021000000}" name="2036"/>
    <tableColumn id="34" xr3:uid="{00000000-0010-0000-1400-000022000000}" name="2037"/>
    <tableColumn id="35" xr3:uid="{00000000-0010-0000-1400-000023000000}" name="2038"/>
    <tableColumn id="36" xr3:uid="{00000000-0010-0000-1400-000024000000}" name="2039"/>
    <tableColumn id="37" xr3:uid="{00000000-0010-0000-1400-000025000000}" name="2040"/>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5000000}" name="Table1" displayName="Table1" ref="A7:AK11" totalsRowShown="0">
  <tableColumns count="37">
    <tableColumn id="1" xr3:uid="{00000000-0010-0000-1500-000001000000}" name="_" dataDxfId="4"/>
    <tableColumn id="2" xr3:uid="{00000000-0010-0000-1500-000002000000}" name="2005"/>
    <tableColumn id="3" xr3:uid="{00000000-0010-0000-1500-000003000000}" name="2006"/>
    <tableColumn id="4" xr3:uid="{00000000-0010-0000-1500-000004000000}" name="2007"/>
    <tableColumn id="5" xr3:uid="{00000000-0010-0000-1500-000005000000}" name="2008"/>
    <tableColumn id="6" xr3:uid="{00000000-0010-0000-1500-000006000000}" name="2009"/>
    <tableColumn id="7" xr3:uid="{00000000-0010-0000-1500-000007000000}" name="2010"/>
    <tableColumn id="8" xr3:uid="{00000000-0010-0000-1500-000008000000}" name="2011"/>
    <tableColumn id="9" xr3:uid="{00000000-0010-0000-1500-000009000000}" name="2012"/>
    <tableColumn id="10" xr3:uid="{00000000-0010-0000-1500-00000A000000}" name="2013"/>
    <tableColumn id="11" xr3:uid="{00000000-0010-0000-1500-00000B000000}" name="2014"/>
    <tableColumn id="12" xr3:uid="{00000000-0010-0000-1500-00000C000000}" name="2015"/>
    <tableColumn id="13" xr3:uid="{00000000-0010-0000-1500-00000D000000}" name="2016"/>
    <tableColumn id="14" xr3:uid="{00000000-0010-0000-1500-00000E000000}" name="2017"/>
    <tableColumn id="15" xr3:uid="{00000000-0010-0000-1500-00000F000000}" name="2018"/>
    <tableColumn id="16" xr3:uid="{00000000-0010-0000-1500-000010000000}" name="2019"/>
    <tableColumn id="17" xr3:uid="{00000000-0010-0000-1500-000011000000}" name="2020"/>
    <tableColumn id="18" xr3:uid="{00000000-0010-0000-1500-000012000000}" name="2021"/>
    <tableColumn id="19" xr3:uid="{00000000-0010-0000-1500-000013000000}" name="2022"/>
    <tableColumn id="20" xr3:uid="{00000000-0010-0000-1500-000014000000}" name="2023"/>
    <tableColumn id="21" xr3:uid="{00000000-0010-0000-1500-000015000000}" name="2024"/>
    <tableColumn id="22" xr3:uid="{00000000-0010-0000-1500-000016000000}" name="2025"/>
    <tableColumn id="23" xr3:uid="{00000000-0010-0000-1500-000017000000}" name="2026"/>
    <tableColumn id="24" xr3:uid="{00000000-0010-0000-1500-000018000000}" name="2027"/>
    <tableColumn id="25" xr3:uid="{00000000-0010-0000-1500-000019000000}" name="2028"/>
    <tableColumn id="26" xr3:uid="{00000000-0010-0000-1500-00001A000000}" name="2029"/>
    <tableColumn id="27" xr3:uid="{00000000-0010-0000-1500-00001B000000}" name="2030"/>
    <tableColumn id="28" xr3:uid="{00000000-0010-0000-1500-00001C000000}" name="2031"/>
    <tableColumn id="29" xr3:uid="{00000000-0010-0000-1500-00001D000000}" name="2032"/>
    <tableColumn id="30" xr3:uid="{00000000-0010-0000-1500-00001E000000}" name="2033"/>
    <tableColumn id="31" xr3:uid="{00000000-0010-0000-1500-00001F000000}" name="2034"/>
    <tableColumn id="32" xr3:uid="{00000000-0010-0000-1500-000020000000}" name="2035"/>
    <tableColumn id="33" xr3:uid="{00000000-0010-0000-1500-000021000000}" name="2036"/>
    <tableColumn id="34" xr3:uid="{00000000-0010-0000-1500-000022000000}" name="2037"/>
    <tableColumn id="35" xr3:uid="{00000000-0010-0000-1500-000023000000}" name="2038"/>
    <tableColumn id="36" xr3:uid="{00000000-0010-0000-1500-000024000000}" name="2039"/>
    <tableColumn id="37" xr3:uid="{00000000-0010-0000-1500-000025000000}" name="2040"/>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6000000}" name="Table2" displayName="Table2" ref="A14:AK17" totalsRowShown="0">
  <tableColumns count="37">
    <tableColumn id="1" xr3:uid="{00000000-0010-0000-1600-000001000000}" name="_" dataDxfId="3"/>
    <tableColumn id="2" xr3:uid="{00000000-0010-0000-1600-000002000000}" name="2005"/>
    <tableColumn id="3" xr3:uid="{00000000-0010-0000-1600-000003000000}" name="2006"/>
    <tableColumn id="4" xr3:uid="{00000000-0010-0000-1600-000004000000}" name="2007"/>
    <tableColumn id="5" xr3:uid="{00000000-0010-0000-1600-000005000000}" name="2008"/>
    <tableColumn id="6" xr3:uid="{00000000-0010-0000-1600-000006000000}" name="2009"/>
    <tableColumn id="7" xr3:uid="{00000000-0010-0000-1600-000007000000}" name="2010"/>
    <tableColumn id="8" xr3:uid="{00000000-0010-0000-1600-000008000000}" name="2011"/>
    <tableColumn id="9" xr3:uid="{00000000-0010-0000-1600-000009000000}" name="2012"/>
    <tableColumn id="10" xr3:uid="{00000000-0010-0000-1600-00000A000000}" name="2013"/>
    <tableColumn id="11" xr3:uid="{00000000-0010-0000-1600-00000B000000}" name="2014"/>
    <tableColumn id="12" xr3:uid="{00000000-0010-0000-1600-00000C000000}" name="2015"/>
    <tableColumn id="13" xr3:uid="{00000000-0010-0000-1600-00000D000000}" name="2016"/>
    <tableColumn id="14" xr3:uid="{00000000-0010-0000-1600-00000E000000}" name="2017"/>
    <tableColumn id="15" xr3:uid="{00000000-0010-0000-1600-00000F000000}" name="2018"/>
    <tableColumn id="16" xr3:uid="{00000000-0010-0000-1600-000010000000}" name="2019"/>
    <tableColumn id="17" xr3:uid="{00000000-0010-0000-1600-000011000000}" name="2020"/>
    <tableColumn id="18" xr3:uid="{00000000-0010-0000-1600-000012000000}" name="2021"/>
    <tableColumn id="19" xr3:uid="{00000000-0010-0000-1600-000013000000}" name="2022"/>
    <tableColumn id="20" xr3:uid="{00000000-0010-0000-1600-000014000000}" name="2023"/>
    <tableColumn id="21" xr3:uid="{00000000-0010-0000-1600-000015000000}" name="2024"/>
    <tableColumn id="22" xr3:uid="{00000000-0010-0000-1600-000016000000}" name="2025"/>
    <tableColumn id="23" xr3:uid="{00000000-0010-0000-1600-000017000000}" name="2026"/>
    <tableColumn id="24" xr3:uid="{00000000-0010-0000-1600-000018000000}" name="2027"/>
    <tableColumn id="25" xr3:uid="{00000000-0010-0000-1600-000019000000}" name="2028"/>
    <tableColumn id="26" xr3:uid="{00000000-0010-0000-1600-00001A000000}" name="2029"/>
    <tableColumn id="27" xr3:uid="{00000000-0010-0000-1600-00001B000000}" name="2030"/>
    <tableColumn id="28" xr3:uid="{00000000-0010-0000-1600-00001C000000}" name="2031"/>
    <tableColumn id="29" xr3:uid="{00000000-0010-0000-1600-00001D000000}" name="2032"/>
    <tableColumn id="30" xr3:uid="{00000000-0010-0000-1600-00001E000000}" name="2033"/>
    <tableColumn id="31" xr3:uid="{00000000-0010-0000-1600-00001F000000}" name="2034"/>
    <tableColumn id="32" xr3:uid="{00000000-0010-0000-1600-000020000000}" name="2035"/>
    <tableColumn id="33" xr3:uid="{00000000-0010-0000-1600-000021000000}" name="2036"/>
    <tableColumn id="34" xr3:uid="{00000000-0010-0000-1600-000022000000}" name="2037"/>
    <tableColumn id="35" xr3:uid="{00000000-0010-0000-1600-000023000000}" name="2038"/>
    <tableColumn id="36" xr3:uid="{00000000-0010-0000-1600-000024000000}" name="2039"/>
    <tableColumn id="37" xr3:uid="{00000000-0010-0000-1600-000025000000}" name="2040"/>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7000000}" name="Table3" displayName="Table3" ref="A20:AK23" totalsRowShown="0">
  <tableColumns count="37">
    <tableColumn id="1" xr3:uid="{00000000-0010-0000-1700-000001000000}" name="_" dataDxfId="2"/>
    <tableColumn id="2" xr3:uid="{00000000-0010-0000-1700-000002000000}" name="2005"/>
    <tableColumn id="3" xr3:uid="{00000000-0010-0000-1700-000003000000}" name="2006"/>
    <tableColumn id="4" xr3:uid="{00000000-0010-0000-1700-000004000000}" name="2007"/>
    <tableColumn id="5" xr3:uid="{00000000-0010-0000-1700-000005000000}" name="2008"/>
    <tableColumn id="6" xr3:uid="{00000000-0010-0000-1700-000006000000}" name="2009"/>
    <tableColumn id="7" xr3:uid="{00000000-0010-0000-1700-000007000000}" name="2010"/>
    <tableColumn id="8" xr3:uid="{00000000-0010-0000-1700-000008000000}" name="2011"/>
    <tableColumn id="9" xr3:uid="{00000000-0010-0000-1700-000009000000}" name="2012"/>
    <tableColumn id="10" xr3:uid="{00000000-0010-0000-1700-00000A000000}" name="2013"/>
    <tableColumn id="11" xr3:uid="{00000000-0010-0000-1700-00000B000000}" name="2014"/>
    <tableColumn id="12" xr3:uid="{00000000-0010-0000-1700-00000C000000}" name="2015"/>
    <tableColumn id="13" xr3:uid="{00000000-0010-0000-1700-00000D000000}" name="2016"/>
    <tableColumn id="14" xr3:uid="{00000000-0010-0000-1700-00000E000000}" name="2017"/>
    <tableColumn id="15" xr3:uid="{00000000-0010-0000-1700-00000F000000}" name="2018"/>
    <tableColumn id="16" xr3:uid="{00000000-0010-0000-1700-000010000000}" name="2019"/>
    <tableColumn id="17" xr3:uid="{00000000-0010-0000-1700-000011000000}" name="2020"/>
    <tableColumn id="18" xr3:uid="{00000000-0010-0000-1700-000012000000}" name="2021"/>
    <tableColumn id="19" xr3:uid="{00000000-0010-0000-1700-000013000000}" name="2022"/>
    <tableColumn id="20" xr3:uid="{00000000-0010-0000-1700-000014000000}" name="2023"/>
    <tableColumn id="21" xr3:uid="{00000000-0010-0000-1700-000015000000}" name="2024"/>
    <tableColumn id="22" xr3:uid="{00000000-0010-0000-1700-000016000000}" name="2025"/>
    <tableColumn id="23" xr3:uid="{00000000-0010-0000-1700-000017000000}" name="2026"/>
    <tableColumn id="24" xr3:uid="{00000000-0010-0000-1700-000018000000}" name="2027"/>
    <tableColumn id="25" xr3:uid="{00000000-0010-0000-1700-000019000000}" name="2028"/>
    <tableColumn id="26" xr3:uid="{00000000-0010-0000-1700-00001A000000}" name="2029"/>
    <tableColumn id="27" xr3:uid="{00000000-0010-0000-1700-00001B000000}" name="2030"/>
    <tableColumn id="28" xr3:uid="{00000000-0010-0000-1700-00001C000000}" name="2031"/>
    <tableColumn id="29" xr3:uid="{00000000-0010-0000-1700-00001D000000}" name="2032"/>
    <tableColumn id="30" xr3:uid="{00000000-0010-0000-1700-00001E000000}" name="2033"/>
    <tableColumn id="31" xr3:uid="{00000000-0010-0000-1700-00001F000000}" name="2034"/>
    <tableColumn id="32" xr3:uid="{00000000-0010-0000-1700-000020000000}" name="2035"/>
    <tableColumn id="33" xr3:uid="{00000000-0010-0000-1700-000021000000}" name="2036"/>
    <tableColumn id="34" xr3:uid="{00000000-0010-0000-1700-000022000000}" name="2037"/>
    <tableColumn id="35" xr3:uid="{00000000-0010-0000-1700-000023000000}" name="2038"/>
    <tableColumn id="36" xr3:uid="{00000000-0010-0000-1700-000024000000}" name="2039"/>
    <tableColumn id="37" xr3:uid="{00000000-0010-0000-1700-000025000000}" name="2040"/>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8000000}" name="Table4" displayName="Table4" ref="A26:AK29" totalsRowShown="0">
  <tableColumns count="37">
    <tableColumn id="1" xr3:uid="{00000000-0010-0000-1800-000001000000}" name="_" dataDxfId="1"/>
    <tableColumn id="2" xr3:uid="{00000000-0010-0000-1800-000002000000}" name="2005"/>
    <tableColumn id="3" xr3:uid="{00000000-0010-0000-1800-000003000000}" name="2006"/>
    <tableColumn id="4" xr3:uid="{00000000-0010-0000-1800-000004000000}" name="2007"/>
    <tableColumn id="5" xr3:uid="{00000000-0010-0000-1800-000005000000}" name="2008"/>
    <tableColumn id="6" xr3:uid="{00000000-0010-0000-1800-000006000000}" name="2009"/>
    <tableColumn id="7" xr3:uid="{00000000-0010-0000-1800-000007000000}" name="2010"/>
    <tableColumn id="8" xr3:uid="{00000000-0010-0000-1800-000008000000}" name="2011"/>
    <tableColumn id="9" xr3:uid="{00000000-0010-0000-1800-000009000000}" name="2012"/>
    <tableColumn id="10" xr3:uid="{00000000-0010-0000-1800-00000A000000}" name="2013"/>
    <tableColumn id="11" xr3:uid="{00000000-0010-0000-1800-00000B000000}" name="2014"/>
    <tableColumn id="12" xr3:uid="{00000000-0010-0000-1800-00000C000000}" name="2015"/>
    <tableColumn id="13" xr3:uid="{00000000-0010-0000-1800-00000D000000}" name="2016"/>
    <tableColumn id="14" xr3:uid="{00000000-0010-0000-1800-00000E000000}" name="2017"/>
    <tableColumn id="15" xr3:uid="{00000000-0010-0000-1800-00000F000000}" name="2018"/>
    <tableColumn id="16" xr3:uid="{00000000-0010-0000-1800-000010000000}" name="2019"/>
    <tableColumn id="17" xr3:uid="{00000000-0010-0000-1800-000011000000}" name="2020"/>
    <tableColumn id="18" xr3:uid="{00000000-0010-0000-1800-000012000000}" name="2021"/>
    <tableColumn id="19" xr3:uid="{00000000-0010-0000-1800-000013000000}" name="2022"/>
    <tableColumn id="20" xr3:uid="{00000000-0010-0000-1800-000014000000}" name="2023"/>
    <tableColumn id="21" xr3:uid="{00000000-0010-0000-1800-000015000000}" name="2024"/>
    <tableColumn id="22" xr3:uid="{00000000-0010-0000-1800-000016000000}" name="2025"/>
    <tableColumn id="23" xr3:uid="{00000000-0010-0000-1800-000017000000}" name="2026"/>
    <tableColumn id="24" xr3:uid="{00000000-0010-0000-1800-000018000000}" name="2027"/>
    <tableColumn id="25" xr3:uid="{00000000-0010-0000-1800-000019000000}" name="2028"/>
    <tableColumn id="26" xr3:uid="{00000000-0010-0000-1800-00001A000000}" name="2029"/>
    <tableColumn id="27" xr3:uid="{00000000-0010-0000-1800-00001B000000}" name="2030"/>
    <tableColumn id="28" xr3:uid="{00000000-0010-0000-1800-00001C000000}" name="2031"/>
    <tableColumn id="29" xr3:uid="{00000000-0010-0000-1800-00001D000000}" name="2032"/>
    <tableColumn id="30" xr3:uid="{00000000-0010-0000-1800-00001E000000}" name="2033"/>
    <tableColumn id="31" xr3:uid="{00000000-0010-0000-1800-00001F000000}" name="2034"/>
    <tableColumn id="32" xr3:uid="{00000000-0010-0000-1800-000020000000}" name="2035"/>
    <tableColumn id="33" xr3:uid="{00000000-0010-0000-1800-000021000000}" name="2036"/>
    <tableColumn id="34" xr3:uid="{00000000-0010-0000-1800-000022000000}" name="2037"/>
    <tableColumn id="35" xr3:uid="{00000000-0010-0000-1800-000023000000}" name="2038"/>
    <tableColumn id="36" xr3:uid="{00000000-0010-0000-1800-000024000000}" name="2039"/>
    <tableColumn id="37" xr3:uid="{00000000-0010-0000-1800-000025000000}" name="204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verse.harvard.edu/dataset.xhtml?persistentId=doi:10.7910/DVN/XEZXT4" TargetMode="External"/><Relationship Id="rId7" Type="http://schemas.openxmlformats.org/officeDocument/2006/relationships/hyperlink" Target="https://www.canada.ca/en/environment-climate-change/services/climate-change/publications/2016-greenhouse-gas-emissions-case/chapter-2.html" TargetMode="External"/><Relationship Id="rId2" Type="http://schemas.openxmlformats.org/officeDocument/2006/relationships/hyperlink" Target="http://apps.neb-one.gc.ca/nrg/ntgrtd/ftr/2016/index-eng.html" TargetMode="External"/><Relationship Id="rId1" Type="http://schemas.openxmlformats.org/officeDocument/2006/relationships/hyperlink" Target="http://donnees.ec.gc.ca/data/substances/monitor/national-and-provincial-territorial-greenhouse-gas-emission-tables/A-Tables-IPCC-Sector-Canada/?lang=en" TargetMode="External"/><Relationship Id="rId6" Type="http://schemas.openxmlformats.org/officeDocument/2006/relationships/hyperlink" Target="http://www.fao.org/faostat/en/" TargetMode="External"/><Relationship Id="rId5" Type="http://schemas.openxmlformats.org/officeDocument/2006/relationships/hyperlink" Target="http://unfccc.int/files/national_reports/annex_i_ghg_inventories/national_inventories_submissions/application/zip/can-2017-crf-13apr17.zip" TargetMode="External"/><Relationship Id="rId4" Type="http://schemas.openxmlformats.org/officeDocument/2006/relationships/hyperlink" Target="http://donnees.ec.gc.ca/data/substances/monitor/national-and-provincial-territorial-greenhouse-gas-emission-tables/C-Tables-IPCC-Sector-Provinces-Territories/?lang=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anada.ca/en/environment-climate-change/services/climate-change/publications/2016-greenhouse-gas-emissions-case/chapter-2.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table" Target="../tables/table12.xml"/><Relationship Id="rId7" Type="http://schemas.openxmlformats.org/officeDocument/2006/relationships/table" Target="../tables/table16.xml"/><Relationship Id="rId2" Type="http://schemas.openxmlformats.org/officeDocument/2006/relationships/table" Target="../tables/table11.xml"/><Relationship Id="rId1" Type="http://schemas.openxmlformats.org/officeDocument/2006/relationships/table" Target="../tables/table10.xml"/><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 Id="rId9"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hyperlink" Target="http://www.jamec.ca/en/blog/aluminum-industry-canad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hatch.com/en/About-Us/Publications/Technical-Papers/2011/10/Magnesium-Metal-Production-in-Canad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en.wikipedia.org/wiki/List_of_semiconductor_fabrication_plants"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0.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31.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drawing" Target="../drawings/drawing3.xml"/><Relationship Id="rId1" Type="http://schemas.openxmlformats.org/officeDocument/2006/relationships/hyperlink" Target="http://www.aer.ca/providing-information/data-and-reports/statistical-reports/coal-supply-demand" TargetMode="External"/><Relationship Id="rId6" Type="http://schemas.openxmlformats.org/officeDocument/2006/relationships/table" Target="../tables/table25.xml"/><Relationship Id="rId5" Type="http://schemas.openxmlformats.org/officeDocument/2006/relationships/table" Target="../tables/table24.xml"/><Relationship Id="rId4" Type="http://schemas.openxmlformats.org/officeDocument/2006/relationships/table" Target="../tables/table23.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unfccc.int/national_reports/annex_i_ghg_inventories/national_inventories_submissions/items/10116.php"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unfccc.int/national_reports/annex_i_ghg_inventories/national_inventories_submissions/items/10116.php"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unfccc.int/national_reports/annex_i_ghg_inventories/national_inventories_submissions/items/10116.php"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unfccc.int/national_reports/annex_i_ghg_inventories/national_inventories_submissions/items/10116.php"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unfccc.int/national_reports/annex_i_ghg_inventories/national_inventories_submissions/items/10116.php"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unfccc.int/national_reports/annex_i_ghg_inventories/national_inventories_submissions/items/10116.php"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unfccc.int/national_reports/annex_i_ghg_inventories/national_inventories_submissions/items/10116.php"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unfccc.int/national_reports/annex_i_ghg_inventories/national_inventories_submissions/items/10116.php"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unfccc.int/national_reports/annex_i_ghg_inventories/national_inventories_submissions/items/10116.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I104"/>
  <sheetViews>
    <sheetView workbookViewId="0">
      <selection activeCell="B68" sqref="B68"/>
    </sheetView>
  </sheetViews>
  <sheetFormatPr baseColWidth="10" defaultColWidth="8.6640625" defaultRowHeight="15"/>
  <cols>
    <col min="1" max="1" width="9.6640625" customWidth="1"/>
    <col min="2" max="2" width="80.1640625" customWidth="1"/>
    <col min="3" max="3" width="21.33203125" customWidth="1"/>
    <col min="4" max="4" width="104.1640625" customWidth="1"/>
    <col min="5" max="5" width="18" customWidth="1"/>
    <col min="6" max="6" width="89.6640625" customWidth="1"/>
    <col min="7" max="7" width="5.5" customWidth="1"/>
    <col min="8" max="8" width="23.6640625" customWidth="1"/>
    <col min="9" max="15" width="74" customWidth="1"/>
  </cols>
  <sheetData>
    <row r="1" spans="1:6">
      <c r="A1" s="5" t="s">
        <v>14</v>
      </c>
      <c r="B1" s="6" t="s">
        <v>798</v>
      </c>
      <c r="D1" s="6" t="s">
        <v>767</v>
      </c>
      <c r="E1" s="5" t="s">
        <v>811</v>
      </c>
    </row>
    <row r="2" spans="1:6">
      <c r="B2" s="329" t="s">
        <v>742</v>
      </c>
      <c r="D2" t="s">
        <v>768</v>
      </c>
      <c r="E2" s="71"/>
      <c r="F2" t="s">
        <v>807</v>
      </c>
    </row>
    <row r="3" spans="1:6">
      <c r="B3" s="406">
        <v>2017</v>
      </c>
      <c r="D3" s="19">
        <v>2018</v>
      </c>
      <c r="E3" s="233"/>
      <c r="F3" t="s">
        <v>808</v>
      </c>
    </row>
    <row r="4" spans="1:6">
      <c r="B4" s="329" t="s">
        <v>814</v>
      </c>
      <c r="D4" t="s">
        <v>769</v>
      </c>
      <c r="E4" s="235"/>
      <c r="F4" t="s">
        <v>809</v>
      </c>
    </row>
    <row r="5" spans="1:6" ht="32">
      <c r="B5" s="407" t="s">
        <v>813</v>
      </c>
      <c r="D5" s="51" t="s">
        <v>361</v>
      </c>
      <c r="E5" s="242"/>
      <c r="F5" t="s">
        <v>810</v>
      </c>
    </row>
    <row r="6" spans="1:6">
      <c r="B6" s="329" t="s">
        <v>743</v>
      </c>
      <c r="D6" s="51"/>
      <c r="E6" s="241"/>
      <c r="F6" t="s">
        <v>812</v>
      </c>
    </row>
    <row r="7" spans="1:6">
      <c r="E7" s="234"/>
      <c r="F7" t="s">
        <v>836</v>
      </c>
    </row>
    <row r="8" spans="1:6">
      <c r="B8" s="6" t="s">
        <v>744</v>
      </c>
      <c r="D8" s="6" t="s">
        <v>770</v>
      </c>
      <c r="E8" s="5" t="s">
        <v>838</v>
      </c>
      <c r="F8" t="s">
        <v>847</v>
      </c>
    </row>
    <row r="9" spans="1:6" ht="14" customHeight="1">
      <c r="B9" t="s">
        <v>745</v>
      </c>
      <c r="D9" t="s">
        <v>771</v>
      </c>
    </row>
    <row r="10" spans="1:6">
      <c r="B10" s="19">
        <v>2017</v>
      </c>
      <c r="D10" s="19">
        <v>2009</v>
      </c>
    </row>
    <row r="11" spans="1:6">
      <c r="B11" t="s">
        <v>746</v>
      </c>
      <c r="D11" t="s">
        <v>772</v>
      </c>
    </row>
    <row r="12" spans="1:6" ht="32">
      <c r="B12" s="378" t="s">
        <v>747</v>
      </c>
      <c r="D12" t="s">
        <v>773</v>
      </c>
    </row>
    <row r="13" spans="1:6" ht="16">
      <c r="B13" t="s">
        <v>743</v>
      </c>
      <c r="D13" s="51" t="s">
        <v>774</v>
      </c>
      <c r="E13" s="5" t="s">
        <v>841</v>
      </c>
    </row>
    <row r="15" spans="1:6">
      <c r="B15" s="6" t="s">
        <v>748</v>
      </c>
      <c r="D15" s="6" t="s">
        <v>775</v>
      </c>
    </row>
    <row r="16" spans="1:6">
      <c r="B16" s="329" t="s">
        <v>749</v>
      </c>
      <c r="D16" t="s">
        <v>776</v>
      </c>
    </row>
    <row r="17" spans="2:4">
      <c r="B17" s="406">
        <v>2016</v>
      </c>
      <c r="D17" s="19">
        <v>2016</v>
      </c>
    </row>
    <row r="18" spans="2:4">
      <c r="B18" s="329" t="s">
        <v>750</v>
      </c>
      <c r="D18" t="s">
        <v>777</v>
      </c>
    </row>
    <row r="19" spans="2:4" ht="16">
      <c r="B19" s="329" t="s">
        <v>751</v>
      </c>
      <c r="D19" s="51" t="s">
        <v>778</v>
      </c>
    </row>
    <row r="20" spans="2:4" ht="32">
      <c r="B20" s="51" t="s">
        <v>752</v>
      </c>
      <c r="D20" s="51" t="s">
        <v>779</v>
      </c>
    </row>
    <row r="22" spans="2:4">
      <c r="B22" s="6" t="s">
        <v>753</v>
      </c>
      <c r="D22" s="6" t="s">
        <v>253</v>
      </c>
    </row>
    <row r="23" spans="2:4">
      <c r="B23" s="329" t="s">
        <v>742</v>
      </c>
      <c r="D23" t="s">
        <v>252</v>
      </c>
    </row>
    <row r="24" spans="2:4">
      <c r="B24" s="406">
        <v>2017</v>
      </c>
      <c r="D24" s="19">
        <v>2006</v>
      </c>
    </row>
    <row r="25" spans="2:4">
      <c r="B25" s="329" t="s">
        <v>754</v>
      </c>
      <c r="D25" t="s">
        <v>251</v>
      </c>
    </row>
    <row r="26" spans="2:4" ht="32">
      <c r="B26" s="407" t="s">
        <v>734</v>
      </c>
      <c r="D26" s="51" t="s">
        <v>250</v>
      </c>
    </row>
    <row r="27" spans="2:4" ht="16">
      <c r="D27" s="51" t="s">
        <v>249</v>
      </c>
    </row>
    <row r="29" spans="2:4">
      <c r="B29" s="6" t="s">
        <v>758</v>
      </c>
      <c r="D29" s="6" t="s">
        <v>762</v>
      </c>
    </row>
    <row r="30" spans="2:4">
      <c r="B30" t="s">
        <v>755</v>
      </c>
      <c r="D30" t="s">
        <v>759</v>
      </c>
    </row>
    <row r="31" spans="2:4">
      <c r="B31" s="19">
        <v>2017</v>
      </c>
      <c r="D31" s="19">
        <v>2018</v>
      </c>
    </row>
    <row r="32" spans="2:4" ht="32">
      <c r="B32" s="51" t="s">
        <v>756</v>
      </c>
      <c r="D32" t="s">
        <v>760</v>
      </c>
    </row>
    <row r="33" spans="2:4" ht="32">
      <c r="B33" s="51" t="s">
        <v>757</v>
      </c>
      <c r="D33" s="2" t="s">
        <v>761</v>
      </c>
    </row>
    <row r="35" spans="2:4">
      <c r="B35" s="6" t="s">
        <v>869</v>
      </c>
      <c r="D35" s="6" t="s">
        <v>763</v>
      </c>
    </row>
    <row r="36" spans="2:4">
      <c r="B36" t="s">
        <v>870</v>
      </c>
      <c r="D36" t="s">
        <v>764</v>
      </c>
    </row>
    <row r="37" spans="2:4">
      <c r="B37" s="19">
        <v>2018</v>
      </c>
      <c r="D37" s="19">
        <v>2017</v>
      </c>
    </row>
    <row r="38" spans="2:4" ht="16">
      <c r="B38" s="51" t="s">
        <v>871</v>
      </c>
      <c r="D38" t="s">
        <v>765</v>
      </c>
    </row>
    <row r="39" spans="2:4" ht="16">
      <c r="B39" s="51" t="s">
        <v>872</v>
      </c>
      <c r="D39" t="s">
        <v>766</v>
      </c>
    </row>
    <row r="41" spans="2:4">
      <c r="B41" s="6" t="s">
        <v>932</v>
      </c>
      <c r="D41" s="6" t="s">
        <v>934</v>
      </c>
    </row>
    <row r="42" spans="2:4">
      <c r="B42" s="391" t="s">
        <v>931</v>
      </c>
      <c r="D42" s="9" t="s">
        <v>974</v>
      </c>
    </row>
    <row r="43" spans="2:4">
      <c r="B43" s="52" t="s">
        <v>296</v>
      </c>
      <c r="D43" s="9" t="s">
        <v>975</v>
      </c>
    </row>
    <row r="44" spans="2:4">
      <c r="B44" t="s">
        <v>933</v>
      </c>
      <c r="D44" s="9" t="s">
        <v>976</v>
      </c>
    </row>
    <row r="45" spans="2:4">
      <c r="D45" t="s">
        <v>977</v>
      </c>
    </row>
    <row r="46" spans="2:4">
      <c r="D46" t="s">
        <v>978</v>
      </c>
    </row>
    <row r="61" spans="1:2">
      <c r="A61" s="5" t="s">
        <v>248</v>
      </c>
      <c r="B61" t="s">
        <v>247</v>
      </c>
    </row>
    <row r="62" spans="1:2">
      <c r="B62" t="s">
        <v>254</v>
      </c>
    </row>
    <row r="63" spans="1:2">
      <c r="B63" t="s">
        <v>782</v>
      </c>
    </row>
    <row r="65" spans="1:8">
      <c r="A65" s="6" t="s">
        <v>177</v>
      </c>
      <c r="B65" s="6"/>
      <c r="C65" s="6"/>
      <c r="D65" s="6"/>
      <c r="E65" s="6"/>
      <c r="F65" s="7"/>
      <c r="H65" t="s">
        <v>261</v>
      </c>
    </row>
    <row r="66" spans="1:8">
      <c r="A66" t="s">
        <v>16</v>
      </c>
      <c r="B66" t="s">
        <v>15</v>
      </c>
      <c r="C66" t="s">
        <v>32</v>
      </c>
      <c r="D66" t="s">
        <v>173</v>
      </c>
      <c r="E66" s="58" t="s">
        <v>174</v>
      </c>
    </row>
    <row r="67" spans="1:8">
      <c r="A67" t="s">
        <v>17</v>
      </c>
      <c r="B67" t="s">
        <v>18</v>
      </c>
      <c r="C67" t="s">
        <v>97</v>
      </c>
      <c r="D67" t="s">
        <v>97</v>
      </c>
      <c r="E67" s="58" t="s">
        <v>97</v>
      </c>
      <c r="H67" s="71" t="s">
        <v>346</v>
      </c>
    </row>
    <row r="68" spans="1:8" ht="14.75" customHeight="1">
      <c r="A68" t="s">
        <v>17</v>
      </c>
      <c r="B68" t="s">
        <v>19</v>
      </c>
      <c r="C68" t="s">
        <v>97</v>
      </c>
      <c r="D68" t="s">
        <v>97</v>
      </c>
      <c r="E68" s="58" t="s">
        <v>97</v>
      </c>
      <c r="H68" s="71" t="s">
        <v>346</v>
      </c>
    </row>
    <row r="69" spans="1:8" ht="32">
      <c r="A69" t="s">
        <v>17</v>
      </c>
      <c r="B69" t="s">
        <v>98</v>
      </c>
      <c r="C69" t="s">
        <v>2</v>
      </c>
      <c r="D69" s="51" t="s">
        <v>780</v>
      </c>
      <c r="E69" s="58"/>
    </row>
    <row r="70" spans="1:8" ht="16">
      <c r="A70" t="s">
        <v>17</v>
      </c>
      <c r="B70" t="s">
        <v>99</v>
      </c>
      <c r="C70" t="s">
        <v>33</v>
      </c>
      <c r="D70" s="51" t="s">
        <v>781</v>
      </c>
      <c r="E70" s="58"/>
      <c r="H70" s="71" t="s">
        <v>347</v>
      </c>
    </row>
    <row r="71" spans="1:8" ht="16">
      <c r="A71" t="s">
        <v>17</v>
      </c>
      <c r="B71" t="s">
        <v>100</v>
      </c>
      <c r="C71" t="s">
        <v>3</v>
      </c>
      <c r="D71" s="51" t="s">
        <v>783</v>
      </c>
      <c r="E71" s="58"/>
      <c r="F71" s="51"/>
      <c r="H71" s="71" t="s">
        <v>348</v>
      </c>
    </row>
    <row r="72" spans="1:8" ht="16">
      <c r="A72" t="s">
        <v>17</v>
      </c>
      <c r="B72" t="s">
        <v>101</v>
      </c>
      <c r="C72" t="s">
        <v>3</v>
      </c>
      <c r="D72" s="51" t="s">
        <v>784</v>
      </c>
      <c r="E72" s="58"/>
      <c r="H72" s="71" t="s">
        <v>349</v>
      </c>
    </row>
    <row r="73" spans="1:8" ht="32">
      <c r="A73" t="s">
        <v>20</v>
      </c>
      <c r="B73" t="s">
        <v>102</v>
      </c>
      <c r="C73" t="s">
        <v>35</v>
      </c>
      <c r="D73" s="51" t="s">
        <v>785</v>
      </c>
      <c r="E73" s="58"/>
      <c r="H73" s="71" t="s">
        <v>502</v>
      </c>
    </row>
    <row r="74" spans="1:8" ht="16">
      <c r="A74" t="s">
        <v>20</v>
      </c>
      <c r="B74" t="s">
        <v>103</v>
      </c>
      <c r="C74" t="s">
        <v>4</v>
      </c>
      <c r="D74" s="51" t="s">
        <v>786</v>
      </c>
      <c r="E74" s="58"/>
    </row>
    <row r="75" spans="1:8" ht="32">
      <c r="A75" t="s">
        <v>20</v>
      </c>
      <c r="B75" t="s">
        <v>104</v>
      </c>
      <c r="C75" t="s">
        <v>2</v>
      </c>
      <c r="D75" s="51" t="s">
        <v>787</v>
      </c>
      <c r="E75" s="58"/>
      <c r="H75" s="71" t="s">
        <v>350</v>
      </c>
    </row>
    <row r="76" spans="1:8" ht="16">
      <c r="A76" t="s">
        <v>20</v>
      </c>
      <c r="B76" t="s">
        <v>105</v>
      </c>
      <c r="C76" t="s">
        <v>36</v>
      </c>
      <c r="D76" s="51" t="s">
        <v>788</v>
      </c>
      <c r="E76" s="58" t="s">
        <v>789</v>
      </c>
      <c r="H76" s="71" t="s">
        <v>351</v>
      </c>
    </row>
    <row r="77" spans="1:8" ht="16">
      <c r="A77" t="s">
        <v>20</v>
      </c>
      <c r="B77" t="s">
        <v>21</v>
      </c>
      <c r="C77" t="s">
        <v>36</v>
      </c>
      <c r="D77" s="51" t="s">
        <v>786</v>
      </c>
      <c r="E77" s="58"/>
      <c r="H77" s="71" t="s">
        <v>352</v>
      </c>
    </row>
    <row r="78" spans="1:8" ht="16">
      <c r="A78" t="s">
        <v>20</v>
      </c>
      <c r="B78" t="s">
        <v>22</v>
      </c>
      <c r="C78" t="s">
        <v>4</v>
      </c>
      <c r="D78" s="51" t="s">
        <v>786</v>
      </c>
      <c r="E78" s="58"/>
      <c r="H78" s="71" t="s">
        <v>503</v>
      </c>
    </row>
    <row r="79" spans="1:8" ht="32">
      <c r="A79" t="s">
        <v>20</v>
      </c>
      <c r="B79" t="s">
        <v>23</v>
      </c>
      <c r="C79" t="s">
        <v>4</v>
      </c>
      <c r="D79" s="51" t="s">
        <v>790</v>
      </c>
      <c r="E79" s="58"/>
      <c r="H79" s="71" t="s">
        <v>526</v>
      </c>
    </row>
    <row r="80" spans="1:8" ht="16">
      <c r="A80" t="s">
        <v>20</v>
      </c>
      <c r="B80" t="s">
        <v>24</v>
      </c>
      <c r="C80" t="s">
        <v>36</v>
      </c>
      <c r="D80" s="59" t="s">
        <v>791</v>
      </c>
      <c r="E80" s="57" t="s">
        <v>789</v>
      </c>
      <c r="H80" s="71" t="s">
        <v>360</v>
      </c>
    </row>
    <row r="81" spans="1:9" ht="16">
      <c r="A81" s="308" t="s">
        <v>20</v>
      </c>
      <c r="B81" s="308" t="s">
        <v>25</v>
      </c>
      <c r="C81" s="308" t="s">
        <v>36</v>
      </c>
      <c r="D81" s="59" t="s">
        <v>786</v>
      </c>
      <c r="E81" s="57"/>
      <c r="F81" s="308"/>
      <c r="G81" s="308"/>
      <c r="H81" s="71" t="s">
        <v>504</v>
      </c>
      <c r="I81" s="308"/>
    </row>
    <row r="82" spans="1:9" ht="16">
      <c r="A82" s="308" t="s">
        <v>26</v>
      </c>
      <c r="B82" s="308" t="s">
        <v>27</v>
      </c>
      <c r="C82" s="308" t="s">
        <v>26</v>
      </c>
      <c r="D82" s="59" t="s">
        <v>792</v>
      </c>
      <c r="E82" s="57"/>
      <c r="F82" s="308"/>
      <c r="G82" s="308"/>
      <c r="H82" s="308"/>
      <c r="I82" s="308"/>
    </row>
    <row r="83" spans="1:9" ht="32">
      <c r="A83" s="308" t="s">
        <v>26</v>
      </c>
      <c r="B83" s="308" t="s">
        <v>28</v>
      </c>
      <c r="C83" s="308" t="s">
        <v>26</v>
      </c>
      <c r="D83" s="59" t="s">
        <v>793</v>
      </c>
      <c r="E83" s="57"/>
      <c r="F83" s="308"/>
      <c r="G83" s="308"/>
      <c r="H83" s="308"/>
      <c r="I83" s="308"/>
    </row>
    <row r="84" spans="1:9" ht="16">
      <c r="A84" s="308" t="s">
        <v>26</v>
      </c>
      <c r="B84" s="308" t="s">
        <v>245</v>
      </c>
      <c r="C84" s="308" t="s">
        <v>26</v>
      </c>
      <c r="D84" s="59" t="s">
        <v>786</v>
      </c>
      <c r="E84" s="57"/>
      <c r="F84" s="308"/>
      <c r="G84" s="308"/>
      <c r="H84" s="308" t="s">
        <v>525</v>
      </c>
      <c r="I84" s="308"/>
    </row>
    <row r="85" spans="1:9" ht="112">
      <c r="A85" s="308" t="s">
        <v>26</v>
      </c>
      <c r="B85" s="308" t="s">
        <v>29</v>
      </c>
      <c r="C85" s="308" t="s">
        <v>26</v>
      </c>
      <c r="D85" s="59" t="s">
        <v>794</v>
      </c>
      <c r="E85" s="57"/>
      <c r="F85" s="308"/>
      <c r="G85" s="308"/>
      <c r="H85" s="308"/>
      <c r="I85" s="308"/>
    </row>
    <row r="86" spans="1:9" ht="16">
      <c r="A86" s="308" t="s">
        <v>30</v>
      </c>
      <c r="B86" s="308" t="s">
        <v>31</v>
      </c>
      <c r="C86" s="308" t="s">
        <v>30</v>
      </c>
      <c r="D86" s="59" t="s">
        <v>795</v>
      </c>
      <c r="E86" s="57"/>
      <c r="F86" s="308"/>
      <c r="G86" s="308"/>
      <c r="H86" s="308"/>
      <c r="I86" s="308"/>
    </row>
    <row r="87" spans="1:9" ht="32">
      <c r="A87" s="308" t="s">
        <v>30</v>
      </c>
      <c r="B87" s="9" t="s">
        <v>246</v>
      </c>
      <c r="C87" s="308" t="s">
        <v>30</v>
      </c>
      <c r="D87" s="59" t="s">
        <v>796</v>
      </c>
      <c r="E87" s="57"/>
      <c r="F87" s="308"/>
      <c r="G87" s="308"/>
      <c r="H87" s="308"/>
      <c r="I87" s="308"/>
    </row>
    <row r="88" spans="1:9" ht="48">
      <c r="A88" s="24" t="s">
        <v>4</v>
      </c>
      <c r="B88" s="24" t="s">
        <v>184</v>
      </c>
      <c r="C88" s="24" t="s">
        <v>4</v>
      </c>
      <c r="D88" s="306" t="s">
        <v>797</v>
      </c>
      <c r="E88" s="307" t="s">
        <v>243</v>
      </c>
      <c r="F88" s="308"/>
      <c r="G88" s="308"/>
      <c r="H88" s="308"/>
      <c r="I88" s="308"/>
    </row>
    <row r="89" spans="1:9">
      <c r="A89" s="24" t="s">
        <v>4</v>
      </c>
      <c r="B89" s="24" t="s">
        <v>182</v>
      </c>
      <c r="C89" s="24" t="s">
        <v>4</v>
      </c>
      <c r="D89" s="306"/>
      <c r="E89" s="307"/>
      <c r="F89" s="308"/>
      <c r="G89" s="308"/>
      <c r="H89" s="308"/>
      <c r="I89" s="308"/>
    </row>
    <row r="90" spans="1:9">
      <c r="A90" s="24" t="s">
        <v>4</v>
      </c>
      <c r="B90" s="24" t="s">
        <v>702</v>
      </c>
      <c r="C90" s="24" t="s">
        <v>4</v>
      </c>
      <c r="D90" s="306"/>
      <c r="E90" s="307"/>
      <c r="F90" s="308"/>
      <c r="G90" s="308"/>
      <c r="H90" s="308"/>
      <c r="I90" s="308"/>
    </row>
    <row r="91" spans="1:9">
      <c r="A91" s="24" t="s">
        <v>4</v>
      </c>
      <c r="B91" s="24" t="s">
        <v>703</v>
      </c>
      <c r="C91" s="24" t="s">
        <v>4</v>
      </c>
      <c r="D91" s="306"/>
      <c r="E91" s="307"/>
      <c r="F91" s="308"/>
      <c r="G91" s="308"/>
      <c r="H91" s="308"/>
      <c r="I91" s="308"/>
    </row>
    <row r="92" spans="1:9">
      <c r="A92" s="24" t="s">
        <v>2</v>
      </c>
      <c r="B92" s="24" t="s">
        <v>709</v>
      </c>
      <c r="C92" s="24" t="s">
        <v>2</v>
      </c>
      <c r="D92" s="306"/>
      <c r="E92" s="307"/>
      <c r="F92" s="308"/>
      <c r="G92" s="308"/>
      <c r="H92" s="308"/>
      <c r="I92" s="308"/>
    </row>
    <row r="93" spans="1:9">
      <c r="A93" s="24" t="s">
        <v>726</v>
      </c>
      <c r="B93" s="24" t="s">
        <v>711</v>
      </c>
      <c r="C93" s="24" t="s">
        <v>726</v>
      </c>
      <c r="D93" s="306"/>
      <c r="E93" s="307"/>
      <c r="F93" s="308"/>
      <c r="G93" s="308"/>
      <c r="H93" s="308"/>
      <c r="I93" s="308"/>
    </row>
    <row r="94" spans="1:9">
      <c r="A94" s="24" t="s">
        <v>26</v>
      </c>
      <c r="B94" s="24" t="s">
        <v>185</v>
      </c>
      <c r="C94" s="24" t="s">
        <v>26</v>
      </c>
      <c r="D94" s="306"/>
      <c r="E94" s="307"/>
      <c r="F94" s="308"/>
      <c r="G94" s="308"/>
      <c r="H94" s="308"/>
      <c r="I94" s="308"/>
    </row>
    <row r="95" spans="1:9">
      <c r="A95" s="24" t="s">
        <v>26</v>
      </c>
      <c r="B95" s="24" t="s">
        <v>716</v>
      </c>
      <c r="C95" s="24" t="s">
        <v>26</v>
      </c>
      <c r="D95" s="306"/>
      <c r="E95" s="307"/>
      <c r="F95" s="308"/>
      <c r="G95" s="308"/>
      <c r="H95" s="308"/>
      <c r="I95" s="308"/>
    </row>
    <row r="96" spans="1:9">
      <c r="A96" s="308"/>
      <c r="B96" s="308"/>
      <c r="C96" s="308"/>
      <c r="D96" s="308"/>
      <c r="E96" s="308"/>
      <c r="F96" s="308"/>
      <c r="G96" s="308"/>
      <c r="H96" s="308"/>
      <c r="I96" s="308"/>
    </row>
    <row r="97" spans="1:9">
      <c r="A97" s="308"/>
      <c r="B97" s="308"/>
      <c r="C97" s="308"/>
      <c r="D97" s="308"/>
      <c r="E97" s="308"/>
      <c r="F97" s="308"/>
      <c r="G97" s="308"/>
      <c r="H97" s="308"/>
      <c r="I97" s="308"/>
    </row>
    <row r="98" spans="1:9">
      <c r="A98" s="308"/>
      <c r="B98" s="308"/>
      <c r="C98" s="308"/>
      <c r="D98" s="308"/>
      <c r="E98" s="308"/>
      <c r="F98" s="308"/>
      <c r="G98" s="308"/>
      <c r="H98" s="308"/>
      <c r="I98" s="308"/>
    </row>
    <row r="99" spans="1:9">
      <c r="A99" s="308"/>
      <c r="B99" s="308"/>
      <c r="C99" s="308"/>
      <c r="D99" s="308"/>
      <c r="E99" s="308"/>
      <c r="F99" s="308"/>
      <c r="G99" s="308"/>
      <c r="H99" s="308"/>
      <c r="I99" s="308"/>
    </row>
    <row r="100" spans="1:9">
      <c r="A100" s="308"/>
      <c r="B100" s="308"/>
      <c r="C100" s="308"/>
      <c r="D100" s="308"/>
      <c r="E100" s="308"/>
      <c r="F100" s="308"/>
      <c r="G100" s="308"/>
      <c r="H100" s="308"/>
      <c r="I100" s="308"/>
    </row>
    <row r="101" spans="1:9">
      <c r="A101" s="308"/>
      <c r="B101" s="308"/>
      <c r="C101" s="308"/>
      <c r="D101" s="308"/>
      <c r="E101" s="308"/>
      <c r="F101" s="308"/>
      <c r="G101" s="308"/>
      <c r="H101" s="308"/>
      <c r="I101" s="308"/>
    </row>
    <row r="102" spans="1:9">
      <c r="A102" s="308"/>
      <c r="B102" s="308"/>
      <c r="C102" s="308"/>
      <c r="D102" s="308"/>
      <c r="E102" s="308"/>
      <c r="F102" s="308"/>
      <c r="G102" s="308"/>
      <c r="H102" s="308"/>
      <c r="I102" s="308"/>
    </row>
    <row r="103" spans="1:9">
      <c r="A103" s="308"/>
      <c r="B103" s="308"/>
      <c r="C103" s="308"/>
      <c r="D103" s="308"/>
      <c r="E103" s="308"/>
      <c r="F103" s="308"/>
      <c r="G103" s="308"/>
      <c r="H103" s="308"/>
      <c r="I103" s="308"/>
    </row>
    <row r="104" spans="1:9">
      <c r="A104" s="308"/>
      <c r="B104" s="308"/>
      <c r="C104" s="308"/>
      <c r="D104" s="308"/>
      <c r="E104" s="308"/>
      <c r="F104" s="308"/>
      <c r="G104" s="308"/>
      <c r="H104" s="308"/>
      <c r="I104" s="308"/>
    </row>
  </sheetData>
  <hyperlinks>
    <hyperlink ref="B4" r:id="rId1" tooltip="A-Tables-IPCC-Sector-Canada" display="http://donnees.ec.gc.ca/data/substances/monitor/national-and-provincial-territorial-greenhouse-gas-emission-tables/A-Tables-IPCC-Sector-Canada/?lang=en" xr:uid="{00000000-0004-0000-0000-000000000000}"/>
    <hyperlink ref="B18" r:id="rId2" display="http://apps.neb-one.gc.ca/nrg/ntgrtd/ftr/2016/index-eng.html" xr:uid="{00000000-0004-0000-0000-000001000000}"/>
    <hyperlink ref="D38" r:id="rId3" display="https://dataverse.harvard.edu/dataset.xhtml?persistentId=doi:10.7910/DVN/XEZXT4" xr:uid="{00000000-0004-0000-0000-000002000000}"/>
    <hyperlink ref="B5" r:id="rId4" xr:uid="{00000000-0004-0000-0000-000003000000}"/>
    <hyperlink ref="B12" r:id="rId5" xr:uid="{00000000-0004-0000-0000-000004000000}"/>
    <hyperlink ref="D33" r:id="rId6" location="data/QL" xr:uid="{00000000-0004-0000-0000-000005000000}"/>
    <hyperlink ref="B26" r:id="rId7" location="tab12" xr:uid="{00000000-0004-0000-0000-000006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AB204"/>
  <sheetViews>
    <sheetView workbookViewId="0">
      <selection activeCell="C12" sqref="C12"/>
    </sheetView>
  </sheetViews>
  <sheetFormatPr baseColWidth="10" defaultColWidth="8.6640625" defaultRowHeight="15"/>
  <cols>
    <col min="1" max="1" width="28" customWidth="1"/>
    <col min="2" max="2" width="16.1640625" customWidth="1"/>
    <col min="3" max="3" width="18.1640625" customWidth="1"/>
    <col min="4" max="4" width="16.6640625" customWidth="1"/>
    <col min="5" max="26" width="9.1640625" hidden="1" customWidth="1"/>
    <col min="28" max="28" width="25.5" bestFit="1" customWidth="1"/>
  </cols>
  <sheetData>
    <row r="1" spans="1:4">
      <c r="A1" s="6" t="s">
        <v>78</v>
      </c>
      <c r="B1" s="6"/>
      <c r="C1" s="6"/>
      <c r="D1" s="7"/>
    </row>
    <row r="2" spans="1:4">
      <c r="A2" s="71" t="s">
        <v>165</v>
      </c>
      <c r="B2" s="71" t="s">
        <v>257</v>
      </c>
      <c r="C2" s="71" t="s">
        <v>258</v>
      </c>
      <c r="D2" s="71" t="s">
        <v>259</v>
      </c>
    </row>
    <row r="3" spans="1:4">
      <c r="A3" s="71" t="s">
        <v>153</v>
      </c>
      <c r="B3" s="292">
        <v>1</v>
      </c>
      <c r="C3" s="292">
        <v>1</v>
      </c>
      <c r="D3" s="71">
        <v>1</v>
      </c>
    </row>
    <row r="4" spans="1:4">
      <c r="A4" s="71" t="s">
        <v>154</v>
      </c>
      <c r="B4" s="292">
        <v>16.2</v>
      </c>
      <c r="C4" s="292">
        <v>5</v>
      </c>
      <c r="D4" s="71"/>
    </row>
    <row r="5" spans="1:4">
      <c r="A5" s="71" t="s">
        <v>155</v>
      </c>
      <c r="B5" s="292">
        <v>5.6</v>
      </c>
      <c r="C5" s="292">
        <v>1.8</v>
      </c>
      <c r="D5" s="71"/>
    </row>
    <row r="6" spans="1:4">
      <c r="A6" s="71" t="s">
        <v>156</v>
      </c>
      <c r="B6" s="292">
        <v>-2.4</v>
      </c>
      <c r="C6" s="292">
        <v>-8.1999999999999993</v>
      </c>
      <c r="D6" s="71"/>
    </row>
    <row r="7" spans="1:4">
      <c r="A7" s="71" t="s">
        <v>157</v>
      </c>
      <c r="B7" s="292">
        <v>0</v>
      </c>
      <c r="C7" s="292">
        <v>0</v>
      </c>
      <c r="D7" s="71"/>
    </row>
    <row r="8" spans="1:4">
      <c r="A8" s="71" t="s">
        <v>158</v>
      </c>
      <c r="B8" s="292">
        <v>0</v>
      </c>
      <c r="C8" s="292">
        <v>0</v>
      </c>
      <c r="D8" s="71"/>
    </row>
    <row r="9" spans="1:4">
      <c r="A9" s="71" t="s">
        <v>159</v>
      </c>
      <c r="B9" s="292">
        <v>0</v>
      </c>
      <c r="C9" s="292">
        <v>0</v>
      </c>
      <c r="D9" s="71"/>
    </row>
    <row r="10" spans="1:4">
      <c r="A10" s="71" t="s">
        <v>160</v>
      </c>
      <c r="B10" s="292">
        <v>1200</v>
      </c>
      <c r="C10" s="292">
        <v>345</v>
      </c>
      <c r="D10" s="71"/>
    </row>
    <row r="11" spans="1:4">
      <c r="A11" s="71" t="s">
        <v>161</v>
      </c>
      <c r="B11" s="292">
        <v>-160</v>
      </c>
      <c r="C11" s="292">
        <v>-46</v>
      </c>
      <c r="D11" s="71"/>
    </row>
    <row r="12" spans="1:4">
      <c r="A12" s="71" t="s">
        <v>162</v>
      </c>
      <c r="B12" s="292">
        <v>84</v>
      </c>
      <c r="C12" s="292">
        <v>28</v>
      </c>
      <c r="D12" s="71">
        <v>25</v>
      </c>
    </row>
    <row r="13" spans="1:4">
      <c r="A13" s="71" t="s">
        <v>163</v>
      </c>
      <c r="B13" s="292">
        <v>264</v>
      </c>
      <c r="C13" s="292">
        <v>265</v>
      </c>
      <c r="D13" s="71">
        <v>298</v>
      </c>
    </row>
    <row r="14" spans="1:4">
      <c r="A14" s="71" t="s">
        <v>164</v>
      </c>
      <c r="B14" s="292">
        <v>1</v>
      </c>
      <c r="C14" s="292">
        <v>1</v>
      </c>
      <c r="D14" s="71"/>
    </row>
    <row r="15" spans="1:4">
      <c r="A15" s="71" t="s">
        <v>190</v>
      </c>
      <c r="B15" s="292">
        <v>17500</v>
      </c>
      <c r="C15" s="292">
        <v>23500</v>
      </c>
      <c r="D15" s="71">
        <v>22800</v>
      </c>
    </row>
    <row r="16" spans="1:4">
      <c r="A16" s="71" t="s">
        <v>77</v>
      </c>
      <c r="B16" s="292">
        <v>10800</v>
      </c>
      <c r="C16" s="292">
        <v>12400</v>
      </c>
      <c r="D16" s="71">
        <v>14800</v>
      </c>
    </row>
    <row r="196" spans="1:28" ht="49.5" customHeight="1">
      <c r="A196" s="552"/>
      <c r="B196" s="552"/>
      <c r="C196" s="552"/>
      <c r="D196" s="552"/>
      <c r="E196" s="552"/>
      <c r="F196" s="552"/>
      <c r="G196" s="552"/>
      <c r="H196" s="552"/>
      <c r="I196" s="552"/>
      <c r="J196" s="552"/>
    </row>
    <row r="201" spans="1:28">
      <c r="AB201" s="1"/>
    </row>
    <row r="202" spans="1:28">
      <c r="AB202" s="1"/>
    </row>
    <row r="204" spans="1:28">
      <c r="AA204" s="10"/>
    </row>
  </sheetData>
  <mergeCells count="1">
    <mergeCell ref="A196:J196"/>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V30"/>
  <sheetViews>
    <sheetView zoomScale="110" zoomScaleNormal="110" zoomScalePageLayoutView="110" workbookViewId="0">
      <selection activeCell="B2" sqref="B2"/>
    </sheetView>
  </sheetViews>
  <sheetFormatPr baseColWidth="10" defaultColWidth="8.6640625" defaultRowHeight="15"/>
  <cols>
    <col min="1" max="1" width="50.5" customWidth="1"/>
    <col min="2" max="2" width="45.33203125" customWidth="1"/>
    <col min="3" max="3" width="20" customWidth="1"/>
  </cols>
  <sheetData>
    <row r="1" spans="1:48">
      <c r="A1" s="6" t="s">
        <v>500</v>
      </c>
      <c r="B1" s="6"/>
    </row>
    <row r="2" spans="1:48">
      <c r="A2" s="71" t="s">
        <v>501</v>
      </c>
      <c r="B2">
        <f>'15'!F44</f>
        <v>939.64103783209703</v>
      </c>
    </row>
    <row r="3" spans="1:48">
      <c r="A3" s="71" t="s">
        <v>183</v>
      </c>
      <c r="B3" s="229">
        <f>'15'!F45</f>
        <v>112.794073664386</v>
      </c>
    </row>
    <row r="4" spans="1:48">
      <c r="A4" s="71" t="s">
        <v>701</v>
      </c>
      <c r="B4" s="229">
        <f>'15'!F46</f>
        <v>163.130217173613</v>
      </c>
    </row>
    <row r="5" spans="1:48">
      <c r="C5" s="1"/>
    </row>
    <row r="7" spans="1:48">
      <c r="A7" s="6" t="s">
        <v>61</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row>
    <row r="8" spans="1:48">
      <c r="B8">
        <v>2015</v>
      </c>
      <c r="C8">
        <v>2016</v>
      </c>
      <c r="D8">
        <v>2017</v>
      </c>
      <c r="E8">
        <v>2018</v>
      </c>
      <c r="F8">
        <v>2019</v>
      </c>
      <c r="G8">
        <v>2020</v>
      </c>
      <c r="H8">
        <v>2021</v>
      </c>
      <c r="I8">
        <v>2022</v>
      </c>
      <c r="J8">
        <v>2023</v>
      </c>
      <c r="K8">
        <v>2024</v>
      </c>
      <c r="L8">
        <v>2025</v>
      </c>
      <c r="M8">
        <v>2026</v>
      </c>
      <c r="N8">
        <v>2027</v>
      </c>
      <c r="O8">
        <v>2028</v>
      </c>
      <c r="P8">
        <v>2029</v>
      </c>
      <c r="Q8">
        <v>2030</v>
      </c>
      <c r="R8">
        <v>2031</v>
      </c>
      <c r="S8">
        <v>2032</v>
      </c>
      <c r="T8">
        <v>2033</v>
      </c>
      <c r="U8">
        <v>2034</v>
      </c>
      <c r="V8">
        <v>2035</v>
      </c>
      <c r="W8">
        <v>2036</v>
      </c>
      <c r="X8">
        <v>2037</v>
      </c>
      <c r="Y8">
        <v>2038</v>
      </c>
      <c r="Z8">
        <v>2039</v>
      </c>
      <c r="AA8">
        <v>2040</v>
      </c>
      <c r="AB8">
        <v>2041</v>
      </c>
      <c r="AC8">
        <v>2042</v>
      </c>
      <c r="AD8">
        <v>2043</v>
      </c>
      <c r="AE8">
        <v>2044</v>
      </c>
      <c r="AF8">
        <v>2045</v>
      </c>
      <c r="AG8">
        <v>2046</v>
      </c>
      <c r="AH8">
        <v>2047</v>
      </c>
      <c r="AI8">
        <v>2048</v>
      </c>
      <c r="AJ8">
        <v>2049</v>
      </c>
      <c r="AK8">
        <v>2050</v>
      </c>
    </row>
    <row r="9" spans="1:48">
      <c r="A9" s="71" t="s">
        <v>733</v>
      </c>
      <c r="B9" s="1">
        <f>SUM(B2:B4)</f>
        <v>1215.5653286700958</v>
      </c>
      <c r="C9" s="1">
        <f>SUM(B9)*(($E$25-$C$25)/$C$25/($E$19-$C$19+1)+1)</f>
        <v>1222.7157129563905</v>
      </c>
      <c r="D9" s="1">
        <f t="shared" ref="D9:AK9" si="0">SUM(C9)*(($E$25-$C$25)/$C$25/($E$19-$C$19+1)+1)</f>
        <v>1229.9081583267221</v>
      </c>
      <c r="E9" s="1">
        <f t="shared" si="0"/>
        <v>1237.1429121992321</v>
      </c>
      <c r="F9" s="1">
        <f t="shared" si="0"/>
        <v>1244.4202234474628</v>
      </c>
      <c r="G9" s="1">
        <f t="shared" si="0"/>
        <v>1251.7403424089184</v>
      </c>
      <c r="H9" s="1">
        <f t="shared" si="0"/>
        <v>1259.1035208936767</v>
      </c>
      <c r="I9" s="1">
        <f t="shared" si="0"/>
        <v>1266.5100121930511</v>
      </c>
      <c r="J9" s="1">
        <f t="shared" si="0"/>
        <v>1273.9600710883044</v>
      </c>
      <c r="K9" s="1">
        <f t="shared" si="0"/>
        <v>1281.453953859412</v>
      </c>
      <c r="L9" s="1">
        <f t="shared" si="0"/>
        <v>1288.9919182938791</v>
      </c>
      <c r="M9" s="1">
        <f t="shared" si="0"/>
        <v>1296.5742236956078</v>
      </c>
      <c r="N9" s="1">
        <f t="shared" si="0"/>
        <v>1304.2011308938172</v>
      </c>
      <c r="O9" s="1">
        <f t="shared" si="0"/>
        <v>1311.872902252016</v>
      </c>
      <c r="P9" s="1">
        <f t="shared" si="0"/>
        <v>1319.5898016770279</v>
      </c>
      <c r="Q9" s="1">
        <f t="shared" si="0"/>
        <v>1327.3520946280692</v>
      </c>
      <c r="R9" s="1">
        <f t="shared" si="0"/>
        <v>1335.1600481258813</v>
      </c>
      <c r="S9" s="1">
        <f t="shared" si="0"/>
        <v>1343.0139307619158</v>
      </c>
      <c r="T9" s="1">
        <f t="shared" si="0"/>
        <v>1350.9140127075741</v>
      </c>
      <c r="U9" s="1">
        <f t="shared" si="0"/>
        <v>1358.8605657235009</v>
      </c>
      <c r="V9" s="1">
        <f t="shared" si="0"/>
        <v>1366.8538631689332</v>
      </c>
      <c r="W9" s="1">
        <f t="shared" si="0"/>
        <v>1374.8941800111033</v>
      </c>
      <c r="X9" s="1">
        <f t="shared" si="0"/>
        <v>1382.9817928346981</v>
      </c>
      <c r="Y9" s="1">
        <f t="shared" si="0"/>
        <v>1391.1169798513729</v>
      </c>
      <c r="Z9" s="1">
        <f t="shared" si="0"/>
        <v>1399.300020909322</v>
      </c>
      <c r="AA9" s="1">
        <f t="shared" si="0"/>
        <v>1407.5311975029063</v>
      </c>
      <c r="AB9" s="1">
        <f t="shared" si="0"/>
        <v>1415.8107927823351</v>
      </c>
      <c r="AC9" s="1">
        <f t="shared" si="0"/>
        <v>1424.1390915634076</v>
      </c>
      <c r="AD9" s="1">
        <f t="shared" si="0"/>
        <v>1432.51638033731</v>
      </c>
      <c r="AE9" s="1">
        <f t="shared" si="0"/>
        <v>1440.9429472804707</v>
      </c>
      <c r="AF9" s="1">
        <f t="shared" si="0"/>
        <v>1449.4190822644734</v>
      </c>
      <c r="AG9" s="1">
        <f t="shared" si="0"/>
        <v>1457.9450768660292</v>
      </c>
      <c r="AH9" s="1">
        <f t="shared" si="0"/>
        <v>1466.5212243770059</v>
      </c>
      <c r="AI9" s="1">
        <f t="shared" si="0"/>
        <v>1475.1478198145176</v>
      </c>
      <c r="AJ9" s="1">
        <f t="shared" si="0"/>
        <v>1483.8251599310736</v>
      </c>
      <c r="AK9" s="1">
        <f t="shared" si="0"/>
        <v>1492.5535432247857</v>
      </c>
    </row>
    <row r="10" spans="1:48">
      <c r="A10" s="71" t="s">
        <v>0</v>
      </c>
      <c r="B10" s="1">
        <f>B9/10^3</f>
        <v>1.2155653286700958</v>
      </c>
      <c r="C10" s="1">
        <f t="shared" ref="C10:AK10" si="1">C9/10^3</f>
        <v>1.2227157129563904</v>
      </c>
      <c r="D10" s="1">
        <f t="shared" si="1"/>
        <v>1.229908158326722</v>
      </c>
      <c r="E10" s="1">
        <f t="shared" si="1"/>
        <v>1.2371429121992321</v>
      </c>
      <c r="F10" s="1">
        <f t="shared" si="1"/>
        <v>1.2444202234474628</v>
      </c>
      <c r="G10" s="1">
        <f t="shared" si="1"/>
        <v>1.2517403424089184</v>
      </c>
      <c r="H10" s="1">
        <f t="shared" si="1"/>
        <v>1.2591035208936767</v>
      </c>
      <c r="I10" s="1">
        <f t="shared" si="1"/>
        <v>1.266510012193051</v>
      </c>
      <c r="J10" s="1">
        <f t="shared" si="1"/>
        <v>1.2739600710883043</v>
      </c>
      <c r="K10" s="1">
        <f t="shared" si="1"/>
        <v>1.2814539538594121</v>
      </c>
      <c r="L10" s="1">
        <f t="shared" si="1"/>
        <v>1.2889919182938792</v>
      </c>
      <c r="M10" s="1">
        <f t="shared" si="1"/>
        <v>1.2965742236956077</v>
      </c>
      <c r="N10" s="1">
        <f t="shared" si="1"/>
        <v>1.3042011308938173</v>
      </c>
      <c r="O10" s="1">
        <f t="shared" si="1"/>
        <v>1.3118729022520161</v>
      </c>
      <c r="P10" s="1">
        <f t="shared" si="1"/>
        <v>1.319589801677028</v>
      </c>
      <c r="Q10" s="1">
        <f t="shared" si="1"/>
        <v>1.3273520946280692</v>
      </c>
      <c r="R10" s="1">
        <f t="shared" si="1"/>
        <v>1.3351600481258814</v>
      </c>
      <c r="S10" s="1">
        <f t="shared" si="1"/>
        <v>1.3430139307619158</v>
      </c>
      <c r="T10" s="1">
        <f t="shared" si="1"/>
        <v>1.3509140127075741</v>
      </c>
      <c r="U10" s="1">
        <f t="shared" si="1"/>
        <v>1.3588605657235009</v>
      </c>
      <c r="V10" s="1">
        <f t="shared" si="1"/>
        <v>1.3668538631689333</v>
      </c>
      <c r="W10" s="1">
        <f t="shared" si="1"/>
        <v>1.3748941800111034</v>
      </c>
      <c r="X10" s="1">
        <f t="shared" si="1"/>
        <v>1.3829817928346981</v>
      </c>
      <c r="Y10" s="1">
        <f t="shared" si="1"/>
        <v>1.3911169798513729</v>
      </c>
      <c r="Z10" s="1">
        <f t="shared" si="1"/>
        <v>1.399300020909322</v>
      </c>
      <c r="AA10" s="1">
        <f t="shared" si="1"/>
        <v>1.4075311975029063</v>
      </c>
      <c r="AB10" s="1">
        <f t="shared" si="1"/>
        <v>1.4158107927823351</v>
      </c>
      <c r="AC10" s="1">
        <f t="shared" si="1"/>
        <v>1.4241390915634076</v>
      </c>
      <c r="AD10" s="1">
        <f t="shared" si="1"/>
        <v>1.43251638033731</v>
      </c>
      <c r="AE10" s="1">
        <f t="shared" si="1"/>
        <v>1.4409429472804707</v>
      </c>
      <c r="AF10" s="1">
        <f t="shared" si="1"/>
        <v>1.4494190822644735</v>
      </c>
      <c r="AG10" s="1">
        <f t="shared" si="1"/>
        <v>1.4579450768660291</v>
      </c>
      <c r="AH10" s="1">
        <f t="shared" si="1"/>
        <v>1.4665212243770058</v>
      </c>
      <c r="AI10" s="1">
        <f t="shared" si="1"/>
        <v>1.4751478198145176</v>
      </c>
      <c r="AJ10" s="1">
        <f t="shared" si="1"/>
        <v>1.4838251599310737</v>
      </c>
      <c r="AK10" s="1">
        <f t="shared" si="1"/>
        <v>1.4925535432247856</v>
      </c>
    </row>
    <row r="13" spans="1:48">
      <c r="A13" s="226"/>
      <c r="B13" s="226"/>
      <c r="C13" s="226"/>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27"/>
      <c r="AE13" s="227"/>
      <c r="AF13" s="227"/>
      <c r="AG13" s="227"/>
      <c r="AH13" s="227"/>
      <c r="AI13" s="227"/>
      <c r="AJ13" s="227"/>
      <c r="AK13" s="227"/>
      <c r="AL13" s="227"/>
      <c r="AM13" s="227"/>
      <c r="AN13" s="227"/>
      <c r="AO13" s="227"/>
      <c r="AP13" s="227"/>
      <c r="AQ13" s="227"/>
      <c r="AR13" s="227"/>
      <c r="AS13" s="227"/>
      <c r="AT13" s="227"/>
      <c r="AU13" s="227"/>
      <c r="AV13" s="227"/>
    </row>
    <row r="14" spans="1:48">
      <c r="A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row>
    <row r="16" spans="1:48">
      <c r="A16" s="5" t="s">
        <v>838</v>
      </c>
    </row>
    <row r="17" spans="1:7">
      <c r="A17" t="s">
        <v>844</v>
      </c>
    </row>
    <row r="18" spans="1:7" ht="17" thickBot="1">
      <c r="A18" s="553" t="s">
        <v>843</v>
      </c>
      <c r="B18" s="554"/>
      <c r="C18" s="554"/>
      <c r="D18" s="554"/>
      <c r="E18" s="554"/>
      <c r="F18" s="554"/>
      <c r="G18" s="554"/>
    </row>
    <row r="19" spans="1:7">
      <c r="A19" s="555"/>
      <c r="B19" s="555">
        <v>2005</v>
      </c>
      <c r="C19" s="555">
        <v>2014</v>
      </c>
      <c r="D19" s="555">
        <v>2020</v>
      </c>
      <c r="E19" s="555">
        <v>2030</v>
      </c>
      <c r="F19" s="286" t="s">
        <v>727</v>
      </c>
      <c r="G19" s="286" t="s">
        <v>727</v>
      </c>
    </row>
    <row r="20" spans="1:7" ht="16" thickBot="1">
      <c r="A20" s="556"/>
      <c r="B20" s="556"/>
      <c r="C20" s="556"/>
      <c r="D20" s="556"/>
      <c r="E20" s="556"/>
      <c r="F20" s="287" t="s">
        <v>728</v>
      </c>
      <c r="G20" s="287" t="s">
        <v>729</v>
      </c>
    </row>
    <row r="21" spans="1:7" ht="16" thickBot="1">
      <c r="A21" s="288" t="s">
        <v>33</v>
      </c>
      <c r="B21" s="289">
        <v>6</v>
      </c>
      <c r="C21" s="289">
        <v>8</v>
      </c>
      <c r="D21" s="289">
        <v>9</v>
      </c>
      <c r="E21" s="289">
        <v>10</v>
      </c>
      <c r="F21" s="289">
        <v>3</v>
      </c>
      <c r="G21" s="289">
        <v>4</v>
      </c>
    </row>
    <row r="22" spans="1:7" ht="16" thickBot="1">
      <c r="A22" s="288" t="s">
        <v>730</v>
      </c>
      <c r="B22" s="289">
        <v>14</v>
      </c>
      <c r="C22" s="289">
        <v>10</v>
      </c>
      <c r="D22" s="289">
        <v>12</v>
      </c>
      <c r="E22" s="289">
        <v>15</v>
      </c>
      <c r="F22" s="289">
        <v>-2</v>
      </c>
      <c r="G22" s="289">
        <v>1</v>
      </c>
    </row>
    <row r="23" spans="1:7" ht="16" thickBot="1">
      <c r="A23" s="288" t="s">
        <v>669</v>
      </c>
      <c r="B23" s="289">
        <v>9</v>
      </c>
      <c r="C23" s="289">
        <v>7</v>
      </c>
      <c r="D23" s="289">
        <v>8</v>
      </c>
      <c r="E23" s="289">
        <v>7</v>
      </c>
      <c r="F23" s="289">
        <v>-1</v>
      </c>
      <c r="G23" s="289">
        <v>-2</v>
      </c>
    </row>
    <row r="24" spans="1:7" ht="16" thickBot="1">
      <c r="A24" s="288" t="s">
        <v>2</v>
      </c>
      <c r="B24" s="289">
        <v>19</v>
      </c>
      <c r="C24" s="289">
        <v>16</v>
      </c>
      <c r="D24" s="289">
        <v>17</v>
      </c>
      <c r="E24" s="289">
        <v>21</v>
      </c>
      <c r="F24" s="289">
        <v>-2</v>
      </c>
      <c r="G24" s="289">
        <v>1</v>
      </c>
    </row>
    <row r="25" spans="1:7" ht="16" thickBot="1">
      <c r="A25" s="288" t="s">
        <v>35</v>
      </c>
      <c r="B25" s="289">
        <v>13</v>
      </c>
      <c r="C25" s="289">
        <v>10</v>
      </c>
      <c r="D25" s="289">
        <v>10</v>
      </c>
      <c r="E25" s="289">
        <v>11</v>
      </c>
      <c r="F25" s="289">
        <v>-3</v>
      </c>
      <c r="G25" s="289">
        <v>-2</v>
      </c>
    </row>
    <row r="26" spans="1:7" ht="16" thickBot="1">
      <c r="A26" s="288" t="s">
        <v>731</v>
      </c>
      <c r="B26" s="289">
        <v>3</v>
      </c>
      <c r="C26" s="289">
        <v>3</v>
      </c>
      <c r="D26" s="289">
        <v>2</v>
      </c>
      <c r="E26" s="289">
        <v>3</v>
      </c>
      <c r="F26" s="289">
        <v>-1</v>
      </c>
      <c r="G26" s="289">
        <v>-1</v>
      </c>
    </row>
    <row r="27" spans="1:7" ht="16" thickBot="1">
      <c r="A27" s="288" t="s">
        <v>732</v>
      </c>
      <c r="B27" s="289">
        <v>23</v>
      </c>
      <c r="C27" s="289">
        <v>24</v>
      </c>
      <c r="D27" s="289">
        <v>27</v>
      </c>
      <c r="E27" s="289">
        <v>31</v>
      </c>
      <c r="F27" s="289">
        <v>3</v>
      </c>
      <c r="G27" s="289">
        <v>7</v>
      </c>
    </row>
    <row r="28" spans="1:7" ht="16" thickBot="1">
      <c r="A28" s="290" t="s">
        <v>40</v>
      </c>
      <c r="B28" s="291">
        <v>88</v>
      </c>
      <c r="C28" s="291">
        <v>76</v>
      </c>
      <c r="D28" s="291">
        <v>85</v>
      </c>
      <c r="E28" s="291">
        <v>97</v>
      </c>
      <c r="F28" s="291">
        <v>-4</v>
      </c>
      <c r="G28" s="291">
        <v>9</v>
      </c>
    </row>
    <row r="30" spans="1:7">
      <c r="A30" s="2" t="s">
        <v>734</v>
      </c>
    </row>
  </sheetData>
  <mergeCells count="6">
    <mergeCell ref="A18:G18"/>
    <mergeCell ref="A19:A20"/>
    <mergeCell ref="B19:B20"/>
    <mergeCell ref="C19:C20"/>
    <mergeCell ref="D19:D20"/>
    <mergeCell ref="E19:E20"/>
  </mergeCells>
  <hyperlinks>
    <hyperlink ref="A30" r:id="rId1" location="tab12" xr:uid="{00000000-0004-0000-02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K10"/>
  <sheetViews>
    <sheetView workbookViewId="0">
      <selection activeCell="A7" sqref="A7:A8"/>
    </sheetView>
  </sheetViews>
  <sheetFormatPr baseColWidth="10" defaultColWidth="8.6640625" defaultRowHeight="15"/>
  <cols>
    <col min="1" max="1" width="37.1640625" bestFit="1" customWidth="1"/>
  </cols>
  <sheetData>
    <row r="1" spans="1:37">
      <c r="A1" s="6" t="s">
        <v>345</v>
      </c>
      <c r="B1" s="6"/>
    </row>
    <row r="2" spans="1:37">
      <c r="A2" s="71" t="s">
        <v>59</v>
      </c>
      <c r="B2">
        <f>'15'!F50</f>
        <v>0.68724198704998796</v>
      </c>
      <c r="C2" s="5" t="s">
        <v>829</v>
      </c>
      <c r="F2" s="5" t="s">
        <v>846</v>
      </c>
    </row>
    <row r="3" spans="1:37">
      <c r="A3" s="71" t="s">
        <v>60</v>
      </c>
      <c r="B3">
        <f>'15'!G50</f>
        <v>6.0000000000000002E-6</v>
      </c>
      <c r="C3" s="5" t="s">
        <v>829</v>
      </c>
    </row>
    <row r="5" spans="1:37">
      <c r="A5" s="6" t="s">
        <v>61</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row>
    <row r="6" spans="1:37">
      <c r="B6">
        <v>2015</v>
      </c>
      <c r="C6">
        <v>2016</v>
      </c>
      <c r="D6">
        <v>2017</v>
      </c>
      <c r="E6">
        <v>2018</v>
      </c>
      <c r="F6">
        <v>2019</v>
      </c>
      <c r="G6">
        <v>2020</v>
      </c>
      <c r="H6">
        <v>2021</v>
      </c>
      <c r="I6">
        <v>2022</v>
      </c>
      <c r="J6">
        <v>2023</v>
      </c>
      <c r="K6">
        <v>2024</v>
      </c>
      <c r="L6">
        <v>2025</v>
      </c>
      <c r="M6">
        <v>2026</v>
      </c>
      <c r="N6">
        <v>2027</v>
      </c>
      <c r="O6">
        <v>2028</v>
      </c>
      <c r="P6">
        <v>2029</v>
      </c>
      <c r="Q6">
        <v>2030</v>
      </c>
      <c r="R6">
        <v>2031</v>
      </c>
      <c r="S6">
        <v>2032</v>
      </c>
      <c r="T6">
        <v>2033</v>
      </c>
      <c r="U6">
        <v>2034</v>
      </c>
      <c r="V6">
        <v>2035</v>
      </c>
      <c r="W6">
        <v>2036</v>
      </c>
      <c r="X6">
        <v>2037</v>
      </c>
      <c r="Y6">
        <v>2038</v>
      </c>
      <c r="Z6">
        <v>2039</v>
      </c>
      <c r="AA6">
        <v>2040</v>
      </c>
      <c r="AB6">
        <v>2041</v>
      </c>
      <c r="AC6">
        <v>2042</v>
      </c>
      <c r="AD6">
        <v>2043</v>
      </c>
      <c r="AE6">
        <v>2044</v>
      </c>
      <c r="AF6">
        <v>2045</v>
      </c>
      <c r="AG6">
        <v>2046</v>
      </c>
      <c r="AH6">
        <v>2047</v>
      </c>
      <c r="AI6">
        <v>2048</v>
      </c>
      <c r="AJ6">
        <v>2049</v>
      </c>
      <c r="AK6">
        <v>2050</v>
      </c>
    </row>
    <row r="7" spans="1:37">
      <c r="A7" s="71" t="s">
        <v>52</v>
      </c>
      <c r="B7" s="11">
        <f>$B$2*'Coal Supply and Demand'!L$11/'Coal Supply and Demand'!$L$11/10^3</f>
        <v>6.8724198704998797E-4</v>
      </c>
      <c r="C7" s="11">
        <f>$B$2*'Coal Supply and Demand'!M$11/'Coal Supply and Demand'!$L$11/10^3</f>
        <v>7.0184074938108151E-4</v>
      </c>
      <c r="D7" s="11">
        <f>$B$2*'Coal Supply and Demand'!N$11/'Coal Supply and Demand'!$L$11/10^3</f>
        <v>7.0624523277673678E-4</v>
      </c>
      <c r="E7" s="11">
        <f>$B$2*'Coal Supply and Demand'!O$11/'Coal Supply and Demand'!$L$11/10^3</f>
        <v>7.0706794249237313E-4</v>
      </c>
      <c r="F7" s="11">
        <f>$B$2*'Coal Supply and Demand'!P$11/'Coal Supply and Demand'!$L$11/10^3</f>
        <v>7.0624715949738233E-4</v>
      </c>
      <c r="G7" s="11">
        <f>$B$2*'Coal Supply and Demand'!Q$11/'Coal Supply and Demand'!$L$11/10^3</f>
        <v>7.1154371455191268E-4</v>
      </c>
      <c r="H7" s="11">
        <f>$B$2*'Coal Supply and Demand'!R$11/'Coal Supply and Demand'!$L$11/10^3</f>
        <v>7.1186547689971417E-4</v>
      </c>
      <c r="I7" s="11">
        <f>$B$2*'Coal Supply and Demand'!S$11/'Coal Supply and Demand'!$L$11/10^3</f>
        <v>7.1297526799153285E-4</v>
      </c>
      <c r="J7" s="11">
        <f>$B$2*'Coal Supply and Demand'!T$11/'Coal Supply and Demand'!$L$11/10^3</f>
        <v>7.1492318256415196E-4</v>
      </c>
      <c r="K7" s="11">
        <f>$B$2*'Coal Supply and Demand'!U$11/'Coal Supply and Demand'!$L$11/10^3</f>
        <v>7.2168982547121294E-4</v>
      </c>
      <c r="L7" s="11">
        <f>$B$2*'Coal Supply and Demand'!V$11/'Coal Supply and Demand'!$L$11/10^3</f>
        <v>7.2747769429035039E-4</v>
      </c>
      <c r="M7" s="11">
        <f>$B$2*'Coal Supply and Demand'!W$11/'Coal Supply and Demand'!$L$11/10^3</f>
        <v>7.3456031938327632E-4</v>
      </c>
      <c r="N7" s="11">
        <f>$B$2*'Coal Supply and Demand'!X$11/'Coal Supply and Demand'!$L$11/10^3</f>
        <v>7.4081830803992036E-4</v>
      </c>
      <c r="O7" s="11">
        <f>$B$2*'Coal Supply and Demand'!Y$11/'Coal Supply and Demand'!$L$11/10^3</f>
        <v>7.4685665054297534E-4</v>
      </c>
      <c r="P7" s="11">
        <f>$B$2*'Coal Supply and Demand'!Z$11/'Coal Supply and Demand'!$L$11/10^3</f>
        <v>7.5315510033317518E-4</v>
      </c>
      <c r="Q7" s="11">
        <f>$B$2*'Coal Supply and Demand'!AA$11/'Coal Supply and Demand'!$L$11/10^3</f>
        <v>7.6029745376611231E-4</v>
      </c>
      <c r="R7" s="11">
        <f>$B$2*'Coal Supply and Demand'!AB$11/'Coal Supply and Demand'!$L$11/10^3</f>
        <v>7.6720474728029597E-4</v>
      </c>
      <c r="S7" s="11">
        <f>$B$2*'Coal Supply and Demand'!AC$11/'Coal Supply and Demand'!$L$11/10^3</f>
        <v>7.7311014605881026E-4</v>
      </c>
      <c r="T7" s="11">
        <f>$B$2*'Coal Supply and Demand'!AD$11/'Coal Supply and Demand'!$L$11/10^3</f>
        <v>7.7881516589019045E-4</v>
      </c>
      <c r="U7" s="11">
        <f>$B$2*'Coal Supply and Demand'!AE$11/'Coal Supply and Demand'!$L$11/10^3</f>
        <v>7.8361077357688594E-4</v>
      </c>
      <c r="V7" s="11">
        <f>$B$2*'Coal Supply and Demand'!AF$11/'Coal Supply and Demand'!$L$11/10^3</f>
        <v>7.8791314077832878E-4</v>
      </c>
      <c r="W7" s="11">
        <f>$B$2*'Coal Supply and Demand'!AG$11/'Coal Supply and Demand'!$L$11/10^3</f>
        <v>7.9215192619846932E-4</v>
      </c>
      <c r="X7" s="11">
        <f>$B$2*'Coal Supply and Demand'!AH$11/'Coal Supply and Demand'!$L$11/10^3</f>
        <v>7.9639263833925541E-4</v>
      </c>
      <c r="Y7" s="11">
        <f>$B$2*'Coal Supply and Demand'!AI$11/'Coal Supply and Demand'!$L$11/10^3</f>
        <v>8.0112466424464904E-4</v>
      </c>
      <c r="Z7" s="11">
        <f>$B$2*'Coal Supply and Demand'!AJ$11/'Coal Supply and Demand'!$L$11/10^3</f>
        <v>8.0634993063529511E-4</v>
      </c>
      <c r="AA7" s="11">
        <f>$B$2*'Coal Supply and Demand'!AK$11/'Coal Supply and Demand'!$L$11/10^3</f>
        <v>8.1213779945443266E-4</v>
      </c>
      <c r="AB7" s="22">
        <f>(($AA7-$R7)/$R7/10+1)*AA7</f>
        <v>8.1689426508434919E-4</v>
      </c>
      <c r="AC7" s="22">
        <f t="shared" ref="AC7:AK7" si="0">(($AA7-$R7)/$R7/10+1)*AB7</f>
        <v>8.216785880129948E-4</v>
      </c>
      <c r="AD7" s="22">
        <f t="shared" si="0"/>
        <v>8.2649093139283453E-4</v>
      </c>
      <c r="AE7" s="22">
        <f t="shared" si="0"/>
        <v>8.3133145933187217E-4</v>
      </c>
      <c r="AF7" s="22">
        <f t="shared" si="0"/>
        <v>8.362003368992464E-4</v>
      </c>
      <c r="AG7" s="22">
        <f t="shared" si="0"/>
        <v>8.4109773013086014E-4</v>
      </c>
      <c r="AH7" s="22">
        <f t="shared" si="0"/>
        <v>8.4602380603504253E-4</v>
      </c>
      <c r="AI7" s="22">
        <f t="shared" si="0"/>
        <v>8.5097873259824407E-4</v>
      </c>
      <c r="AJ7" s="22">
        <f t="shared" si="0"/>
        <v>8.5596267879076528E-4</v>
      </c>
      <c r="AK7" s="22">
        <f t="shared" si="0"/>
        <v>8.6097581457251875E-4</v>
      </c>
    </row>
    <row r="8" spans="1:37">
      <c r="A8" s="71" t="s">
        <v>51</v>
      </c>
      <c r="B8" s="11">
        <f>$B$3*'Coal Supply and Demand'!L$11/'Coal Supply and Demand'!$L$11</f>
        <v>6.0000000000000002E-6</v>
      </c>
      <c r="C8" s="11">
        <f>$B$3*'Coal Supply and Demand'!M$11/'Coal Supply and Demand'!$L$11</f>
        <v>6.1274552132103507E-6</v>
      </c>
      <c r="D8" s="11">
        <f>$B$3*'Coal Supply and Demand'!N$11/'Coal Supply and Demand'!$L$11</f>
        <v>6.1659087723233063E-6</v>
      </c>
      <c r="E8" s="11">
        <f>$B$3*'Coal Supply and Demand'!O$11/'Coal Supply and Demand'!$L$11</f>
        <v>6.1730914799966363E-6</v>
      </c>
      <c r="F8" s="11">
        <f>$B$3*'Coal Supply and Demand'!P$11/'Coal Supply and Demand'!$L$11</f>
        <v>6.1659255936527521E-6</v>
      </c>
      <c r="G8" s="11">
        <f>$B$3*'Coal Supply and Demand'!Q$11/'Coal Supply and Demand'!$L$11</f>
        <v>6.2121674282990835E-6</v>
      </c>
      <c r="H8" s="11">
        <f>$B$3*'Coal Supply and Demand'!R$11/'Coal Supply and Demand'!$L$11</f>
        <v>6.2149765903165207E-6</v>
      </c>
      <c r="I8" s="11">
        <f>$B$3*'Coal Supply and Demand'!S$11/'Coal Supply and Demand'!$L$11</f>
        <v>6.2246656760772667E-6</v>
      </c>
      <c r="J8" s="11">
        <f>$B$3*'Coal Supply and Demand'!T$11/'Coal Supply and Demand'!$L$11</f>
        <v>6.241672040146907E-6</v>
      </c>
      <c r="K8" s="11">
        <f>$B$3*'Coal Supply and Demand'!U$11/'Coal Supply and Demand'!$L$11</f>
        <v>6.3007485491603352E-6</v>
      </c>
      <c r="L8" s="11">
        <f>$B$3*'Coal Supply and Demand'!V$11/'Coal Supply and Demand'!$L$11</f>
        <v>6.3512798228153306E-6</v>
      </c>
      <c r="M8" s="11">
        <f>$B$3*'Coal Supply and Demand'!W$11/'Coal Supply and Demand'!$L$11</f>
        <v>6.4131150298578596E-6</v>
      </c>
      <c r="N8" s="11">
        <f>$B$3*'Coal Supply and Demand'!X$11/'Coal Supply and Demand'!$L$11</f>
        <v>6.4677507078976137E-6</v>
      </c>
      <c r="O8" s="11">
        <f>$B$3*'Coal Supply and Demand'!Y$11/'Coal Supply and Demand'!$L$11</f>
        <v>6.5204687543805546E-6</v>
      </c>
      <c r="P8" s="11">
        <f>$B$3*'Coal Supply and Demand'!Z$11/'Coal Supply and Demand'!$L$11</f>
        <v>6.575457680338669E-6</v>
      </c>
      <c r="Q8" s="11">
        <f>$B$3*'Coal Supply and Demand'!AA$11/'Coal Supply and Demand'!$L$11</f>
        <v>6.6378143485940167E-6</v>
      </c>
      <c r="R8" s="11">
        <f>$B$3*'Coal Supply and Demand'!AB$11/'Coal Supply and Demand'!$L$11</f>
        <v>6.6981188146569843E-6</v>
      </c>
      <c r="S8" s="11">
        <f>$B$3*'Coal Supply and Demand'!AC$11/'Coal Supply and Demand'!$L$11</f>
        <v>6.7496761894081698E-6</v>
      </c>
      <c r="T8" s="11">
        <f>$B$3*'Coal Supply and Demand'!AD$11/'Coal Supply and Demand'!$L$11</f>
        <v>6.7994841458969971E-6</v>
      </c>
      <c r="U8" s="11">
        <f>$B$3*'Coal Supply and Demand'!AE$11/'Coal Supply and Demand'!$L$11</f>
        <v>6.8413524348874376E-6</v>
      </c>
      <c r="V8" s="11">
        <f>$B$3*'Coal Supply and Demand'!AF$11/'Coal Supply and Demand'!$L$11</f>
        <v>6.8789144635397683E-6</v>
      </c>
      <c r="W8" s="11">
        <f>$B$3*'Coal Supply and Demand'!AG$11/'Coal Supply and Demand'!$L$11</f>
        <v>6.9159213883203904E-6</v>
      </c>
      <c r="X8" s="11">
        <f>$B$3*'Coal Supply and Demand'!AH$11/'Coal Supply and Demand'!$L$11</f>
        <v>6.9529451344304575E-6</v>
      </c>
      <c r="Y8" s="11">
        <f>$B$3*'Coal Supply and Demand'!AI$11/'Coal Supply and Demand'!$L$11</f>
        <v>6.9942583195491893E-6</v>
      </c>
      <c r="Z8" s="11">
        <f>$B$3*'Coal Supply and Demand'!AJ$11/'Coal Supply and Demand'!$L$11</f>
        <v>7.0398777650060273E-6</v>
      </c>
      <c r="AA8" s="11">
        <f>$B$3*'Coal Supply and Demand'!AK$11/'Coal Supply and Demand'!$L$11</f>
        <v>7.0904090386610227E-6</v>
      </c>
      <c r="AB8" s="22">
        <f>(($AA8-$R8)/$R8/10+1)*AA8</f>
        <v>7.1319355959978394E-6</v>
      </c>
      <c r="AC8" s="22">
        <f t="shared" ref="AC8:AK8" si="1">(($AA8-$R8)/$R8/10+1)*AB8</f>
        <v>7.1737053628525897E-6</v>
      </c>
      <c r="AD8" s="22">
        <f t="shared" si="1"/>
        <v>7.2157197636359024E-6</v>
      </c>
      <c r="AE8" s="22">
        <f t="shared" si="1"/>
        <v>7.2579802311007823E-6</v>
      </c>
      <c r="AF8" s="22">
        <f t="shared" si="1"/>
        <v>7.300488206391472E-6</v>
      </c>
      <c r="AG8" s="22">
        <f t="shared" si="1"/>
        <v>7.3432451390925957E-6</v>
      </c>
      <c r="AH8" s="22">
        <f t="shared" si="1"/>
        <v>7.3862524872785917E-6</v>
      </c>
      <c r="AI8" s="22">
        <f t="shared" si="1"/>
        <v>7.429511717563436E-6</v>
      </c>
      <c r="AJ8" s="22">
        <f t="shared" si="1"/>
        <v>7.4730243051506548E-6</v>
      </c>
      <c r="AK8" s="22">
        <f t="shared" si="1"/>
        <v>7.5167917338836334E-6</v>
      </c>
    </row>
    <row r="10" spans="1:37">
      <c r="A10" s="5"/>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K38"/>
  <sheetViews>
    <sheetView workbookViewId="0">
      <selection activeCell="W15" sqref="W15"/>
    </sheetView>
  </sheetViews>
  <sheetFormatPr baseColWidth="10" defaultColWidth="8.6640625" defaultRowHeight="15"/>
  <cols>
    <col min="1" max="1" width="23" customWidth="1"/>
  </cols>
  <sheetData>
    <row r="1" spans="1:26">
      <c r="A1" s="6" t="s">
        <v>265</v>
      </c>
      <c r="B1" s="6"/>
      <c r="C1" s="6"/>
      <c r="D1" s="6"/>
      <c r="E1" s="6"/>
      <c r="F1" s="6"/>
      <c r="G1" s="6"/>
      <c r="H1" s="6"/>
      <c r="I1" s="6"/>
      <c r="J1" s="6"/>
      <c r="K1" s="6"/>
      <c r="L1" s="6"/>
      <c r="M1" s="6"/>
      <c r="N1" s="5"/>
      <c r="P1" s="5" t="s">
        <v>849</v>
      </c>
      <c r="W1" s="5" t="s">
        <v>855</v>
      </c>
    </row>
    <row r="2" spans="1:26">
      <c r="B2">
        <v>2011</v>
      </c>
      <c r="C2">
        <v>2012</v>
      </c>
      <c r="D2">
        <v>2013</v>
      </c>
      <c r="E2">
        <v>2014</v>
      </c>
      <c r="F2">
        <v>2015</v>
      </c>
      <c r="P2" s="305">
        <v>2011</v>
      </c>
      <c r="Q2" s="305">
        <v>2012</v>
      </c>
      <c r="R2" s="305">
        <v>2013</v>
      </c>
      <c r="S2" s="305">
        <v>2014</v>
      </c>
      <c r="T2" s="305">
        <v>2015</v>
      </c>
      <c r="W2" t="s">
        <v>856</v>
      </c>
      <c r="X2" s="71">
        <f>0.42</f>
        <v>0.42</v>
      </c>
    </row>
    <row r="3" spans="1:26" ht="37.5" customHeight="1">
      <c r="A3" s="234" t="s">
        <v>262</v>
      </c>
      <c r="B3" s="22">
        <f>P12</f>
        <v>0.51757391001262143</v>
      </c>
      <c r="C3" s="22">
        <f>Q12</f>
        <v>0.40898207416586724</v>
      </c>
      <c r="D3" s="22">
        <f>R12</f>
        <v>0.54114962290843294</v>
      </c>
      <c r="E3" s="22">
        <f>S12</f>
        <v>0.36295461603340595</v>
      </c>
      <c r="F3" s="22">
        <f>T12</f>
        <v>0.20442251065573658</v>
      </c>
      <c r="N3" s="5" t="s">
        <v>262</v>
      </c>
      <c r="P3" s="281">
        <v>1.6262350000000001</v>
      </c>
      <c r="Q3" s="281">
        <v>1.290511</v>
      </c>
      <c r="R3" s="281">
        <v>1.7518720000000001</v>
      </c>
      <c r="S3" s="281">
        <v>1.083618</v>
      </c>
      <c r="T3" s="281">
        <v>0.61681900000000001</v>
      </c>
    </row>
    <row r="4" spans="1:26">
      <c r="A4" s="234" t="s">
        <v>263</v>
      </c>
      <c r="B4" s="22">
        <f>P11</f>
        <v>27.670306089987381</v>
      </c>
      <c r="C4" s="22">
        <f>Q11</f>
        <v>27.519337925834137</v>
      </c>
      <c r="D4" s="22">
        <f>R11</f>
        <v>28.400210377091565</v>
      </c>
      <c r="E4" s="22">
        <f>S11</f>
        <v>29.052165383966592</v>
      </c>
      <c r="F4" s="22">
        <f>T11</f>
        <v>25.806597489344259</v>
      </c>
      <c r="N4" s="5" t="s">
        <v>263</v>
      </c>
      <c r="P4" s="281">
        <v>86.941051999999999</v>
      </c>
      <c r="Q4" s="281">
        <v>86.835121999999998</v>
      </c>
      <c r="R4" s="281">
        <v>91.940438</v>
      </c>
      <c r="S4" s="281">
        <v>86.736599999999981</v>
      </c>
      <c r="T4" s="281">
        <v>77.868135000000009</v>
      </c>
    </row>
    <row r="5" spans="1:26">
      <c r="N5" s="5" t="s">
        <v>853</v>
      </c>
      <c r="P5" s="281">
        <f>P3/SUM(P3:P4)</f>
        <v>1.8361576323321277E-2</v>
      </c>
      <c r="Q5" s="281">
        <f t="shared" ref="Q5:T5" si="0">Q3/SUM(Q3:Q4)</f>
        <v>1.4643991266423018E-2</v>
      </c>
      <c r="R5" s="281">
        <f t="shared" si="0"/>
        <v>1.8698140754561395E-2</v>
      </c>
      <c r="S5" s="281">
        <f t="shared" si="0"/>
        <v>1.2339049306390929E-2</v>
      </c>
      <c r="T5" s="281">
        <f t="shared" si="0"/>
        <v>7.8590732180336097E-3</v>
      </c>
      <c r="U5" s="22"/>
    </row>
    <row r="6" spans="1:26">
      <c r="A6" s="6" t="s">
        <v>264</v>
      </c>
      <c r="B6" s="6"/>
      <c r="C6" s="6"/>
      <c r="D6" s="6"/>
      <c r="E6" s="6"/>
      <c r="F6" s="6"/>
      <c r="G6" s="6"/>
      <c r="H6" s="6"/>
      <c r="I6" s="6"/>
      <c r="J6" s="6"/>
      <c r="K6" s="6"/>
      <c r="L6" s="6"/>
      <c r="M6" s="6"/>
      <c r="N6" s="5" t="s">
        <v>854</v>
      </c>
      <c r="P6" s="71">
        <f>P4/SUM(P3:P4)</f>
        <v>0.98163842367667875</v>
      </c>
      <c r="Q6" s="71">
        <f t="shared" ref="Q6:T6" si="1">Q4/SUM(Q3:Q4)</f>
        <v>0.98535600873357709</v>
      </c>
      <c r="R6" s="71">
        <f t="shared" si="1"/>
        <v>0.98130185924543856</v>
      </c>
      <c r="S6" s="71">
        <f t="shared" si="1"/>
        <v>0.98766095069360904</v>
      </c>
      <c r="T6" s="71">
        <f t="shared" si="1"/>
        <v>0.9921409267819663</v>
      </c>
    </row>
    <row r="7" spans="1:26">
      <c r="B7">
        <v>2011</v>
      </c>
      <c r="C7">
        <v>2012</v>
      </c>
      <c r="D7">
        <v>2013</v>
      </c>
      <c r="E7">
        <v>2014</v>
      </c>
      <c r="F7">
        <v>2015</v>
      </c>
      <c r="N7" s="5" t="s">
        <v>40</v>
      </c>
      <c r="P7" s="281">
        <f>SUM(P3:P4)</f>
        <v>88.567286999999993</v>
      </c>
      <c r="Q7" s="281">
        <f>SUM(Q3:Q4)</f>
        <v>88.125632999999993</v>
      </c>
      <c r="R7" s="281">
        <f>SUM(R3:R4)</f>
        <v>93.692310000000006</v>
      </c>
      <c r="S7" s="281">
        <f>SUM(S3:S4)</f>
        <v>87.820217999999983</v>
      </c>
      <c r="T7" s="281">
        <f>SUM(T3:T4)</f>
        <v>78.484954000000016</v>
      </c>
    </row>
    <row r="8" spans="1:26" ht="37.5" customHeight="1">
      <c r="A8" s="310" t="s">
        <v>262</v>
      </c>
      <c r="B8" s="63">
        <f>B3*P15</f>
        <v>2.9433513930744728</v>
      </c>
      <c r="C8" s="63">
        <f t="shared" ref="C8:F8" si="2">C3*Q15</f>
        <v>2.6790482291448474</v>
      </c>
      <c r="D8" s="63">
        <f t="shared" si="2"/>
        <v>2.823336983556926</v>
      </c>
      <c r="E8" s="63">
        <f t="shared" si="2"/>
        <v>1.4442993071597754</v>
      </c>
      <c r="F8" s="63">
        <f t="shared" si="2"/>
        <v>1.1127664153652257</v>
      </c>
      <c r="G8" s="62"/>
      <c r="H8" s="62"/>
      <c r="I8" s="62"/>
      <c r="J8" s="62"/>
      <c r="N8" s="5" t="s">
        <v>850</v>
      </c>
      <c r="P8" s="71">
        <f>67114/1000</f>
        <v>67.114000000000004</v>
      </c>
      <c r="Q8" s="281">
        <f>66496/1000</f>
        <v>66.495999999999995</v>
      </c>
      <c r="R8" s="281">
        <f>68908/1000</f>
        <v>68.908000000000001</v>
      </c>
      <c r="S8" s="281">
        <f>70036/1000</f>
        <v>70.036000000000001</v>
      </c>
      <c r="T8" s="281">
        <f>61931/1000</f>
        <v>61.930999999999997</v>
      </c>
    </row>
    <row r="9" spans="1:26">
      <c r="A9" s="310" t="s">
        <v>263</v>
      </c>
      <c r="B9" s="63">
        <f>P16*B4</f>
        <v>14.515704763333773</v>
      </c>
      <c r="C9" s="63">
        <f t="shared" ref="C9:F9" si="3">Q16*C4</f>
        <v>14.984155132969997</v>
      </c>
      <c r="D9" s="63">
        <f t="shared" si="3"/>
        <v>16.125683539727206</v>
      </c>
      <c r="E9" s="63">
        <f t="shared" si="3"/>
        <v>15.868109376691262</v>
      </c>
      <c r="F9" s="63">
        <f t="shared" si="3"/>
        <v>13.992559139478951</v>
      </c>
      <c r="G9" s="62"/>
      <c r="H9" s="62"/>
      <c r="I9" s="62"/>
      <c r="J9" s="62"/>
      <c r="N9" s="5" t="s">
        <v>851</v>
      </c>
      <c r="P9" s="234">
        <f>P8*P6</f>
        <v>65.881681166636625</v>
      </c>
      <c r="Q9" s="234">
        <f>Q8*Q6</f>
        <v>65.522233156747944</v>
      </c>
      <c r="R9" s="234">
        <f>R8*R6</f>
        <v>67.619548516884677</v>
      </c>
      <c r="S9" s="234">
        <f>S8*S6</f>
        <v>69.171822342777602</v>
      </c>
      <c r="T9" s="234">
        <f>T8*T6</f>
        <v>61.44427973653395</v>
      </c>
    </row>
    <row r="10" spans="1:26" ht="15" customHeight="1">
      <c r="A10" s="60"/>
      <c r="B10" s="61"/>
      <c r="C10" s="61"/>
      <c r="D10" s="61"/>
      <c r="E10" s="61"/>
      <c r="F10" s="61"/>
      <c r="G10" s="61"/>
      <c r="H10" s="61"/>
      <c r="I10" s="61"/>
      <c r="J10" s="61"/>
      <c r="N10" s="5" t="s">
        <v>852</v>
      </c>
      <c r="P10" s="234">
        <f>P8*P5</f>
        <v>1.2323188333633843</v>
      </c>
      <c r="Q10" s="234">
        <f>Q8*Q5</f>
        <v>0.97376684325206486</v>
      </c>
      <c r="R10" s="234">
        <f>R8*R5</f>
        <v>1.2884514831153167</v>
      </c>
      <c r="S10" s="234">
        <f>S8*S5</f>
        <v>0.86417765722239515</v>
      </c>
      <c r="T10" s="234">
        <f>T8*T5</f>
        <v>0.48672026346603947</v>
      </c>
    </row>
    <row r="11" spans="1:26">
      <c r="A11" s="6" t="s">
        <v>6</v>
      </c>
      <c r="B11" s="6"/>
      <c r="C11" s="6"/>
      <c r="D11" s="6"/>
      <c r="E11" s="6"/>
      <c r="F11" s="6"/>
      <c r="G11" s="6"/>
      <c r="H11" s="6"/>
      <c r="I11" s="6"/>
      <c r="J11" s="6"/>
      <c r="K11" s="6"/>
      <c r="N11" s="5" t="s">
        <v>862</v>
      </c>
      <c r="P11" s="234">
        <f>P9*$X$2</f>
        <v>27.670306089987381</v>
      </c>
      <c r="Q11" s="234">
        <f t="shared" ref="Q11:T11" si="4">Q9*$X$2</f>
        <v>27.519337925834137</v>
      </c>
      <c r="R11" s="234">
        <f t="shared" si="4"/>
        <v>28.400210377091565</v>
      </c>
      <c r="S11" s="234">
        <f t="shared" si="4"/>
        <v>29.052165383966592</v>
      </c>
      <c r="T11" s="234">
        <f t="shared" si="4"/>
        <v>25.806597489344259</v>
      </c>
    </row>
    <row r="12" spans="1:26">
      <c r="B12">
        <v>2011</v>
      </c>
      <c r="C12">
        <v>2012</v>
      </c>
      <c r="D12">
        <v>2013</v>
      </c>
      <c r="E12">
        <v>2014</v>
      </c>
      <c r="F12">
        <v>2015</v>
      </c>
      <c r="G12" t="s">
        <v>7</v>
      </c>
      <c r="N12" s="5" t="s">
        <v>861</v>
      </c>
      <c r="P12" s="234">
        <f>P10*$X$2</f>
        <v>0.51757391001262143</v>
      </c>
      <c r="Q12" s="234">
        <f t="shared" ref="Q12:T12" si="5">Q10*$X$2</f>
        <v>0.40898207416586724</v>
      </c>
      <c r="R12" s="234">
        <f t="shared" si="5"/>
        <v>0.54114962290843294</v>
      </c>
      <c r="S12" s="234">
        <f t="shared" si="5"/>
        <v>0.36295461603340595</v>
      </c>
      <c r="T12" s="234">
        <f t="shared" si="5"/>
        <v>0.20442251065573658</v>
      </c>
    </row>
    <row r="13" spans="1:26" ht="14.25" customHeight="1">
      <c r="A13" s="71" t="s">
        <v>266</v>
      </c>
      <c r="B13">
        <f>SUM(B8:B9)/(SUM(B3:B4)*1000)</f>
        <v>6.1938166887358121E-4</v>
      </c>
      <c r="C13">
        <f t="shared" ref="C13:F13" si="6">SUM(C8:C9)/(SUM(C3:C4)*1000)</f>
        <v>6.3244775776397739E-4</v>
      </c>
      <c r="D13">
        <f t="shared" si="6"/>
        <v>6.5473842705678434E-4</v>
      </c>
      <c r="E13">
        <f t="shared" si="6"/>
        <v>5.8855475292472162E-4</v>
      </c>
      <c r="F13">
        <f t="shared" si="6"/>
        <v>5.807279205061616E-4</v>
      </c>
      <c r="G13">
        <f>AVERAGE(B13:F13)</f>
        <v>6.1517010542504517E-4</v>
      </c>
      <c r="N13" s="5" t="s">
        <v>867</v>
      </c>
      <c r="P13" s="309">
        <v>9.2481111588482907</v>
      </c>
      <c r="Q13" s="309">
        <v>8.4535274957791504</v>
      </c>
      <c r="R13" s="309">
        <v>9.1400322548035202</v>
      </c>
      <c r="S13" s="309">
        <v>4.3120232048014904</v>
      </c>
      <c r="T13" s="309">
        <v>3.35763153166176</v>
      </c>
    </row>
    <row r="14" spans="1:26">
      <c r="N14" s="5" t="s">
        <v>868</v>
      </c>
      <c r="P14" s="309">
        <v>45.608842870817142</v>
      </c>
      <c r="Q14" s="309">
        <v>47.281331496602007</v>
      </c>
      <c r="R14" s="309">
        <v>52.203923421913103</v>
      </c>
      <c r="S14" s="309">
        <v>47.374983501983692</v>
      </c>
      <c r="T14" s="309">
        <v>42.220772595779998</v>
      </c>
      <c r="Y14" t="s">
        <v>833</v>
      </c>
      <c r="Z14" t="s">
        <v>863</v>
      </c>
    </row>
    <row r="15" spans="1:26">
      <c r="A15" s="6" t="s">
        <v>9</v>
      </c>
      <c r="B15" s="6"/>
      <c r="C15" s="6"/>
      <c r="D15" s="6"/>
      <c r="E15" s="6"/>
      <c r="F15" s="6"/>
      <c r="G15" s="6"/>
      <c r="H15" s="6"/>
      <c r="I15" s="6"/>
      <c r="J15" s="6"/>
      <c r="K15" s="6"/>
      <c r="N15" s="5" t="s">
        <v>865</v>
      </c>
      <c r="P15" s="71">
        <f>P13/P3</f>
        <v>5.6868233427815111</v>
      </c>
      <c r="Q15" s="71">
        <f t="shared" ref="Q15:T15" si="7">Q13/Q3</f>
        <v>6.5505272684844611</v>
      </c>
      <c r="R15" s="71">
        <f t="shared" si="7"/>
        <v>5.2172945596502025</v>
      </c>
      <c r="S15" s="71">
        <f t="shared" si="7"/>
        <v>3.9792834788656983</v>
      </c>
      <c r="T15" s="71">
        <f t="shared" si="7"/>
        <v>5.4434632066485626</v>
      </c>
    </row>
    <row r="16" spans="1:26">
      <c r="B16" s="4">
        <v>2011</v>
      </c>
      <c r="C16" s="4">
        <v>2012</v>
      </c>
      <c r="D16" s="4">
        <v>2013</v>
      </c>
      <c r="E16" s="4">
        <v>2014</v>
      </c>
      <c r="F16" s="4">
        <v>2015</v>
      </c>
      <c r="G16" t="s">
        <v>7</v>
      </c>
      <c r="N16" s="5" t="s">
        <v>866</v>
      </c>
      <c r="P16" s="71">
        <f>P14/P4</f>
        <v>0.52459501951755938</v>
      </c>
      <c r="Q16" s="71">
        <f t="shared" ref="Q16:T16" si="8">Q14/Q4</f>
        <v>0.54449548071806719</v>
      </c>
      <c r="R16" s="71">
        <f t="shared" si="8"/>
        <v>0.56780155236929697</v>
      </c>
      <c r="S16" s="71">
        <f t="shared" si="8"/>
        <v>0.54619368873098206</v>
      </c>
      <c r="T16" s="71">
        <f t="shared" si="8"/>
        <v>0.54220860170569118</v>
      </c>
    </row>
    <row r="17" spans="1:37">
      <c r="A17" s="71" t="s">
        <v>8</v>
      </c>
      <c r="B17">
        <v>0</v>
      </c>
      <c r="C17">
        <v>0</v>
      </c>
      <c r="D17">
        <v>0</v>
      </c>
      <c r="E17">
        <v>0</v>
      </c>
      <c r="F17">
        <v>0</v>
      </c>
      <c r="G17">
        <f>AVERAGE(B17:F17)</f>
        <v>0</v>
      </c>
    </row>
    <row r="19" spans="1:37">
      <c r="A19" s="6" t="s">
        <v>10</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row>
    <row r="20" spans="1:37">
      <c r="A20" t="s">
        <v>11</v>
      </c>
      <c r="B20" s="5">
        <v>2015</v>
      </c>
      <c r="C20" s="5">
        <v>2016</v>
      </c>
      <c r="D20" s="5">
        <v>2017</v>
      </c>
      <c r="E20" s="5">
        <v>2018</v>
      </c>
      <c r="F20" s="5">
        <v>2019</v>
      </c>
      <c r="G20" s="5">
        <v>2020</v>
      </c>
      <c r="H20" s="5">
        <v>2021</v>
      </c>
      <c r="I20" s="5">
        <v>2022</v>
      </c>
      <c r="J20" s="5">
        <v>2023</v>
      </c>
      <c r="K20" s="5">
        <v>2024</v>
      </c>
      <c r="L20" s="5">
        <v>2025</v>
      </c>
      <c r="M20" s="5">
        <v>2026</v>
      </c>
      <c r="N20" s="5">
        <v>2027</v>
      </c>
      <c r="O20" s="5">
        <v>2028</v>
      </c>
      <c r="P20" s="5">
        <v>2029</v>
      </c>
      <c r="Q20" s="5">
        <v>2030</v>
      </c>
      <c r="R20" s="5">
        <v>2031</v>
      </c>
      <c r="S20" s="5">
        <v>2032</v>
      </c>
      <c r="T20" s="5">
        <v>2033</v>
      </c>
      <c r="U20" s="5">
        <v>2034</v>
      </c>
      <c r="V20" s="5">
        <v>2035</v>
      </c>
      <c r="W20" s="5">
        <v>2036</v>
      </c>
      <c r="X20" s="5">
        <v>2037</v>
      </c>
      <c r="Y20" s="5">
        <v>2038</v>
      </c>
      <c r="Z20" s="5">
        <v>2039</v>
      </c>
      <c r="AA20" s="5">
        <v>2040</v>
      </c>
      <c r="AB20" s="5">
        <v>2041</v>
      </c>
      <c r="AC20" s="5">
        <v>2042</v>
      </c>
      <c r="AD20" s="5">
        <v>2043</v>
      </c>
      <c r="AE20" s="5">
        <v>2044</v>
      </c>
      <c r="AF20" s="5">
        <v>2045</v>
      </c>
      <c r="AG20" s="5">
        <v>2046</v>
      </c>
      <c r="AH20" s="5">
        <v>2047</v>
      </c>
      <c r="AI20" s="5">
        <v>2048</v>
      </c>
      <c r="AJ20" s="5">
        <v>2049</v>
      </c>
      <c r="AK20" s="5">
        <v>2050</v>
      </c>
    </row>
    <row r="21" spans="1:37">
      <c r="A21" s="71" t="s">
        <v>267</v>
      </c>
      <c r="B21" s="1">
        <f>'Coal Supply and Demand'!L27/10^3</f>
        <v>27.5</v>
      </c>
      <c r="C21" s="1">
        <f>'Coal Supply and Demand'!M27/10^3</f>
        <v>26.1</v>
      </c>
      <c r="D21" s="1">
        <f>'Coal Supply and Demand'!N27/10^3</f>
        <v>23.6</v>
      </c>
      <c r="E21" s="1">
        <f>'Coal Supply and Demand'!O27/10^3</f>
        <v>22.2</v>
      </c>
      <c r="F21" s="1">
        <f>'Coal Supply and Demand'!P27/10^3</f>
        <v>20.100000000000001</v>
      </c>
      <c r="G21" s="1">
        <f>'Coal Supply and Demand'!Q27/10^3</f>
        <v>18.746431336762054</v>
      </c>
      <c r="H21" s="1">
        <f>'Coal Supply and Demand'!R27/10^3</f>
        <v>17.324572425195761</v>
      </c>
      <c r="I21" s="1">
        <f>'Coal Supply and Demand'!S27/10^3</f>
        <v>16.010557120131573</v>
      </c>
      <c r="J21" s="1">
        <f>'Coal Supply and Demand'!T27/10^3</f>
        <v>14.921205817131822</v>
      </c>
      <c r="K21" s="1">
        <f>'Coal Supply and Demand'!U27/10^3</f>
        <v>13.923959309488428</v>
      </c>
      <c r="L21" s="1">
        <f>'Coal Supply and Demand'!V27/10^3</f>
        <v>13.136831732973956</v>
      </c>
      <c r="M21" s="1">
        <f>'Coal Supply and Demand'!W27/10^3</f>
        <v>12.678367079584094</v>
      </c>
      <c r="N21" s="1">
        <f>'Coal Supply and Demand'!X27/10^3</f>
        <v>12</v>
      </c>
      <c r="O21" s="1">
        <f>'Coal Supply and Demand'!Y27/10^3</f>
        <v>10.680990894605095</v>
      </c>
      <c r="P21" s="1">
        <f>'Coal Supply and Demand'!Z27/10^3</f>
        <v>9.9401800852072988</v>
      </c>
      <c r="Q21" s="1">
        <f>'Coal Supply and Demand'!AA27/10^3</f>
        <v>9.2507503378042131</v>
      </c>
      <c r="R21" s="1">
        <f>'Coal Supply and Demand'!AB27/10^3</f>
        <v>8.6091379712262093</v>
      </c>
      <c r="S21" s="1">
        <f>'Coal Supply and Demand'!AC27/10^3</f>
        <v>8.0120264736494526</v>
      </c>
      <c r="T21" s="1">
        <f>'Coal Supply and Demand'!AD27/10^3</f>
        <v>7.4563293594557907</v>
      </c>
      <c r="U21" s="1">
        <f>'Coal Supply and Demand'!AE27/10^3</f>
        <v>6.9391742151044369</v>
      </c>
      <c r="V21" s="1">
        <f>'Coal Supply and Demand'!AF27/10^3</f>
        <v>6.4578878515480085</v>
      </c>
      <c r="W21" s="1">
        <f>'Coal Supply and Demand'!AG27/10^3</f>
        <v>6.0099824864454243</v>
      </c>
      <c r="X21" s="1">
        <f>'Coal Supply and Demand'!AH27/10^3</f>
        <v>5.59314288474698</v>
      </c>
      <c r="Y21" s="1">
        <f>'Coal Supply and Demand'!AI27/10^3</f>
        <v>5.2052143911818574</v>
      </c>
      <c r="Z21" s="1">
        <f>'Coal Supply and Demand'!AJ27/10^3</f>
        <v>4.844191792785284</v>
      </c>
      <c r="AA21" s="1">
        <f>'Coal Supply and Demand'!AK27/10^3</f>
        <v>4.5082089538986763</v>
      </c>
      <c r="AB21" s="1">
        <f>$AA$21*(($AA$21-$R$21)/$R$21/10+1)*(AB20-$AA$20)</f>
        <v>4.293462193224034</v>
      </c>
      <c r="AC21" s="1">
        <f t="shared" ref="AC21:AK21" si="9">AB21*(($AA$21-$R$21)/$R$21/10+1)</f>
        <v>4.088944810045386</v>
      </c>
      <c r="AD21" s="1">
        <f t="shared" si="9"/>
        <v>3.8941695319883936</v>
      </c>
      <c r="AE21" s="1">
        <f t="shared" si="9"/>
        <v>3.7086722977066504</v>
      </c>
      <c r="AF21" s="1">
        <f t="shared" si="9"/>
        <v>3.5320111512334949</v>
      </c>
      <c r="AG21" s="1">
        <f t="shared" si="9"/>
        <v>3.3637651890009388</v>
      </c>
      <c r="AH21" s="1">
        <f t="shared" si="9"/>
        <v>3.2035335570169363</v>
      </c>
      <c r="AI21" s="1">
        <f t="shared" si="9"/>
        <v>3.0509344958117173</v>
      </c>
      <c r="AJ21" s="1">
        <f t="shared" si="9"/>
        <v>2.9056044308777276</v>
      </c>
      <c r="AK21" s="1">
        <f t="shared" si="9"/>
        <v>2.7671971064361056</v>
      </c>
    </row>
    <row r="23" spans="1:37">
      <c r="A23" s="6" t="s">
        <v>12</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row>
    <row r="24" spans="1:37">
      <c r="A24" t="s">
        <v>13</v>
      </c>
      <c r="B24" s="5">
        <v>2015</v>
      </c>
      <c r="C24" s="5">
        <v>2016</v>
      </c>
      <c r="D24" s="5">
        <v>2017</v>
      </c>
      <c r="E24" s="5">
        <v>2018</v>
      </c>
      <c r="F24" s="5">
        <v>2019</v>
      </c>
      <c r="G24" s="5">
        <v>2020</v>
      </c>
      <c r="H24" s="5">
        <v>2021</v>
      </c>
      <c r="I24" s="5">
        <v>2022</v>
      </c>
      <c r="J24" s="5">
        <v>2023</v>
      </c>
      <c r="K24" s="5">
        <v>2024</v>
      </c>
      <c r="L24" s="5">
        <v>2025</v>
      </c>
      <c r="M24" s="5">
        <v>2026</v>
      </c>
      <c r="N24" s="5">
        <v>2027</v>
      </c>
      <c r="O24" s="5">
        <v>2028</v>
      </c>
      <c r="P24" s="5">
        <v>2029</v>
      </c>
      <c r="Q24" s="5">
        <v>2030</v>
      </c>
      <c r="R24" s="5">
        <v>2031</v>
      </c>
      <c r="S24" s="5">
        <v>2032</v>
      </c>
      <c r="T24" s="5">
        <v>2033</v>
      </c>
      <c r="U24" s="5">
        <v>2034</v>
      </c>
      <c r="V24" s="5">
        <v>2035</v>
      </c>
      <c r="W24" s="5">
        <v>2036</v>
      </c>
      <c r="X24" s="5">
        <v>2037</v>
      </c>
      <c r="Y24" s="5">
        <v>2038</v>
      </c>
      <c r="Z24" s="5">
        <v>2039</v>
      </c>
      <c r="AA24" s="5">
        <v>2040</v>
      </c>
      <c r="AB24" s="5">
        <v>2041</v>
      </c>
      <c r="AC24" s="5">
        <v>2042</v>
      </c>
      <c r="AD24" s="5">
        <v>2043</v>
      </c>
      <c r="AE24" s="5">
        <v>2044</v>
      </c>
      <c r="AF24" s="5">
        <v>2045</v>
      </c>
      <c r="AG24" s="5">
        <v>2046</v>
      </c>
      <c r="AH24" s="5">
        <v>2047</v>
      </c>
      <c r="AI24" s="5">
        <v>2048</v>
      </c>
      <c r="AJ24" s="5">
        <v>2049</v>
      </c>
      <c r="AK24" s="5">
        <v>2050</v>
      </c>
    </row>
    <row r="25" spans="1:37">
      <c r="A25" s="71" t="s">
        <v>267</v>
      </c>
      <c r="B25" s="1">
        <f>B21*10^3*$G$13*(10^3*SUM($F$3:$F$4)/'Coal Supply and Demand'!$L$27)</f>
        <v>16.001201915612956</v>
      </c>
      <c r="C25" s="1">
        <f>C21*10^3*$G$13*(10^3*SUM($F$3:$F$4)/'Coal Supply and Demand'!$L$27)</f>
        <v>15.186595272636294</v>
      </c>
      <c r="D25" s="1">
        <f>D21*10^3*$G$13*(10^3*SUM($F$3:$F$4)/'Coal Supply and Demand'!$L$27)</f>
        <v>13.731940553035116</v>
      </c>
      <c r="E25" s="1">
        <f>E21*10^3*$G$13*(10^3*SUM($F$3:$F$4)/'Coal Supply and Demand'!$L$27)</f>
        <v>12.917333910058456</v>
      </c>
      <c r="F25" s="1">
        <f>F21*10^3*$G$13*(10^3*SUM($F$3:$F$4)/'Coal Supply and Demand'!$L$27)</f>
        <v>11.695423945593468</v>
      </c>
      <c r="G25" s="1">
        <f>G21*10^3*$G$13*(10^3*SUM($F$3:$F$4)/'Coal Supply and Demand'!$L$27)</f>
        <v>10.907833927880132</v>
      </c>
      <c r="H25" s="1">
        <f>H21*10^3*$G$13*(10^3*SUM($F$3:$F$4)/'Coal Supply and Demand'!$L$27)</f>
        <v>10.080508417353373</v>
      </c>
      <c r="I25" s="1">
        <f>I21*10^3*$G$13*(10^3*SUM($F$3:$F$4)/'Coal Supply and Demand'!$L$27)</f>
        <v>9.3159329912974513</v>
      </c>
      <c r="J25" s="1">
        <f>J21*10^3*$G$13*(10^3*SUM($F$3:$F$4)/'Coal Supply and Demand'!$L$27)</f>
        <v>8.6820809856125418</v>
      </c>
      <c r="K25" s="1">
        <f>K21*10^3*$G$13*(10^3*SUM($F$3:$F$4)/'Coal Supply and Demand'!$L$27)</f>
        <v>8.1018212500328364</v>
      </c>
      <c r="L25" s="1">
        <f>L21*10^3*$G$13*(10^3*SUM($F$3:$F$4)/'Coal Supply and Demand'!$L$27)</f>
        <v>7.6438217123908334</v>
      </c>
      <c r="M25" s="1">
        <f>M21*10^3*$G$13*(10^3*SUM($F$3:$F$4)/'Coal Supply and Demand'!$L$27)</f>
        <v>7.37705860366128</v>
      </c>
      <c r="N25" s="1">
        <f>N21*10^3*$G$13*(10^3*SUM($F$3:$F$4)/'Coal Supply and Demand'!$L$27)</f>
        <v>6.9823426540856524</v>
      </c>
      <c r="O25" s="1">
        <f>O21*10^3*$G$13*(10^3*SUM($F$3:$F$4)/'Coal Supply and Demand'!$L$27)</f>
        <v>6.2148615259418021</v>
      </c>
      <c r="P25" s="1">
        <f>P21*10^3*$G$13*(10^3*SUM($F$3:$F$4)/'Coal Supply and Demand'!$L$27)</f>
        <v>5.7838119498529732</v>
      </c>
      <c r="Q25" s="1">
        <f>Q21*10^3*$G$13*(10^3*SUM($F$3:$F$4)/'Coal Supply and Demand'!$L$27)</f>
        <v>5.3826590554956342</v>
      </c>
      <c r="R25" s="1">
        <f>R21*10^3*$G$13*(10^3*SUM($F$3:$F$4)/'Coal Supply and Demand'!$L$27)</f>
        <v>5.0093292726167657</v>
      </c>
      <c r="S25" s="1">
        <f>S21*10^3*$G$13*(10^3*SUM($F$3:$F$4)/'Coal Supply and Demand'!$L$27)</f>
        <v>4.6618928493855032</v>
      </c>
      <c r="T25" s="1">
        <f>T21*10^3*$G$13*(10^3*SUM($F$3:$F$4)/'Coal Supply and Demand'!$L$27)</f>
        <v>4.3385538774532764</v>
      </c>
      <c r="U25" s="1">
        <f>U21*10^3*$G$13*(10^3*SUM($F$3:$F$4)/'Coal Supply and Demand'!$L$27)</f>
        <v>4.0376410088545862</v>
      </c>
      <c r="V25" s="1">
        <f>V21*10^3*$G$13*(10^3*SUM($F$3:$F$4)/'Coal Supply and Demand'!$L$27)</f>
        <v>3.7575988167637675</v>
      </c>
      <c r="W25" s="1">
        <f>W21*10^3*$G$13*(10^3*SUM($F$3:$F$4)/'Coal Supply and Demand'!$L$27)</f>
        <v>3.4969797554513025</v>
      </c>
      <c r="X25" s="1">
        <f>X21*10^3*$G$13*(10^3*SUM($F$3:$F$4)/'Coal Supply and Demand'!$L$27)</f>
        <v>3.2544366778803755</v>
      </c>
      <c r="Y25" s="1">
        <f>Y21*10^3*$G$13*(10^3*SUM($F$3:$F$4)/'Coal Supply and Demand'!$L$27)</f>
        <v>3.0287158722674636</v>
      </c>
      <c r="Z25" s="1">
        <f>Z21*10^3*$G$13*(10^3*SUM($F$3:$F$4)/'Coal Supply and Demand'!$L$27)</f>
        <v>2.8186505816113612</v>
      </c>
      <c r="AA25" s="1">
        <f>AA21*10^3*$G$13*(10^3*SUM($F$3:$F$4)/'Coal Supply and Demand'!$L$27)</f>
        <v>2.6231549726947989</v>
      </c>
      <c r="AB25" s="1">
        <f>AB21*10^3*$G$13*(10^3*SUM($F$3:$F$4)/'Coal Supply and Demand'!$L$27)</f>
        <v>2.498202017121026</v>
      </c>
      <c r="AC25" s="1">
        <f>AC21*10^3*$G$13*(10^3*SUM($F$3:$F$4)/'Coal Supply and Demand'!$L$27)</f>
        <v>2.3792011464485046</v>
      </c>
      <c r="AD25" s="1">
        <f>AD21*10^3*$G$13*(10^3*SUM($F$3:$F$4)/'Coal Supply and Demand'!$L$27)</f>
        <v>2.2658688354536101</v>
      </c>
      <c r="AE25" s="1">
        <f>AE21*10^3*$G$13*(10^3*SUM($F$3:$F$4)/'Coal Supply and Demand'!$L$27)</f>
        <v>2.1579350645252493</v>
      </c>
      <c r="AF25" s="1">
        <f>AF21*10^3*$G$13*(10^3*SUM($F$3:$F$4)/'Coal Supply and Demand'!$L$27)</f>
        <v>2.0551426763303167</v>
      </c>
      <c r="AG25" s="1">
        <f>AG21*10^3*$G$13*(10^3*SUM($F$3:$F$4)/'Coal Supply and Demand'!$L$27)</f>
        <v>1.9572467631241453</v>
      </c>
      <c r="AH25" s="1">
        <f>AH21*10^3*$G$13*(10^3*SUM($F$3:$F$4)/'Coal Supply and Demand'!$L$27)</f>
        <v>1.8640140832461738</v>
      </c>
      <c r="AI25" s="1">
        <f>AI21*10^3*$G$13*(10^3*SUM($F$3:$F$4)/'Coal Supply and Demand'!$L$27)</f>
        <v>1.7752225054106214</v>
      </c>
      <c r="AJ25" s="1">
        <f>AJ21*10^3*$G$13*(10^3*SUM($F$3:$F$4)/'Coal Supply and Demand'!$L$27)</f>
        <v>1.6906604794681521</v>
      </c>
      <c r="AK25" s="1">
        <f>AK21*10^3*$G$13*(10^3*SUM($F$3:$F$4)/'Coal Supply and Demand'!$L$27)</f>
        <v>1.6101265323776013</v>
      </c>
    </row>
    <row r="26" spans="1:37">
      <c r="A26" s="71" t="s">
        <v>8</v>
      </c>
      <c r="B26" s="1">
        <f>$G$17*B21</f>
        <v>0</v>
      </c>
      <c r="C26" s="1">
        <f t="shared" ref="C26:AK26" si="10">$G$17*C21</f>
        <v>0</v>
      </c>
      <c r="D26" s="1">
        <f t="shared" si="10"/>
        <v>0</v>
      </c>
      <c r="E26" s="1">
        <f t="shared" si="10"/>
        <v>0</v>
      </c>
      <c r="F26" s="1">
        <f t="shared" si="10"/>
        <v>0</v>
      </c>
      <c r="G26" s="1">
        <f t="shared" si="10"/>
        <v>0</v>
      </c>
      <c r="H26" s="1">
        <f t="shared" si="10"/>
        <v>0</v>
      </c>
      <c r="I26" s="1">
        <f t="shared" si="10"/>
        <v>0</v>
      </c>
      <c r="J26" s="1">
        <f t="shared" si="10"/>
        <v>0</v>
      </c>
      <c r="K26" s="1">
        <f t="shared" si="10"/>
        <v>0</v>
      </c>
      <c r="L26" s="1">
        <f t="shared" si="10"/>
        <v>0</v>
      </c>
      <c r="M26" s="1">
        <f t="shared" si="10"/>
        <v>0</v>
      </c>
      <c r="N26" s="1">
        <f t="shared" si="10"/>
        <v>0</v>
      </c>
      <c r="O26" s="1">
        <f t="shared" si="10"/>
        <v>0</v>
      </c>
      <c r="P26" s="1">
        <f t="shared" si="10"/>
        <v>0</v>
      </c>
      <c r="Q26" s="1">
        <f t="shared" si="10"/>
        <v>0</v>
      </c>
      <c r="R26" s="1">
        <f t="shared" si="10"/>
        <v>0</v>
      </c>
      <c r="S26" s="1">
        <f t="shared" si="10"/>
        <v>0</v>
      </c>
      <c r="T26" s="1">
        <f t="shared" si="10"/>
        <v>0</v>
      </c>
      <c r="U26" s="1">
        <f t="shared" si="10"/>
        <v>0</v>
      </c>
      <c r="V26" s="1">
        <f t="shared" si="10"/>
        <v>0</v>
      </c>
      <c r="W26" s="1">
        <f t="shared" si="10"/>
        <v>0</v>
      </c>
      <c r="X26" s="1">
        <f t="shared" si="10"/>
        <v>0</v>
      </c>
      <c r="Y26" s="1">
        <f t="shared" si="10"/>
        <v>0</v>
      </c>
      <c r="Z26" s="1">
        <f t="shared" si="10"/>
        <v>0</v>
      </c>
      <c r="AA26" s="1">
        <f t="shared" si="10"/>
        <v>0</v>
      </c>
      <c r="AB26" s="1">
        <f t="shared" si="10"/>
        <v>0</v>
      </c>
      <c r="AC26" s="1">
        <f t="shared" si="10"/>
        <v>0</v>
      </c>
      <c r="AD26" s="1">
        <f t="shared" si="10"/>
        <v>0</v>
      </c>
      <c r="AE26" s="1">
        <f t="shared" si="10"/>
        <v>0</v>
      </c>
      <c r="AF26" s="1">
        <f t="shared" si="10"/>
        <v>0</v>
      </c>
      <c r="AG26" s="1">
        <f t="shared" si="10"/>
        <v>0</v>
      </c>
      <c r="AH26" s="1">
        <f t="shared" si="10"/>
        <v>0</v>
      </c>
      <c r="AI26" s="1">
        <f t="shared" si="10"/>
        <v>0</v>
      </c>
      <c r="AJ26" s="1">
        <f t="shared" si="10"/>
        <v>0</v>
      </c>
      <c r="AK26" s="1">
        <f t="shared" si="10"/>
        <v>0</v>
      </c>
    </row>
    <row r="28" spans="1:37">
      <c r="A28" t="s">
        <v>313</v>
      </c>
    </row>
    <row r="30" spans="1:37">
      <c r="A30" s="5" t="s">
        <v>838</v>
      </c>
    </row>
    <row r="31" spans="1:37">
      <c r="A31" t="s">
        <v>857</v>
      </c>
    </row>
    <row r="32" spans="1:37">
      <c r="A32" t="s">
        <v>858</v>
      </c>
    </row>
    <row r="33" spans="1:1">
      <c r="A33" t="s">
        <v>859</v>
      </c>
    </row>
    <row r="34" spans="1:1">
      <c r="A34" t="s">
        <v>860</v>
      </c>
    </row>
    <row r="35" spans="1:1">
      <c r="A35" t="s">
        <v>864</v>
      </c>
    </row>
    <row r="37" spans="1:1">
      <c r="A37" s="308" t="s">
        <v>835</v>
      </c>
    </row>
    <row r="38" spans="1:1">
      <c r="A38" s="308" t="s">
        <v>909</v>
      </c>
    </row>
  </sheetData>
  <pageMargins left="0.7" right="0.7" top="0.75" bottom="0.75" header="0.3" footer="0.3"/>
  <pageSetup orientation="portrait" horizontalDpi="4294967293" verticalDpi="429496729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1"/>
  <sheetViews>
    <sheetView topLeftCell="O2" zoomScaleNormal="100" workbookViewId="0">
      <selection activeCell="AF46" sqref="AF46"/>
    </sheetView>
  </sheetViews>
  <sheetFormatPr baseColWidth="10" defaultColWidth="8.83203125" defaultRowHeight="14"/>
  <cols>
    <col min="1" max="1" width="32.1640625" style="463" customWidth="1"/>
    <col min="2" max="2" width="29" style="463" customWidth="1"/>
    <col min="3" max="3" width="10" style="463" bestFit="1" customWidth="1"/>
    <col min="4" max="5" width="10.1640625" style="463" bestFit="1" customWidth="1"/>
    <col min="6" max="6" width="10" style="463" bestFit="1" customWidth="1"/>
    <col min="7" max="7" width="12.5" style="463" customWidth="1"/>
    <col min="8" max="8" width="14.1640625" style="463" bestFit="1" customWidth="1"/>
    <col min="9" max="9" width="10" style="463" customWidth="1"/>
    <col min="10" max="27" width="10" style="463" bestFit="1" customWidth="1"/>
    <col min="28" max="37" width="10.1640625" style="463" bestFit="1" customWidth="1"/>
    <col min="38" max="16384" width="8.83203125" style="463"/>
  </cols>
  <sheetData>
    <row r="1" spans="1:37">
      <c r="A1" s="461" t="s">
        <v>1066</v>
      </c>
      <c r="B1" s="462"/>
      <c r="C1" s="462"/>
      <c r="D1" s="462"/>
      <c r="E1" s="462"/>
      <c r="F1" s="462"/>
      <c r="G1" s="462"/>
      <c r="H1" s="462"/>
      <c r="I1" s="462"/>
      <c r="J1" s="462"/>
      <c r="K1" s="462"/>
      <c r="L1" s="462"/>
      <c r="M1" s="462"/>
      <c r="N1" s="462"/>
      <c r="O1" s="462"/>
      <c r="P1" s="462"/>
      <c r="Q1" s="462"/>
      <c r="R1" s="462"/>
      <c r="S1" s="462"/>
      <c r="T1" s="462"/>
      <c r="U1" s="462"/>
      <c r="V1" s="462"/>
      <c r="W1" s="462"/>
      <c r="X1" s="462"/>
      <c r="Y1" s="462"/>
      <c r="Z1" s="462"/>
      <c r="AA1" s="462"/>
      <c r="AB1" s="462"/>
      <c r="AC1" s="462"/>
      <c r="AD1" s="462"/>
      <c r="AE1" s="462"/>
      <c r="AF1" s="462"/>
      <c r="AG1" s="462"/>
      <c r="AH1" s="462"/>
      <c r="AI1" s="462"/>
      <c r="AJ1" s="462"/>
      <c r="AK1" s="462"/>
    </row>
    <row r="2" spans="1:37" ht="15" customHeight="1">
      <c r="A2" s="464"/>
      <c r="B2" s="465" t="s">
        <v>378</v>
      </c>
      <c r="C2" s="466" t="s">
        <v>377</v>
      </c>
      <c r="D2" s="466" t="s">
        <v>15</v>
      </c>
      <c r="H2" s="467"/>
    </row>
    <row r="3" spans="1:37" ht="15" customHeight="1">
      <c r="A3" s="463" t="s">
        <v>1064</v>
      </c>
      <c r="B3" s="463">
        <v>0.7</v>
      </c>
      <c r="C3" s="463" t="s">
        <v>1065</v>
      </c>
      <c r="H3" s="467"/>
    </row>
    <row r="4" spans="1:37" ht="15" customHeight="1">
      <c r="A4" s="463" t="s">
        <v>1146</v>
      </c>
      <c r="B4" s="490">
        <f>191227.3*10^6</f>
        <v>191227300000</v>
      </c>
      <c r="C4" s="463" t="s">
        <v>1063</v>
      </c>
      <c r="D4" s="463" t="s">
        <v>1145</v>
      </c>
      <c r="H4" s="467"/>
    </row>
    <row r="5" spans="1:37" ht="15" customHeight="1">
      <c r="A5" s="464"/>
      <c r="B5" s="469"/>
      <c r="H5" s="467"/>
    </row>
    <row r="6" spans="1:37" ht="15" customHeight="1">
      <c r="A6" s="461" t="s">
        <v>1062</v>
      </c>
      <c r="B6" s="462"/>
      <c r="C6" s="462"/>
      <c r="D6" s="462"/>
      <c r="E6" s="462"/>
      <c r="F6" s="462"/>
      <c r="G6" s="462"/>
      <c r="H6" s="462"/>
    </row>
    <row r="7" spans="1:37" ht="15" customHeight="1">
      <c r="A7" s="470" t="s">
        <v>15</v>
      </c>
      <c r="B7" s="470" t="s">
        <v>987</v>
      </c>
      <c r="C7" s="470" t="s">
        <v>51</v>
      </c>
      <c r="D7" s="466" t="s">
        <v>1061</v>
      </c>
      <c r="E7" s="470" t="s">
        <v>989</v>
      </c>
      <c r="F7" s="470" t="s">
        <v>990</v>
      </c>
      <c r="G7" s="470" t="s">
        <v>1060</v>
      </c>
      <c r="H7" s="467"/>
    </row>
    <row r="8" spans="1:37" ht="15" customHeight="1">
      <c r="A8" s="463" t="s">
        <v>1059</v>
      </c>
      <c r="B8" s="467">
        <f>(24.8+8.4)*1000</f>
        <v>33200</v>
      </c>
      <c r="C8" s="463">
        <v>0</v>
      </c>
      <c r="D8" s="467">
        <f t="shared" ref="D8:D18" si="0">C8*25</f>
        <v>0</v>
      </c>
      <c r="E8" s="467">
        <f t="shared" ref="E8:E18" si="1">D8+B8</f>
        <v>33200</v>
      </c>
      <c r="G8" s="463" t="s">
        <v>1058</v>
      </c>
      <c r="H8" s="467"/>
    </row>
    <row r="9" spans="1:37" ht="15" customHeight="1">
      <c r="A9" s="463" t="s">
        <v>996</v>
      </c>
      <c r="B9" s="467">
        <v>7869.3</v>
      </c>
      <c r="C9" s="463">
        <v>7.9</v>
      </c>
      <c r="D9" s="467">
        <f t="shared" si="0"/>
        <v>197.5</v>
      </c>
      <c r="E9" s="467">
        <f t="shared" si="1"/>
        <v>8066.8</v>
      </c>
      <c r="G9" s="463" t="s">
        <v>1058</v>
      </c>
      <c r="H9" s="467"/>
    </row>
    <row r="10" spans="1:37" ht="15" customHeight="1">
      <c r="A10" s="471" t="s">
        <v>999</v>
      </c>
      <c r="D10" s="467">
        <f t="shared" si="0"/>
        <v>0</v>
      </c>
      <c r="E10" s="467">
        <f t="shared" si="1"/>
        <v>0</v>
      </c>
      <c r="G10" s="463" t="s">
        <v>1058</v>
      </c>
      <c r="H10" s="467"/>
    </row>
    <row r="11" spans="1:37" ht="15" customHeight="1">
      <c r="A11" s="471" t="s">
        <v>1057</v>
      </c>
      <c r="B11" s="463">
        <v>0</v>
      </c>
      <c r="C11" s="463">
        <v>0</v>
      </c>
      <c r="D11" s="467">
        <f t="shared" si="0"/>
        <v>0</v>
      </c>
      <c r="E11" s="467">
        <f t="shared" si="1"/>
        <v>0</v>
      </c>
      <c r="G11" s="463" t="s">
        <v>1000</v>
      </c>
      <c r="H11" s="467"/>
    </row>
    <row r="12" spans="1:37" ht="15" customHeight="1">
      <c r="A12" s="471" t="s">
        <v>1056</v>
      </c>
      <c r="B12" s="472">
        <f>'Oil&amp;Gas emissions'!H20</f>
        <v>2.5776229890605999</v>
      </c>
      <c r="C12" s="471">
        <v>93.5</v>
      </c>
      <c r="D12" s="467">
        <f t="shared" si="0"/>
        <v>2337.5</v>
      </c>
      <c r="E12" s="467">
        <f t="shared" si="1"/>
        <v>2340.0776229890607</v>
      </c>
      <c r="G12" s="463" t="s">
        <v>1000</v>
      </c>
      <c r="H12" s="467"/>
    </row>
    <row r="13" spans="1:37" ht="15" customHeight="1">
      <c r="A13" s="471" t="s">
        <v>1055</v>
      </c>
      <c r="B13" s="472">
        <f>'Oil&amp;Gas emissions'!H21</f>
        <v>7.6564464615442702</v>
      </c>
      <c r="C13" s="471">
        <v>11</v>
      </c>
      <c r="D13" s="467">
        <f t="shared" si="0"/>
        <v>275</v>
      </c>
      <c r="E13" s="467">
        <f t="shared" si="1"/>
        <v>282.65644646154425</v>
      </c>
      <c r="G13" s="463" t="s">
        <v>1000</v>
      </c>
      <c r="H13" s="467"/>
    </row>
    <row r="14" spans="1:37" ht="15" customHeight="1">
      <c r="A14" s="471" t="s">
        <v>1054</v>
      </c>
      <c r="B14" s="472">
        <f>'Oil&amp;Gas emissions'!H22</f>
        <v>38.537015526822493</v>
      </c>
      <c r="C14" s="471">
        <v>47.5</v>
      </c>
      <c r="D14" s="467">
        <f t="shared" si="0"/>
        <v>1187.5</v>
      </c>
      <c r="E14" s="467">
        <f t="shared" si="1"/>
        <v>1226.0370155268224</v>
      </c>
      <c r="G14" s="463" t="s">
        <v>1000</v>
      </c>
      <c r="H14" s="467"/>
    </row>
    <row r="15" spans="1:37" ht="15" customHeight="1">
      <c r="A15" s="471" t="s">
        <v>1053</v>
      </c>
      <c r="B15" s="472">
        <f>'Oil&amp;Gas emissions'!H23</f>
        <v>1.96604211288263</v>
      </c>
      <c r="C15" s="471">
        <v>38</v>
      </c>
      <c r="D15" s="467">
        <f t="shared" si="0"/>
        <v>950</v>
      </c>
      <c r="E15" s="467">
        <f t="shared" si="1"/>
        <v>951.96604211288263</v>
      </c>
      <c r="G15" s="463" t="s">
        <v>1000</v>
      </c>
      <c r="H15" s="467"/>
    </row>
    <row r="16" spans="1:37" ht="15" customHeight="1">
      <c r="A16" s="471" t="s">
        <v>1052</v>
      </c>
      <c r="B16" s="472">
        <f>'Oil&amp;Gas emissions'!H24</f>
        <v>57.263788887072067</v>
      </c>
      <c r="C16" s="471">
        <v>295</v>
      </c>
      <c r="D16" s="467">
        <f t="shared" si="0"/>
        <v>7375</v>
      </c>
      <c r="E16" s="467">
        <f t="shared" si="1"/>
        <v>7432.2637888870722</v>
      </c>
      <c r="G16" s="463" t="s">
        <v>1000</v>
      </c>
      <c r="H16" s="467"/>
    </row>
    <row r="17" spans="1:37" ht="15" customHeight="1">
      <c r="A17" s="471" t="s">
        <v>333</v>
      </c>
      <c r="B17" s="473">
        <f>'Oil&amp;Gas emissions'!H28</f>
        <v>4283.3984924561237</v>
      </c>
      <c r="C17" s="471">
        <v>307.3</v>
      </c>
      <c r="D17" s="467">
        <f t="shared" si="0"/>
        <v>7682.5</v>
      </c>
      <c r="E17" s="467">
        <f t="shared" si="1"/>
        <v>11965.898492456123</v>
      </c>
      <c r="G17" s="463" t="s">
        <v>1000</v>
      </c>
      <c r="H17" s="467"/>
    </row>
    <row r="18" spans="1:37" ht="15" customHeight="1">
      <c r="A18" s="471" t="s">
        <v>334</v>
      </c>
      <c r="B18" s="473">
        <f>'Oil&amp;Gas emissions'!H32</f>
        <v>825.16098370784596</v>
      </c>
      <c r="C18" s="471">
        <v>6.5</v>
      </c>
      <c r="D18" s="467">
        <f t="shared" si="0"/>
        <v>162.5</v>
      </c>
      <c r="E18" s="467">
        <f t="shared" si="1"/>
        <v>987.66098370784596</v>
      </c>
      <c r="G18" s="463" t="s">
        <v>1000</v>
      </c>
      <c r="H18" s="467"/>
    </row>
    <row r="19" spans="1:37" ht="15" customHeight="1">
      <c r="A19" s="466" t="s">
        <v>1142</v>
      </c>
      <c r="B19" s="474">
        <f>SUM(B11:B18)</f>
        <v>5216.5603921413513</v>
      </c>
      <c r="C19" s="474">
        <f>SUM(C11:C18)</f>
        <v>798.8</v>
      </c>
      <c r="D19" s="474">
        <f>SUM(D11:D18)</f>
        <v>19970</v>
      </c>
      <c r="E19" s="474">
        <f t="shared" ref="E19" si="2">SUM(E11:E18)</f>
        <v>25186.560392141353</v>
      </c>
      <c r="H19" s="467"/>
    </row>
    <row r="20" spans="1:37" ht="15" customHeight="1">
      <c r="A20" s="466"/>
      <c r="B20" s="474"/>
      <c r="C20" s="474"/>
      <c r="D20" s="474"/>
      <c r="E20" s="474"/>
      <c r="H20" s="467"/>
    </row>
    <row r="21" spans="1:37" ht="15" customHeight="1">
      <c r="A21" s="475" t="s">
        <v>1051</v>
      </c>
      <c r="B21" s="467">
        <f>C19</f>
        <v>798.8</v>
      </c>
      <c r="C21" s="463" t="s">
        <v>1143</v>
      </c>
      <c r="D21" s="467"/>
      <c r="H21" s="467"/>
    </row>
    <row r="22" spans="1:37" ht="15" customHeight="1">
      <c r="A22" s="476" t="s">
        <v>1198</v>
      </c>
      <c r="B22" s="492">
        <f>B21/B40/1000</f>
        <v>5.1231170716909289E-6</v>
      </c>
      <c r="C22" s="463" t="s">
        <v>1147</v>
      </c>
      <c r="H22" s="467"/>
    </row>
    <row r="23" spans="1:37">
      <c r="A23" s="469"/>
      <c r="B23" s="469"/>
      <c r="H23" s="477"/>
    </row>
    <row r="24" spans="1:37">
      <c r="A24" s="461" t="s">
        <v>1050</v>
      </c>
      <c r="B24" s="462"/>
      <c r="C24" s="462"/>
      <c r="D24" s="462"/>
      <c r="E24" s="462"/>
      <c r="F24" s="462"/>
      <c r="G24" s="462"/>
      <c r="H24" s="462"/>
      <c r="I24" s="462"/>
      <c r="J24" s="462"/>
      <c r="K24" s="462"/>
      <c r="L24" s="462"/>
      <c r="M24" s="462"/>
      <c r="N24" s="462"/>
      <c r="O24" s="462"/>
      <c r="P24" s="462"/>
      <c r="Q24" s="462"/>
      <c r="R24" s="462"/>
      <c r="S24" s="462"/>
      <c r="T24" s="462"/>
      <c r="U24" s="462"/>
      <c r="V24" s="462"/>
      <c r="W24" s="462"/>
      <c r="X24" s="462"/>
      <c r="Y24" s="462"/>
      <c r="Z24" s="462"/>
      <c r="AA24" s="462"/>
      <c r="AB24" s="462"/>
      <c r="AC24" s="462"/>
      <c r="AD24" s="462"/>
      <c r="AE24" s="462"/>
      <c r="AF24" s="462"/>
      <c r="AG24" s="462"/>
      <c r="AH24" s="462"/>
      <c r="AI24" s="462"/>
      <c r="AJ24" s="462"/>
      <c r="AK24" s="462"/>
    </row>
    <row r="25" spans="1:37">
      <c r="A25" s="463" t="s">
        <v>1190</v>
      </c>
      <c r="B25" s="478">
        <f>B19/1000</f>
        <v>5.2165603921413517</v>
      </c>
      <c r="C25" s="479"/>
      <c r="D25" s="479"/>
      <c r="E25" s="479"/>
      <c r="F25" s="479"/>
      <c r="G25" s="480"/>
    </row>
    <row r="26" spans="1:37">
      <c r="A26" s="463" t="s">
        <v>1191</v>
      </c>
      <c r="B26" s="493">
        <f>B25/B40</f>
        <v>3.3456496745726204E-5</v>
      </c>
      <c r="C26" s="479"/>
      <c r="D26" s="479"/>
      <c r="E26" s="479"/>
      <c r="F26" s="479"/>
      <c r="G26" s="480"/>
    </row>
    <row r="27" spans="1:37">
      <c r="B27" s="481"/>
      <c r="C27" s="479"/>
      <c r="D27" s="479"/>
      <c r="E27" s="479"/>
      <c r="F27" s="479"/>
      <c r="G27" s="480"/>
    </row>
    <row r="28" spans="1:37">
      <c r="A28" s="463" t="s">
        <v>1189</v>
      </c>
      <c r="B28" s="481"/>
      <c r="C28" s="479"/>
      <c r="D28" s="479"/>
      <c r="E28" s="479"/>
      <c r="F28" s="479"/>
      <c r="G28" s="480"/>
    </row>
    <row r="29" spans="1:37" ht="60">
      <c r="A29" s="487" t="s">
        <v>1164</v>
      </c>
      <c r="B29" s="487" t="s">
        <v>1158</v>
      </c>
      <c r="C29" s="487" t="s">
        <v>1159</v>
      </c>
      <c r="D29" s="487" t="s">
        <v>1160</v>
      </c>
      <c r="E29" s="487" t="s">
        <v>1155</v>
      </c>
      <c r="F29" s="487" t="s">
        <v>1156</v>
      </c>
      <c r="G29" s="487" t="s">
        <v>1184</v>
      </c>
      <c r="H29" s="487" t="s">
        <v>1185</v>
      </c>
      <c r="I29" s="487" t="s">
        <v>1186</v>
      </c>
      <c r="J29" s="491" t="s">
        <v>15</v>
      </c>
    </row>
    <row r="30" spans="1:37">
      <c r="A30" s="463" t="s">
        <v>1166</v>
      </c>
      <c r="B30" s="468">
        <v>2.9981309999999999</v>
      </c>
      <c r="C30" s="468">
        <v>0.52866500000000005</v>
      </c>
      <c r="D30" s="468">
        <f>C30*25</f>
        <v>13.216625000000001</v>
      </c>
      <c r="E30" s="463" t="s">
        <v>328</v>
      </c>
      <c r="F30" s="488">
        <v>2010</v>
      </c>
      <c r="J30" s="463" t="s">
        <v>1187</v>
      </c>
    </row>
    <row r="31" spans="1:37">
      <c r="A31" s="463" t="s">
        <v>1167</v>
      </c>
      <c r="B31" s="468">
        <v>2.7239999999999999E-3</v>
      </c>
      <c r="C31" s="468">
        <v>3.4306999999999997E-2</v>
      </c>
      <c r="D31" s="468">
        <f t="shared" ref="D31" si="3">C31*25</f>
        <v>0.85767499999999997</v>
      </c>
      <c r="E31" s="463" t="s">
        <v>328</v>
      </c>
      <c r="F31" s="488">
        <v>2010</v>
      </c>
      <c r="J31" s="463" t="s">
        <v>1187</v>
      </c>
    </row>
    <row r="32" spans="1:37">
      <c r="A32" s="489" t="s">
        <v>40</v>
      </c>
      <c r="B32" s="468">
        <f>SUM(B30:B31)</f>
        <v>3.0008550000000001</v>
      </c>
      <c r="C32" s="468"/>
      <c r="D32" s="468">
        <f>D30+D31</f>
        <v>14.074300000000001</v>
      </c>
      <c r="E32" s="463" t="s">
        <v>328</v>
      </c>
      <c r="F32" s="488">
        <v>2010</v>
      </c>
      <c r="G32" s="477">
        <f>'Natural Gas Production'!G34*365</f>
        <v>112175.45</v>
      </c>
      <c r="H32" s="494">
        <f>B32/G32</f>
        <v>2.6751441603309816E-5</v>
      </c>
      <c r="I32" s="494">
        <f>D32/$G32</f>
        <v>1.2546684680114946E-4</v>
      </c>
    </row>
    <row r="33" spans="1:37">
      <c r="A33" s="489"/>
      <c r="B33" s="468"/>
      <c r="C33" s="468"/>
      <c r="D33" s="468"/>
      <c r="F33" s="488"/>
      <c r="G33" s="477"/>
      <c r="H33" s="490"/>
      <c r="I33" s="490"/>
    </row>
    <row r="34" spans="1:37">
      <c r="A34" s="463" t="s">
        <v>1166</v>
      </c>
      <c r="B34" s="468">
        <v>5.77</v>
      </c>
      <c r="C34" s="468">
        <f>702798/1000000</f>
        <v>0.70279800000000003</v>
      </c>
      <c r="D34" s="468">
        <f t="shared" ref="D34:D35" si="4">C34*25</f>
        <v>17.569950000000002</v>
      </c>
      <c r="E34" s="463" t="s">
        <v>1168</v>
      </c>
      <c r="F34" s="488">
        <v>2011</v>
      </c>
      <c r="H34" s="490"/>
      <c r="I34" s="490"/>
      <c r="J34" s="463" t="s">
        <v>1188</v>
      </c>
    </row>
    <row r="35" spans="1:37">
      <c r="A35" s="463" t="s">
        <v>1167</v>
      </c>
      <c r="B35" s="468">
        <v>0.01</v>
      </c>
      <c r="C35" s="468">
        <f>126494/1000000</f>
        <v>0.126494</v>
      </c>
      <c r="D35" s="468">
        <f t="shared" si="4"/>
        <v>3.16235</v>
      </c>
      <c r="E35" s="463" t="s">
        <v>1168</v>
      </c>
      <c r="F35" s="488">
        <v>2011</v>
      </c>
      <c r="H35" s="490"/>
      <c r="I35" s="490"/>
      <c r="J35" s="463" t="s">
        <v>1188</v>
      </c>
    </row>
    <row r="36" spans="1:37">
      <c r="A36" s="489" t="s">
        <v>40</v>
      </c>
      <c r="B36" s="468">
        <f>SUM(B34:B35)</f>
        <v>5.7799999999999994</v>
      </c>
      <c r="C36" s="468"/>
      <c r="D36" s="468">
        <f>D34+D35</f>
        <v>20.732300000000002</v>
      </c>
      <c r="E36" s="463" t="s">
        <v>1168</v>
      </c>
      <c r="F36" s="488">
        <v>2011</v>
      </c>
      <c r="G36" s="477">
        <f>Table117[2011]*365</f>
        <v>150774.19999999998</v>
      </c>
      <c r="H36" s="494">
        <f>B36/G36</f>
        <v>3.8335471188041456E-5</v>
      </c>
      <c r="I36" s="494">
        <f>D36/G36</f>
        <v>1.3750562098820623E-4</v>
      </c>
    </row>
    <row r="37" spans="1:37">
      <c r="B37" s="481"/>
      <c r="C37" s="479"/>
      <c r="D37" s="479"/>
      <c r="E37" s="479"/>
      <c r="F37" s="479"/>
      <c r="G37" s="480"/>
    </row>
    <row r="38" spans="1:37">
      <c r="A38" s="461" t="s">
        <v>1067</v>
      </c>
      <c r="B38" s="462"/>
      <c r="C38" s="462"/>
      <c r="D38" s="462"/>
      <c r="E38" s="462"/>
      <c r="F38" s="462"/>
      <c r="G38" s="462"/>
      <c r="H38" s="462"/>
      <c r="I38" s="462"/>
      <c r="J38" s="462"/>
      <c r="K38" s="462"/>
      <c r="L38" s="462"/>
      <c r="M38" s="462"/>
      <c r="N38" s="462"/>
      <c r="O38" s="462"/>
      <c r="P38" s="462"/>
      <c r="Q38" s="462"/>
      <c r="R38" s="462"/>
      <c r="S38" s="462"/>
      <c r="T38" s="462"/>
      <c r="U38" s="462"/>
      <c r="V38" s="462"/>
      <c r="W38" s="462"/>
      <c r="X38" s="462"/>
      <c r="Y38" s="462"/>
      <c r="Z38" s="462"/>
      <c r="AA38" s="462"/>
      <c r="AB38" s="462"/>
      <c r="AC38" s="462"/>
      <c r="AD38" s="462"/>
      <c r="AE38" s="462"/>
      <c r="AF38" s="462"/>
      <c r="AG38" s="462"/>
      <c r="AH38" s="462"/>
      <c r="AI38" s="462"/>
      <c r="AJ38" s="462"/>
      <c r="AK38" s="462"/>
    </row>
    <row r="39" spans="1:37">
      <c r="B39" s="479">
        <v>2015</v>
      </c>
      <c r="C39" s="479">
        <v>2016</v>
      </c>
      <c r="D39" s="479">
        <v>2017</v>
      </c>
      <c r="E39" s="479">
        <v>2018</v>
      </c>
      <c r="F39" s="479">
        <v>2019</v>
      </c>
      <c r="G39" s="479">
        <v>2020</v>
      </c>
      <c r="H39" s="479">
        <v>2021</v>
      </c>
      <c r="I39" s="479">
        <v>2022</v>
      </c>
      <c r="J39" s="479">
        <v>2023</v>
      </c>
      <c r="K39" s="479">
        <v>2024</v>
      </c>
      <c r="L39" s="479">
        <v>2025</v>
      </c>
      <c r="M39" s="479">
        <v>2026</v>
      </c>
      <c r="N39" s="479">
        <v>2027</v>
      </c>
      <c r="O39" s="479">
        <v>2028</v>
      </c>
      <c r="P39" s="479">
        <v>2029</v>
      </c>
      <c r="Q39" s="479">
        <v>2030</v>
      </c>
      <c r="R39" s="479">
        <v>2031</v>
      </c>
      <c r="S39" s="479">
        <v>2032</v>
      </c>
      <c r="T39" s="479">
        <v>2033</v>
      </c>
      <c r="U39" s="479">
        <v>2034</v>
      </c>
      <c r="V39" s="479">
        <v>2035</v>
      </c>
      <c r="W39" s="479">
        <v>2036</v>
      </c>
      <c r="X39" s="479">
        <v>2037</v>
      </c>
      <c r="Y39" s="479">
        <v>2038</v>
      </c>
      <c r="Z39" s="479">
        <v>2039</v>
      </c>
      <c r="AA39" s="479">
        <v>2040</v>
      </c>
      <c r="AB39" s="479">
        <v>2041</v>
      </c>
      <c r="AC39" s="479">
        <v>2042</v>
      </c>
      <c r="AD39" s="479">
        <v>2043</v>
      </c>
      <c r="AE39" s="479">
        <v>2044</v>
      </c>
      <c r="AF39" s="479">
        <v>2045</v>
      </c>
      <c r="AG39" s="479">
        <v>2046</v>
      </c>
      <c r="AH39" s="479">
        <v>2047</v>
      </c>
      <c r="AI39" s="479">
        <v>2048</v>
      </c>
      <c r="AJ39" s="479">
        <v>2049</v>
      </c>
      <c r="AK39" s="479">
        <v>2050</v>
      </c>
    </row>
    <row r="40" spans="1:37">
      <c r="A40" s="463" t="s">
        <v>316</v>
      </c>
      <c r="B40" s="481">
        <f>Table117[2015]*365</f>
        <v>155920.70000000001</v>
      </c>
      <c r="C40" s="481">
        <f>Table117[2016]*365</f>
        <v>155869.6</v>
      </c>
      <c r="D40" s="481">
        <f>Table117[2017]*365</f>
        <v>157731.1</v>
      </c>
      <c r="E40" s="481">
        <f>Table117[2018]*365</f>
        <v>159333.44999999998</v>
      </c>
      <c r="F40" s="481">
        <f>Table117[2019]*365</f>
        <v>162041.75</v>
      </c>
      <c r="G40" s="481">
        <f>Table117[2020]*365</f>
        <v>166107.84999999998</v>
      </c>
      <c r="H40" s="481">
        <f>Table117[2021]*365</f>
        <v>171060.90000000002</v>
      </c>
      <c r="I40" s="481">
        <f>Table117[2022]*365</f>
        <v>175721.95</v>
      </c>
      <c r="J40" s="481">
        <f>Table117[2023]*365</f>
        <v>179466.85</v>
      </c>
      <c r="K40" s="481">
        <f>Table117[2024]*365</f>
        <v>181916</v>
      </c>
      <c r="L40" s="481">
        <f>Table117[2025]*365</f>
        <v>183032.9</v>
      </c>
      <c r="M40" s="481">
        <f>Table117[2026]*365</f>
        <v>183664.35</v>
      </c>
      <c r="N40" s="481">
        <f>Table117[2027]*365</f>
        <v>183653.40000000002</v>
      </c>
      <c r="O40" s="481">
        <f>Table117[2028]*365</f>
        <v>182970.85</v>
      </c>
      <c r="P40" s="481">
        <f>Table117[2029]*365</f>
        <v>182547.45</v>
      </c>
      <c r="Q40" s="481">
        <f>Table117[2030]*365</f>
        <v>182536.5</v>
      </c>
      <c r="R40" s="481">
        <f>Table117[2031]*365</f>
        <v>182795.65</v>
      </c>
      <c r="S40" s="481">
        <f>Table117[2032]*365</f>
        <v>183270.15</v>
      </c>
      <c r="T40" s="481">
        <f>Table117[2033]*365</f>
        <v>183675.30000000002</v>
      </c>
      <c r="U40" s="481">
        <f>Table117[2034]*365</f>
        <v>183912.55</v>
      </c>
      <c r="V40" s="481">
        <f>Table117[2035]*365</f>
        <v>184127.9</v>
      </c>
      <c r="W40" s="481">
        <f>Table117[2036]*365</f>
        <v>184292.15000000002</v>
      </c>
      <c r="X40" s="481">
        <f>Table117[2037]*365</f>
        <v>184408.95</v>
      </c>
      <c r="Y40" s="481">
        <f>Table117[2038]*365</f>
        <v>184511.15</v>
      </c>
      <c r="Z40" s="481">
        <f>Table117[2039]*365</f>
        <v>184602.4</v>
      </c>
      <c r="AA40" s="481">
        <f>Table117[2040]*365</f>
        <v>184759.35</v>
      </c>
      <c r="AB40" s="482">
        <f>(1+(($AA40-$R40)/$R40)/10)*AA40</f>
        <v>184957.82952377151</v>
      </c>
      <c r="AC40" s="482">
        <f t="shared" ref="AC40:AK40" si="5">(1+(($AA40-$R40)/$R40)/10)*AB40</f>
        <v>185156.52226609652</v>
      </c>
      <c r="AD40" s="482">
        <f t="shared" si="5"/>
        <v>185355.42845602718</v>
      </c>
      <c r="AE40" s="482">
        <f t="shared" si="5"/>
        <v>185554.54832286161</v>
      </c>
      <c r="AF40" s="482">
        <f t="shared" si="5"/>
        <v>185753.88209614428</v>
      </c>
      <c r="AG40" s="482">
        <f t="shared" si="5"/>
        <v>185953.43000566631</v>
      </c>
      <c r="AH40" s="482">
        <f t="shared" si="5"/>
        <v>186153.19228146563</v>
      </c>
      <c r="AI40" s="482">
        <f t="shared" si="5"/>
        <v>186353.16915382727</v>
      </c>
      <c r="AJ40" s="482">
        <f t="shared" si="5"/>
        <v>186553.36085328367</v>
      </c>
      <c r="AK40" s="482">
        <f t="shared" si="5"/>
        <v>186753.76761061494</v>
      </c>
    </row>
    <row r="41" spans="1:37">
      <c r="A41" s="463" t="s">
        <v>328</v>
      </c>
      <c r="B41" s="481">
        <f>'Natural Gas Production'!L34*365</f>
        <v>103415.45</v>
      </c>
      <c r="C41" s="481">
        <f>'Natural Gas Production'!M34*365</f>
        <v>101794.84999999999</v>
      </c>
      <c r="D41" s="481">
        <f>'Natural Gas Production'!N34*365</f>
        <v>101586.8</v>
      </c>
      <c r="E41" s="481">
        <f>'Natural Gas Production'!O34*365</f>
        <v>101265.60000000001</v>
      </c>
      <c r="F41" s="481">
        <f>'Natural Gas Production'!P34*365</f>
        <v>100988.2</v>
      </c>
      <c r="G41" s="481">
        <f>'Natural Gas Production'!Q34*365</f>
        <v>100729.05</v>
      </c>
      <c r="H41" s="481">
        <f>'Natural Gas Production'!R34*365</f>
        <v>100583.05</v>
      </c>
      <c r="I41" s="481">
        <f>'Natural Gas Production'!S34*365</f>
        <v>100491.8</v>
      </c>
      <c r="J41" s="481">
        <f>'Natural Gas Production'!T34*365</f>
        <v>100407.84999999999</v>
      </c>
      <c r="K41" s="481">
        <f>'Natural Gas Production'!U34*365</f>
        <v>100221.7</v>
      </c>
      <c r="L41" s="481">
        <f>'Natural Gas Production'!V34*365</f>
        <v>99922.4</v>
      </c>
      <c r="M41" s="481">
        <f>'Natural Gas Production'!W34*365</f>
        <v>99520.900000000009</v>
      </c>
      <c r="N41" s="481">
        <f>'Natural Gas Production'!X34*365</f>
        <v>99086.55</v>
      </c>
      <c r="O41" s="481">
        <f>'Natural Gas Production'!Y34*365</f>
        <v>98670.45</v>
      </c>
      <c r="P41" s="481">
        <f>'Natural Gas Production'!Z34*365</f>
        <v>98404.000000000015</v>
      </c>
      <c r="Q41" s="481">
        <f>'Natural Gas Production'!AA34*365</f>
        <v>98298.15</v>
      </c>
      <c r="R41" s="481">
        <f>'Natural Gas Production'!AB34*365</f>
        <v>98309.099999999991</v>
      </c>
      <c r="S41" s="481">
        <f>'Natural Gas Production'!AC34*365</f>
        <v>98455.1</v>
      </c>
      <c r="T41" s="481">
        <f>'Natural Gas Production'!AD34*365</f>
        <v>98484.3</v>
      </c>
      <c r="U41" s="481">
        <f>'Natural Gas Production'!AE34*365</f>
        <v>98382.1</v>
      </c>
      <c r="V41" s="481">
        <f>'Natural Gas Production'!AF34*365</f>
        <v>98287.2</v>
      </c>
      <c r="W41" s="481">
        <f>'Natural Gas Production'!AG34*365</f>
        <v>98195.95</v>
      </c>
      <c r="X41" s="481">
        <f>'Natural Gas Production'!AH34*365</f>
        <v>98112</v>
      </c>
      <c r="Y41" s="481">
        <f>'Natural Gas Production'!AI34*365</f>
        <v>98020.75</v>
      </c>
      <c r="Z41" s="481">
        <f>'Natural Gas Production'!AJ34*365</f>
        <v>97969.650000000009</v>
      </c>
      <c r="AA41" s="481">
        <f>'Natural Gas Production'!AK34*365</f>
        <v>97958.7</v>
      </c>
      <c r="AB41" s="482">
        <f>(1+(($AA41-$R41)/$R41)/10)*AA41</f>
        <v>97923.784891958116</v>
      </c>
      <c r="AC41" s="482">
        <f t="shared" ref="AC41:AK41" si="6">(1+(($AA41-$R41)/$R41)/10)*AB41</f>
        <v>97888.882228597213</v>
      </c>
      <c r="AD41" s="482">
        <f t="shared" si="6"/>
        <v>97853.992005481661</v>
      </c>
      <c r="AE41" s="482">
        <f t="shared" si="6"/>
        <v>97819.114218177419</v>
      </c>
      <c r="AF41" s="482">
        <f>(1+(($AA41-$R41)/$R41)/10)*AE41</f>
        <v>97784.248862252032</v>
      </c>
      <c r="AG41" s="482">
        <f t="shared" si="6"/>
        <v>97749.395933274631</v>
      </c>
      <c r="AH41" s="482">
        <f t="shared" si="6"/>
        <v>97714.555426815903</v>
      </c>
      <c r="AI41" s="482">
        <f t="shared" si="6"/>
        <v>97679.727338448138</v>
      </c>
      <c r="AJ41" s="482">
        <f t="shared" si="6"/>
        <v>97644.911663745195</v>
      </c>
      <c r="AK41" s="482">
        <f t="shared" si="6"/>
        <v>97610.108398282508</v>
      </c>
    </row>
    <row r="42" spans="1:37">
      <c r="A42" s="463" t="s">
        <v>1068</v>
      </c>
      <c r="B42" s="483">
        <f>B41/B40</f>
        <v>0.66325670677466164</v>
      </c>
      <c r="C42" s="483">
        <f t="shared" ref="C42:AK42" si="7">C41/C40</f>
        <v>0.65307699512926176</v>
      </c>
      <c r="D42" s="483">
        <f t="shared" si="7"/>
        <v>0.64405053917711852</v>
      </c>
      <c r="E42" s="483">
        <f t="shared" si="7"/>
        <v>0.63555769362930392</v>
      </c>
      <c r="F42" s="483">
        <f t="shared" si="7"/>
        <v>0.6232233359612569</v>
      </c>
      <c r="G42" s="483">
        <f t="shared" si="7"/>
        <v>0.60640752378650387</v>
      </c>
      <c r="H42" s="483">
        <f t="shared" si="7"/>
        <v>0.58799556181453494</v>
      </c>
      <c r="I42" s="483">
        <f t="shared" si="7"/>
        <v>0.57187960866584964</v>
      </c>
      <c r="J42" s="483">
        <f t="shared" si="7"/>
        <v>0.55947853322215213</v>
      </c>
      <c r="K42" s="483">
        <f t="shared" si="7"/>
        <v>0.55092295345104336</v>
      </c>
      <c r="L42" s="483">
        <f t="shared" si="7"/>
        <v>0.54592589638256295</v>
      </c>
      <c r="M42" s="483">
        <f t="shared" si="7"/>
        <v>0.54186291460482128</v>
      </c>
      <c r="N42" s="483">
        <f t="shared" si="7"/>
        <v>0.53953016932983544</v>
      </c>
      <c r="O42" s="483">
        <f t="shared" si="7"/>
        <v>0.5392686867880867</v>
      </c>
      <c r="P42" s="483">
        <f t="shared" si="7"/>
        <v>0.53905984444044552</v>
      </c>
      <c r="Q42" s="483">
        <f t="shared" si="7"/>
        <v>0.5385122975404919</v>
      </c>
      <c r="R42" s="483">
        <f t="shared" si="7"/>
        <v>0.53780874982528304</v>
      </c>
      <c r="S42" s="483">
        <f t="shared" si="7"/>
        <v>0.5372129613033001</v>
      </c>
      <c r="T42" s="483">
        <f t="shared" si="7"/>
        <v>0.53618695600333843</v>
      </c>
      <c r="U42" s="483">
        <f t="shared" si="7"/>
        <v>0.53493956774564877</v>
      </c>
      <c r="V42" s="483">
        <f t="shared" si="7"/>
        <v>0.53379851722634108</v>
      </c>
      <c r="W42" s="483">
        <f t="shared" si="7"/>
        <v>0.5328276326474024</v>
      </c>
      <c r="X42" s="483">
        <f t="shared" si="7"/>
        <v>0.53203491479128318</v>
      </c>
      <c r="Y42" s="483">
        <f t="shared" si="7"/>
        <v>0.53124567268698941</v>
      </c>
      <c r="Z42" s="483">
        <f t="shared" si="7"/>
        <v>0.53070626384055686</v>
      </c>
      <c r="AA42" s="483">
        <f t="shared" si="7"/>
        <v>0.53019617139809161</v>
      </c>
      <c r="AB42" s="483">
        <f t="shared" si="7"/>
        <v>0.52943844088185821</v>
      </c>
      <c r="AC42" s="483">
        <f t="shared" si="7"/>
        <v>0.52868179327713249</v>
      </c>
      <c r="AD42" s="483">
        <f t="shared" si="7"/>
        <v>0.52792622703626979</v>
      </c>
      <c r="AE42" s="483">
        <f t="shared" si="7"/>
        <v>0.52717174061383776</v>
      </c>
      <c r="AF42" s="483">
        <f t="shared" si="7"/>
        <v>0.52641833246661252</v>
      </c>
      <c r="AG42" s="483">
        <f t="shared" si="7"/>
        <v>0.52566600105357586</v>
      </c>
      <c r="AH42" s="483">
        <f t="shared" si="7"/>
        <v>0.5249147448359115</v>
      </c>
      <c r="AI42" s="483">
        <f t="shared" si="7"/>
        <v>0.52416456227700281</v>
      </c>
      <c r="AJ42" s="483">
        <f t="shared" si="7"/>
        <v>0.5234154518424291</v>
      </c>
      <c r="AK42" s="483">
        <f t="shared" si="7"/>
        <v>0.52266741199996236</v>
      </c>
    </row>
    <row r="44" spans="1:37" s="462" customFormat="1">
      <c r="A44" s="461" t="s">
        <v>335</v>
      </c>
    </row>
    <row r="45" spans="1:37">
      <c r="B45" s="463">
        <v>2015</v>
      </c>
      <c r="C45" s="463">
        <v>2016</v>
      </c>
      <c r="D45" s="463">
        <v>2017</v>
      </c>
      <c r="E45" s="463">
        <v>2018</v>
      </c>
      <c r="F45" s="463">
        <v>2019</v>
      </c>
      <c r="G45" s="463">
        <v>2020</v>
      </c>
      <c r="H45" s="463">
        <v>2021</v>
      </c>
      <c r="I45" s="463">
        <v>2022</v>
      </c>
      <c r="J45" s="463">
        <v>2023</v>
      </c>
      <c r="K45" s="463">
        <v>2024</v>
      </c>
      <c r="L45" s="463">
        <v>2025</v>
      </c>
      <c r="M45" s="463">
        <v>2026</v>
      </c>
      <c r="N45" s="463">
        <v>2027</v>
      </c>
      <c r="O45" s="463">
        <v>2028</v>
      </c>
      <c r="P45" s="463">
        <v>2029</v>
      </c>
      <c r="Q45" s="463">
        <v>2030</v>
      </c>
      <c r="R45" s="463">
        <v>2031</v>
      </c>
      <c r="S45" s="463">
        <v>2032</v>
      </c>
      <c r="T45" s="463">
        <v>2033</v>
      </c>
      <c r="U45" s="463">
        <v>2034</v>
      </c>
      <c r="V45" s="463">
        <v>2035</v>
      </c>
      <c r="W45" s="463">
        <v>2036</v>
      </c>
      <c r="X45" s="463">
        <v>2037</v>
      </c>
      <c r="Y45" s="463">
        <v>2038</v>
      </c>
      <c r="Z45" s="463">
        <v>2039</v>
      </c>
      <c r="AA45" s="463">
        <v>2040</v>
      </c>
      <c r="AB45" s="463">
        <v>2041</v>
      </c>
      <c r="AC45" s="463">
        <v>2042</v>
      </c>
      <c r="AD45" s="463">
        <v>2043</v>
      </c>
      <c r="AE45" s="463">
        <v>2044</v>
      </c>
      <c r="AF45" s="463">
        <v>2045</v>
      </c>
      <c r="AG45" s="463">
        <v>2046</v>
      </c>
      <c r="AH45" s="463">
        <v>2047</v>
      </c>
      <c r="AI45" s="463">
        <v>2048</v>
      </c>
      <c r="AJ45" s="463">
        <v>2049</v>
      </c>
      <c r="AK45" s="463">
        <v>2050</v>
      </c>
    </row>
    <row r="46" spans="1:37" ht="15.75" customHeight="1">
      <c r="A46" s="463" t="s">
        <v>51</v>
      </c>
      <c r="B46" s="482">
        <f>$B$22*B41*1000</f>
        <v>529.80945737159971</v>
      </c>
      <c r="C46" s="482">
        <f t="shared" ref="C46:AK46" si="8">$B$22*C41*1000</f>
        <v>521.5069338452173</v>
      </c>
      <c r="D46" s="482">
        <f t="shared" si="8"/>
        <v>520.44106933845205</v>
      </c>
      <c r="E46" s="482">
        <f t="shared" si="8"/>
        <v>518.79552413502495</v>
      </c>
      <c r="F46" s="482">
        <f t="shared" si="8"/>
        <v>517.37437145933779</v>
      </c>
      <c r="G46" s="482">
        <f t="shared" si="8"/>
        <v>516.04671567020921</v>
      </c>
      <c r="H46" s="482">
        <f t="shared" si="8"/>
        <v>515.29874057774225</v>
      </c>
      <c r="I46" s="482">
        <f t="shared" si="8"/>
        <v>514.83125614495054</v>
      </c>
      <c r="J46" s="482">
        <f t="shared" si="8"/>
        <v>514.40117046678199</v>
      </c>
      <c r="K46" s="482">
        <f t="shared" si="8"/>
        <v>513.44750222388677</v>
      </c>
      <c r="L46" s="482">
        <f t="shared" si="8"/>
        <v>511.91415328432964</v>
      </c>
      <c r="M46" s="482">
        <f t="shared" si="8"/>
        <v>509.85722178004579</v>
      </c>
      <c r="N46" s="482">
        <f t="shared" si="8"/>
        <v>507.63199587995678</v>
      </c>
      <c r="O46" s="482">
        <f t="shared" si="8"/>
        <v>505.50026686642622</v>
      </c>
      <c r="P46" s="482">
        <f t="shared" si="8"/>
        <v>504.13521232267419</v>
      </c>
      <c r="Q46" s="482">
        <f t="shared" si="8"/>
        <v>503.59293038063566</v>
      </c>
      <c r="R46" s="482">
        <f t="shared" si="8"/>
        <v>503.64902851257062</v>
      </c>
      <c r="S46" s="482">
        <f t="shared" si="8"/>
        <v>504.39700360503758</v>
      </c>
      <c r="T46" s="482">
        <f t="shared" si="8"/>
        <v>504.546598623531</v>
      </c>
      <c r="U46" s="482">
        <f t="shared" si="8"/>
        <v>504.02301605880416</v>
      </c>
      <c r="V46" s="482">
        <f t="shared" si="8"/>
        <v>503.53683224870059</v>
      </c>
      <c r="W46" s="482">
        <f t="shared" si="8"/>
        <v>503.06934781590883</v>
      </c>
      <c r="X46" s="482">
        <f t="shared" si="8"/>
        <v>502.63926213774045</v>
      </c>
      <c r="Y46" s="482">
        <f t="shared" si="8"/>
        <v>502.17177770494857</v>
      </c>
      <c r="Z46" s="482">
        <f t="shared" si="8"/>
        <v>501.90998642258523</v>
      </c>
      <c r="AA46" s="482">
        <f t="shared" si="8"/>
        <v>501.85388829065016</v>
      </c>
      <c r="AB46" s="482">
        <f t="shared" si="8"/>
        <v>501.67501410458095</v>
      </c>
      <c r="AC46" s="482">
        <f t="shared" si="8"/>
        <v>501.49620367406919</v>
      </c>
      <c r="AD46" s="482">
        <f t="shared" si="8"/>
        <v>501.31745697639076</v>
      </c>
      <c r="AE46" s="482">
        <f t="shared" si="8"/>
        <v>501.13877398882954</v>
      </c>
      <c r="AF46" s="482">
        <f t="shared" si="8"/>
        <v>500.96015468867773</v>
      </c>
      <c r="AG46" s="482">
        <f t="shared" si="8"/>
        <v>500.78159905323514</v>
      </c>
      <c r="AH46" s="482">
        <f t="shared" si="8"/>
        <v>500.60310705981004</v>
      </c>
      <c r="AI46" s="482">
        <f t="shared" si="8"/>
        <v>500.42467868571885</v>
      </c>
      <c r="AJ46" s="482">
        <f t="shared" si="8"/>
        <v>500.24631390828569</v>
      </c>
      <c r="AK46" s="482">
        <f t="shared" si="8"/>
        <v>500.06801270484323</v>
      </c>
    </row>
    <row r="47" spans="1:37">
      <c r="A47" s="463" t="s">
        <v>52</v>
      </c>
      <c r="B47" s="484">
        <f>$B$26*B41</f>
        <v>3.4599186663828108</v>
      </c>
      <c r="C47" s="484">
        <f t="shared" ref="C47:E47" si="9">$B$26*C41</f>
        <v>3.4056990677566867</v>
      </c>
      <c r="D47" s="484">
        <f t="shared" si="9"/>
        <v>3.3987384436087389</v>
      </c>
      <c r="E47" s="484">
        <f t="shared" si="9"/>
        <v>3.3879922168540118</v>
      </c>
      <c r="F47" s="484">
        <f t="shared" ref="F47:AK47" si="10">$B$26*F41</f>
        <v>3.3787113846567469</v>
      </c>
      <c r="G47" s="484">
        <f t="shared" si="10"/>
        <v>3.3700411335250924</v>
      </c>
      <c r="H47" s="484">
        <f t="shared" si="10"/>
        <v>3.3651564850002162</v>
      </c>
      <c r="I47" s="484">
        <f t="shared" si="10"/>
        <v>3.3621035796721688</v>
      </c>
      <c r="J47" s="484">
        <f t="shared" si="10"/>
        <v>3.3592949067703644</v>
      </c>
      <c r="K47" s="484">
        <f t="shared" si="10"/>
        <v>3.3530669799011479</v>
      </c>
      <c r="L47" s="484">
        <f t="shared" si="10"/>
        <v>3.3430534504251517</v>
      </c>
      <c r="M47" s="484">
        <f t="shared" si="10"/>
        <v>3.3296206669817434</v>
      </c>
      <c r="N47" s="484">
        <f t="shared" si="10"/>
        <v>3.315088837620237</v>
      </c>
      <c r="O47" s="484">
        <f t="shared" si="10"/>
        <v>3.30116758932434</v>
      </c>
      <c r="P47" s="484">
        <f t="shared" si="10"/>
        <v>3.2922531057664419</v>
      </c>
      <c r="Q47" s="484">
        <f t="shared" si="10"/>
        <v>3.2887117355859061</v>
      </c>
      <c r="R47" s="484">
        <f t="shared" si="10"/>
        <v>3.2890780842252716</v>
      </c>
      <c r="S47" s="484">
        <f t="shared" si="10"/>
        <v>3.2939627327501482</v>
      </c>
      <c r="T47" s="484">
        <f t="shared" si="10"/>
        <v>3.2949396624551235</v>
      </c>
      <c r="U47" s="484">
        <f t="shared" si="10"/>
        <v>3.2915204084877101</v>
      </c>
      <c r="V47" s="484">
        <f t="shared" si="10"/>
        <v>3.2883453869465407</v>
      </c>
      <c r="W47" s="484">
        <f t="shared" si="10"/>
        <v>3.2852924816184927</v>
      </c>
      <c r="X47" s="484">
        <f t="shared" si="10"/>
        <v>3.2824838087166892</v>
      </c>
      <c r="Y47" s="484">
        <f t="shared" si="10"/>
        <v>3.2794309033886417</v>
      </c>
      <c r="Z47" s="484">
        <f t="shared" si="10"/>
        <v>3.2777212764049355</v>
      </c>
      <c r="AA47" s="484">
        <f t="shared" si="10"/>
        <v>3.2773549277655696</v>
      </c>
      <c r="AB47" s="484">
        <f t="shared" si="10"/>
        <v>3.2761867905669897</v>
      </c>
      <c r="AC47" s="484">
        <f t="shared" si="10"/>
        <v>3.2750190697238382</v>
      </c>
      <c r="AD47" s="484">
        <f t="shared" si="10"/>
        <v>3.273851765087715</v>
      </c>
      <c r="AE47" s="484">
        <f t="shared" si="10"/>
        <v>3.2726848765102727</v>
      </c>
      <c r="AF47" s="484">
        <f t="shared" si="10"/>
        <v>3.2715184038432166</v>
      </c>
      <c r="AG47" s="484">
        <f t="shared" si="10"/>
        <v>3.2703523469383051</v>
      </c>
      <c r="AH47" s="484">
        <f t="shared" si="10"/>
        <v>3.2691867056473489</v>
      </c>
      <c r="AI47" s="484">
        <f t="shared" si="10"/>
        <v>3.2680214798222131</v>
      </c>
      <c r="AJ47" s="484">
        <f t="shared" si="10"/>
        <v>3.2668566693148136</v>
      </c>
      <c r="AK47" s="484">
        <f t="shared" si="10"/>
        <v>3.2656922739771206</v>
      </c>
    </row>
    <row r="48" spans="1:37">
      <c r="B48" s="485"/>
      <c r="C48" s="485"/>
      <c r="D48" s="485"/>
      <c r="E48" s="485"/>
      <c r="F48" s="485"/>
      <c r="G48" s="485"/>
      <c r="H48" s="485"/>
      <c r="I48" s="485"/>
      <c r="J48" s="485"/>
      <c r="K48" s="485"/>
      <c r="L48" s="485"/>
      <c r="M48" s="485"/>
      <c r="N48" s="485"/>
      <c r="O48" s="485"/>
      <c r="P48" s="485"/>
      <c r="Q48" s="485"/>
      <c r="R48" s="485"/>
    </row>
    <row r="49" spans="1:23" s="484" customFormat="1">
      <c r="A49" s="463" t="s">
        <v>1196</v>
      </c>
      <c r="B49" s="486">
        <f>B41*$B$22</f>
        <v>0.52980945737159968</v>
      </c>
      <c r="C49" s="486">
        <f t="shared" ref="C49:W49" si="11">C41*$I$36</f>
        <v>13.997364062651304</v>
      </c>
      <c r="D49" s="486">
        <f t="shared" si="11"/>
        <v>13.96875601820471</v>
      </c>
      <c r="E49" s="486">
        <f t="shared" si="11"/>
        <v>13.924589212743298</v>
      </c>
      <c r="F49" s="486">
        <f t="shared" si="11"/>
        <v>13.886445153481167</v>
      </c>
      <c r="G49" s="486">
        <f t="shared" si="11"/>
        <v>13.850810571802075</v>
      </c>
      <c r="H49" s="486">
        <f t="shared" si="11"/>
        <v>13.830734751137797</v>
      </c>
      <c r="I49" s="486">
        <f t="shared" si="11"/>
        <v>13.818187363222624</v>
      </c>
      <c r="J49" s="486">
        <f t="shared" si="11"/>
        <v>13.806643766340661</v>
      </c>
      <c r="K49" s="486">
        <f t="shared" si="11"/>
        <v>13.781047094993708</v>
      </c>
      <c r="L49" s="486">
        <f t="shared" si="11"/>
        <v>13.739891662631937</v>
      </c>
      <c r="M49" s="486">
        <f t="shared" si="11"/>
        <v>13.684683155805175</v>
      </c>
      <c r="N49" s="486">
        <f t="shared" si="11"/>
        <v>13.624957589328947</v>
      </c>
      <c r="O49" s="486">
        <f t="shared" si="11"/>
        <v>13.567741500435753</v>
      </c>
      <c r="P49" s="486">
        <f t="shared" si="11"/>
        <v>13.531103127723448</v>
      </c>
      <c r="Q49" s="486">
        <f t="shared" si="11"/>
        <v>13.516548157741843</v>
      </c>
      <c r="R49" s="486">
        <f t="shared" si="11"/>
        <v>13.518053844291664</v>
      </c>
      <c r="S49" s="486">
        <f t="shared" si="11"/>
        <v>13.538129664955944</v>
      </c>
      <c r="T49" s="486">
        <f t="shared" si="11"/>
        <v>13.5421448290888</v>
      </c>
      <c r="U49" s="486">
        <f t="shared" si="11"/>
        <v>13.528091754623805</v>
      </c>
      <c r="V49" s="486">
        <f t="shared" si="11"/>
        <v>13.515042471192023</v>
      </c>
      <c r="W49" s="486">
        <f t="shared" si="11"/>
        <v>13.502495083276848</v>
      </c>
    </row>
    <row r="51" spans="1:23" s="462" customFormat="1">
      <c r="A51" s="461" t="s">
        <v>1144</v>
      </c>
    </row>
    <row r="52" spans="1:23">
      <c r="A52" s="463" t="s">
        <v>801</v>
      </c>
    </row>
    <row r="53" spans="1:23">
      <c r="A53" s="463" t="s">
        <v>1049</v>
      </c>
    </row>
    <row r="54" spans="1:23">
      <c r="A54" s="463" t="s">
        <v>1048</v>
      </c>
    </row>
    <row r="56" spans="1:23">
      <c r="A56" s="466" t="s">
        <v>1047</v>
      </c>
    </row>
    <row r="57" spans="1:23">
      <c r="A57" s="463" t="s">
        <v>1046</v>
      </c>
    </row>
    <row r="58" spans="1:23">
      <c r="A58" s="463" t="s">
        <v>1045</v>
      </c>
    </row>
    <row r="59" spans="1:23">
      <c r="A59" s="463" t="s">
        <v>802</v>
      </c>
    </row>
    <row r="60" spans="1:23">
      <c r="A60" s="463" t="s">
        <v>803</v>
      </c>
    </row>
    <row r="61" spans="1:23">
      <c r="A61" s="463" t="s">
        <v>804</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AK58"/>
  <sheetViews>
    <sheetView topLeftCell="A13" workbookViewId="0">
      <selection activeCell="H9" sqref="H9"/>
    </sheetView>
  </sheetViews>
  <sheetFormatPr baseColWidth="10" defaultColWidth="8.6640625" defaultRowHeight="15"/>
  <cols>
    <col min="1" max="16384" width="8.6640625" style="64"/>
  </cols>
  <sheetData>
    <row r="1" spans="1:37" ht="21">
      <c r="A1" s="236" t="s">
        <v>312</v>
      </c>
      <c r="B1" s="237"/>
      <c r="C1" s="237"/>
      <c r="D1" s="237"/>
      <c r="E1" s="237"/>
      <c r="F1" s="237"/>
      <c r="G1" s="237"/>
      <c r="H1" s="237"/>
      <c r="J1" s="231" t="s">
        <v>806</v>
      </c>
    </row>
    <row r="2" spans="1:37" ht="21">
      <c r="A2" s="236" t="s">
        <v>336</v>
      </c>
      <c r="B2" s="237"/>
      <c r="C2" s="237"/>
      <c r="D2" s="237"/>
      <c r="E2" s="237"/>
      <c r="F2" s="237"/>
      <c r="G2" s="237"/>
      <c r="H2" s="237"/>
    </row>
    <row r="3" spans="1:37" ht="21">
      <c r="A3" s="236" t="s">
        <v>310</v>
      </c>
      <c r="B3" s="237"/>
      <c r="C3" s="237"/>
      <c r="D3" s="237"/>
      <c r="E3" s="237"/>
      <c r="F3" s="237"/>
      <c r="G3" s="237"/>
      <c r="H3" s="237"/>
    </row>
    <row r="4" spans="1:37" ht="21">
      <c r="A4" s="236" t="s">
        <v>337</v>
      </c>
      <c r="B4" s="237"/>
      <c r="C4" s="237"/>
      <c r="D4" s="237"/>
      <c r="E4" s="237"/>
      <c r="F4" s="237"/>
      <c r="G4" s="237"/>
      <c r="H4" s="237"/>
    </row>
    <row r="7" spans="1:37" ht="19">
      <c r="A7" s="65" t="s">
        <v>316</v>
      </c>
    </row>
    <row r="8" spans="1:37">
      <c r="A8" s="64" t="s">
        <v>306</v>
      </c>
      <c r="B8" s="64" t="s">
        <v>305</v>
      </c>
      <c r="C8" s="64" t="s">
        <v>304</v>
      </c>
      <c r="D8" s="64" t="s">
        <v>303</v>
      </c>
      <c r="E8" s="64" t="s">
        <v>302</v>
      </c>
      <c r="F8" s="64" t="s">
        <v>301</v>
      </c>
      <c r="G8" s="64" t="s">
        <v>300</v>
      </c>
      <c r="H8" s="64" t="s">
        <v>299</v>
      </c>
      <c r="I8" s="64" t="s">
        <v>298</v>
      </c>
      <c r="J8" s="64" t="s">
        <v>297</v>
      </c>
      <c r="K8" s="64" t="s">
        <v>296</v>
      </c>
      <c r="L8" s="64" t="s">
        <v>295</v>
      </c>
      <c r="M8" s="64" t="s">
        <v>294</v>
      </c>
      <c r="N8" s="64" t="s">
        <v>293</v>
      </c>
      <c r="O8" s="64" t="s">
        <v>292</v>
      </c>
      <c r="P8" s="64" t="s">
        <v>291</v>
      </c>
      <c r="Q8" s="64" t="s">
        <v>290</v>
      </c>
      <c r="R8" s="64" t="s">
        <v>289</v>
      </c>
      <c r="S8" s="64" t="s">
        <v>288</v>
      </c>
      <c r="T8" s="64" t="s">
        <v>287</v>
      </c>
      <c r="U8" s="64" t="s">
        <v>286</v>
      </c>
      <c r="V8" s="64" t="s">
        <v>285</v>
      </c>
      <c r="W8" s="64" t="s">
        <v>284</v>
      </c>
      <c r="X8" s="64" t="s">
        <v>283</v>
      </c>
      <c r="Y8" s="64" t="s">
        <v>282</v>
      </c>
      <c r="Z8" s="64" t="s">
        <v>281</v>
      </c>
      <c r="AA8" s="64" t="s">
        <v>280</v>
      </c>
      <c r="AB8" s="64" t="s">
        <v>279</v>
      </c>
      <c r="AC8" s="64" t="s">
        <v>278</v>
      </c>
      <c r="AD8" s="64" t="s">
        <v>277</v>
      </c>
      <c r="AE8" s="64" t="s">
        <v>276</v>
      </c>
      <c r="AF8" s="64" t="s">
        <v>275</v>
      </c>
      <c r="AG8" s="64" t="s">
        <v>274</v>
      </c>
      <c r="AH8" s="64" t="s">
        <v>273</v>
      </c>
      <c r="AI8" s="64" t="s">
        <v>272</v>
      </c>
      <c r="AJ8" s="64" t="s">
        <v>271</v>
      </c>
      <c r="AK8" s="64" t="s">
        <v>270</v>
      </c>
    </row>
    <row r="9" spans="1:37">
      <c r="A9" s="64" t="s">
        <v>40</v>
      </c>
      <c r="B9" s="64">
        <v>481.57</v>
      </c>
      <c r="C9" s="64">
        <v>484.41</v>
      </c>
      <c r="D9" s="64">
        <v>475.91</v>
      </c>
      <c r="E9" s="64">
        <v>456.08</v>
      </c>
      <c r="F9" s="64">
        <v>427.75</v>
      </c>
      <c r="G9" s="64">
        <v>413.39</v>
      </c>
      <c r="H9" s="64">
        <v>413.08</v>
      </c>
      <c r="I9" s="64">
        <v>394.07</v>
      </c>
      <c r="J9" s="64">
        <v>397.89</v>
      </c>
      <c r="K9" s="64">
        <v>415.54</v>
      </c>
      <c r="L9" s="64">
        <v>427.18</v>
      </c>
      <c r="M9" s="64">
        <v>427.04</v>
      </c>
      <c r="N9" s="64">
        <v>432.14</v>
      </c>
      <c r="O9" s="64">
        <v>436.53</v>
      </c>
      <c r="P9" s="64">
        <v>443.95</v>
      </c>
      <c r="Q9" s="64">
        <v>455.09</v>
      </c>
      <c r="R9" s="64">
        <v>468.66</v>
      </c>
      <c r="S9" s="64">
        <v>481.43</v>
      </c>
      <c r="T9" s="64">
        <v>491.69</v>
      </c>
      <c r="U9" s="64">
        <v>498.4</v>
      </c>
      <c r="V9" s="64">
        <v>501.46</v>
      </c>
      <c r="W9" s="64">
        <v>503.19</v>
      </c>
      <c r="X9" s="64">
        <v>503.16</v>
      </c>
      <c r="Y9" s="64">
        <v>501.29</v>
      </c>
      <c r="Z9" s="64">
        <v>500.13</v>
      </c>
      <c r="AA9" s="64">
        <v>500.1</v>
      </c>
      <c r="AB9" s="64">
        <v>500.81</v>
      </c>
      <c r="AC9" s="64">
        <v>502.11</v>
      </c>
      <c r="AD9" s="64">
        <v>503.22</v>
      </c>
      <c r="AE9" s="64">
        <v>503.87</v>
      </c>
      <c r="AF9" s="64">
        <v>504.46</v>
      </c>
      <c r="AG9" s="64">
        <v>504.91</v>
      </c>
      <c r="AH9" s="64">
        <v>505.23</v>
      </c>
      <c r="AI9" s="64">
        <v>505.51</v>
      </c>
      <c r="AJ9" s="64">
        <v>505.76</v>
      </c>
      <c r="AK9" s="64">
        <v>506.19</v>
      </c>
    </row>
    <row r="11" spans="1:37" ht="19">
      <c r="A11" s="65" t="s">
        <v>338</v>
      </c>
    </row>
    <row r="12" spans="1:37">
      <c r="A12" s="64" t="s">
        <v>306</v>
      </c>
      <c r="B12" s="64" t="s">
        <v>305</v>
      </c>
      <c r="C12" s="64" t="s">
        <v>304</v>
      </c>
      <c r="D12" s="64" t="s">
        <v>303</v>
      </c>
      <c r="E12" s="64" t="s">
        <v>302</v>
      </c>
      <c r="F12" s="64" t="s">
        <v>301</v>
      </c>
      <c r="G12" s="64" t="s">
        <v>300</v>
      </c>
      <c r="H12" s="64" t="s">
        <v>299</v>
      </c>
      <c r="I12" s="64" t="s">
        <v>298</v>
      </c>
      <c r="J12" s="64" t="s">
        <v>297</v>
      </c>
      <c r="K12" s="64" t="s">
        <v>296</v>
      </c>
      <c r="L12" s="64" t="s">
        <v>295</v>
      </c>
      <c r="M12" s="64" t="s">
        <v>294</v>
      </c>
      <c r="N12" s="64" t="s">
        <v>293</v>
      </c>
      <c r="O12" s="64" t="s">
        <v>292</v>
      </c>
      <c r="P12" s="64" t="s">
        <v>291</v>
      </c>
      <c r="Q12" s="64" t="s">
        <v>290</v>
      </c>
      <c r="R12" s="64" t="s">
        <v>289</v>
      </c>
      <c r="S12" s="64" t="s">
        <v>288</v>
      </c>
      <c r="T12" s="64" t="s">
        <v>287</v>
      </c>
      <c r="U12" s="64" t="s">
        <v>286</v>
      </c>
      <c r="V12" s="64" t="s">
        <v>285</v>
      </c>
      <c r="W12" s="64" t="s">
        <v>284</v>
      </c>
      <c r="X12" s="64" t="s">
        <v>283</v>
      </c>
      <c r="Y12" s="64" t="s">
        <v>282</v>
      </c>
      <c r="Z12" s="64" t="s">
        <v>281</v>
      </c>
      <c r="AA12" s="64" t="s">
        <v>280</v>
      </c>
      <c r="AB12" s="64" t="s">
        <v>279</v>
      </c>
      <c r="AC12" s="64" t="s">
        <v>278</v>
      </c>
      <c r="AD12" s="64" t="s">
        <v>277</v>
      </c>
      <c r="AE12" s="64" t="s">
        <v>276</v>
      </c>
      <c r="AF12" s="64" t="s">
        <v>275</v>
      </c>
      <c r="AG12" s="64" t="s">
        <v>274</v>
      </c>
      <c r="AH12" s="64" t="s">
        <v>273</v>
      </c>
      <c r="AI12" s="64" t="s">
        <v>272</v>
      </c>
      <c r="AJ12" s="64" t="s">
        <v>271</v>
      </c>
      <c r="AK12" s="64" t="s">
        <v>270</v>
      </c>
    </row>
    <row r="13" spans="1:37">
      <c r="A13" s="64" t="s">
        <v>40</v>
      </c>
      <c r="B13" s="64">
        <v>470.24</v>
      </c>
      <c r="C13" s="64">
        <v>473.07</v>
      </c>
      <c r="D13" s="64">
        <v>464.58</v>
      </c>
      <c r="E13" s="64">
        <v>444.75</v>
      </c>
      <c r="F13" s="64">
        <v>416.42</v>
      </c>
      <c r="G13" s="64">
        <v>404.07</v>
      </c>
      <c r="H13" s="64">
        <v>405.03</v>
      </c>
      <c r="I13" s="64">
        <v>387.92</v>
      </c>
      <c r="J13" s="64">
        <v>392.4</v>
      </c>
      <c r="K13" s="64">
        <v>405.88</v>
      </c>
      <c r="L13" s="64">
        <v>420.33</v>
      </c>
      <c r="M13" s="64">
        <v>419.99</v>
      </c>
      <c r="N13" s="64">
        <v>425.4</v>
      </c>
      <c r="O13" s="64">
        <v>430.1</v>
      </c>
      <c r="P13" s="64">
        <v>437.86</v>
      </c>
      <c r="Q13" s="64">
        <v>449.31</v>
      </c>
      <c r="R13" s="64">
        <v>463.22</v>
      </c>
      <c r="S13" s="64">
        <v>476.28</v>
      </c>
      <c r="T13" s="64">
        <v>486.87</v>
      </c>
      <c r="U13" s="64">
        <v>493.92</v>
      </c>
      <c r="V13" s="64">
        <v>497.29</v>
      </c>
      <c r="W13" s="64">
        <v>499.33</v>
      </c>
      <c r="X13" s="64">
        <v>499.65</v>
      </c>
      <c r="Y13" s="64">
        <v>498.12</v>
      </c>
      <c r="Z13" s="64">
        <v>497.18</v>
      </c>
      <c r="AA13" s="64">
        <v>497.41</v>
      </c>
      <c r="AB13" s="64">
        <v>498.31</v>
      </c>
      <c r="AC13" s="64">
        <v>499.9</v>
      </c>
      <c r="AD13" s="64">
        <v>501.2</v>
      </c>
      <c r="AE13" s="64">
        <v>502.03</v>
      </c>
      <c r="AF13" s="64">
        <v>502.82</v>
      </c>
      <c r="AG13" s="64">
        <v>503.39</v>
      </c>
      <c r="AH13" s="64">
        <v>503.87</v>
      </c>
      <c r="AI13" s="64">
        <v>504.26</v>
      </c>
      <c r="AJ13" s="64">
        <v>504.6</v>
      </c>
      <c r="AK13" s="64">
        <v>505.11</v>
      </c>
    </row>
    <row r="14" spans="1:37">
      <c r="A14" s="64" t="s">
        <v>339</v>
      </c>
      <c r="B14" s="64">
        <v>45.32</v>
      </c>
      <c r="C14" s="64">
        <v>42.49</v>
      </c>
      <c r="D14" s="64">
        <v>39.659999999999997</v>
      </c>
      <c r="E14" s="64">
        <v>36.83</v>
      </c>
      <c r="F14" s="64">
        <v>36.83</v>
      </c>
      <c r="G14" s="64">
        <v>36.74</v>
      </c>
      <c r="H14" s="64">
        <v>38.159999999999997</v>
      </c>
      <c r="I14" s="64">
        <v>42.61</v>
      </c>
      <c r="J14" s="64">
        <v>48.3</v>
      </c>
      <c r="K14" s="64">
        <v>54.45</v>
      </c>
      <c r="L14" s="64">
        <v>53.37</v>
      </c>
      <c r="M14" s="64">
        <v>50.85</v>
      </c>
      <c r="N14" s="64">
        <v>50.06</v>
      </c>
      <c r="O14" s="64">
        <v>49.86</v>
      </c>
      <c r="P14" s="64">
        <v>49.63</v>
      </c>
      <c r="Q14" s="64">
        <v>49.4</v>
      </c>
      <c r="R14" s="64">
        <v>49.32</v>
      </c>
      <c r="S14" s="64">
        <v>49.32</v>
      </c>
      <c r="T14" s="64">
        <v>49.38</v>
      </c>
      <c r="U14" s="64">
        <v>49.46</v>
      </c>
      <c r="V14" s="64">
        <v>49.6</v>
      </c>
      <c r="W14" s="64">
        <v>49.72</v>
      </c>
      <c r="X14" s="64">
        <v>49.83</v>
      </c>
      <c r="Y14" s="64">
        <v>49.91</v>
      </c>
      <c r="Z14" s="64">
        <v>50.03</v>
      </c>
      <c r="AA14" s="64">
        <v>50.14</v>
      </c>
      <c r="AB14" s="64">
        <v>50.28</v>
      </c>
      <c r="AC14" s="64">
        <v>50.42</v>
      </c>
      <c r="AD14" s="64">
        <v>50.11</v>
      </c>
      <c r="AE14" s="64">
        <v>49.43</v>
      </c>
      <c r="AF14" s="64">
        <v>48.75</v>
      </c>
      <c r="AG14" s="64">
        <v>48.07</v>
      </c>
      <c r="AH14" s="64">
        <v>47.42</v>
      </c>
      <c r="AI14" s="64">
        <v>46.8</v>
      </c>
      <c r="AJ14" s="64">
        <v>46.15</v>
      </c>
      <c r="AK14" s="64">
        <v>45.52</v>
      </c>
    </row>
    <row r="15" spans="1:37">
      <c r="A15" s="64" t="s">
        <v>340</v>
      </c>
      <c r="B15" s="64">
        <v>283.27999999999997</v>
      </c>
      <c r="C15" s="64">
        <v>271.95</v>
      </c>
      <c r="D15" s="64">
        <v>257.77999999999997</v>
      </c>
      <c r="E15" s="64">
        <v>237.95</v>
      </c>
      <c r="F15" s="64">
        <v>215.29</v>
      </c>
      <c r="G15" s="64">
        <v>183.89</v>
      </c>
      <c r="H15" s="64">
        <v>164.61</v>
      </c>
      <c r="I15" s="64">
        <v>137.43</v>
      </c>
      <c r="J15" s="64">
        <v>125.66</v>
      </c>
      <c r="K15" s="64">
        <v>115.72</v>
      </c>
      <c r="L15" s="64">
        <v>107.53</v>
      </c>
      <c r="M15" s="64">
        <v>100.68</v>
      </c>
      <c r="N15" s="64">
        <v>94.78</v>
      </c>
      <c r="O15" s="64">
        <v>89.35</v>
      </c>
      <c r="P15" s="64">
        <v>84.42</v>
      </c>
      <c r="Q15" s="64">
        <v>79.91</v>
      </c>
      <c r="R15" s="64">
        <v>75.75</v>
      </c>
      <c r="S15" s="64">
        <v>71.98</v>
      </c>
      <c r="T15" s="64">
        <v>68.5</v>
      </c>
      <c r="U15" s="64">
        <v>65.3</v>
      </c>
      <c r="V15" s="64">
        <v>62.26</v>
      </c>
      <c r="W15" s="64">
        <v>59.49</v>
      </c>
      <c r="X15" s="64">
        <v>56.91</v>
      </c>
      <c r="Y15" s="64">
        <v>54.5</v>
      </c>
      <c r="Z15" s="64">
        <v>52.35</v>
      </c>
      <c r="AA15" s="64">
        <v>50.37</v>
      </c>
      <c r="AB15" s="64">
        <v>48.61</v>
      </c>
      <c r="AC15" s="64">
        <v>47</v>
      </c>
      <c r="AD15" s="64">
        <v>45.55</v>
      </c>
      <c r="AE15" s="64">
        <v>44.19</v>
      </c>
      <c r="AF15" s="64">
        <v>42.94</v>
      </c>
      <c r="AG15" s="64">
        <v>41.78</v>
      </c>
      <c r="AH15" s="64">
        <v>40.71</v>
      </c>
      <c r="AI15" s="64">
        <v>39.72</v>
      </c>
      <c r="AJ15" s="64">
        <v>38.81</v>
      </c>
      <c r="AK15" s="64">
        <v>38.020000000000003</v>
      </c>
    </row>
    <row r="16" spans="1:37">
      <c r="A16" s="64" t="s">
        <v>341</v>
      </c>
      <c r="B16" s="64">
        <v>133.13999999999999</v>
      </c>
      <c r="C16" s="64">
        <v>141.63999999999999</v>
      </c>
      <c r="D16" s="64">
        <v>147.30000000000001</v>
      </c>
      <c r="E16" s="64">
        <v>147.30000000000001</v>
      </c>
      <c r="F16" s="64">
        <v>138.81</v>
      </c>
      <c r="G16" s="64">
        <v>152.91999999999999</v>
      </c>
      <c r="H16" s="64">
        <v>166.68</v>
      </c>
      <c r="I16" s="64">
        <v>172.45</v>
      </c>
      <c r="J16" s="64">
        <v>180.45</v>
      </c>
      <c r="K16" s="64">
        <v>199.63</v>
      </c>
      <c r="L16" s="64">
        <v>225.12</v>
      </c>
      <c r="M16" s="64">
        <v>236.45</v>
      </c>
      <c r="N16" s="64">
        <v>250.3</v>
      </c>
      <c r="O16" s="64">
        <v>261.77999999999997</v>
      </c>
      <c r="P16" s="64">
        <v>274.67</v>
      </c>
      <c r="Q16" s="64">
        <v>289.62</v>
      </c>
      <c r="R16" s="64">
        <v>305.8</v>
      </c>
      <c r="S16" s="64">
        <v>320.77999999999997</v>
      </c>
      <c r="T16" s="64">
        <v>333.45</v>
      </c>
      <c r="U16" s="64">
        <v>342.91</v>
      </c>
      <c r="V16" s="64">
        <v>349.06</v>
      </c>
      <c r="W16" s="64">
        <v>353.79</v>
      </c>
      <c r="X16" s="64">
        <v>356.85</v>
      </c>
      <c r="Y16" s="64">
        <v>358.29</v>
      </c>
      <c r="Z16" s="64">
        <v>359.99</v>
      </c>
      <c r="AA16" s="64">
        <v>362.4</v>
      </c>
      <c r="AB16" s="64">
        <v>365.12</v>
      </c>
      <c r="AC16" s="64">
        <v>368.23</v>
      </c>
      <c r="AD16" s="64">
        <v>371.32</v>
      </c>
      <c r="AE16" s="64">
        <v>374.15</v>
      </c>
      <c r="AF16" s="64">
        <v>376.79</v>
      </c>
      <c r="AG16" s="64">
        <v>379.08</v>
      </c>
      <c r="AH16" s="64">
        <v>381.15</v>
      </c>
      <c r="AI16" s="64">
        <v>383.05</v>
      </c>
      <c r="AJ16" s="64">
        <v>384.78</v>
      </c>
      <c r="AK16" s="64">
        <v>386.5</v>
      </c>
    </row>
    <row r="17" spans="1:37">
      <c r="A17" s="64" t="s">
        <v>342</v>
      </c>
      <c r="B17" s="64">
        <v>0</v>
      </c>
      <c r="C17" s="64">
        <v>0</v>
      </c>
      <c r="D17" s="64">
        <v>0</v>
      </c>
      <c r="E17" s="64">
        <v>0</v>
      </c>
      <c r="F17" s="64">
        <v>2.83</v>
      </c>
      <c r="G17" s="64">
        <v>4.99</v>
      </c>
      <c r="H17" s="64">
        <v>11.13</v>
      </c>
      <c r="I17" s="64">
        <v>13.12</v>
      </c>
      <c r="J17" s="64">
        <v>16.88</v>
      </c>
      <c r="K17" s="64">
        <v>16.43</v>
      </c>
      <c r="L17" s="64">
        <v>16.18</v>
      </c>
      <c r="M17" s="64">
        <v>15.44</v>
      </c>
      <c r="N17" s="64">
        <v>15.07</v>
      </c>
      <c r="O17" s="64">
        <v>15.18</v>
      </c>
      <c r="P17" s="64">
        <v>16.350000000000001</v>
      </c>
      <c r="Q17" s="64">
        <v>18.61</v>
      </c>
      <c r="R17" s="64">
        <v>21.53</v>
      </c>
      <c r="S17" s="64">
        <v>24.22</v>
      </c>
      <c r="T17" s="64">
        <v>26.37</v>
      </c>
      <c r="U17" s="64">
        <v>27.79</v>
      </c>
      <c r="V17" s="64">
        <v>28.53</v>
      </c>
      <c r="W17" s="64">
        <v>29.09</v>
      </c>
      <c r="X17" s="64">
        <v>29.35</v>
      </c>
      <c r="Y17" s="64">
        <v>29.18</v>
      </c>
      <c r="Z17" s="64">
        <v>29.04</v>
      </c>
      <c r="AA17" s="64">
        <v>29.12</v>
      </c>
      <c r="AB17" s="64">
        <v>29.29</v>
      </c>
      <c r="AC17" s="64">
        <v>29.57</v>
      </c>
      <c r="AD17" s="64">
        <v>29.86</v>
      </c>
      <c r="AE17" s="64">
        <v>30.17</v>
      </c>
      <c r="AF17" s="64">
        <v>30.51</v>
      </c>
      <c r="AG17" s="64">
        <v>30.85</v>
      </c>
      <c r="AH17" s="64">
        <v>31.19</v>
      </c>
      <c r="AI17" s="64">
        <v>31.5</v>
      </c>
      <c r="AJ17" s="64">
        <v>31.84</v>
      </c>
      <c r="AK17" s="64">
        <v>32.21</v>
      </c>
    </row>
    <row r="18" spans="1:37">
      <c r="A18" s="64" t="s">
        <v>343</v>
      </c>
      <c r="B18" s="64">
        <v>8.5</v>
      </c>
      <c r="C18" s="64">
        <v>17</v>
      </c>
      <c r="D18" s="64">
        <v>19.829999999999998</v>
      </c>
      <c r="E18" s="64">
        <v>22.66</v>
      </c>
      <c r="F18" s="64">
        <v>22.66</v>
      </c>
      <c r="G18" s="64">
        <v>25.52</v>
      </c>
      <c r="H18" s="64">
        <v>24.45</v>
      </c>
      <c r="I18" s="64">
        <v>22.32</v>
      </c>
      <c r="J18" s="64">
        <v>21.1</v>
      </c>
      <c r="K18" s="64">
        <v>19.66</v>
      </c>
      <c r="L18" s="64">
        <v>18.13</v>
      </c>
      <c r="M18" s="64">
        <v>16.57</v>
      </c>
      <c r="N18" s="64">
        <v>15.18</v>
      </c>
      <c r="O18" s="64">
        <v>13.94</v>
      </c>
      <c r="P18" s="64">
        <v>12.8</v>
      </c>
      <c r="Q18" s="64">
        <v>11.76</v>
      </c>
      <c r="R18" s="64">
        <v>10.82</v>
      </c>
      <c r="S18" s="64">
        <v>9.9700000000000006</v>
      </c>
      <c r="T18" s="64">
        <v>9.18</v>
      </c>
      <c r="U18" s="64">
        <v>8.4700000000000006</v>
      </c>
      <c r="V18" s="64">
        <v>7.85</v>
      </c>
      <c r="W18" s="64">
        <v>7.25</v>
      </c>
      <c r="X18" s="64">
        <v>6.71</v>
      </c>
      <c r="Y18" s="64">
        <v>6.23</v>
      </c>
      <c r="Z18" s="64">
        <v>5.78</v>
      </c>
      <c r="AA18" s="64">
        <v>5.38</v>
      </c>
      <c r="AB18" s="64">
        <v>5.01</v>
      </c>
      <c r="AC18" s="64">
        <v>4.67</v>
      </c>
      <c r="AD18" s="64">
        <v>4.3600000000000003</v>
      </c>
      <c r="AE18" s="64">
        <v>4.08</v>
      </c>
      <c r="AF18" s="64">
        <v>3.82</v>
      </c>
      <c r="AG18" s="64">
        <v>3.6</v>
      </c>
      <c r="AH18" s="64">
        <v>3.4</v>
      </c>
      <c r="AI18" s="64">
        <v>3.2</v>
      </c>
      <c r="AJ18" s="64">
        <v>3.03</v>
      </c>
      <c r="AK18" s="64">
        <v>2.86</v>
      </c>
    </row>
    <row r="20" spans="1:37" ht="19">
      <c r="A20" s="65" t="s">
        <v>325</v>
      </c>
    </row>
    <row r="21" spans="1:37">
      <c r="A21" s="64" t="s">
        <v>306</v>
      </c>
      <c r="B21" s="64" t="s">
        <v>305</v>
      </c>
      <c r="C21" s="64" t="s">
        <v>304</v>
      </c>
      <c r="D21" s="64" t="s">
        <v>303</v>
      </c>
      <c r="E21" s="64" t="s">
        <v>302</v>
      </c>
      <c r="F21" s="64" t="s">
        <v>301</v>
      </c>
      <c r="G21" s="64" t="s">
        <v>300</v>
      </c>
      <c r="H21" s="64" t="s">
        <v>299</v>
      </c>
      <c r="I21" s="64" t="s">
        <v>298</v>
      </c>
      <c r="J21" s="64" t="s">
        <v>297</v>
      </c>
      <c r="K21" s="64" t="s">
        <v>296</v>
      </c>
      <c r="L21" s="64" t="s">
        <v>295</v>
      </c>
      <c r="M21" s="64" t="s">
        <v>294</v>
      </c>
      <c r="N21" s="64" t="s">
        <v>293</v>
      </c>
      <c r="O21" s="64" t="s">
        <v>292</v>
      </c>
      <c r="P21" s="64" t="s">
        <v>291</v>
      </c>
      <c r="Q21" s="64" t="s">
        <v>290</v>
      </c>
      <c r="R21" s="64" t="s">
        <v>289</v>
      </c>
      <c r="S21" s="64" t="s">
        <v>288</v>
      </c>
      <c r="T21" s="64" t="s">
        <v>287</v>
      </c>
      <c r="U21" s="64" t="s">
        <v>286</v>
      </c>
      <c r="V21" s="64" t="s">
        <v>285</v>
      </c>
      <c r="W21" s="64" t="s">
        <v>284</v>
      </c>
      <c r="X21" s="64" t="s">
        <v>283</v>
      </c>
      <c r="Y21" s="64" t="s">
        <v>282</v>
      </c>
      <c r="Z21" s="64" t="s">
        <v>281</v>
      </c>
      <c r="AA21" s="64" t="s">
        <v>280</v>
      </c>
      <c r="AB21" s="64" t="s">
        <v>279</v>
      </c>
      <c r="AC21" s="64" t="s">
        <v>278</v>
      </c>
      <c r="AD21" s="64" t="s">
        <v>277</v>
      </c>
      <c r="AE21" s="64" t="s">
        <v>276</v>
      </c>
      <c r="AF21" s="64" t="s">
        <v>275</v>
      </c>
      <c r="AG21" s="64" t="s">
        <v>274</v>
      </c>
      <c r="AH21" s="64" t="s">
        <v>273</v>
      </c>
      <c r="AI21" s="64" t="s">
        <v>272</v>
      </c>
      <c r="AJ21" s="64" t="s">
        <v>271</v>
      </c>
      <c r="AK21" s="64" t="s">
        <v>270</v>
      </c>
    </row>
    <row r="22" spans="1:37">
      <c r="A22" s="64" t="s">
        <v>40</v>
      </c>
      <c r="B22" s="64">
        <v>11.33</v>
      </c>
      <c r="C22" s="64">
        <v>8.5</v>
      </c>
      <c r="D22" s="64">
        <v>11.33</v>
      </c>
      <c r="E22" s="64">
        <v>11.33</v>
      </c>
      <c r="F22" s="64">
        <v>8.5</v>
      </c>
      <c r="G22" s="64">
        <v>8.36</v>
      </c>
      <c r="H22" s="64">
        <v>7.17</v>
      </c>
      <c r="I22" s="64">
        <v>5.41</v>
      </c>
      <c r="J22" s="64">
        <v>4.84</v>
      </c>
      <c r="K22" s="64">
        <v>9.1199999999999992</v>
      </c>
      <c r="L22" s="64">
        <v>6.35</v>
      </c>
      <c r="M22" s="64">
        <v>6.6</v>
      </c>
      <c r="N22" s="64">
        <v>6.32</v>
      </c>
      <c r="O22" s="64">
        <v>6.06</v>
      </c>
      <c r="P22" s="64">
        <v>5.75</v>
      </c>
      <c r="Q22" s="64">
        <v>5.47</v>
      </c>
      <c r="R22" s="64">
        <v>5.16</v>
      </c>
      <c r="S22" s="64">
        <v>4.9000000000000004</v>
      </c>
      <c r="T22" s="64">
        <v>4.59</v>
      </c>
      <c r="U22" s="64">
        <v>4.25</v>
      </c>
      <c r="V22" s="64">
        <v>3.97</v>
      </c>
      <c r="W22" s="64">
        <v>3.65</v>
      </c>
      <c r="X22" s="64">
        <v>3.34</v>
      </c>
      <c r="Y22" s="64">
        <v>3.03</v>
      </c>
      <c r="Z22" s="64">
        <v>2.8</v>
      </c>
      <c r="AA22" s="64">
        <v>2.5499999999999998</v>
      </c>
      <c r="AB22" s="64">
        <v>2.35</v>
      </c>
      <c r="AC22" s="64">
        <v>2.1</v>
      </c>
      <c r="AD22" s="64">
        <v>1.9</v>
      </c>
      <c r="AE22" s="64">
        <v>1.76</v>
      </c>
      <c r="AF22" s="64">
        <v>1.56</v>
      </c>
      <c r="AG22" s="64">
        <v>1.44</v>
      </c>
      <c r="AH22" s="64">
        <v>1.3</v>
      </c>
      <c r="AI22" s="64">
        <v>1.19</v>
      </c>
      <c r="AJ22" s="64">
        <v>1.1000000000000001</v>
      </c>
      <c r="AK22" s="64">
        <v>1.02</v>
      </c>
    </row>
    <row r="24" spans="1:37" ht="19">
      <c r="A24" s="65" t="s">
        <v>344</v>
      </c>
    </row>
    <row r="25" spans="1:37">
      <c r="A25" s="64" t="s">
        <v>306</v>
      </c>
      <c r="B25" s="64" t="s">
        <v>305</v>
      </c>
      <c r="C25" s="64" t="s">
        <v>304</v>
      </c>
      <c r="D25" s="64" t="s">
        <v>303</v>
      </c>
      <c r="E25" s="64" t="s">
        <v>302</v>
      </c>
      <c r="F25" s="64" t="s">
        <v>301</v>
      </c>
      <c r="G25" s="64" t="s">
        <v>300</v>
      </c>
      <c r="H25" s="64" t="s">
        <v>299</v>
      </c>
      <c r="I25" s="64" t="s">
        <v>298</v>
      </c>
      <c r="J25" s="64" t="s">
        <v>297</v>
      </c>
      <c r="K25" s="64" t="s">
        <v>296</v>
      </c>
      <c r="L25" s="64" t="s">
        <v>295</v>
      </c>
      <c r="M25" s="64" t="s">
        <v>294</v>
      </c>
      <c r="N25" s="64" t="s">
        <v>293</v>
      </c>
      <c r="O25" s="64" t="s">
        <v>292</v>
      </c>
      <c r="P25" s="64" t="s">
        <v>291</v>
      </c>
      <c r="Q25" s="64" t="s">
        <v>290</v>
      </c>
      <c r="R25" s="64" t="s">
        <v>289</v>
      </c>
      <c r="S25" s="64" t="s">
        <v>288</v>
      </c>
      <c r="T25" s="64" t="s">
        <v>287</v>
      </c>
      <c r="U25" s="64" t="s">
        <v>286</v>
      </c>
      <c r="V25" s="64" t="s">
        <v>285</v>
      </c>
      <c r="W25" s="64" t="s">
        <v>284</v>
      </c>
      <c r="X25" s="64" t="s">
        <v>283</v>
      </c>
      <c r="Y25" s="64" t="s">
        <v>282</v>
      </c>
      <c r="Z25" s="64" t="s">
        <v>281</v>
      </c>
      <c r="AA25" s="64" t="s">
        <v>280</v>
      </c>
      <c r="AB25" s="64" t="s">
        <v>279</v>
      </c>
      <c r="AC25" s="64" t="s">
        <v>278</v>
      </c>
      <c r="AD25" s="64" t="s">
        <v>277</v>
      </c>
      <c r="AE25" s="64" t="s">
        <v>276</v>
      </c>
      <c r="AF25" s="64" t="s">
        <v>275</v>
      </c>
      <c r="AG25" s="64" t="s">
        <v>274</v>
      </c>
      <c r="AH25" s="64" t="s">
        <v>273</v>
      </c>
      <c r="AI25" s="64" t="s">
        <v>272</v>
      </c>
      <c r="AJ25" s="64" t="s">
        <v>271</v>
      </c>
      <c r="AK25" s="64" t="s">
        <v>270</v>
      </c>
    </row>
    <row r="26" spans="1:37">
      <c r="A26" s="64" t="s">
        <v>40</v>
      </c>
      <c r="B26" s="64">
        <v>0</v>
      </c>
      <c r="C26" s="64">
        <v>0</v>
      </c>
      <c r="D26" s="64">
        <v>0</v>
      </c>
      <c r="E26" s="64">
        <v>0</v>
      </c>
      <c r="F26" s="64">
        <v>0</v>
      </c>
      <c r="G26" s="64">
        <v>0.51</v>
      </c>
      <c r="H26" s="64">
        <v>0.45</v>
      </c>
      <c r="I26" s="64">
        <v>0.34</v>
      </c>
      <c r="J26" s="64">
        <v>0.31</v>
      </c>
      <c r="K26" s="64">
        <v>0.25</v>
      </c>
      <c r="L26" s="64">
        <v>0.23</v>
      </c>
      <c r="M26" s="64">
        <v>0.2</v>
      </c>
      <c r="N26" s="64">
        <v>0.17</v>
      </c>
      <c r="O26" s="64">
        <v>0.14000000000000001</v>
      </c>
      <c r="P26" s="64">
        <v>0.11</v>
      </c>
      <c r="Q26" s="64">
        <v>0.11</v>
      </c>
      <c r="R26" s="64">
        <v>0.08</v>
      </c>
      <c r="S26" s="64">
        <v>0.08</v>
      </c>
      <c r="T26" s="64">
        <v>0.06</v>
      </c>
      <c r="U26" s="64">
        <v>0.06</v>
      </c>
      <c r="V26" s="64">
        <v>0.06</v>
      </c>
      <c r="W26" s="64">
        <v>0.06</v>
      </c>
      <c r="X26" s="64">
        <v>0.03</v>
      </c>
      <c r="Y26" s="64">
        <v>0.03</v>
      </c>
      <c r="Z26" s="64">
        <v>0.03</v>
      </c>
      <c r="AA26" s="64">
        <v>0.03</v>
      </c>
      <c r="AB26" s="64">
        <v>0.03</v>
      </c>
      <c r="AC26" s="64">
        <v>0.03</v>
      </c>
      <c r="AD26" s="64">
        <v>0.03</v>
      </c>
      <c r="AE26" s="64">
        <v>0</v>
      </c>
      <c r="AF26" s="64">
        <v>0</v>
      </c>
      <c r="AG26" s="64">
        <v>0</v>
      </c>
      <c r="AH26" s="64">
        <v>0</v>
      </c>
      <c r="AI26" s="64">
        <v>0</v>
      </c>
      <c r="AJ26" s="64">
        <v>0</v>
      </c>
      <c r="AK26" s="64">
        <v>0</v>
      </c>
    </row>
    <row r="28" spans="1:37" ht="19">
      <c r="A28" s="65" t="s">
        <v>326</v>
      </c>
    </row>
    <row r="29" spans="1:37">
      <c r="A29" s="64" t="s">
        <v>306</v>
      </c>
      <c r="B29" s="64" t="s">
        <v>305</v>
      </c>
      <c r="C29" s="64" t="s">
        <v>304</v>
      </c>
      <c r="D29" s="64" t="s">
        <v>303</v>
      </c>
      <c r="E29" s="64" t="s">
        <v>302</v>
      </c>
      <c r="F29" s="64" t="s">
        <v>301</v>
      </c>
      <c r="G29" s="64" t="s">
        <v>300</v>
      </c>
      <c r="H29" s="64" t="s">
        <v>299</v>
      </c>
      <c r="I29" s="64" t="s">
        <v>298</v>
      </c>
      <c r="J29" s="64" t="s">
        <v>297</v>
      </c>
      <c r="K29" s="64" t="s">
        <v>296</v>
      </c>
      <c r="L29" s="64" t="s">
        <v>295</v>
      </c>
      <c r="M29" s="64" t="s">
        <v>294</v>
      </c>
      <c r="N29" s="64" t="s">
        <v>293</v>
      </c>
      <c r="O29" s="64" t="s">
        <v>292</v>
      </c>
      <c r="P29" s="64" t="s">
        <v>291</v>
      </c>
      <c r="Q29" s="64" t="s">
        <v>290</v>
      </c>
      <c r="R29" s="64" t="s">
        <v>289</v>
      </c>
      <c r="S29" s="64" t="s">
        <v>288</v>
      </c>
      <c r="T29" s="64" t="s">
        <v>287</v>
      </c>
      <c r="U29" s="64" t="s">
        <v>286</v>
      </c>
      <c r="V29" s="64" t="s">
        <v>285</v>
      </c>
      <c r="W29" s="64" t="s">
        <v>284</v>
      </c>
      <c r="X29" s="64" t="s">
        <v>283</v>
      </c>
      <c r="Y29" s="64" t="s">
        <v>282</v>
      </c>
      <c r="Z29" s="64" t="s">
        <v>281</v>
      </c>
      <c r="AA29" s="64" t="s">
        <v>280</v>
      </c>
      <c r="AB29" s="64" t="s">
        <v>279</v>
      </c>
      <c r="AC29" s="64" t="s">
        <v>278</v>
      </c>
      <c r="AD29" s="64" t="s">
        <v>277</v>
      </c>
      <c r="AE29" s="64" t="s">
        <v>276</v>
      </c>
      <c r="AF29" s="64" t="s">
        <v>275</v>
      </c>
      <c r="AG29" s="64" t="s">
        <v>274</v>
      </c>
      <c r="AH29" s="64" t="s">
        <v>273</v>
      </c>
      <c r="AI29" s="64" t="s">
        <v>272</v>
      </c>
      <c r="AJ29" s="64" t="s">
        <v>271</v>
      </c>
      <c r="AK29" s="64" t="s">
        <v>270</v>
      </c>
    </row>
    <row r="30" spans="1:37">
      <c r="A30" s="64" t="s">
        <v>40</v>
      </c>
      <c r="B30" s="64">
        <v>0</v>
      </c>
      <c r="C30" s="64">
        <v>0</v>
      </c>
      <c r="D30" s="64">
        <v>0</v>
      </c>
      <c r="E30" s="64">
        <v>0</v>
      </c>
      <c r="F30" s="64">
        <v>0</v>
      </c>
      <c r="G30" s="64">
        <v>0.45</v>
      </c>
      <c r="H30" s="64">
        <v>0.42</v>
      </c>
      <c r="I30" s="64">
        <v>0.4</v>
      </c>
      <c r="J30" s="64">
        <v>0.34</v>
      </c>
      <c r="K30" s="64">
        <v>0.28000000000000003</v>
      </c>
      <c r="L30" s="64">
        <v>0.28000000000000003</v>
      </c>
      <c r="M30" s="64">
        <v>0.25</v>
      </c>
      <c r="N30" s="64">
        <v>0.25</v>
      </c>
      <c r="O30" s="64">
        <v>0.23</v>
      </c>
      <c r="P30" s="64">
        <v>0.23</v>
      </c>
      <c r="Q30" s="64">
        <v>0.2</v>
      </c>
      <c r="R30" s="64">
        <v>0.2</v>
      </c>
      <c r="S30" s="64">
        <v>0.17</v>
      </c>
      <c r="T30" s="64">
        <v>0.17</v>
      </c>
      <c r="U30" s="64">
        <v>0.17</v>
      </c>
      <c r="V30" s="64">
        <v>0.14000000000000001</v>
      </c>
      <c r="W30" s="64">
        <v>0.14000000000000001</v>
      </c>
      <c r="X30" s="64">
        <v>0.14000000000000001</v>
      </c>
      <c r="Y30" s="64">
        <v>0.11</v>
      </c>
      <c r="Z30" s="64">
        <v>0.11</v>
      </c>
      <c r="AA30" s="64">
        <v>0.11</v>
      </c>
      <c r="AB30" s="64">
        <v>0.11</v>
      </c>
      <c r="AC30" s="64">
        <v>0.08</v>
      </c>
      <c r="AD30" s="64">
        <v>0.08</v>
      </c>
      <c r="AE30" s="64">
        <v>0.08</v>
      </c>
      <c r="AF30" s="64">
        <v>0.08</v>
      </c>
      <c r="AG30" s="64">
        <v>0.08</v>
      </c>
      <c r="AH30" s="64">
        <v>0.06</v>
      </c>
      <c r="AI30" s="64">
        <v>0.06</v>
      </c>
      <c r="AJ30" s="64">
        <v>0.06</v>
      </c>
      <c r="AK30" s="64">
        <v>0.06</v>
      </c>
    </row>
    <row r="32" spans="1:37" ht="19">
      <c r="A32" s="65" t="s">
        <v>328</v>
      </c>
    </row>
    <row r="33" spans="1:37">
      <c r="A33" s="64" t="s">
        <v>306</v>
      </c>
      <c r="B33" s="64" t="s">
        <v>305</v>
      </c>
      <c r="C33" s="64" t="s">
        <v>304</v>
      </c>
      <c r="D33" s="64" t="s">
        <v>303</v>
      </c>
      <c r="E33" s="64" t="s">
        <v>302</v>
      </c>
      <c r="F33" s="64" t="s">
        <v>301</v>
      </c>
      <c r="G33" s="64" t="s">
        <v>300</v>
      </c>
      <c r="H33" s="64" t="s">
        <v>299</v>
      </c>
      <c r="I33" s="64" t="s">
        <v>298</v>
      </c>
      <c r="J33" s="64" t="s">
        <v>297</v>
      </c>
      <c r="K33" s="64" t="s">
        <v>296</v>
      </c>
      <c r="L33" s="64" t="s">
        <v>295</v>
      </c>
      <c r="M33" s="64" t="s">
        <v>294</v>
      </c>
      <c r="N33" s="64" t="s">
        <v>293</v>
      </c>
      <c r="O33" s="64" t="s">
        <v>292</v>
      </c>
      <c r="P33" s="64" t="s">
        <v>291</v>
      </c>
      <c r="Q33" s="64" t="s">
        <v>290</v>
      </c>
      <c r="R33" s="64" t="s">
        <v>289</v>
      </c>
      <c r="S33" s="64" t="s">
        <v>288</v>
      </c>
      <c r="T33" s="64" t="s">
        <v>287</v>
      </c>
      <c r="U33" s="64" t="s">
        <v>286</v>
      </c>
      <c r="V33" s="64" t="s">
        <v>285</v>
      </c>
      <c r="W33" s="64" t="s">
        <v>284</v>
      </c>
      <c r="X33" s="64" t="s">
        <v>283</v>
      </c>
      <c r="Y33" s="64" t="s">
        <v>282</v>
      </c>
      <c r="Z33" s="64" t="s">
        <v>281</v>
      </c>
      <c r="AA33" s="64" t="s">
        <v>280</v>
      </c>
      <c r="AB33" s="64" t="s">
        <v>279</v>
      </c>
      <c r="AC33" s="64" t="s">
        <v>278</v>
      </c>
      <c r="AD33" s="64" t="s">
        <v>277</v>
      </c>
      <c r="AE33" s="64" t="s">
        <v>276</v>
      </c>
      <c r="AF33" s="64" t="s">
        <v>275</v>
      </c>
      <c r="AG33" s="64" t="s">
        <v>274</v>
      </c>
      <c r="AH33" s="64" t="s">
        <v>273</v>
      </c>
      <c r="AI33" s="64" t="s">
        <v>272</v>
      </c>
      <c r="AJ33" s="64" t="s">
        <v>271</v>
      </c>
      <c r="AK33" s="64" t="s">
        <v>270</v>
      </c>
    </row>
    <row r="34" spans="1:37">
      <c r="A34" s="64" t="s">
        <v>40</v>
      </c>
      <c r="B34" s="64">
        <v>373.93</v>
      </c>
      <c r="C34" s="64">
        <v>379.59</v>
      </c>
      <c r="D34" s="64">
        <v>371.09</v>
      </c>
      <c r="E34" s="64">
        <v>351.26</v>
      </c>
      <c r="F34" s="64">
        <v>325.77</v>
      </c>
      <c r="G34" s="64">
        <v>307.33</v>
      </c>
      <c r="H34" s="64">
        <v>294.07</v>
      </c>
      <c r="I34" s="64">
        <v>277.73</v>
      </c>
      <c r="J34" s="64">
        <v>274.41000000000003</v>
      </c>
      <c r="K34" s="64">
        <v>279.82</v>
      </c>
      <c r="L34" s="64">
        <v>283.33</v>
      </c>
      <c r="M34" s="64">
        <v>278.89</v>
      </c>
      <c r="N34" s="64">
        <v>278.32</v>
      </c>
      <c r="O34" s="64">
        <v>277.44</v>
      </c>
      <c r="P34" s="64">
        <v>276.68</v>
      </c>
      <c r="Q34" s="64">
        <v>275.97000000000003</v>
      </c>
      <c r="R34" s="64">
        <v>275.57</v>
      </c>
      <c r="S34" s="64">
        <v>275.32</v>
      </c>
      <c r="T34" s="64">
        <v>275.08999999999997</v>
      </c>
      <c r="U34" s="64">
        <v>274.58</v>
      </c>
      <c r="V34" s="64">
        <v>273.76</v>
      </c>
      <c r="W34" s="64">
        <v>272.66000000000003</v>
      </c>
      <c r="X34" s="64">
        <v>271.47000000000003</v>
      </c>
      <c r="Y34" s="64">
        <v>270.33</v>
      </c>
      <c r="Z34" s="64">
        <v>269.60000000000002</v>
      </c>
      <c r="AA34" s="64">
        <v>269.31</v>
      </c>
      <c r="AB34" s="64">
        <v>269.33999999999997</v>
      </c>
      <c r="AC34" s="64">
        <v>269.74</v>
      </c>
      <c r="AD34" s="64">
        <v>269.82</v>
      </c>
      <c r="AE34" s="64">
        <v>269.54000000000002</v>
      </c>
      <c r="AF34" s="64">
        <v>269.27999999999997</v>
      </c>
      <c r="AG34" s="64">
        <v>269.02999999999997</v>
      </c>
      <c r="AH34" s="64">
        <v>268.8</v>
      </c>
      <c r="AI34" s="64">
        <v>268.55</v>
      </c>
      <c r="AJ34" s="64">
        <v>268.41000000000003</v>
      </c>
      <c r="AK34" s="64">
        <v>268.38</v>
      </c>
    </row>
    <row r="35" spans="1:37">
      <c r="A35" s="64" t="s">
        <v>339</v>
      </c>
      <c r="B35" s="64">
        <v>39.659999999999997</v>
      </c>
      <c r="C35" s="64">
        <v>39.659999999999997</v>
      </c>
      <c r="D35" s="64">
        <v>36.83</v>
      </c>
      <c r="E35" s="64">
        <v>33.99</v>
      </c>
      <c r="F35" s="64">
        <v>31.16</v>
      </c>
      <c r="G35" s="64">
        <v>31.87</v>
      </c>
      <c r="H35" s="64">
        <v>33.03</v>
      </c>
      <c r="I35" s="64">
        <v>37.85</v>
      </c>
      <c r="J35" s="64">
        <v>43.14</v>
      </c>
      <c r="K35" s="64">
        <v>48.07</v>
      </c>
      <c r="L35" s="64">
        <v>46.68</v>
      </c>
      <c r="M35" s="64">
        <v>44.16</v>
      </c>
      <c r="N35" s="64">
        <v>43.37</v>
      </c>
      <c r="O35" s="64">
        <v>43.17</v>
      </c>
      <c r="P35" s="64">
        <v>43.03</v>
      </c>
      <c r="Q35" s="64">
        <v>42.89</v>
      </c>
      <c r="R35" s="64">
        <v>42.8</v>
      </c>
      <c r="S35" s="64">
        <v>42.77</v>
      </c>
      <c r="T35" s="64">
        <v>42.77</v>
      </c>
      <c r="U35" s="64">
        <v>42.83</v>
      </c>
      <c r="V35" s="64">
        <v>42.97</v>
      </c>
      <c r="W35" s="64">
        <v>43.14</v>
      </c>
      <c r="X35" s="64">
        <v>43.28</v>
      </c>
      <c r="Y35" s="64">
        <v>43.43</v>
      </c>
      <c r="Z35" s="64">
        <v>43.57</v>
      </c>
      <c r="AA35" s="64">
        <v>43.74</v>
      </c>
      <c r="AB35" s="64">
        <v>43.94</v>
      </c>
      <c r="AC35" s="64">
        <v>44.13</v>
      </c>
      <c r="AD35" s="64">
        <v>43.88</v>
      </c>
      <c r="AE35" s="64">
        <v>43.26</v>
      </c>
      <c r="AF35" s="64">
        <v>42.63</v>
      </c>
      <c r="AG35" s="64">
        <v>42.04</v>
      </c>
      <c r="AH35" s="64">
        <v>41.44</v>
      </c>
      <c r="AI35" s="64">
        <v>40.880000000000003</v>
      </c>
      <c r="AJ35" s="64">
        <v>40.31</v>
      </c>
      <c r="AK35" s="64">
        <v>39.74</v>
      </c>
    </row>
    <row r="36" spans="1:37">
      <c r="A36" s="64" t="s">
        <v>340</v>
      </c>
      <c r="B36" s="64">
        <v>223.79</v>
      </c>
      <c r="C36" s="64">
        <v>215.29</v>
      </c>
      <c r="D36" s="64">
        <v>201.13</v>
      </c>
      <c r="E36" s="64">
        <v>181.3</v>
      </c>
      <c r="F36" s="64">
        <v>161.47</v>
      </c>
      <c r="G36" s="64">
        <v>137.76</v>
      </c>
      <c r="H36" s="64">
        <v>122.26</v>
      </c>
      <c r="I36" s="64">
        <v>102.8</v>
      </c>
      <c r="J36" s="64">
        <v>94.64</v>
      </c>
      <c r="K36" s="64">
        <v>88.21</v>
      </c>
      <c r="L36" s="64">
        <v>83.2</v>
      </c>
      <c r="M36" s="64">
        <v>78.58</v>
      </c>
      <c r="N36" s="64">
        <v>74.59</v>
      </c>
      <c r="O36" s="64">
        <v>70.819999999999993</v>
      </c>
      <c r="P36" s="64">
        <v>67.36</v>
      </c>
      <c r="Q36" s="64">
        <v>64.13</v>
      </c>
      <c r="R36" s="64">
        <v>61.16</v>
      </c>
      <c r="S36" s="64">
        <v>58.41</v>
      </c>
      <c r="T36" s="64">
        <v>55.86</v>
      </c>
      <c r="U36" s="64">
        <v>53.45</v>
      </c>
      <c r="V36" s="64">
        <v>51.22</v>
      </c>
      <c r="W36" s="64">
        <v>49.09</v>
      </c>
      <c r="X36" s="64">
        <v>47.11</v>
      </c>
      <c r="Y36" s="64">
        <v>45.24</v>
      </c>
      <c r="Z36" s="64">
        <v>43.57</v>
      </c>
      <c r="AA36" s="64">
        <v>42.01</v>
      </c>
      <c r="AB36" s="64">
        <v>40.590000000000003</v>
      </c>
      <c r="AC36" s="64">
        <v>39.29</v>
      </c>
      <c r="AD36" s="64">
        <v>38.1</v>
      </c>
      <c r="AE36" s="64">
        <v>37</v>
      </c>
      <c r="AF36" s="64">
        <v>35.950000000000003</v>
      </c>
      <c r="AG36" s="64">
        <v>34.979999999999997</v>
      </c>
      <c r="AH36" s="64">
        <v>34.11</v>
      </c>
      <c r="AI36" s="64">
        <v>33.26</v>
      </c>
      <c r="AJ36" s="64">
        <v>32.49</v>
      </c>
      <c r="AK36" s="64">
        <v>31.78</v>
      </c>
    </row>
    <row r="37" spans="1:37">
      <c r="A37" s="64" t="s">
        <v>341</v>
      </c>
      <c r="B37" s="64">
        <v>101.98</v>
      </c>
      <c r="C37" s="64">
        <v>107.65</v>
      </c>
      <c r="D37" s="64">
        <v>113.31</v>
      </c>
      <c r="E37" s="64">
        <v>113.31</v>
      </c>
      <c r="F37" s="64">
        <v>107.65</v>
      </c>
      <c r="G37" s="64">
        <v>112.18</v>
      </c>
      <c r="H37" s="64">
        <v>114.3</v>
      </c>
      <c r="I37" s="64">
        <v>114.5</v>
      </c>
      <c r="J37" s="64">
        <v>114.73</v>
      </c>
      <c r="K37" s="64">
        <v>122.04</v>
      </c>
      <c r="L37" s="64">
        <v>132.66</v>
      </c>
      <c r="M37" s="64">
        <v>136.37</v>
      </c>
      <c r="N37" s="64">
        <v>141.41</v>
      </c>
      <c r="O37" s="64">
        <v>145.27000000000001</v>
      </c>
      <c r="P37" s="64">
        <v>148.78</v>
      </c>
      <c r="Q37" s="64">
        <v>152.06</v>
      </c>
      <c r="R37" s="64">
        <v>155.24</v>
      </c>
      <c r="S37" s="64">
        <v>158.21</v>
      </c>
      <c r="T37" s="64">
        <v>160.93</v>
      </c>
      <c r="U37" s="64">
        <v>163.08000000000001</v>
      </c>
      <c r="V37" s="64">
        <v>164.64</v>
      </c>
      <c r="W37" s="64">
        <v>165.77</v>
      </c>
      <c r="X37" s="64">
        <v>166.65</v>
      </c>
      <c r="Y37" s="64">
        <v>167.42</v>
      </c>
      <c r="Z37" s="64">
        <v>168.38</v>
      </c>
      <c r="AA37" s="64">
        <v>169.54</v>
      </c>
      <c r="AB37" s="64">
        <v>170.85</v>
      </c>
      <c r="AC37" s="64">
        <v>172.35</v>
      </c>
      <c r="AD37" s="64">
        <v>173.85</v>
      </c>
      <c r="AE37" s="64">
        <v>175.26</v>
      </c>
      <c r="AF37" s="64">
        <v>176.6</v>
      </c>
      <c r="AG37" s="64">
        <v>177.81</v>
      </c>
      <c r="AH37" s="64">
        <v>178.95</v>
      </c>
      <c r="AI37" s="64">
        <v>180.02</v>
      </c>
      <c r="AJ37" s="64">
        <v>181.07</v>
      </c>
      <c r="AK37" s="64">
        <v>182.18</v>
      </c>
    </row>
    <row r="38" spans="1:37">
      <c r="A38" s="64" t="s">
        <v>342</v>
      </c>
      <c r="B38" s="64">
        <v>0</v>
      </c>
      <c r="C38" s="64">
        <v>0</v>
      </c>
      <c r="D38" s="64">
        <v>0</v>
      </c>
      <c r="E38" s="64">
        <v>0</v>
      </c>
      <c r="F38" s="64">
        <v>0</v>
      </c>
      <c r="G38" s="64">
        <v>0</v>
      </c>
      <c r="H38" s="64">
        <v>0.03</v>
      </c>
      <c r="I38" s="64">
        <v>0.25</v>
      </c>
      <c r="J38" s="64">
        <v>0.79</v>
      </c>
      <c r="K38" s="64">
        <v>1.84</v>
      </c>
      <c r="L38" s="64">
        <v>2.66</v>
      </c>
      <c r="M38" s="64">
        <v>3.2</v>
      </c>
      <c r="N38" s="64">
        <v>3.77</v>
      </c>
      <c r="O38" s="64">
        <v>4.25</v>
      </c>
      <c r="P38" s="64">
        <v>4.7</v>
      </c>
      <c r="Q38" s="64">
        <v>5.13</v>
      </c>
      <c r="R38" s="64">
        <v>5.55</v>
      </c>
      <c r="S38" s="64">
        <v>5.95</v>
      </c>
      <c r="T38" s="64">
        <v>6.35</v>
      </c>
      <c r="U38" s="64">
        <v>6.74</v>
      </c>
      <c r="V38" s="64">
        <v>7.08</v>
      </c>
      <c r="W38" s="64">
        <v>7.39</v>
      </c>
      <c r="X38" s="64">
        <v>7.71</v>
      </c>
      <c r="Y38" s="64">
        <v>8.02</v>
      </c>
      <c r="Z38" s="64">
        <v>8.3000000000000007</v>
      </c>
      <c r="AA38" s="64">
        <v>8.64</v>
      </c>
      <c r="AB38" s="64">
        <v>8.9499999999999993</v>
      </c>
      <c r="AC38" s="64">
        <v>9.2899999999999991</v>
      </c>
      <c r="AD38" s="64">
        <v>9.6300000000000008</v>
      </c>
      <c r="AE38" s="64">
        <v>9.94</v>
      </c>
      <c r="AF38" s="64">
        <v>10.28</v>
      </c>
      <c r="AG38" s="64">
        <v>10.59</v>
      </c>
      <c r="AH38" s="64">
        <v>10.91</v>
      </c>
      <c r="AI38" s="64">
        <v>11.19</v>
      </c>
      <c r="AJ38" s="64">
        <v>11.5</v>
      </c>
      <c r="AK38" s="64">
        <v>11.81</v>
      </c>
    </row>
    <row r="39" spans="1:37">
      <c r="A39" s="64" t="s">
        <v>343</v>
      </c>
      <c r="B39" s="64">
        <v>8.5</v>
      </c>
      <c r="C39" s="64">
        <v>17</v>
      </c>
      <c r="D39" s="64">
        <v>19.829999999999998</v>
      </c>
      <c r="E39" s="64">
        <v>22.66</v>
      </c>
      <c r="F39" s="64">
        <v>22.66</v>
      </c>
      <c r="G39" s="64">
        <v>25.52</v>
      </c>
      <c r="H39" s="64">
        <v>24.45</v>
      </c>
      <c r="I39" s="64">
        <v>22.32</v>
      </c>
      <c r="J39" s="64">
        <v>21.1</v>
      </c>
      <c r="K39" s="64">
        <v>19.66</v>
      </c>
      <c r="L39" s="64">
        <v>18.13</v>
      </c>
      <c r="M39" s="64">
        <v>16.57</v>
      </c>
      <c r="N39" s="64">
        <v>15.18</v>
      </c>
      <c r="O39" s="64">
        <v>13.94</v>
      </c>
      <c r="P39" s="64">
        <v>12.8</v>
      </c>
      <c r="Q39" s="64">
        <v>11.76</v>
      </c>
      <c r="R39" s="64">
        <v>10.82</v>
      </c>
      <c r="S39" s="64">
        <v>9.9700000000000006</v>
      </c>
      <c r="T39" s="64">
        <v>9.18</v>
      </c>
      <c r="U39" s="64">
        <v>8.4700000000000006</v>
      </c>
      <c r="V39" s="64">
        <v>7.85</v>
      </c>
      <c r="W39" s="64">
        <v>7.25</v>
      </c>
      <c r="X39" s="64">
        <v>6.71</v>
      </c>
      <c r="Y39" s="64">
        <v>6.23</v>
      </c>
      <c r="Z39" s="64">
        <v>5.78</v>
      </c>
      <c r="AA39" s="64">
        <v>5.38</v>
      </c>
      <c r="AB39" s="64">
        <v>5.01</v>
      </c>
      <c r="AC39" s="64">
        <v>4.67</v>
      </c>
      <c r="AD39" s="64">
        <v>4.3600000000000003</v>
      </c>
      <c r="AE39" s="64">
        <v>4.08</v>
      </c>
      <c r="AF39" s="64">
        <v>3.82</v>
      </c>
      <c r="AG39" s="64">
        <v>3.6</v>
      </c>
      <c r="AH39" s="64">
        <v>3.4</v>
      </c>
      <c r="AI39" s="64">
        <v>3.2</v>
      </c>
      <c r="AJ39" s="64">
        <v>3.03</v>
      </c>
      <c r="AK39" s="64">
        <v>2.86</v>
      </c>
    </row>
    <row r="41" spans="1:37" ht="19">
      <c r="A41" s="65" t="s">
        <v>329</v>
      </c>
    </row>
    <row r="42" spans="1:37">
      <c r="A42" s="64" t="s">
        <v>306</v>
      </c>
      <c r="B42" s="64" t="s">
        <v>305</v>
      </c>
      <c r="C42" s="64" t="s">
        <v>304</v>
      </c>
      <c r="D42" s="64" t="s">
        <v>303</v>
      </c>
      <c r="E42" s="64" t="s">
        <v>302</v>
      </c>
      <c r="F42" s="64" t="s">
        <v>301</v>
      </c>
      <c r="G42" s="64" t="s">
        <v>300</v>
      </c>
      <c r="H42" s="64" t="s">
        <v>299</v>
      </c>
      <c r="I42" s="64" t="s">
        <v>298</v>
      </c>
      <c r="J42" s="64" t="s">
        <v>297</v>
      </c>
      <c r="K42" s="64" t="s">
        <v>296</v>
      </c>
      <c r="L42" s="64" t="s">
        <v>295</v>
      </c>
      <c r="M42" s="64" t="s">
        <v>294</v>
      </c>
      <c r="N42" s="64" t="s">
        <v>293</v>
      </c>
      <c r="O42" s="64" t="s">
        <v>292</v>
      </c>
      <c r="P42" s="64" t="s">
        <v>291</v>
      </c>
      <c r="Q42" s="64" t="s">
        <v>290</v>
      </c>
      <c r="R42" s="64" t="s">
        <v>289</v>
      </c>
      <c r="S42" s="64" t="s">
        <v>288</v>
      </c>
      <c r="T42" s="64" t="s">
        <v>287</v>
      </c>
      <c r="U42" s="64" t="s">
        <v>286</v>
      </c>
      <c r="V42" s="64" t="s">
        <v>285</v>
      </c>
      <c r="W42" s="64" t="s">
        <v>284</v>
      </c>
      <c r="X42" s="64" t="s">
        <v>283</v>
      </c>
      <c r="Y42" s="64" t="s">
        <v>282</v>
      </c>
      <c r="Z42" s="64" t="s">
        <v>281</v>
      </c>
      <c r="AA42" s="64" t="s">
        <v>280</v>
      </c>
      <c r="AB42" s="64" t="s">
        <v>279</v>
      </c>
      <c r="AC42" s="64" t="s">
        <v>278</v>
      </c>
      <c r="AD42" s="64" t="s">
        <v>277</v>
      </c>
      <c r="AE42" s="64" t="s">
        <v>276</v>
      </c>
      <c r="AF42" s="64" t="s">
        <v>275</v>
      </c>
      <c r="AG42" s="64" t="s">
        <v>274</v>
      </c>
      <c r="AH42" s="64" t="s">
        <v>273</v>
      </c>
      <c r="AI42" s="64" t="s">
        <v>272</v>
      </c>
      <c r="AJ42" s="64" t="s">
        <v>271</v>
      </c>
      <c r="AK42" s="64" t="s">
        <v>270</v>
      </c>
    </row>
    <row r="43" spans="1:37">
      <c r="A43" s="64" t="s">
        <v>40</v>
      </c>
      <c r="B43" s="64">
        <v>73.650000000000006</v>
      </c>
      <c r="C43" s="64">
        <v>73.650000000000006</v>
      </c>
      <c r="D43" s="64">
        <v>73.650000000000006</v>
      </c>
      <c r="E43" s="64">
        <v>76.489999999999995</v>
      </c>
      <c r="F43" s="64">
        <v>76.489999999999995</v>
      </c>
      <c r="G43" s="64">
        <v>81.92</v>
      </c>
      <c r="H43" s="64">
        <v>97.42</v>
      </c>
      <c r="I43" s="64">
        <v>97.59</v>
      </c>
      <c r="J43" s="64">
        <v>105.92</v>
      </c>
      <c r="K43" s="64">
        <v>113.42</v>
      </c>
      <c r="L43" s="64">
        <v>124.84</v>
      </c>
      <c r="M43" s="64">
        <v>129.57</v>
      </c>
      <c r="N43" s="64">
        <v>136.09</v>
      </c>
      <c r="O43" s="64">
        <v>142.15</v>
      </c>
      <c r="P43" s="64">
        <v>151.1</v>
      </c>
      <c r="Q43" s="64">
        <v>163.62</v>
      </c>
      <c r="R43" s="64">
        <v>178.27</v>
      </c>
      <c r="S43" s="64">
        <v>191.86</v>
      </c>
      <c r="T43" s="64">
        <v>203</v>
      </c>
      <c r="U43" s="64">
        <v>210.79</v>
      </c>
      <c r="V43" s="64">
        <v>215.29</v>
      </c>
      <c r="W43" s="64">
        <v>218.69</v>
      </c>
      <c r="X43" s="64">
        <v>220.42</v>
      </c>
      <c r="Y43" s="64">
        <v>220.28</v>
      </c>
      <c r="Z43" s="64">
        <v>220.33</v>
      </c>
      <c r="AA43" s="64">
        <v>221.04</v>
      </c>
      <c r="AB43" s="64">
        <v>222.09</v>
      </c>
      <c r="AC43" s="64">
        <v>223.48</v>
      </c>
      <c r="AD43" s="64">
        <v>224.84</v>
      </c>
      <c r="AE43" s="64">
        <v>226.11</v>
      </c>
      <c r="AF43" s="64">
        <v>227.27</v>
      </c>
      <c r="AG43" s="64">
        <v>228.24</v>
      </c>
      <c r="AH43" s="64">
        <v>229.12</v>
      </c>
      <c r="AI43" s="64">
        <v>229.85</v>
      </c>
      <c r="AJ43" s="64">
        <v>230.45</v>
      </c>
      <c r="AK43" s="64">
        <v>231.1</v>
      </c>
    </row>
    <row r="44" spans="1:37">
      <c r="A44" s="64" t="s">
        <v>339</v>
      </c>
      <c r="B44" s="64">
        <v>2.83</v>
      </c>
      <c r="C44" s="64">
        <v>2.83</v>
      </c>
      <c r="D44" s="64">
        <v>2.83</v>
      </c>
      <c r="E44" s="64">
        <v>0</v>
      </c>
      <c r="F44" s="64">
        <v>0</v>
      </c>
      <c r="G44" s="64">
        <v>1.02</v>
      </c>
      <c r="H44" s="64">
        <v>0.93</v>
      </c>
      <c r="I44" s="64">
        <v>1.02</v>
      </c>
      <c r="J44" s="64">
        <v>1.05</v>
      </c>
      <c r="K44" s="64">
        <v>1.22</v>
      </c>
      <c r="L44" s="64">
        <v>1.22</v>
      </c>
      <c r="M44" s="64">
        <v>1.19</v>
      </c>
      <c r="N44" s="64">
        <v>1.19</v>
      </c>
      <c r="O44" s="64">
        <v>1.1599999999999999</v>
      </c>
      <c r="P44" s="64">
        <v>1.05</v>
      </c>
      <c r="Q44" s="64">
        <v>0.96</v>
      </c>
      <c r="R44" s="64">
        <v>0.93</v>
      </c>
      <c r="S44" s="64">
        <v>0.93</v>
      </c>
      <c r="T44" s="64">
        <v>0.96</v>
      </c>
      <c r="U44" s="64">
        <v>0.99</v>
      </c>
      <c r="V44" s="64">
        <v>1.02</v>
      </c>
      <c r="W44" s="64">
        <v>1.02</v>
      </c>
      <c r="X44" s="64">
        <v>1.05</v>
      </c>
      <c r="Y44" s="64">
        <v>1.08</v>
      </c>
      <c r="Z44" s="64">
        <v>1.1000000000000001</v>
      </c>
      <c r="AA44" s="64">
        <v>1.1000000000000001</v>
      </c>
      <c r="AB44" s="64">
        <v>1.1000000000000001</v>
      </c>
      <c r="AC44" s="64">
        <v>1.1299999999999999</v>
      </c>
      <c r="AD44" s="64">
        <v>1.1299999999999999</v>
      </c>
      <c r="AE44" s="64">
        <v>1.1299999999999999</v>
      </c>
      <c r="AF44" s="64">
        <v>1.1299999999999999</v>
      </c>
      <c r="AG44" s="64">
        <v>1.1000000000000001</v>
      </c>
      <c r="AH44" s="64">
        <v>1.1000000000000001</v>
      </c>
      <c r="AI44" s="64">
        <v>1.1000000000000001</v>
      </c>
      <c r="AJ44" s="64">
        <v>1.08</v>
      </c>
      <c r="AK44" s="64">
        <v>1.08</v>
      </c>
    </row>
    <row r="45" spans="1:37">
      <c r="A45" s="64" t="s">
        <v>340</v>
      </c>
      <c r="B45" s="64">
        <v>50.99</v>
      </c>
      <c r="C45" s="64">
        <v>50.99</v>
      </c>
      <c r="D45" s="64">
        <v>50.99</v>
      </c>
      <c r="E45" s="64">
        <v>50.99</v>
      </c>
      <c r="F45" s="64">
        <v>50.99</v>
      </c>
      <c r="G45" s="64">
        <v>42.66</v>
      </c>
      <c r="H45" s="64">
        <v>39.46</v>
      </c>
      <c r="I45" s="64">
        <v>32.1</v>
      </c>
      <c r="J45" s="64">
        <v>28.84</v>
      </c>
      <c r="K45" s="64">
        <v>25.5</v>
      </c>
      <c r="L45" s="64">
        <v>22.61</v>
      </c>
      <c r="M45" s="64">
        <v>20.54</v>
      </c>
      <c r="N45" s="64">
        <v>18.75</v>
      </c>
      <c r="O45" s="64">
        <v>17.190000000000001</v>
      </c>
      <c r="P45" s="64">
        <v>15.84</v>
      </c>
      <c r="Q45" s="64">
        <v>14.62</v>
      </c>
      <c r="R45" s="64">
        <v>13.51</v>
      </c>
      <c r="S45" s="64">
        <v>12.55</v>
      </c>
      <c r="T45" s="64">
        <v>11.7</v>
      </c>
      <c r="U45" s="64">
        <v>10.93</v>
      </c>
      <c r="V45" s="64">
        <v>10.23</v>
      </c>
      <c r="W45" s="64">
        <v>9.6</v>
      </c>
      <c r="X45" s="64">
        <v>9.0399999999999991</v>
      </c>
      <c r="Y45" s="64">
        <v>8.5299999999999994</v>
      </c>
      <c r="Z45" s="64">
        <v>8.1</v>
      </c>
      <c r="AA45" s="64">
        <v>7.71</v>
      </c>
      <c r="AB45" s="64">
        <v>7.37</v>
      </c>
      <c r="AC45" s="64">
        <v>7.08</v>
      </c>
      <c r="AD45" s="64">
        <v>6.83</v>
      </c>
      <c r="AE45" s="64">
        <v>6.6</v>
      </c>
      <c r="AF45" s="64">
        <v>6.4</v>
      </c>
      <c r="AG45" s="64">
        <v>6.2</v>
      </c>
      <c r="AH45" s="64">
        <v>6.06</v>
      </c>
      <c r="AI45" s="64">
        <v>5.92</v>
      </c>
      <c r="AJ45" s="64">
        <v>5.78</v>
      </c>
      <c r="AK45" s="64">
        <v>5.69</v>
      </c>
    </row>
    <row r="46" spans="1:37">
      <c r="A46" s="64" t="s">
        <v>341</v>
      </c>
      <c r="B46" s="64">
        <v>19.829999999999998</v>
      </c>
      <c r="C46" s="64">
        <v>22.66</v>
      </c>
      <c r="D46" s="64">
        <v>22.66</v>
      </c>
      <c r="E46" s="64">
        <v>25.5</v>
      </c>
      <c r="F46" s="64">
        <v>22.66</v>
      </c>
      <c r="G46" s="64">
        <v>33.26</v>
      </c>
      <c r="H46" s="64">
        <v>45.92</v>
      </c>
      <c r="I46" s="64">
        <v>51.61</v>
      </c>
      <c r="J46" s="64">
        <v>59.94</v>
      </c>
      <c r="K46" s="64">
        <v>72.12</v>
      </c>
      <c r="L46" s="64">
        <v>87.5</v>
      </c>
      <c r="M46" s="64">
        <v>95.61</v>
      </c>
      <c r="N46" s="64">
        <v>104.84</v>
      </c>
      <c r="O46" s="64">
        <v>112.86</v>
      </c>
      <c r="P46" s="64">
        <v>122.57</v>
      </c>
      <c r="Q46" s="64">
        <v>134.56</v>
      </c>
      <c r="R46" s="64">
        <v>147.84</v>
      </c>
      <c r="S46" s="64">
        <v>160.11000000000001</v>
      </c>
      <c r="T46" s="64">
        <v>170.31</v>
      </c>
      <c r="U46" s="64">
        <v>177.81</v>
      </c>
      <c r="V46" s="64">
        <v>182.6</v>
      </c>
      <c r="W46" s="64">
        <v>186.37</v>
      </c>
      <c r="X46" s="64">
        <v>188.69</v>
      </c>
      <c r="Y46" s="64">
        <v>189.51</v>
      </c>
      <c r="Z46" s="64">
        <v>190.39</v>
      </c>
      <c r="AA46" s="64">
        <v>191.75</v>
      </c>
      <c r="AB46" s="64">
        <v>193.28</v>
      </c>
      <c r="AC46" s="64">
        <v>194.98</v>
      </c>
      <c r="AD46" s="64">
        <v>196.65</v>
      </c>
      <c r="AE46" s="64">
        <v>198.15</v>
      </c>
      <c r="AF46" s="64">
        <v>199.51</v>
      </c>
      <c r="AG46" s="64">
        <v>200.67</v>
      </c>
      <c r="AH46" s="64">
        <v>201.67</v>
      </c>
      <c r="AI46" s="64">
        <v>202.52</v>
      </c>
      <c r="AJ46" s="64">
        <v>203.25</v>
      </c>
      <c r="AK46" s="64">
        <v>203.93</v>
      </c>
    </row>
    <row r="47" spans="1:37">
      <c r="A47" s="64" t="s">
        <v>342</v>
      </c>
      <c r="B47" s="64">
        <v>0</v>
      </c>
      <c r="C47" s="64">
        <v>0</v>
      </c>
      <c r="D47" s="64">
        <v>0</v>
      </c>
      <c r="E47" s="64">
        <v>0</v>
      </c>
      <c r="F47" s="64">
        <v>2.83</v>
      </c>
      <c r="G47" s="64">
        <v>4.99</v>
      </c>
      <c r="H47" s="64">
        <v>11.1</v>
      </c>
      <c r="I47" s="64">
        <v>12.86</v>
      </c>
      <c r="J47" s="64">
        <v>16.09</v>
      </c>
      <c r="K47" s="64">
        <v>14.59</v>
      </c>
      <c r="L47" s="64">
        <v>13.51</v>
      </c>
      <c r="M47" s="64">
        <v>12.24</v>
      </c>
      <c r="N47" s="64">
        <v>11.3</v>
      </c>
      <c r="O47" s="64">
        <v>10.93</v>
      </c>
      <c r="P47" s="64">
        <v>11.64</v>
      </c>
      <c r="Q47" s="64">
        <v>13.48</v>
      </c>
      <c r="R47" s="64">
        <v>15.98</v>
      </c>
      <c r="S47" s="64">
        <v>18.27</v>
      </c>
      <c r="T47" s="64">
        <v>20.03</v>
      </c>
      <c r="U47" s="64">
        <v>21.05</v>
      </c>
      <c r="V47" s="64">
        <v>21.44</v>
      </c>
      <c r="W47" s="64">
        <v>21.7</v>
      </c>
      <c r="X47" s="64">
        <v>21.64</v>
      </c>
      <c r="Y47" s="64">
        <v>21.16</v>
      </c>
      <c r="Z47" s="64">
        <v>20.74</v>
      </c>
      <c r="AA47" s="64">
        <v>20.48</v>
      </c>
      <c r="AB47" s="64">
        <v>20.34</v>
      </c>
      <c r="AC47" s="64">
        <v>20.28</v>
      </c>
      <c r="AD47" s="64">
        <v>20.23</v>
      </c>
      <c r="AE47" s="64">
        <v>20.23</v>
      </c>
      <c r="AF47" s="64">
        <v>20.23</v>
      </c>
      <c r="AG47" s="64">
        <v>20.25</v>
      </c>
      <c r="AH47" s="64">
        <v>20.28</v>
      </c>
      <c r="AI47" s="64">
        <v>20.309999999999999</v>
      </c>
      <c r="AJ47" s="64">
        <v>20.34</v>
      </c>
      <c r="AK47" s="64">
        <v>20.399999999999999</v>
      </c>
    </row>
    <row r="49" spans="1:37" ht="19">
      <c r="A49" s="65" t="s">
        <v>331</v>
      </c>
    </row>
    <row r="50" spans="1:37">
      <c r="A50" s="64" t="s">
        <v>306</v>
      </c>
      <c r="B50" s="64" t="s">
        <v>305</v>
      </c>
      <c r="C50" s="64" t="s">
        <v>304</v>
      </c>
      <c r="D50" s="64" t="s">
        <v>303</v>
      </c>
      <c r="E50" s="64" t="s">
        <v>302</v>
      </c>
      <c r="F50" s="64" t="s">
        <v>301</v>
      </c>
      <c r="G50" s="64" t="s">
        <v>300</v>
      </c>
      <c r="H50" s="64" t="s">
        <v>299</v>
      </c>
      <c r="I50" s="64" t="s">
        <v>298</v>
      </c>
      <c r="J50" s="64" t="s">
        <v>297</v>
      </c>
      <c r="K50" s="64" t="s">
        <v>296</v>
      </c>
      <c r="L50" s="64" t="s">
        <v>295</v>
      </c>
      <c r="M50" s="64" t="s">
        <v>294</v>
      </c>
      <c r="N50" s="64" t="s">
        <v>293</v>
      </c>
      <c r="O50" s="64" t="s">
        <v>292</v>
      </c>
      <c r="P50" s="64" t="s">
        <v>291</v>
      </c>
      <c r="Q50" s="64" t="s">
        <v>290</v>
      </c>
      <c r="R50" s="64" t="s">
        <v>289</v>
      </c>
      <c r="S50" s="64" t="s">
        <v>288</v>
      </c>
      <c r="T50" s="64" t="s">
        <v>287</v>
      </c>
      <c r="U50" s="64" t="s">
        <v>286</v>
      </c>
      <c r="V50" s="64" t="s">
        <v>285</v>
      </c>
      <c r="W50" s="64" t="s">
        <v>284</v>
      </c>
      <c r="X50" s="64" t="s">
        <v>283</v>
      </c>
      <c r="Y50" s="64" t="s">
        <v>282</v>
      </c>
      <c r="Z50" s="64" t="s">
        <v>281</v>
      </c>
      <c r="AA50" s="64" t="s">
        <v>280</v>
      </c>
      <c r="AB50" s="64" t="s">
        <v>279</v>
      </c>
      <c r="AC50" s="64" t="s">
        <v>278</v>
      </c>
      <c r="AD50" s="64" t="s">
        <v>277</v>
      </c>
      <c r="AE50" s="64" t="s">
        <v>276</v>
      </c>
      <c r="AF50" s="64" t="s">
        <v>275</v>
      </c>
      <c r="AG50" s="64" t="s">
        <v>274</v>
      </c>
      <c r="AH50" s="64" t="s">
        <v>273</v>
      </c>
      <c r="AI50" s="64" t="s">
        <v>272</v>
      </c>
      <c r="AJ50" s="64" t="s">
        <v>271</v>
      </c>
      <c r="AK50" s="64" t="s">
        <v>270</v>
      </c>
    </row>
    <row r="51" spans="1:37">
      <c r="A51" s="64" t="s">
        <v>40</v>
      </c>
      <c r="B51" s="64">
        <v>19.829999999999998</v>
      </c>
      <c r="C51" s="64">
        <v>19.829999999999998</v>
      </c>
      <c r="D51" s="64">
        <v>19.829999999999998</v>
      </c>
      <c r="E51" s="64">
        <v>17</v>
      </c>
      <c r="F51" s="64">
        <v>17</v>
      </c>
      <c r="G51" s="64">
        <v>14.25</v>
      </c>
      <c r="H51" s="64">
        <v>13.03</v>
      </c>
      <c r="I51" s="64">
        <v>12.12</v>
      </c>
      <c r="J51" s="64">
        <v>11.73</v>
      </c>
      <c r="K51" s="64">
        <v>12.32</v>
      </c>
      <c r="L51" s="64">
        <v>11.87</v>
      </c>
      <c r="M51" s="64">
        <v>11.3</v>
      </c>
      <c r="N51" s="64">
        <v>10.79</v>
      </c>
      <c r="O51" s="64">
        <v>10.34</v>
      </c>
      <c r="P51" s="64">
        <v>9.94</v>
      </c>
      <c r="Q51" s="64">
        <v>9.57</v>
      </c>
      <c r="R51" s="64">
        <v>9.26</v>
      </c>
      <c r="S51" s="64">
        <v>8.98</v>
      </c>
      <c r="T51" s="64">
        <v>8.6999999999999993</v>
      </c>
      <c r="U51" s="64">
        <v>8.4700000000000006</v>
      </c>
      <c r="V51" s="64">
        <v>8.19</v>
      </c>
      <c r="W51" s="64">
        <v>7.93</v>
      </c>
      <c r="X51" s="64">
        <v>7.71</v>
      </c>
      <c r="Y51" s="64">
        <v>7.45</v>
      </c>
      <c r="Z51" s="64">
        <v>7.22</v>
      </c>
      <c r="AA51" s="64">
        <v>7.03</v>
      </c>
      <c r="AB51" s="64">
        <v>6.86</v>
      </c>
      <c r="AC51" s="64">
        <v>6.66</v>
      </c>
      <c r="AD51" s="64">
        <v>6.52</v>
      </c>
      <c r="AE51" s="64">
        <v>6.35</v>
      </c>
      <c r="AF51" s="64">
        <v>6.23</v>
      </c>
      <c r="AG51" s="64">
        <v>6.09</v>
      </c>
      <c r="AH51" s="64">
        <v>5.95</v>
      </c>
      <c r="AI51" s="64">
        <v>5.86</v>
      </c>
      <c r="AJ51" s="64">
        <v>5.75</v>
      </c>
      <c r="AK51" s="64">
        <v>5.64</v>
      </c>
    </row>
    <row r="52" spans="1:37">
      <c r="A52" s="64" t="s">
        <v>339</v>
      </c>
      <c r="B52" s="64">
        <v>2.83</v>
      </c>
      <c r="C52" s="64">
        <v>2.83</v>
      </c>
      <c r="D52" s="64">
        <v>2.83</v>
      </c>
      <c r="E52" s="64">
        <v>2.83</v>
      </c>
      <c r="F52" s="64">
        <v>2.83</v>
      </c>
      <c r="G52" s="64">
        <v>3.85</v>
      </c>
      <c r="H52" s="64">
        <v>4.1900000000000004</v>
      </c>
      <c r="I52" s="64">
        <v>3.74</v>
      </c>
      <c r="J52" s="64">
        <v>4.1100000000000003</v>
      </c>
      <c r="K52" s="64">
        <v>5.16</v>
      </c>
      <c r="L52" s="64">
        <v>5.47</v>
      </c>
      <c r="M52" s="64">
        <v>5.5</v>
      </c>
      <c r="N52" s="64">
        <v>5.5</v>
      </c>
      <c r="O52" s="64">
        <v>5.52</v>
      </c>
      <c r="P52" s="64">
        <v>5.55</v>
      </c>
      <c r="Q52" s="64">
        <v>5.55</v>
      </c>
      <c r="R52" s="64">
        <v>5.58</v>
      </c>
      <c r="S52" s="64">
        <v>5.61</v>
      </c>
      <c r="T52" s="64">
        <v>5.64</v>
      </c>
      <c r="U52" s="64">
        <v>5.64</v>
      </c>
      <c r="V52" s="64">
        <v>5.61</v>
      </c>
      <c r="W52" s="64">
        <v>5.55</v>
      </c>
      <c r="X52" s="64">
        <v>5.5</v>
      </c>
      <c r="Y52" s="64">
        <v>5.41</v>
      </c>
      <c r="Z52" s="64">
        <v>5.35</v>
      </c>
      <c r="AA52" s="64">
        <v>5.3</v>
      </c>
      <c r="AB52" s="64">
        <v>5.24</v>
      </c>
      <c r="AC52" s="64">
        <v>5.16</v>
      </c>
      <c r="AD52" s="64">
        <v>5.0999999999999996</v>
      </c>
      <c r="AE52" s="64">
        <v>5.04</v>
      </c>
      <c r="AF52" s="64">
        <v>4.99</v>
      </c>
      <c r="AG52" s="64">
        <v>4.93</v>
      </c>
      <c r="AH52" s="64">
        <v>4.87</v>
      </c>
      <c r="AI52" s="64">
        <v>4.82</v>
      </c>
      <c r="AJ52" s="64">
        <v>4.76</v>
      </c>
      <c r="AK52" s="64">
        <v>4.7</v>
      </c>
    </row>
    <row r="53" spans="1:37">
      <c r="A53" s="64" t="s">
        <v>340</v>
      </c>
      <c r="B53" s="64">
        <v>5.67</v>
      </c>
      <c r="C53" s="64">
        <v>5.67</v>
      </c>
      <c r="D53" s="64">
        <v>5.67</v>
      </c>
      <c r="E53" s="64">
        <v>5.67</v>
      </c>
      <c r="F53" s="64">
        <v>2.83</v>
      </c>
      <c r="G53" s="64">
        <v>2.95</v>
      </c>
      <c r="H53" s="64">
        <v>2.41</v>
      </c>
      <c r="I53" s="64">
        <v>2.0699999999999998</v>
      </c>
      <c r="J53" s="64">
        <v>1.84</v>
      </c>
      <c r="K53" s="64">
        <v>1.7</v>
      </c>
      <c r="L53" s="64">
        <v>1.44</v>
      </c>
      <c r="M53" s="64">
        <v>1.33</v>
      </c>
      <c r="N53" s="64">
        <v>1.25</v>
      </c>
      <c r="O53" s="64">
        <v>1.1599999999999999</v>
      </c>
      <c r="P53" s="64">
        <v>1.08</v>
      </c>
      <c r="Q53" s="64">
        <v>1.02</v>
      </c>
      <c r="R53" s="64">
        <v>0.96</v>
      </c>
      <c r="S53" s="64">
        <v>0.91</v>
      </c>
      <c r="T53" s="64">
        <v>0.85</v>
      </c>
      <c r="U53" s="64">
        <v>0.82</v>
      </c>
      <c r="V53" s="64">
        <v>0.76</v>
      </c>
      <c r="W53" s="64">
        <v>0.74</v>
      </c>
      <c r="X53" s="64">
        <v>0.71</v>
      </c>
      <c r="Y53" s="64">
        <v>0.68</v>
      </c>
      <c r="Z53" s="64">
        <v>0.65</v>
      </c>
      <c r="AA53" s="64">
        <v>0.62</v>
      </c>
      <c r="AB53" s="64">
        <v>0.62</v>
      </c>
      <c r="AC53" s="64">
        <v>0.59</v>
      </c>
      <c r="AD53" s="64">
        <v>0.59</v>
      </c>
      <c r="AE53" s="64">
        <v>0.56999999999999995</v>
      </c>
      <c r="AF53" s="64">
        <v>0.56999999999999995</v>
      </c>
      <c r="AG53" s="64">
        <v>0.56999999999999995</v>
      </c>
      <c r="AH53" s="64">
        <v>0.54</v>
      </c>
      <c r="AI53" s="64">
        <v>0.54</v>
      </c>
      <c r="AJ53" s="64">
        <v>0.54</v>
      </c>
      <c r="AK53" s="64">
        <v>0.54</v>
      </c>
    </row>
    <row r="54" spans="1:37">
      <c r="A54" s="64" t="s">
        <v>341</v>
      </c>
      <c r="B54" s="64">
        <v>11.33</v>
      </c>
      <c r="C54" s="64">
        <v>11.33</v>
      </c>
      <c r="D54" s="64">
        <v>11.33</v>
      </c>
      <c r="E54" s="64">
        <v>8.5</v>
      </c>
      <c r="F54" s="64">
        <v>8.5</v>
      </c>
      <c r="G54" s="64">
        <v>7.45</v>
      </c>
      <c r="H54" s="64">
        <v>6.43</v>
      </c>
      <c r="I54" s="64">
        <v>6.32</v>
      </c>
      <c r="J54" s="64">
        <v>5.78</v>
      </c>
      <c r="K54" s="64">
        <v>5.47</v>
      </c>
      <c r="L54" s="64">
        <v>4.96</v>
      </c>
      <c r="M54" s="64">
        <v>4.4800000000000004</v>
      </c>
      <c r="N54" s="64">
        <v>4.05</v>
      </c>
      <c r="O54" s="64">
        <v>3.65</v>
      </c>
      <c r="P54" s="64">
        <v>3.31</v>
      </c>
      <c r="Q54" s="64">
        <v>3</v>
      </c>
      <c r="R54" s="64">
        <v>2.72</v>
      </c>
      <c r="S54" s="64">
        <v>2.46</v>
      </c>
      <c r="T54" s="64">
        <v>2.21</v>
      </c>
      <c r="U54" s="64">
        <v>2.0099999999999998</v>
      </c>
      <c r="V54" s="64">
        <v>1.81</v>
      </c>
      <c r="W54" s="64">
        <v>1.64</v>
      </c>
      <c r="X54" s="64">
        <v>1.5</v>
      </c>
      <c r="Y54" s="64">
        <v>1.36</v>
      </c>
      <c r="Z54" s="64">
        <v>1.22</v>
      </c>
      <c r="AA54" s="64">
        <v>1.1000000000000001</v>
      </c>
      <c r="AB54" s="64">
        <v>0.99</v>
      </c>
      <c r="AC54" s="64">
        <v>0.91</v>
      </c>
      <c r="AD54" s="64">
        <v>0.82</v>
      </c>
      <c r="AE54" s="64">
        <v>0.74</v>
      </c>
      <c r="AF54" s="64">
        <v>0.68</v>
      </c>
      <c r="AG54" s="64">
        <v>0.59</v>
      </c>
      <c r="AH54" s="64">
        <v>0.54</v>
      </c>
      <c r="AI54" s="64">
        <v>0.51</v>
      </c>
      <c r="AJ54" s="64">
        <v>0.45</v>
      </c>
      <c r="AK54" s="64">
        <v>0.4</v>
      </c>
    </row>
    <row r="56" spans="1:37" ht="19">
      <c r="A56" s="65" t="s">
        <v>332</v>
      </c>
    </row>
    <row r="57" spans="1:37">
      <c r="A57" s="64" t="s">
        <v>306</v>
      </c>
      <c r="B57" s="64" t="s">
        <v>305</v>
      </c>
      <c r="C57" s="64" t="s">
        <v>304</v>
      </c>
      <c r="D57" s="64" t="s">
        <v>303</v>
      </c>
      <c r="E57" s="64" t="s">
        <v>302</v>
      </c>
      <c r="F57" s="64" t="s">
        <v>301</v>
      </c>
      <c r="G57" s="64" t="s">
        <v>300</v>
      </c>
      <c r="H57" s="64" t="s">
        <v>299</v>
      </c>
      <c r="I57" s="64" t="s">
        <v>298</v>
      </c>
      <c r="J57" s="64" t="s">
        <v>297</v>
      </c>
      <c r="K57" s="64" t="s">
        <v>296</v>
      </c>
      <c r="L57" s="64" t="s">
        <v>295</v>
      </c>
      <c r="M57" s="64" t="s">
        <v>294</v>
      </c>
      <c r="N57" s="64" t="s">
        <v>293</v>
      </c>
      <c r="O57" s="64" t="s">
        <v>292</v>
      </c>
      <c r="P57" s="64" t="s">
        <v>291</v>
      </c>
      <c r="Q57" s="64" t="s">
        <v>290</v>
      </c>
      <c r="R57" s="64" t="s">
        <v>289</v>
      </c>
      <c r="S57" s="64" t="s">
        <v>288</v>
      </c>
      <c r="T57" s="64" t="s">
        <v>287</v>
      </c>
      <c r="U57" s="64" t="s">
        <v>286</v>
      </c>
      <c r="V57" s="64" t="s">
        <v>285</v>
      </c>
      <c r="W57" s="64" t="s">
        <v>284</v>
      </c>
      <c r="X57" s="64" t="s">
        <v>283</v>
      </c>
      <c r="Y57" s="64" t="s">
        <v>282</v>
      </c>
      <c r="Z57" s="64" t="s">
        <v>281</v>
      </c>
      <c r="AA57" s="64" t="s">
        <v>280</v>
      </c>
      <c r="AB57" s="64" t="s">
        <v>279</v>
      </c>
      <c r="AC57" s="64" t="s">
        <v>278</v>
      </c>
      <c r="AD57" s="64" t="s">
        <v>277</v>
      </c>
      <c r="AE57" s="64" t="s">
        <v>276</v>
      </c>
      <c r="AF57" s="64" t="s">
        <v>275</v>
      </c>
      <c r="AG57" s="64" t="s">
        <v>274</v>
      </c>
      <c r="AH57" s="64" t="s">
        <v>273</v>
      </c>
      <c r="AI57" s="64" t="s">
        <v>272</v>
      </c>
      <c r="AJ57" s="64" t="s">
        <v>271</v>
      </c>
      <c r="AK57" s="64" t="s">
        <v>270</v>
      </c>
    </row>
    <row r="58" spans="1:37">
      <c r="A58" s="64" t="s">
        <v>40</v>
      </c>
      <c r="B58" s="64">
        <v>0</v>
      </c>
      <c r="C58" s="64">
        <v>0</v>
      </c>
      <c r="D58" s="64">
        <v>0</v>
      </c>
      <c r="E58" s="64">
        <v>0</v>
      </c>
      <c r="F58" s="64">
        <v>0</v>
      </c>
      <c r="G58" s="64">
        <v>0.53</v>
      </c>
      <c r="H58" s="64">
        <v>0.48</v>
      </c>
      <c r="I58" s="64">
        <v>0.46</v>
      </c>
      <c r="J58" s="64">
        <v>0.34</v>
      </c>
      <c r="K58" s="64">
        <v>0.31</v>
      </c>
      <c r="L58" s="64">
        <v>0.28000000000000003</v>
      </c>
      <c r="M58" s="64">
        <v>0.23</v>
      </c>
      <c r="N58" s="64">
        <v>0.2</v>
      </c>
      <c r="O58" s="64">
        <v>0.17</v>
      </c>
      <c r="P58" s="64">
        <v>0.14000000000000001</v>
      </c>
      <c r="Q58" s="64">
        <v>0.14000000000000001</v>
      </c>
      <c r="R58" s="64">
        <v>0.11</v>
      </c>
      <c r="S58" s="64">
        <v>0.11</v>
      </c>
      <c r="T58" s="64">
        <v>0.08</v>
      </c>
      <c r="U58" s="64">
        <v>0.08</v>
      </c>
      <c r="V58" s="64">
        <v>0.06</v>
      </c>
      <c r="W58" s="64">
        <v>0.06</v>
      </c>
      <c r="X58" s="64">
        <v>0.06</v>
      </c>
      <c r="Y58" s="64">
        <v>0.06</v>
      </c>
      <c r="Z58" s="64">
        <v>0.03</v>
      </c>
      <c r="AA58" s="64">
        <v>0.03</v>
      </c>
      <c r="AB58" s="64">
        <v>0.03</v>
      </c>
      <c r="AC58" s="64">
        <v>0.03</v>
      </c>
      <c r="AD58" s="64">
        <v>0.03</v>
      </c>
      <c r="AE58" s="64">
        <v>0.03</v>
      </c>
      <c r="AF58" s="64">
        <v>0.03</v>
      </c>
      <c r="AG58" s="64">
        <v>0.03</v>
      </c>
      <c r="AH58" s="64">
        <v>0</v>
      </c>
      <c r="AI58" s="64">
        <v>0</v>
      </c>
      <c r="AJ58" s="64">
        <v>0</v>
      </c>
      <c r="AK58" s="64">
        <v>0</v>
      </c>
    </row>
  </sheetData>
  <pageMargins left="0.75" right="0.75" top="0.75" bottom="0.5" header="0.5" footer="0.75"/>
  <pageSetup orientation="portrait"/>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6">
    <outlinePr summaryBelow="0"/>
  </sheetPr>
  <dimension ref="A1:AK76"/>
  <sheetViews>
    <sheetView workbookViewId="0">
      <selection sqref="A1:AK76"/>
    </sheetView>
  </sheetViews>
  <sheetFormatPr baseColWidth="10" defaultColWidth="12.5" defaultRowHeight="15"/>
  <cols>
    <col min="1" max="1" width="61.33203125" style="25" customWidth="1"/>
    <col min="2" max="10" width="12.5" style="25"/>
    <col min="11" max="11" width="10.33203125" style="25" customWidth="1"/>
    <col min="12" max="12" width="10.5" style="27" customWidth="1"/>
    <col min="13" max="16384" width="12.5" style="25"/>
  </cols>
  <sheetData>
    <row r="1" spans="1:37">
      <c r="A1" s="26" t="s">
        <v>112</v>
      </c>
    </row>
    <row r="2" spans="1:37">
      <c r="A2" s="28"/>
      <c r="B2" s="29">
        <v>2015</v>
      </c>
      <c r="C2" s="29">
        <v>2016</v>
      </c>
      <c r="D2" s="29">
        <v>2017</v>
      </c>
      <c r="E2" s="29">
        <v>2018</v>
      </c>
      <c r="F2" s="29">
        <v>2019</v>
      </c>
      <c r="G2" s="29">
        <v>2020</v>
      </c>
      <c r="H2" s="29">
        <v>2021</v>
      </c>
      <c r="I2" s="29">
        <v>2022</v>
      </c>
      <c r="J2" s="29">
        <v>2023</v>
      </c>
      <c r="K2" s="29">
        <v>2024</v>
      </c>
      <c r="L2" s="29">
        <v>2025</v>
      </c>
      <c r="M2" s="29">
        <v>2026</v>
      </c>
      <c r="N2" s="29">
        <v>2027</v>
      </c>
      <c r="O2" s="29">
        <v>2028</v>
      </c>
      <c r="P2" s="29">
        <v>2029</v>
      </c>
      <c r="Q2" s="29">
        <v>2030</v>
      </c>
      <c r="R2" s="29">
        <v>2031</v>
      </c>
      <c r="S2" s="29">
        <v>2032</v>
      </c>
      <c r="T2" s="29">
        <v>2033</v>
      </c>
      <c r="U2" s="29">
        <v>2034</v>
      </c>
      <c r="V2" s="29">
        <v>2035</v>
      </c>
      <c r="W2" s="29">
        <v>2036</v>
      </c>
      <c r="X2" s="29">
        <v>2037</v>
      </c>
      <c r="Y2" s="29">
        <v>2038</v>
      </c>
      <c r="Z2" s="29">
        <v>2039</v>
      </c>
      <c r="AA2" s="29">
        <v>2040</v>
      </c>
      <c r="AB2" s="29">
        <v>2041</v>
      </c>
      <c r="AC2" s="29">
        <v>2042</v>
      </c>
      <c r="AD2" s="29">
        <v>2043</v>
      </c>
      <c r="AE2" s="29">
        <v>2044</v>
      </c>
      <c r="AF2" s="29">
        <v>2045</v>
      </c>
      <c r="AG2" s="29">
        <v>2046</v>
      </c>
      <c r="AH2" s="29">
        <v>2047</v>
      </c>
      <c r="AI2" s="29">
        <v>2048</v>
      </c>
      <c r="AJ2" s="29">
        <v>2049</v>
      </c>
      <c r="AK2" s="29">
        <v>2050</v>
      </c>
    </row>
    <row r="3" spans="1:37">
      <c r="A3" s="295" t="s">
        <v>113</v>
      </c>
      <c r="B3" s="31"/>
      <c r="C3" s="31"/>
      <c r="D3" s="31"/>
      <c r="E3" s="31"/>
      <c r="F3" s="31"/>
      <c r="G3" s="31"/>
      <c r="H3" s="31"/>
      <c r="I3" s="31"/>
      <c r="J3" s="31"/>
    </row>
    <row r="4" spans="1:37">
      <c r="A4" s="296" t="s">
        <v>114</v>
      </c>
      <c r="B4" s="34">
        <f>SUM(B5:B6)</f>
        <v>1.2155653286700958</v>
      </c>
      <c r="C4" s="34">
        <f t="shared" ref="C4:AK4" si="0">SUM(C5:C6)</f>
        <v>1.2227157129563904</v>
      </c>
      <c r="D4" s="34">
        <f t="shared" si="0"/>
        <v>1.229908158326722</v>
      </c>
      <c r="E4" s="34">
        <f t="shared" si="0"/>
        <v>1.2371429121992321</v>
      </c>
      <c r="F4" s="34">
        <f t="shared" si="0"/>
        <v>1.2444202234474628</v>
      </c>
      <c r="G4" s="34">
        <f t="shared" si="0"/>
        <v>1.2517403424089184</v>
      </c>
      <c r="H4" s="34">
        <f t="shared" si="0"/>
        <v>1.2591035208936767</v>
      </c>
      <c r="I4" s="34">
        <f t="shared" si="0"/>
        <v>1.266510012193051</v>
      </c>
      <c r="J4" s="34">
        <f t="shared" si="0"/>
        <v>1.2739600710883043</v>
      </c>
      <c r="K4" s="34">
        <f t="shared" si="0"/>
        <v>1.2814539538594121</v>
      </c>
      <c r="L4" s="34">
        <f t="shared" si="0"/>
        <v>1.2889919182938792</v>
      </c>
      <c r="M4" s="34">
        <f t="shared" si="0"/>
        <v>1.2965742236956077</v>
      </c>
      <c r="N4" s="34">
        <f t="shared" si="0"/>
        <v>1.3042011308938173</v>
      </c>
      <c r="O4" s="34">
        <f t="shared" si="0"/>
        <v>1.3118729022520161</v>
      </c>
      <c r="P4" s="34">
        <f t="shared" si="0"/>
        <v>1.319589801677028</v>
      </c>
      <c r="Q4" s="34">
        <f t="shared" si="0"/>
        <v>1.3273520946280692</v>
      </c>
      <c r="R4" s="34">
        <f t="shared" si="0"/>
        <v>1.3351600481258814</v>
      </c>
      <c r="S4" s="34">
        <f t="shared" si="0"/>
        <v>1.3430139307619158</v>
      </c>
      <c r="T4" s="34">
        <f t="shared" si="0"/>
        <v>1.3509140127075741</v>
      </c>
      <c r="U4" s="34">
        <f t="shared" si="0"/>
        <v>1.3588605657235009</v>
      </c>
      <c r="V4" s="34">
        <f t="shared" si="0"/>
        <v>1.3668538631689333</v>
      </c>
      <c r="W4" s="34">
        <f t="shared" si="0"/>
        <v>1.3748941800111034</v>
      </c>
      <c r="X4" s="34">
        <f t="shared" si="0"/>
        <v>1.3829817928346981</v>
      </c>
      <c r="Y4" s="34">
        <f t="shared" si="0"/>
        <v>1.3911169798513729</v>
      </c>
      <c r="Z4" s="34">
        <f t="shared" si="0"/>
        <v>1.399300020909322</v>
      </c>
      <c r="AA4" s="34">
        <f t="shared" si="0"/>
        <v>1.4075311975029063</v>
      </c>
      <c r="AB4" s="34">
        <f t="shared" si="0"/>
        <v>1.4158107927823351</v>
      </c>
      <c r="AC4" s="34">
        <f t="shared" si="0"/>
        <v>1.4241390915634076</v>
      </c>
      <c r="AD4" s="34">
        <f t="shared" si="0"/>
        <v>1.43251638033731</v>
      </c>
      <c r="AE4" s="34">
        <f t="shared" si="0"/>
        <v>1.4409429472804707</v>
      </c>
      <c r="AF4" s="34">
        <f t="shared" si="0"/>
        <v>1.4494190822644735</v>
      </c>
      <c r="AG4" s="34">
        <f t="shared" si="0"/>
        <v>1.4579450768660291</v>
      </c>
      <c r="AH4" s="34">
        <f t="shared" si="0"/>
        <v>1.4665212243770058</v>
      </c>
      <c r="AI4" s="34">
        <f t="shared" si="0"/>
        <v>1.4751478198145176</v>
      </c>
      <c r="AJ4" s="34">
        <f t="shared" si="0"/>
        <v>1.4838251599310737</v>
      </c>
      <c r="AK4" s="34">
        <f t="shared" si="0"/>
        <v>1.4925535432247856</v>
      </c>
    </row>
    <row r="5" spans="1:37">
      <c r="A5" s="297" t="s">
        <v>234</v>
      </c>
      <c r="B5" s="56">
        <f>'Cement CO2 Emissions'!B10</f>
        <v>1.2155653286700958</v>
      </c>
      <c r="C5" s="56">
        <f>'Cement CO2 Emissions'!C10</f>
        <v>1.2227157129563904</v>
      </c>
      <c r="D5" s="56">
        <f>'Cement CO2 Emissions'!D10</f>
        <v>1.229908158326722</v>
      </c>
      <c r="E5" s="56">
        <f>'Cement CO2 Emissions'!E10</f>
        <v>1.2371429121992321</v>
      </c>
      <c r="F5" s="56">
        <f>'Cement CO2 Emissions'!F10</f>
        <v>1.2444202234474628</v>
      </c>
      <c r="G5" s="56">
        <f>'Cement CO2 Emissions'!G10</f>
        <v>1.2517403424089184</v>
      </c>
      <c r="H5" s="56">
        <f>'Cement CO2 Emissions'!H10</f>
        <v>1.2591035208936767</v>
      </c>
      <c r="I5" s="56">
        <f>'Cement CO2 Emissions'!I10</f>
        <v>1.266510012193051</v>
      </c>
      <c r="J5" s="56">
        <f>'Cement CO2 Emissions'!J10</f>
        <v>1.2739600710883043</v>
      </c>
      <c r="K5" s="56">
        <f>'Cement CO2 Emissions'!K10</f>
        <v>1.2814539538594121</v>
      </c>
      <c r="L5" s="56">
        <f>'Cement CO2 Emissions'!L10</f>
        <v>1.2889919182938792</v>
      </c>
      <c r="M5" s="56">
        <f>'Cement CO2 Emissions'!M10</f>
        <v>1.2965742236956077</v>
      </c>
      <c r="N5" s="56">
        <f>'Cement CO2 Emissions'!N10</f>
        <v>1.3042011308938173</v>
      </c>
      <c r="O5" s="56">
        <f>'Cement CO2 Emissions'!O10</f>
        <v>1.3118729022520161</v>
      </c>
      <c r="P5" s="56">
        <f>'Cement CO2 Emissions'!P10</f>
        <v>1.319589801677028</v>
      </c>
      <c r="Q5" s="56">
        <f>'Cement CO2 Emissions'!Q10</f>
        <v>1.3273520946280692</v>
      </c>
      <c r="R5" s="56">
        <f>'Cement CO2 Emissions'!R10</f>
        <v>1.3351600481258814</v>
      </c>
      <c r="S5" s="56">
        <f>'Cement CO2 Emissions'!S10</f>
        <v>1.3430139307619158</v>
      </c>
      <c r="T5" s="56">
        <f>'Cement CO2 Emissions'!T10</f>
        <v>1.3509140127075741</v>
      </c>
      <c r="U5" s="56">
        <f>'Cement CO2 Emissions'!U10</f>
        <v>1.3588605657235009</v>
      </c>
      <c r="V5" s="56">
        <f>'Cement CO2 Emissions'!V10</f>
        <v>1.3668538631689333</v>
      </c>
      <c r="W5" s="56">
        <f>'Cement CO2 Emissions'!W10</f>
        <v>1.3748941800111034</v>
      </c>
      <c r="X5" s="56">
        <f>'Cement CO2 Emissions'!X10</f>
        <v>1.3829817928346981</v>
      </c>
      <c r="Y5" s="56">
        <f>'Cement CO2 Emissions'!Y10</f>
        <v>1.3911169798513729</v>
      </c>
      <c r="Z5" s="56">
        <f>'Cement CO2 Emissions'!Z10</f>
        <v>1.399300020909322</v>
      </c>
      <c r="AA5" s="56">
        <f>'Cement CO2 Emissions'!AA10</f>
        <v>1.4075311975029063</v>
      </c>
      <c r="AB5" s="56">
        <f>'Cement CO2 Emissions'!AB10</f>
        <v>1.4158107927823351</v>
      </c>
      <c r="AC5" s="56">
        <f>'Cement CO2 Emissions'!AC10</f>
        <v>1.4241390915634076</v>
      </c>
      <c r="AD5" s="56">
        <f>'Cement CO2 Emissions'!AD10</f>
        <v>1.43251638033731</v>
      </c>
      <c r="AE5" s="56">
        <f>'Cement CO2 Emissions'!AE10</f>
        <v>1.4409429472804707</v>
      </c>
      <c r="AF5" s="56">
        <f>'Cement CO2 Emissions'!AF10</f>
        <v>1.4494190822644735</v>
      </c>
      <c r="AG5" s="56">
        <f>'Cement CO2 Emissions'!AG10</f>
        <v>1.4579450768660291</v>
      </c>
      <c r="AH5" s="56">
        <f>'Cement CO2 Emissions'!AH10</f>
        <v>1.4665212243770058</v>
      </c>
      <c r="AI5" s="56">
        <f>'Cement CO2 Emissions'!AI10</f>
        <v>1.4751478198145176</v>
      </c>
      <c r="AJ5" s="56">
        <f>'Cement CO2 Emissions'!AJ10</f>
        <v>1.4838251599310737</v>
      </c>
      <c r="AK5" s="56">
        <f>'Cement CO2 Emissions'!AK10</f>
        <v>1.4925535432247856</v>
      </c>
    </row>
    <row r="6" spans="1:37">
      <c r="A6" s="297" t="s">
        <v>233</v>
      </c>
      <c r="B6" s="56">
        <v>0</v>
      </c>
      <c r="C6" s="56">
        <v>0</v>
      </c>
      <c r="D6" s="56">
        <v>0</v>
      </c>
      <c r="E6" s="56">
        <v>0</v>
      </c>
      <c r="F6" s="56">
        <v>0</v>
      </c>
      <c r="G6" s="56">
        <v>0</v>
      </c>
      <c r="H6" s="56">
        <v>0</v>
      </c>
      <c r="I6" s="56">
        <v>0</v>
      </c>
      <c r="J6" s="56">
        <v>0</v>
      </c>
      <c r="K6" s="56">
        <v>0</v>
      </c>
      <c r="L6" s="56">
        <v>0</v>
      </c>
      <c r="M6" s="56">
        <v>0</v>
      </c>
      <c r="N6" s="56">
        <v>0</v>
      </c>
      <c r="O6" s="56">
        <v>0</v>
      </c>
      <c r="P6" s="56">
        <v>0</v>
      </c>
      <c r="Q6" s="56">
        <v>0</v>
      </c>
      <c r="R6" s="56">
        <v>0</v>
      </c>
      <c r="S6" s="56">
        <v>0</v>
      </c>
      <c r="T6" s="56">
        <v>0</v>
      </c>
      <c r="U6" s="56">
        <v>0</v>
      </c>
      <c r="V6" s="56">
        <v>0</v>
      </c>
      <c r="W6" s="56">
        <v>0</v>
      </c>
      <c r="X6" s="56">
        <v>0</v>
      </c>
      <c r="Y6" s="56">
        <v>0</v>
      </c>
      <c r="Z6" s="56">
        <v>0</v>
      </c>
      <c r="AA6" s="56">
        <v>0</v>
      </c>
      <c r="AB6" s="56">
        <v>0</v>
      </c>
      <c r="AC6" s="56">
        <v>0</v>
      </c>
      <c r="AD6" s="56">
        <v>0</v>
      </c>
      <c r="AE6" s="56">
        <v>0</v>
      </c>
      <c r="AF6" s="56">
        <v>0</v>
      </c>
      <c r="AG6" s="56">
        <v>0</v>
      </c>
      <c r="AH6" s="56">
        <v>0</v>
      </c>
      <c r="AI6" s="56">
        <v>0</v>
      </c>
      <c r="AJ6" s="56">
        <v>0</v>
      </c>
      <c r="AK6" s="56">
        <v>0</v>
      </c>
    </row>
    <row r="7" spans="1:37">
      <c r="A7" s="30"/>
      <c r="B7" s="36"/>
      <c r="C7" s="35"/>
      <c r="D7" s="35"/>
      <c r="E7" s="35"/>
      <c r="F7" s="35"/>
      <c r="G7" s="35"/>
      <c r="H7" s="35"/>
      <c r="I7" s="35"/>
      <c r="J7" s="35"/>
    </row>
    <row r="8" spans="1:37">
      <c r="A8" s="30" t="s">
        <v>115</v>
      </c>
      <c r="B8" s="232"/>
      <c r="C8" s="232"/>
      <c r="D8" s="232"/>
      <c r="E8" s="232"/>
      <c r="F8" s="232"/>
      <c r="G8" s="232"/>
      <c r="H8" s="232"/>
      <c r="I8" s="232"/>
      <c r="J8" s="232"/>
      <c r="K8" s="232"/>
      <c r="L8" s="232"/>
      <c r="M8" s="232"/>
      <c r="N8" s="232"/>
      <c r="O8" s="232"/>
      <c r="P8" s="232"/>
      <c r="Q8" s="232"/>
      <c r="R8" s="232"/>
      <c r="S8" s="232"/>
      <c r="T8" s="232"/>
      <c r="U8" s="232"/>
      <c r="V8" s="232"/>
      <c r="W8" s="232"/>
      <c r="X8" s="232"/>
      <c r="Y8" s="232"/>
      <c r="Z8" s="232"/>
      <c r="AA8" s="232"/>
      <c r="AB8" s="232"/>
      <c r="AC8" s="232"/>
      <c r="AD8" s="232"/>
      <c r="AE8" s="232"/>
      <c r="AF8" s="232"/>
      <c r="AG8" s="232"/>
      <c r="AH8" s="232"/>
      <c r="AI8" s="232"/>
      <c r="AJ8" s="232"/>
      <c r="AK8" s="232"/>
    </row>
    <row r="9" spans="1:37">
      <c r="A9" s="296" t="s">
        <v>116</v>
      </c>
      <c r="B9" s="36">
        <f>SUM(B11,B13,B15)</f>
        <v>34.069063254373596</v>
      </c>
      <c r="C9" s="36">
        <f>SUM(C11,C13,C15)</f>
        <v>33.838884330531727</v>
      </c>
      <c r="D9" s="36">
        <f t="shared" ref="C9:AK9" si="1">SUM(D11,D13,D15)</f>
        <v>33.893269952332986</v>
      </c>
      <c r="E9" s="36">
        <f t="shared" si="1"/>
        <v>33.856610444387158</v>
      </c>
      <c r="F9" s="36">
        <f t="shared" si="1"/>
        <v>33.840411625263627</v>
      </c>
      <c r="G9" s="36">
        <f t="shared" si="1"/>
        <v>33.718250607950971</v>
      </c>
      <c r="H9" s="36">
        <f t="shared" si="1"/>
        <v>33.614123876001088</v>
      </c>
      <c r="I9" s="36">
        <f t="shared" si="1"/>
        <v>33.590715853999157</v>
      </c>
      <c r="J9" s="36">
        <f t="shared" si="1"/>
        <v>33.684607967560474</v>
      </c>
      <c r="K9" s="36">
        <f t="shared" si="1"/>
        <v>33.771067648964078</v>
      </c>
      <c r="L9" s="36">
        <f t="shared" si="1"/>
        <v>33.823039939671531</v>
      </c>
      <c r="M9" s="36">
        <f t="shared" si="1"/>
        <v>33.866643122678077</v>
      </c>
      <c r="N9" s="36">
        <f t="shared" si="1"/>
        <v>33.942210759046326</v>
      </c>
      <c r="O9" s="36">
        <f t="shared" si="1"/>
        <v>34.005218176863011</v>
      </c>
      <c r="P9" s="36">
        <f t="shared" si="1"/>
        <v>34.037286928167489</v>
      </c>
      <c r="Q9" s="36">
        <f t="shared" si="1"/>
        <v>34.047802592820219</v>
      </c>
      <c r="R9" s="36">
        <f t="shared" si="1"/>
        <v>34.078472707632777</v>
      </c>
      <c r="S9" s="36">
        <f t="shared" si="1"/>
        <v>34.098421371681461</v>
      </c>
      <c r="T9" s="36">
        <f t="shared" si="1"/>
        <v>34.038552764039395</v>
      </c>
      <c r="U9" s="36">
        <f t="shared" si="1"/>
        <v>33.934972024322867</v>
      </c>
      <c r="V9" s="36">
        <f t="shared" si="1"/>
        <v>33.828811015274397</v>
      </c>
      <c r="W9" s="36">
        <f t="shared" si="1"/>
        <v>33.744582957294867</v>
      </c>
      <c r="X9" s="36">
        <f t="shared" si="1"/>
        <v>33.626854227969268</v>
      </c>
      <c r="Y9" s="36">
        <f t="shared" si="1"/>
        <v>33.496463643108278</v>
      </c>
      <c r="Z9" s="36">
        <f t="shared" si="1"/>
        <v>33.355360051413115</v>
      </c>
      <c r="AA9" s="36">
        <f t="shared" si="1"/>
        <v>33.208044265949702</v>
      </c>
      <c r="AB9" s="36">
        <f>SUM(AB11,AB13,AB15)</f>
        <v>33.135642201538644</v>
      </c>
      <c r="AC9" s="36">
        <f t="shared" si="1"/>
        <v>33.064581855312362</v>
      </c>
      <c r="AD9" s="36">
        <f t="shared" si="1"/>
        <v>33.204862554856348</v>
      </c>
      <c r="AE9" s="36">
        <f t="shared" si="1"/>
        <v>33.346254655781152</v>
      </c>
      <c r="AF9" s="36">
        <f t="shared" si="1"/>
        <v>33.48876663214449</v>
      </c>
      <c r="AG9" s="36">
        <f t="shared" si="1"/>
        <v>33.632407022729623</v>
      </c>
      <c r="AH9" s="36">
        <f t="shared" si="1"/>
        <v>33.777184431539837</v>
      </c>
      <c r="AI9" s="36">
        <f t="shared" si="1"/>
        <v>33.92310752829647</v>
      </c>
      <c r="AJ9" s="36">
        <f t="shared" si="1"/>
        <v>34.070185048940864</v>
      </c>
      <c r="AK9" s="36">
        <f t="shared" si="1"/>
        <v>34.218425796140082</v>
      </c>
    </row>
    <row r="10" spans="1:37">
      <c r="A10" s="296" t="s">
        <v>117</v>
      </c>
      <c r="B10" s="36">
        <f>B12+B14+B16</f>
        <v>8.383069110136816</v>
      </c>
      <c r="C10" s="36">
        <f t="shared" ref="C10:AK10" si="2">C12+C14+C16</f>
        <v>8.5781070395706998</v>
      </c>
      <c r="D10" s="36">
        <f t="shared" si="2"/>
        <v>8.8128980825531933</v>
      </c>
      <c r="E10" s="36">
        <f t="shared" si="2"/>
        <v>8.9519594704531826</v>
      </c>
      <c r="F10" s="36">
        <f t="shared" si="2"/>
        <v>9.071268112765118</v>
      </c>
      <c r="G10" s="36">
        <f t="shared" si="2"/>
        <v>9.0936367367386737</v>
      </c>
      <c r="H10" s="36">
        <f t="shared" si="2"/>
        <v>9.0939009949218583</v>
      </c>
      <c r="I10" s="36">
        <f t="shared" si="2"/>
        <v>9.1261320244574975</v>
      </c>
      <c r="J10" s="36">
        <f t="shared" si="2"/>
        <v>9.213768485867444</v>
      </c>
      <c r="K10" s="36">
        <f t="shared" si="2"/>
        <v>9.2802944822724349</v>
      </c>
      <c r="L10" s="36">
        <f t="shared" si="2"/>
        <v>9.3069859725384223</v>
      </c>
      <c r="M10" s="36">
        <f t="shared" si="2"/>
        <v>9.3228833533593196</v>
      </c>
      <c r="N10" s="36">
        <f t="shared" si="2"/>
        <v>9.3559417549426929</v>
      </c>
      <c r="O10" s="36">
        <f t="shared" si="2"/>
        <v>9.3893620030671485</v>
      </c>
      <c r="P10" s="36">
        <f t="shared" si="2"/>
        <v>9.4038064537696062</v>
      </c>
      <c r="Q10" s="36">
        <f t="shared" si="2"/>
        <v>9.4124927335519146</v>
      </c>
      <c r="R10" s="36">
        <f t="shared" si="2"/>
        <v>9.4455256287061715</v>
      </c>
      <c r="S10" s="36">
        <f t="shared" si="2"/>
        <v>9.483437867085545</v>
      </c>
      <c r="T10" s="36">
        <f t="shared" si="2"/>
        <v>9.4921222906661225</v>
      </c>
      <c r="U10" s="36">
        <f t="shared" si="2"/>
        <v>9.4874643689706417</v>
      </c>
      <c r="V10" s="36">
        <f t="shared" si="2"/>
        <v>9.5032222971367464</v>
      </c>
      <c r="W10" s="36">
        <f t="shared" si="2"/>
        <v>9.5259772487709373</v>
      </c>
      <c r="X10" s="36">
        <f t="shared" si="2"/>
        <v>9.5263187825284383</v>
      </c>
      <c r="Y10" s="36">
        <f t="shared" si="2"/>
        <v>9.5188368799400536</v>
      </c>
      <c r="Z10" s="36">
        <f t="shared" si="2"/>
        <v>9.5103962878519717</v>
      </c>
      <c r="AA10" s="36">
        <f t="shared" si="2"/>
        <v>9.5011128857031597</v>
      </c>
      <c r="AB10" s="36">
        <f t="shared" si="2"/>
        <v>9.5080145755511971</v>
      </c>
      <c r="AC10" s="36">
        <f t="shared" si="2"/>
        <v>9.5150543943576871</v>
      </c>
      <c r="AD10" s="36">
        <f t="shared" si="2"/>
        <v>9.5615453025392672</v>
      </c>
      <c r="AE10" s="36">
        <f t="shared" si="2"/>
        <v>9.6084006159447846</v>
      </c>
      <c r="AF10" s="36">
        <f t="shared" si="2"/>
        <v>9.6556231143898668</v>
      </c>
      <c r="AG10" s="36">
        <f t="shared" si="2"/>
        <v>9.7032155989221547</v>
      </c>
      <c r="AH10" s="36">
        <f t="shared" si="2"/>
        <v>9.7511808919834344</v>
      </c>
      <c r="AI10" s="36">
        <f t="shared" si="2"/>
        <v>9.7995218375730655</v>
      </c>
      <c r="AJ10" s="36">
        <f t="shared" si="2"/>
        <v>9.8482413014126013</v>
      </c>
      <c r="AK10" s="36">
        <f t="shared" si="2"/>
        <v>9.8973421711117027</v>
      </c>
    </row>
    <row r="11" spans="1:37">
      <c r="A11" s="299" t="s">
        <v>150</v>
      </c>
      <c r="B11" s="37">
        <f>'Petroleum Systems'!B113*'Cross-Page Data'!$C$12/1000</f>
        <v>19.234398447968804</v>
      </c>
      <c r="C11" s="37">
        <f>'Petroleum Systems'!C113*'Cross-Page Data'!$C$12/1000</f>
        <v>19.23669018286564</v>
      </c>
      <c r="D11" s="37">
        <f>'Petroleum Systems'!D113*'Cross-Page Data'!$C$12/1000</f>
        <v>19.32092001085633</v>
      </c>
      <c r="E11" s="37">
        <f>'Petroleum Systems'!E113*'Cross-Page Data'!$C$12/1000</f>
        <v>19.330335768606464</v>
      </c>
      <c r="F11" s="37">
        <f>'Petroleum Systems'!F113*'Cross-Page Data'!$C$12/1000</f>
        <v>19.353929224402169</v>
      </c>
      <c r="G11" s="37">
        <f>'Petroleum Systems'!G113*'Cross-Page Data'!$C$12/1000</f>
        <v>19.268942569185114</v>
      </c>
      <c r="H11" s="37">
        <f>'Petroleum Systems'!H113*'Cross-Page Data'!$C$12/1000</f>
        <v>19.185759139824306</v>
      </c>
      <c r="I11" s="37">
        <f>'Petroleum Systems'!I113*'Cross-Page Data'!$C$12/1000</f>
        <v>19.175440681940543</v>
      </c>
      <c r="J11" s="37">
        <f>'Petroleum Systems'!J113*'Cross-Page Data'!$C$12/1000</f>
        <v>19.281375194490579</v>
      </c>
      <c r="K11" s="37">
        <f>'Petroleum Systems'!K113*'Cross-Page Data'!$C$12/1000</f>
        <v>19.39453758669525</v>
      </c>
      <c r="L11" s="37">
        <f>'Petroleum Systems'!L113*'Cross-Page Data'!$C$12/1000</f>
        <v>19.489443647710299</v>
      </c>
      <c r="M11" s="37">
        <f>'Petroleum Systems'!M113*'Cross-Page Data'!$C$12/1000</f>
        <v>19.590640912836797</v>
      </c>
      <c r="N11" s="37">
        <f>'Petroleum Systems'!N113*'Cross-Page Data'!$C$12/1000</f>
        <v>19.728514874407534</v>
      </c>
      <c r="O11" s="37">
        <f>'Petroleum Systems'!O113*'Cross-Page Data'!$C$12/1000</f>
        <v>19.85121070460308</v>
      </c>
      <c r="P11" s="37">
        <f>'Petroleum Systems'!P113*'Cross-Page Data'!$C$12/1000</f>
        <v>19.921500983132614</v>
      </c>
      <c r="Q11" s="37">
        <f>'Petroleum Systems'!Q113*'Cross-Page Data'!$C$12/1000</f>
        <v>19.947200542162424</v>
      </c>
      <c r="R11" s="37">
        <f>'Petroleum Systems'!R113*'Cross-Page Data'!$C$12/1000</f>
        <v>19.976299909280797</v>
      </c>
      <c r="S11" s="37">
        <f>'Petroleum Systems'!S113*'Cross-Page Data'!$C$12/1000</f>
        <v>19.97530527074041</v>
      </c>
      <c r="T11" s="37">
        <f>'Petroleum Systems'!T113*'Cross-Page Data'!$C$12/1000</f>
        <v>19.911248002580528</v>
      </c>
      <c r="U11" s="37">
        <f>'Petroleum Systems'!U113*'Cross-Page Data'!$C$12/1000</f>
        <v>19.822327574676354</v>
      </c>
      <c r="V11" s="37">
        <f>'Petroleum Systems'!V113*'Cross-Page Data'!$C$12/1000</f>
        <v>19.72977971231078</v>
      </c>
      <c r="W11" s="37">
        <f>'Petroleum Systems'!W113*'Cross-Page Data'!$C$12/1000</f>
        <v>19.658641218449421</v>
      </c>
      <c r="X11" s="37">
        <f>'Petroleum Systems'!X113*'Cross-Page Data'!$C$12/1000</f>
        <v>19.552954888112534</v>
      </c>
      <c r="Y11" s="37">
        <f>'Petroleum Systems'!Y113*'Cross-Page Data'!$C$12/1000</f>
        <v>19.435653867369719</v>
      </c>
      <c r="Z11" s="37">
        <f>'Petroleum Systems'!Z113*'Cross-Page Data'!$C$12/1000</f>
        <v>19.301880431580731</v>
      </c>
      <c r="AA11" s="37">
        <f>'Petroleum Systems'!AA113*'Cross-Page Data'!$C$12/1000</f>
        <v>19.156135393811496</v>
      </c>
      <c r="AB11" s="37">
        <f>'Petroleum Systems'!AB113*'Cross-Page Data'!$C$12/1000</f>
        <v>19.088741806610376</v>
      </c>
      <c r="AC11" s="37">
        <f>'Petroleum Systems'!AC113*'Cross-Page Data'!$C$12/1000</f>
        <v>19.022688152438423</v>
      </c>
      <c r="AD11" s="37">
        <f>'Petroleum Systems'!AD113*'Cross-Page Data'!$C$12/1000</f>
        <v>19.167973759517402</v>
      </c>
      <c r="AE11" s="37">
        <f>'Petroleum Systems'!AE113*'Cross-Page Data'!$C$12/1000</f>
        <v>19.314368984093928</v>
      </c>
      <c r="AF11" s="37">
        <f>'Petroleum Systems'!AF113*'Cross-Page Data'!$C$12/1000</f>
        <v>19.461882300861511</v>
      </c>
      <c r="AG11" s="37">
        <f>'Petroleum Systems'!AG113*'Cross-Page Data'!$C$12/1000</f>
        <v>19.610522249239036</v>
      </c>
      <c r="AH11" s="37">
        <f>'Petroleum Systems'!AH113*'Cross-Page Data'!$C$12/1000</f>
        <v>19.760297433865155</v>
      </c>
      <c r="AI11" s="37">
        <f>'Petroleum Systems'!AI113*'Cross-Page Data'!$C$12/1000</f>
        <v>19.911216525096343</v>
      </c>
      <c r="AJ11" s="37">
        <f>'Petroleum Systems'!AJ113*'Cross-Page Data'!$C$12/1000</f>
        <v>20.063288259508862</v>
      </c>
      <c r="AK11" s="37">
        <f>'Petroleum Systems'!AK113*'Cross-Page Data'!$C$12/1000</f>
        <v>20.216521440404467</v>
      </c>
    </row>
    <row r="12" spans="1:37">
      <c r="A12" s="300" t="s">
        <v>152</v>
      </c>
      <c r="B12" s="37">
        <f>'Petroleum Systems'!B114</f>
        <v>4.9231504437540057</v>
      </c>
      <c r="C12" s="37">
        <f>'Petroleum Systems'!C114</f>
        <v>5.172407971814013</v>
      </c>
      <c r="D12" s="37">
        <f>'Petroleum Systems'!D114</f>
        <v>5.4141596389444553</v>
      </c>
      <c r="E12" s="37">
        <f>'Petroleum Systems'!E114</f>
        <v>5.56396725359917</v>
      </c>
      <c r="F12" s="37">
        <f>'Petroleum Systems'!F114</f>
        <v>5.6925567281083707</v>
      </c>
      <c r="G12" s="37">
        <f>'Petroleum Systems'!G114</f>
        <v>5.7235956032135809</v>
      </c>
      <c r="H12" s="37">
        <f>'Petroleum Systems'!H114</f>
        <v>5.7287445099216416</v>
      </c>
      <c r="I12" s="37">
        <f>'Petroleum Systems'!I114</f>
        <v>5.7640284447853292</v>
      </c>
      <c r="J12" s="37">
        <f>'Petroleum Systems'!J114</f>
        <v>5.8544735790970801</v>
      </c>
      <c r="K12" s="37">
        <f>'Petroleum Systems'!K114</f>
        <v>5.9272275023712861</v>
      </c>
      <c r="L12" s="37">
        <f>'Petroleum Systems'!L114</f>
        <v>5.9639325221132706</v>
      </c>
      <c r="M12" s="37">
        <f>'Petroleum Systems'!M114</f>
        <v>5.9932626863775758</v>
      </c>
      <c r="N12" s="37">
        <f>'Petroleum Systems'!N114</f>
        <v>6.0408529173224554</v>
      </c>
      <c r="O12" s="37">
        <f>'Petroleum Systems'!O114</f>
        <v>6.0881944137428077</v>
      </c>
      <c r="P12" s="37">
        <f>'Petroleum Systems'!P114</f>
        <v>6.1115533480031639</v>
      </c>
      <c r="Q12" s="37">
        <f>'Petroleum Systems'!Q114</f>
        <v>6.1237809979660076</v>
      </c>
      <c r="R12" s="37">
        <f>'Petroleum Systems'!R114</f>
        <v>6.1564475444808995</v>
      </c>
      <c r="S12" s="37">
        <f>'Petroleum Systems'!S114</f>
        <v>6.1894751343353978</v>
      </c>
      <c r="T12" s="37">
        <f>'Petroleum Systems'!T114</f>
        <v>6.1971826282109994</v>
      </c>
      <c r="U12" s="37">
        <f>'Petroleum Systems'!U114</f>
        <v>6.1959439604829321</v>
      </c>
      <c r="V12" s="37">
        <f>'Petroleum Systems'!V114</f>
        <v>6.2148769101902053</v>
      </c>
      <c r="W12" s="37">
        <f>'Petroleum Systems'!W114</f>
        <v>6.2406847671524446</v>
      </c>
      <c r="X12" s="37">
        <f>'Petroleum Systems'!X114</f>
        <v>6.2438349738117491</v>
      </c>
      <c r="Y12" s="37">
        <f>'Petroleum Systems'!Y114</f>
        <v>6.2394059765514109</v>
      </c>
      <c r="Z12" s="37">
        <f>'Petroleum Systems'!Z114</f>
        <v>6.2326750114470366</v>
      </c>
      <c r="AA12" s="37">
        <f>'Petroleum Systems'!AA114</f>
        <v>6.2237579579375897</v>
      </c>
      <c r="AB12" s="37">
        <f>'Petroleum Systems'!AB114</f>
        <v>6.2318277849842065</v>
      </c>
      <c r="AC12" s="37">
        <f>'Petroleum Systems'!AC114</f>
        <v>6.2400353246338485</v>
      </c>
      <c r="AD12" s="37">
        <f>'Petroleum Systems'!AD114</f>
        <v>6.2876935374515517</v>
      </c>
      <c r="AE12" s="37">
        <f>'Petroleum Systems'!AE114</f>
        <v>6.3357157394345114</v>
      </c>
      <c r="AF12" s="37">
        <f>'Petroleum Systems'!AF114</f>
        <v>6.3841047105466506</v>
      </c>
      <c r="AG12" s="37">
        <f>'Petroleum Systems'!AG114</f>
        <v>6.4328632519838491</v>
      </c>
      <c r="AH12" s="37">
        <f>'Petroleum Systems'!AH114</f>
        <v>6.4819941863360864</v>
      </c>
      <c r="AI12" s="37">
        <f>'Petroleum Systems'!AI114</f>
        <v>6.5315003577508524</v>
      </c>
      <c r="AJ12" s="37">
        <f>'Petroleum Systems'!AJ114</f>
        <v>6.5813846320977873</v>
      </c>
      <c r="AK12" s="37">
        <f>'Petroleum Systems'!AK114</f>
        <v>6.6316498971345812</v>
      </c>
    </row>
    <row r="13" spans="1:37">
      <c r="A13" s="298" t="s">
        <v>151</v>
      </c>
      <c r="B13" s="37">
        <f>'Natural Gas Systems'!B46*CH4_to_CO2e/1000</f>
        <v>14.834664806404792</v>
      </c>
      <c r="C13" s="37">
        <f>'Natural Gas Systems'!C46*CH4_to_CO2e/1000</f>
        <v>14.602194147666085</v>
      </c>
      <c r="D13" s="37">
        <f>'Natural Gas Systems'!D46*CH4_to_CO2e/1000</f>
        <v>14.572349941476658</v>
      </c>
      <c r="E13" s="37">
        <f>'Natural Gas Systems'!E46*CH4_to_CO2e/1000</f>
        <v>14.526274675780698</v>
      </c>
      <c r="F13" s="37">
        <f>'Natural Gas Systems'!F46*CH4_to_CO2e/1000</f>
        <v>14.486482400861458</v>
      </c>
      <c r="G13" s="37">
        <f>'Natural Gas Systems'!G46*CH4_to_CO2e/1000</f>
        <v>14.449308038765857</v>
      </c>
      <c r="H13" s="37">
        <f>'Natural Gas Systems'!H46*CH4_to_CO2e/1000</f>
        <v>14.428364736176784</v>
      </c>
      <c r="I13" s="37">
        <f>'Natural Gas Systems'!I46*CH4_to_CO2e/1000</f>
        <v>14.415275172058616</v>
      </c>
      <c r="J13" s="37">
        <f>'Natural Gas Systems'!J46*CH4_to_CO2e/1000</f>
        <v>14.403232773069897</v>
      </c>
      <c r="K13" s="37">
        <f>'Natural Gas Systems'!K46*CH4_to_CO2e/1000</f>
        <v>14.376530062268831</v>
      </c>
      <c r="L13" s="37">
        <f>'Natural Gas Systems'!L46*CH4_to_CO2e/1000</f>
        <v>14.33359629196123</v>
      </c>
      <c r="M13" s="37">
        <f>'Natural Gas Systems'!M46*CH4_to_CO2e/1000</f>
        <v>14.276002209841282</v>
      </c>
      <c r="N13" s="37">
        <f>'Natural Gas Systems'!N46*CH4_to_CO2e/1000</f>
        <v>14.21369588463879</v>
      </c>
      <c r="O13" s="37">
        <f>'Natural Gas Systems'!O46*CH4_to_CO2e/1000</f>
        <v>14.154007472259934</v>
      </c>
      <c r="P13" s="37">
        <f>'Natural Gas Systems'!P46*CH4_to_CO2e/1000</f>
        <v>14.115785945034878</v>
      </c>
      <c r="Q13" s="37">
        <f>'Natural Gas Systems'!Q46*CH4_to_CO2e/1000</f>
        <v>14.100602050657798</v>
      </c>
      <c r="R13" s="37">
        <f>'Natural Gas Systems'!R46*CH4_to_CO2e/1000</f>
        <v>14.102172798351978</v>
      </c>
      <c r="S13" s="37">
        <f>'Natural Gas Systems'!S46*CH4_to_CO2e/1000</f>
        <v>14.123116100941052</v>
      </c>
      <c r="T13" s="37">
        <f>'Natural Gas Systems'!T46*CH4_to_CO2e/1000</f>
        <v>14.127304761458868</v>
      </c>
      <c r="U13" s="37">
        <f>'Natural Gas Systems'!U46*CH4_to_CO2e/1000</f>
        <v>14.112644449646515</v>
      </c>
      <c r="V13" s="37">
        <f>'Natural Gas Systems'!V46*CH4_to_CO2e/1000</f>
        <v>14.099031302963617</v>
      </c>
      <c r="W13" s="37">
        <f>'Natural Gas Systems'!W46*CH4_to_CO2e/1000</f>
        <v>14.085941738845447</v>
      </c>
      <c r="X13" s="37">
        <f>'Natural Gas Systems'!X46*CH4_to_CO2e/1000</f>
        <v>14.073899339856732</v>
      </c>
      <c r="Y13" s="37">
        <f>'Natural Gas Systems'!Y46*CH4_to_CO2e/1000</f>
        <v>14.06080977573856</v>
      </c>
      <c r="Z13" s="37">
        <f>'Natural Gas Systems'!Z46*CH4_to_CO2e/1000</f>
        <v>14.053479619832386</v>
      </c>
      <c r="AA13" s="37">
        <f>'Natural Gas Systems'!AA46*CH4_to_CO2e/1000</f>
        <v>14.051908872138204</v>
      </c>
      <c r="AB13" s="37">
        <f>'Natural Gas Systems'!AB46*CH4_to_CO2e/1000</f>
        <v>14.046900394928267</v>
      </c>
      <c r="AC13" s="37">
        <f>'Natural Gas Systems'!AC46*CH4_to_CO2e/1000</f>
        <v>14.041893702873939</v>
      </c>
      <c r="AD13" s="37">
        <f>'Natural Gas Systems'!AD46*CH4_to_CO2e/1000</f>
        <v>14.036888795338943</v>
      </c>
      <c r="AE13" s="37">
        <f>'Natural Gas Systems'!AE46*CH4_to_CO2e/1000</f>
        <v>14.031885671687228</v>
      </c>
      <c r="AF13" s="37">
        <f>'Natural Gas Systems'!AF46*CH4_to_CO2e/1000</f>
        <v>14.026884331282975</v>
      </c>
      <c r="AG13" s="37">
        <f>'Natural Gas Systems'!AG46*CH4_to_CO2e/1000</f>
        <v>14.021884773490584</v>
      </c>
      <c r="AH13" s="37">
        <f>'Natural Gas Systems'!AH46*CH4_to_CO2e/1000</f>
        <v>14.01688699767468</v>
      </c>
      <c r="AI13" s="37">
        <f>'Natural Gas Systems'!AI46*CH4_to_CO2e/1000</f>
        <v>14.011891003200128</v>
      </c>
      <c r="AJ13" s="37">
        <f>'Natural Gas Systems'!AJ46*CH4_to_CO2e/1000</f>
        <v>14.006896789432</v>
      </c>
      <c r="AK13" s="37">
        <f>'Natural Gas Systems'!AK46*CH4_to_CO2e/1000</f>
        <v>14.001904355735611</v>
      </c>
    </row>
    <row r="14" spans="1:37">
      <c r="A14" s="299" t="s">
        <v>235</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c r="AG14" s="37">
        <v>0</v>
      </c>
      <c r="AH14" s="37">
        <v>0</v>
      </c>
      <c r="AI14" s="37">
        <v>0</v>
      </c>
      <c r="AJ14" s="37">
        <v>0</v>
      </c>
      <c r="AK14" s="37">
        <v>0</v>
      </c>
    </row>
    <row r="15" spans="1:37">
      <c r="A15" s="299" t="s">
        <v>236</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c r="AG15" s="37">
        <v>0</v>
      </c>
      <c r="AH15" s="37">
        <v>0</v>
      </c>
      <c r="AI15" s="37">
        <v>0</v>
      </c>
      <c r="AJ15" s="37">
        <v>0</v>
      </c>
      <c r="AK15" s="37">
        <v>0</v>
      </c>
    </row>
    <row r="16" spans="1:37">
      <c r="A16" s="299" t="s">
        <v>255</v>
      </c>
      <c r="B16" s="37">
        <f>'Natural Gas Systems'!B47</f>
        <v>3.4599186663828108</v>
      </c>
      <c r="C16" s="37">
        <f>'Natural Gas Systems'!C47</f>
        <v>3.4056990677566867</v>
      </c>
      <c r="D16" s="37">
        <f>'Natural Gas Systems'!D47</f>
        <v>3.3987384436087389</v>
      </c>
      <c r="E16" s="37">
        <f>'Natural Gas Systems'!E47</f>
        <v>3.3879922168540118</v>
      </c>
      <c r="F16" s="37">
        <f>'Natural Gas Systems'!F47</f>
        <v>3.3787113846567469</v>
      </c>
      <c r="G16" s="37">
        <f>'Natural Gas Systems'!G47</f>
        <v>3.3700411335250924</v>
      </c>
      <c r="H16" s="37">
        <f>'Natural Gas Systems'!H47</f>
        <v>3.3651564850002162</v>
      </c>
      <c r="I16" s="37">
        <f>'Natural Gas Systems'!I47</f>
        <v>3.3621035796721688</v>
      </c>
      <c r="J16" s="37">
        <f>'Natural Gas Systems'!J47</f>
        <v>3.3592949067703644</v>
      </c>
      <c r="K16" s="37">
        <f>'Natural Gas Systems'!K47</f>
        <v>3.3530669799011479</v>
      </c>
      <c r="L16" s="37">
        <f>'Natural Gas Systems'!L47</f>
        <v>3.3430534504251517</v>
      </c>
      <c r="M16" s="37">
        <f>'Natural Gas Systems'!M47</f>
        <v>3.3296206669817434</v>
      </c>
      <c r="N16" s="37">
        <f>'Natural Gas Systems'!N47</f>
        <v>3.315088837620237</v>
      </c>
      <c r="O16" s="37">
        <f>'Natural Gas Systems'!O47</f>
        <v>3.30116758932434</v>
      </c>
      <c r="P16" s="37">
        <f>'Natural Gas Systems'!P47</f>
        <v>3.2922531057664419</v>
      </c>
      <c r="Q16" s="37">
        <f>'Natural Gas Systems'!Q47</f>
        <v>3.2887117355859061</v>
      </c>
      <c r="R16" s="37">
        <f>'Natural Gas Systems'!R47</f>
        <v>3.2890780842252716</v>
      </c>
      <c r="S16" s="37">
        <f>'Natural Gas Systems'!S47</f>
        <v>3.2939627327501482</v>
      </c>
      <c r="T16" s="37">
        <f>'Natural Gas Systems'!T47</f>
        <v>3.2949396624551235</v>
      </c>
      <c r="U16" s="37">
        <f>'Natural Gas Systems'!U47</f>
        <v>3.2915204084877101</v>
      </c>
      <c r="V16" s="37">
        <f>'Natural Gas Systems'!V47</f>
        <v>3.2883453869465407</v>
      </c>
      <c r="W16" s="37">
        <f>'Natural Gas Systems'!W47</f>
        <v>3.2852924816184927</v>
      </c>
      <c r="X16" s="37">
        <f>'Natural Gas Systems'!X47</f>
        <v>3.2824838087166892</v>
      </c>
      <c r="Y16" s="37">
        <f>'Natural Gas Systems'!Y47</f>
        <v>3.2794309033886417</v>
      </c>
      <c r="Z16" s="37">
        <f>'Natural Gas Systems'!Z47</f>
        <v>3.2777212764049355</v>
      </c>
      <c r="AA16" s="37">
        <f>'Natural Gas Systems'!AA47</f>
        <v>3.2773549277655696</v>
      </c>
      <c r="AB16" s="37">
        <f>'Natural Gas Systems'!AB47</f>
        <v>3.2761867905669897</v>
      </c>
      <c r="AC16" s="37">
        <f>'Natural Gas Systems'!AC47</f>
        <v>3.2750190697238382</v>
      </c>
      <c r="AD16" s="37">
        <f>'Natural Gas Systems'!AD47</f>
        <v>3.273851765087715</v>
      </c>
      <c r="AE16" s="37">
        <f>'Natural Gas Systems'!AE47</f>
        <v>3.2726848765102727</v>
      </c>
      <c r="AF16" s="37">
        <f>'Natural Gas Systems'!AF47</f>
        <v>3.2715184038432166</v>
      </c>
      <c r="AG16" s="37">
        <f>'Natural Gas Systems'!AG47</f>
        <v>3.2703523469383051</v>
      </c>
      <c r="AH16" s="37">
        <f>'Natural Gas Systems'!AH47</f>
        <v>3.2691867056473489</v>
      </c>
      <c r="AI16" s="37">
        <f>'Natural Gas Systems'!AI47</f>
        <v>3.2680214798222131</v>
      </c>
      <c r="AJ16" s="37">
        <f>'Natural Gas Systems'!AJ47</f>
        <v>3.2668566693148136</v>
      </c>
      <c r="AK16" s="37">
        <f>'Natural Gas Systems'!AK47</f>
        <v>3.2656922739771206</v>
      </c>
    </row>
    <row r="17" spans="1:37">
      <c r="A17" s="39"/>
      <c r="B17" s="36"/>
      <c r="C17" s="36"/>
      <c r="D17" s="36"/>
      <c r="E17" s="36"/>
      <c r="F17" s="36"/>
      <c r="G17" s="36"/>
      <c r="H17" s="36"/>
      <c r="I17" s="36"/>
      <c r="J17" s="36"/>
    </row>
    <row r="18" spans="1:37">
      <c r="A18" s="30" t="s">
        <v>118</v>
      </c>
      <c r="B18" s="36"/>
      <c r="C18" s="52"/>
      <c r="D18" s="33"/>
      <c r="E18" s="33"/>
      <c r="F18" s="33"/>
      <c r="G18" s="33"/>
      <c r="H18" s="33"/>
      <c r="I18" s="33"/>
      <c r="J18" s="33"/>
    </row>
    <row r="19" spans="1:37">
      <c r="A19" s="296" t="s">
        <v>119</v>
      </c>
      <c r="B19" s="34">
        <f>SUM(B21:B22)</f>
        <v>2.1822677173745811E-3</v>
      </c>
      <c r="C19" s="34">
        <f t="shared" ref="C19:AK19" si="3">SUM(C21:C22)</f>
        <v>7.0184074938108151E-4</v>
      </c>
      <c r="D19" s="34">
        <f t="shared" si="3"/>
        <v>7.0624523277673678E-4</v>
      </c>
      <c r="E19" s="34">
        <f t="shared" si="3"/>
        <v>7.0706794249237313E-4</v>
      </c>
      <c r="F19" s="34">
        <f t="shared" si="3"/>
        <v>7.0624715949738233E-4</v>
      </c>
      <c r="G19" s="34">
        <f t="shared" si="3"/>
        <v>7.1154371455191268E-4</v>
      </c>
      <c r="H19" s="34">
        <f t="shared" si="3"/>
        <v>7.1186547689971417E-4</v>
      </c>
      <c r="I19" s="34">
        <f t="shared" si="3"/>
        <v>7.1297526799153285E-4</v>
      </c>
      <c r="J19" s="34">
        <f t="shared" si="3"/>
        <v>7.1492318256415196E-4</v>
      </c>
      <c r="K19" s="34">
        <f t="shared" si="3"/>
        <v>7.2168982547121294E-4</v>
      </c>
      <c r="L19" s="34">
        <f t="shared" si="3"/>
        <v>7.2747769429035039E-4</v>
      </c>
      <c r="M19" s="34">
        <f t="shared" si="3"/>
        <v>7.3456031938327632E-4</v>
      </c>
      <c r="N19" s="34">
        <f t="shared" si="3"/>
        <v>7.4081830803992036E-4</v>
      </c>
      <c r="O19" s="34">
        <f t="shared" si="3"/>
        <v>7.4685665054297534E-4</v>
      </c>
      <c r="P19" s="34">
        <f t="shared" si="3"/>
        <v>7.5315510033317518E-4</v>
      </c>
      <c r="Q19" s="34">
        <f t="shared" si="3"/>
        <v>7.6029745376611231E-4</v>
      </c>
      <c r="R19" s="34">
        <f t="shared" si="3"/>
        <v>7.6720474728029597E-4</v>
      </c>
      <c r="S19" s="34">
        <f t="shared" si="3"/>
        <v>7.7311014605881026E-4</v>
      </c>
      <c r="T19" s="34">
        <f t="shared" si="3"/>
        <v>7.7881516589019045E-4</v>
      </c>
      <c r="U19" s="34">
        <f t="shared" si="3"/>
        <v>7.8361077357688594E-4</v>
      </c>
      <c r="V19" s="34">
        <f t="shared" si="3"/>
        <v>7.8791314077832878E-4</v>
      </c>
      <c r="W19" s="34">
        <f t="shared" si="3"/>
        <v>7.9215192619846932E-4</v>
      </c>
      <c r="X19" s="34">
        <f t="shared" si="3"/>
        <v>7.9639263833925541E-4</v>
      </c>
      <c r="Y19" s="34">
        <f t="shared" si="3"/>
        <v>8.0112466424464904E-4</v>
      </c>
      <c r="Z19" s="34">
        <f t="shared" si="3"/>
        <v>8.0634993063529511E-4</v>
      </c>
      <c r="AA19" s="34">
        <f t="shared" si="3"/>
        <v>8.1213779945443266E-4</v>
      </c>
      <c r="AB19" s="34">
        <f t="shared" si="3"/>
        <v>8.1689426508434919E-4</v>
      </c>
      <c r="AC19" s="34">
        <f t="shared" si="3"/>
        <v>8.216785880129948E-4</v>
      </c>
      <c r="AD19" s="34">
        <f t="shared" si="3"/>
        <v>8.2649093139283453E-4</v>
      </c>
      <c r="AE19" s="34">
        <f t="shared" si="3"/>
        <v>8.3133145933187217E-4</v>
      </c>
      <c r="AF19" s="34">
        <f t="shared" si="3"/>
        <v>8.362003368992464E-4</v>
      </c>
      <c r="AG19" s="34">
        <f t="shared" si="3"/>
        <v>8.4109773013086014E-4</v>
      </c>
      <c r="AH19" s="34">
        <f t="shared" si="3"/>
        <v>8.4602380603504253E-4</v>
      </c>
      <c r="AI19" s="34">
        <f t="shared" si="3"/>
        <v>8.5097873259824407E-4</v>
      </c>
      <c r="AJ19" s="34">
        <f t="shared" si="3"/>
        <v>8.5596267879076528E-4</v>
      </c>
      <c r="AK19" s="34">
        <f t="shared" si="3"/>
        <v>8.6097581457251875E-4</v>
      </c>
    </row>
    <row r="20" spans="1:37">
      <c r="A20" s="296" t="s">
        <v>166</v>
      </c>
      <c r="B20" s="49">
        <f>B23</f>
        <v>1.6800000000000002E-7</v>
      </c>
      <c r="C20" s="49">
        <f t="shared" ref="C20:AK20" si="4">C23</f>
        <v>1.7156874596988983E-7</v>
      </c>
      <c r="D20" s="49">
        <f t="shared" si="4"/>
        <v>1.7264544562505255E-7</v>
      </c>
      <c r="E20" s="49">
        <f t="shared" si="4"/>
        <v>1.7284656143990583E-7</v>
      </c>
      <c r="F20" s="49">
        <f t="shared" si="4"/>
        <v>1.7264591662227705E-7</v>
      </c>
      <c r="G20" s="49">
        <f t="shared" si="4"/>
        <v>1.7394068799237434E-7</v>
      </c>
      <c r="H20" s="49">
        <f t="shared" si="4"/>
        <v>1.7401934452886259E-7</v>
      </c>
      <c r="I20" s="49">
        <f t="shared" si="4"/>
        <v>1.7429063893016345E-7</v>
      </c>
      <c r="J20" s="49">
        <f t="shared" si="4"/>
        <v>1.747668171241134E-7</v>
      </c>
      <c r="K20" s="49">
        <f t="shared" si="4"/>
        <v>1.7642095937648939E-7</v>
      </c>
      <c r="L20" s="49">
        <f t="shared" si="4"/>
        <v>1.7783583503882925E-7</v>
      </c>
      <c r="M20" s="49">
        <f t="shared" si="4"/>
        <v>1.7956722083602008E-7</v>
      </c>
      <c r="N20" s="49">
        <f t="shared" si="4"/>
        <v>1.8109701982113321E-7</v>
      </c>
      <c r="O20" s="49">
        <f t="shared" si="4"/>
        <v>1.8257312512265554E-7</v>
      </c>
      <c r="P20" s="49">
        <f t="shared" si="4"/>
        <v>1.8411281504948273E-7</v>
      </c>
      <c r="Q20" s="49">
        <f t="shared" si="4"/>
        <v>1.8585880176063248E-7</v>
      </c>
      <c r="R20" s="49">
        <f t="shared" si="4"/>
        <v>1.8754732681039557E-7</v>
      </c>
      <c r="S20" s="49">
        <f t="shared" si="4"/>
        <v>1.8899093330342874E-7</v>
      </c>
      <c r="T20" s="49">
        <f t="shared" si="4"/>
        <v>1.903855560851159E-7</v>
      </c>
      <c r="U20" s="49">
        <f t="shared" si="4"/>
        <v>1.9155786817684825E-7</v>
      </c>
      <c r="V20" s="49">
        <f t="shared" si="4"/>
        <v>1.9260960497911352E-7</v>
      </c>
      <c r="W20" s="49">
        <f t="shared" si="4"/>
        <v>1.9364579887297094E-7</v>
      </c>
      <c r="X20" s="49">
        <f t="shared" si="4"/>
        <v>1.9468246376405279E-7</v>
      </c>
      <c r="Y20" s="49">
        <f t="shared" si="4"/>
        <v>1.9583923294737729E-7</v>
      </c>
      <c r="Z20" s="49">
        <f t="shared" si="4"/>
        <v>1.9711657742016877E-7</v>
      </c>
      <c r="AA20" s="49">
        <f t="shared" si="4"/>
        <v>1.9853145308250863E-7</v>
      </c>
      <c r="AB20" s="49">
        <f t="shared" si="4"/>
        <v>1.996941966879395E-7</v>
      </c>
      <c r="AC20" s="49">
        <f t="shared" si="4"/>
        <v>2.008637501598725E-7</v>
      </c>
      <c r="AD20" s="49">
        <f t="shared" si="4"/>
        <v>2.0204015338180526E-7</v>
      </c>
      <c r="AE20" s="49">
        <f t="shared" si="4"/>
        <v>2.0322344647082188E-7</v>
      </c>
      <c r="AF20" s="49">
        <f t="shared" si="4"/>
        <v>2.0441366977896121E-7</v>
      </c>
      <c r="AG20" s="49">
        <f t="shared" si="4"/>
        <v>2.0561086389459269E-7</v>
      </c>
      <c r="AH20" s="49">
        <f t="shared" si="4"/>
        <v>2.0681506964380058E-7</v>
      </c>
      <c r="AI20" s="49">
        <f t="shared" si="4"/>
        <v>2.0802632809177622E-7</v>
      </c>
      <c r="AJ20" s="49">
        <f t="shared" si="4"/>
        <v>2.0924468054421835E-7</v>
      </c>
      <c r="AK20" s="49">
        <f t="shared" si="4"/>
        <v>2.1047016854874172E-7</v>
      </c>
    </row>
    <row r="21" spans="1:37">
      <c r="A21" s="297" t="s">
        <v>176</v>
      </c>
      <c r="B21" s="50">
        <f>'Other Industrial Processes'!C131/10^3</f>
        <v>1.495025730324593E-3</v>
      </c>
      <c r="C21" s="50">
        <f>'Other Industrial Processes'!D131/10^3</f>
        <v>0</v>
      </c>
      <c r="D21" s="50">
        <f>'Other Industrial Processes'!E131/10^3</f>
        <v>0</v>
      </c>
      <c r="E21" s="50">
        <f>'Other Industrial Processes'!F131/10^3</f>
        <v>0</v>
      </c>
      <c r="F21" s="50">
        <f>'Other Industrial Processes'!G131/10^3</f>
        <v>0</v>
      </c>
      <c r="G21" s="50">
        <f>'Other Industrial Processes'!H131/10^3</f>
        <v>0</v>
      </c>
      <c r="H21" s="50">
        <f>'Other Industrial Processes'!I131/10^3</f>
        <v>0</v>
      </c>
      <c r="I21" s="50">
        <f>'Other Industrial Processes'!J131/10^3</f>
        <v>0</v>
      </c>
      <c r="J21" s="50">
        <f>'Other Industrial Processes'!K131/10^3</f>
        <v>0</v>
      </c>
      <c r="K21" s="50">
        <f>'Other Industrial Processes'!L131/10^3</f>
        <v>0</v>
      </c>
      <c r="L21" s="50">
        <f>'Other Industrial Processes'!M131/10^3</f>
        <v>0</v>
      </c>
      <c r="M21" s="50">
        <f>'Other Industrial Processes'!N131/10^3</f>
        <v>0</v>
      </c>
      <c r="N21" s="50">
        <f>'Other Industrial Processes'!O131/10^3</f>
        <v>0</v>
      </c>
      <c r="O21" s="50">
        <f>'Other Industrial Processes'!P131/10^3</f>
        <v>0</v>
      </c>
      <c r="P21" s="50">
        <f>'Other Industrial Processes'!Q131/10^3</f>
        <v>0</v>
      </c>
      <c r="Q21" s="50">
        <f>'Other Industrial Processes'!R131/10^3</f>
        <v>0</v>
      </c>
      <c r="R21" s="50">
        <f>'Other Industrial Processes'!S131/10^3</f>
        <v>0</v>
      </c>
      <c r="S21" s="50">
        <f>'Other Industrial Processes'!T131/10^3</f>
        <v>0</v>
      </c>
      <c r="T21" s="50">
        <f>'Other Industrial Processes'!U131/10^3</f>
        <v>0</v>
      </c>
      <c r="U21" s="50">
        <f>'Other Industrial Processes'!V131/10^3</f>
        <v>0</v>
      </c>
      <c r="V21" s="50">
        <f>'Other Industrial Processes'!W131/10^3</f>
        <v>0</v>
      </c>
      <c r="W21" s="50">
        <f>'Other Industrial Processes'!X131/10^3</f>
        <v>0</v>
      </c>
      <c r="X21" s="50">
        <f>'Other Industrial Processes'!Y131/10^3</f>
        <v>0</v>
      </c>
      <c r="Y21" s="50">
        <f>'Other Industrial Processes'!Z131/10^3</f>
        <v>0</v>
      </c>
      <c r="Z21" s="50">
        <f>'Other Industrial Processes'!AA131/10^3</f>
        <v>0</v>
      </c>
      <c r="AA21" s="50">
        <f>'Other Industrial Processes'!AB131/10^3</f>
        <v>0</v>
      </c>
      <c r="AB21" s="50">
        <f>'Other Industrial Processes'!AC131/10^3</f>
        <v>0</v>
      </c>
      <c r="AC21" s="50">
        <f>'Other Industrial Processes'!AD131/10^3</f>
        <v>0</v>
      </c>
      <c r="AD21" s="50">
        <f>'Other Industrial Processes'!AE131/10^3</f>
        <v>0</v>
      </c>
      <c r="AE21" s="50">
        <f>'Other Industrial Processes'!AF131/10^3</f>
        <v>0</v>
      </c>
      <c r="AF21" s="50">
        <f>'Other Industrial Processes'!AG131/10^3</f>
        <v>0</v>
      </c>
      <c r="AG21" s="50">
        <f>'Other Industrial Processes'!AH131/10^3</f>
        <v>0</v>
      </c>
      <c r="AH21" s="50">
        <f>'Other Industrial Processes'!AI131/10^3</f>
        <v>0</v>
      </c>
      <c r="AI21" s="50">
        <f>'Other Industrial Processes'!AJ131/10^3</f>
        <v>0</v>
      </c>
      <c r="AJ21" s="50">
        <f>'Other Industrial Processes'!AK131/10^3</f>
        <v>0</v>
      </c>
      <c r="AK21" s="50">
        <f>'Other Industrial Processes'!AL131/10^3</f>
        <v>0</v>
      </c>
    </row>
    <row r="22" spans="1:37">
      <c r="A22" s="300" t="s">
        <v>179</v>
      </c>
      <c r="B22" s="50">
        <f>'Iron and Steel'!B7</f>
        <v>6.8724198704998797E-4</v>
      </c>
      <c r="C22" s="50">
        <f>'Iron and Steel'!C7</f>
        <v>7.0184074938108151E-4</v>
      </c>
      <c r="D22" s="50">
        <f>'Iron and Steel'!D7</f>
        <v>7.0624523277673678E-4</v>
      </c>
      <c r="E22" s="50">
        <f>'Iron and Steel'!E7</f>
        <v>7.0706794249237313E-4</v>
      </c>
      <c r="F22" s="50">
        <f>'Iron and Steel'!F7</f>
        <v>7.0624715949738233E-4</v>
      </c>
      <c r="G22" s="50">
        <f>'Iron and Steel'!G7</f>
        <v>7.1154371455191268E-4</v>
      </c>
      <c r="H22" s="50">
        <f>'Iron and Steel'!H7</f>
        <v>7.1186547689971417E-4</v>
      </c>
      <c r="I22" s="50">
        <f>'Iron and Steel'!I7</f>
        <v>7.1297526799153285E-4</v>
      </c>
      <c r="J22" s="50">
        <f>'Iron and Steel'!J7</f>
        <v>7.1492318256415196E-4</v>
      </c>
      <c r="K22" s="50">
        <f>'Iron and Steel'!K7</f>
        <v>7.2168982547121294E-4</v>
      </c>
      <c r="L22" s="50">
        <f>'Iron and Steel'!L7</f>
        <v>7.2747769429035039E-4</v>
      </c>
      <c r="M22" s="50">
        <f>'Iron and Steel'!M7</f>
        <v>7.3456031938327632E-4</v>
      </c>
      <c r="N22" s="50">
        <f>'Iron and Steel'!N7</f>
        <v>7.4081830803992036E-4</v>
      </c>
      <c r="O22" s="50">
        <f>'Iron and Steel'!O7</f>
        <v>7.4685665054297534E-4</v>
      </c>
      <c r="P22" s="50">
        <f>'Iron and Steel'!P7</f>
        <v>7.5315510033317518E-4</v>
      </c>
      <c r="Q22" s="50">
        <f>'Iron and Steel'!Q7</f>
        <v>7.6029745376611231E-4</v>
      </c>
      <c r="R22" s="50">
        <f>'Iron and Steel'!R7</f>
        <v>7.6720474728029597E-4</v>
      </c>
      <c r="S22" s="50">
        <f>'Iron and Steel'!S7</f>
        <v>7.7311014605881026E-4</v>
      </c>
      <c r="T22" s="50">
        <f>'Iron and Steel'!T7</f>
        <v>7.7881516589019045E-4</v>
      </c>
      <c r="U22" s="50">
        <f>'Iron and Steel'!U7</f>
        <v>7.8361077357688594E-4</v>
      </c>
      <c r="V22" s="50">
        <f>'Iron and Steel'!V7</f>
        <v>7.8791314077832878E-4</v>
      </c>
      <c r="W22" s="50">
        <f>'Iron and Steel'!W7</f>
        <v>7.9215192619846932E-4</v>
      </c>
      <c r="X22" s="50">
        <f>'Iron and Steel'!X7</f>
        <v>7.9639263833925541E-4</v>
      </c>
      <c r="Y22" s="50">
        <f>'Iron and Steel'!Y7</f>
        <v>8.0112466424464904E-4</v>
      </c>
      <c r="Z22" s="50">
        <f>'Iron and Steel'!Z7</f>
        <v>8.0634993063529511E-4</v>
      </c>
      <c r="AA22" s="50">
        <f>'Iron and Steel'!AA7</f>
        <v>8.1213779945443266E-4</v>
      </c>
      <c r="AB22" s="50">
        <f>'Iron and Steel'!AB7</f>
        <v>8.1689426508434919E-4</v>
      </c>
      <c r="AC22" s="50">
        <f>'Iron and Steel'!AC7</f>
        <v>8.216785880129948E-4</v>
      </c>
      <c r="AD22" s="50">
        <f>'Iron and Steel'!AD7</f>
        <v>8.2649093139283453E-4</v>
      </c>
      <c r="AE22" s="50">
        <f>'Iron and Steel'!AE7</f>
        <v>8.3133145933187217E-4</v>
      </c>
      <c r="AF22" s="50">
        <f>'Iron and Steel'!AF7</f>
        <v>8.362003368992464E-4</v>
      </c>
      <c r="AG22" s="50">
        <f>'Iron and Steel'!AG7</f>
        <v>8.4109773013086014E-4</v>
      </c>
      <c r="AH22" s="50">
        <f>'Iron and Steel'!AH7</f>
        <v>8.4602380603504253E-4</v>
      </c>
      <c r="AI22" s="50">
        <f>'Iron and Steel'!AI7</f>
        <v>8.5097873259824407E-4</v>
      </c>
      <c r="AJ22" s="50">
        <f>'Iron and Steel'!AJ7</f>
        <v>8.5596267879076528E-4</v>
      </c>
      <c r="AK22" s="50">
        <f>'Iron and Steel'!AK7</f>
        <v>8.6097581457251875E-4</v>
      </c>
    </row>
    <row r="23" spans="1:37">
      <c r="A23" s="300" t="s">
        <v>260</v>
      </c>
      <c r="B23" s="50">
        <f>'Iron and Steel'!B8*CH4_to_CO2e/1000</f>
        <v>1.6800000000000002E-7</v>
      </c>
      <c r="C23" s="50">
        <f>'Iron and Steel'!C8*CH4_to_CO2e/1000</f>
        <v>1.7156874596988983E-7</v>
      </c>
      <c r="D23" s="50">
        <f>'Iron and Steel'!D8*CH4_to_CO2e/1000</f>
        <v>1.7264544562505255E-7</v>
      </c>
      <c r="E23" s="50">
        <f>'Iron and Steel'!E8*CH4_to_CO2e/1000</f>
        <v>1.7284656143990583E-7</v>
      </c>
      <c r="F23" s="50">
        <f>'Iron and Steel'!F8*CH4_to_CO2e/1000</f>
        <v>1.7264591662227705E-7</v>
      </c>
      <c r="G23" s="50">
        <f>'Iron and Steel'!G8*CH4_to_CO2e/1000</f>
        <v>1.7394068799237434E-7</v>
      </c>
      <c r="H23" s="50">
        <f>'Iron and Steel'!H8*CH4_to_CO2e/1000</f>
        <v>1.7401934452886259E-7</v>
      </c>
      <c r="I23" s="50">
        <f>'Iron and Steel'!I8*CH4_to_CO2e/1000</f>
        <v>1.7429063893016345E-7</v>
      </c>
      <c r="J23" s="50">
        <f>'Iron and Steel'!J8*CH4_to_CO2e/1000</f>
        <v>1.747668171241134E-7</v>
      </c>
      <c r="K23" s="50">
        <f>'Iron and Steel'!K8*CH4_to_CO2e/1000</f>
        <v>1.7642095937648939E-7</v>
      </c>
      <c r="L23" s="50">
        <f>'Iron and Steel'!L8*CH4_to_CO2e/1000</f>
        <v>1.7783583503882925E-7</v>
      </c>
      <c r="M23" s="50">
        <f>'Iron and Steel'!M8*CH4_to_CO2e/1000</f>
        <v>1.7956722083602008E-7</v>
      </c>
      <c r="N23" s="50">
        <f>'Iron and Steel'!N8*CH4_to_CO2e/1000</f>
        <v>1.8109701982113321E-7</v>
      </c>
      <c r="O23" s="50">
        <f>'Iron and Steel'!O8*CH4_to_CO2e/1000</f>
        <v>1.8257312512265554E-7</v>
      </c>
      <c r="P23" s="50">
        <f>'Iron and Steel'!P8*CH4_to_CO2e/1000</f>
        <v>1.8411281504948273E-7</v>
      </c>
      <c r="Q23" s="50">
        <f>'Iron and Steel'!Q8*CH4_to_CO2e/1000</f>
        <v>1.8585880176063248E-7</v>
      </c>
      <c r="R23" s="50">
        <f>'Iron and Steel'!R8*CH4_to_CO2e/1000</f>
        <v>1.8754732681039557E-7</v>
      </c>
      <c r="S23" s="50">
        <f>'Iron and Steel'!S8*CH4_to_CO2e/1000</f>
        <v>1.8899093330342874E-7</v>
      </c>
      <c r="T23" s="50">
        <f>'Iron and Steel'!T8*CH4_to_CO2e/1000</f>
        <v>1.903855560851159E-7</v>
      </c>
      <c r="U23" s="50">
        <f>'Iron and Steel'!U8*CH4_to_CO2e/1000</f>
        <v>1.9155786817684825E-7</v>
      </c>
      <c r="V23" s="50">
        <f>'Iron and Steel'!V8*CH4_to_CO2e/1000</f>
        <v>1.9260960497911352E-7</v>
      </c>
      <c r="W23" s="50">
        <f>'Iron and Steel'!W8*CH4_to_CO2e/1000</f>
        <v>1.9364579887297094E-7</v>
      </c>
      <c r="X23" s="50">
        <f>'Iron and Steel'!X8*CH4_to_CO2e/1000</f>
        <v>1.9468246376405279E-7</v>
      </c>
      <c r="Y23" s="50">
        <f>'Iron and Steel'!Y8*CH4_to_CO2e/1000</f>
        <v>1.9583923294737729E-7</v>
      </c>
      <c r="Z23" s="50">
        <f>'Iron and Steel'!Z8*CH4_to_CO2e/1000</f>
        <v>1.9711657742016877E-7</v>
      </c>
      <c r="AA23" s="50">
        <f>'Iron and Steel'!AA8*CH4_to_CO2e/1000</f>
        <v>1.9853145308250863E-7</v>
      </c>
      <c r="AB23" s="50">
        <f>'Iron and Steel'!AB8*CH4_to_CO2e/1000</f>
        <v>1.996941966879395E-7</v>
      </c>
      <c r="AC23" s="50">
        <f>'Iron and Steel'!AC8*CH4_to_CO2e/1000</f>
        <v>2.008637501598725E-7</v>
      </c>
      <c r="AD23" s="50">
        <f>'Iron and Steel'!AD8*CH4_to_CO2e/1000</f>
        <v>2.0204015338180526E-7</v>
      </c>
      <c r="AE23" s="50">
        <f>'Iron and Steel'!AE8*CH4_to_CO2e/1000</f>
        <v>2.0322344647082188E-7</v>
      </c>
      <c r="AF23" s="50">
        <f>'Iron and Steel'!AF8*CH4_to_CO2e/1000</f>
        <v>2.0441366977896121E-7</v>
      </c>
      <c r="AG23" s="50">
        <f>'Iron and Steel'!AG8*CH4_to_CO2e/1000</f>
        <v>2.0561086389459269E-7</v>
      </c>
      <c r="AH23" s="50">
        <f>'Iron and Steel'!AH8*CH4_to_CO2e/1000</f>
        <v>2.0681506964380058E-7</v>
      </c>
      <c r="AI23" s="50">
        <f>'Iron and Steel'!AI8*CH4_to_CO2e/1000</f>
        <v>2.0802632809177622E-7</v>
      </c>
      <c r="AJ23" s="50">
        <f>'Iron and Steel'!AJ8*CH4_to_CO2e/1000</f>
        <v>2.0924468054421835E-7</v>
      </c>
      <c r="AK23" s="50">
        <f>'Iron and Steel'!AK8*CH4_to_CO2e/1000</f>
        <v>2.1047016854874172E-7</v>
      </c>
    </row>
    <row r="24" spans="1:37">
      <c r="B24" s="49"/>
      <c r="C24" s="27"/>
      <c r="D24" s="27"/>
      <c r="E24" s="27"/>
      <c r="F24" s="27"/>
      <c r="G24" s="27"/>
      <c r="H24" s="27"/>
      <c r="I24" s="27"/>
      <c r="J24" s="27"/>
    </row>
    <row r="25" spans="1:37">
      <c r="A25" s="30" t="s">
        <v>4</v>
      </c>
      <c r="B25" s="36"/>
      <c r="C25" s="35"/>
      <c r="D25" s="35"/>
      <c r="E25" s="35"/>
      <c r="F25" s="35"/>
      <c r="G25" s="35"/>
      <c r="H25" s="35"/>
      <c r="I25" s="35"/>
      <c r="J25" s="35"/>
    </row>
    <row r="26" spans="1:37">
      <c r="A26" s="296" t="s">
        <v>120</v>
      </c>
      <c r="B26" s="36">
        <f>B32</f>
        <v>0</v>
      </c>
      <c r="C26" s="36">
        <f t="shared" ref="C26:AK26" si="5">C32</f>
        <v>0.829744607992705</v>
      </c>
      <c r="D26" s="36">
        <f t="shared" si="5"/>
        <v>0.82061523095433786</v>
      </c>
      <c r="E26" s="36">
        <f t="shared" si="5"/>
        <v>0.8115863011190082</v>
      </c>
      <c r="F26" s="36">
        <f t="shared" si="5"/>
        <v>0.80265671330280852</v>
      </c>
      <c r="G26" s="36">
        <f t="shared" si="5"/>
        <v>0.79382537448176449</v>
      </c>
      <c r="H26" s="36">
        <f t="shared" si="5"/>
        <v>0.78509120365804663</v>
      </c>
      <c r="I26" s="36">
        <f t="shared" si="5"/>
        <v>0.77645313172764996</v>
      </c>
      <c r="J26" s="36">
        <f t="shared" si="5"/>
        <v>0.76791010134953019</v>
      </c>
      <c r="K26" s="36">
        <f t="shared" si="5"/>
        <v>0.75946106681618075</v>
      </c>
      <c r="L26" s="36">
        <f t="shared" si="5"/>
        <v>0.75110499392563335</v>
      </c>
      <c r="M26" s="36">
        <f t="shared" si="5"/>
        <v>0.7428408598548667</v>
      </c>
      <c r="N26" s="36">
        <f t="shared" si="5"/>
        <v>0.73466765303460668</v>
      </c>
      <c r="O26" s="36">
        <f t="shared" si="5"/>
        <v>0.72658437302550738</v>
      </c>
      <c r="P26" s="36">
        <f t="shared" si="5"/>
        <v>0.71859003039569214</v>
      </c>
      <c r="Q26" s="36">
        <f t="shared" si="5"/>
        <v>0.71068364659964134</v>
      </c>
      <c r="R26" s="36">
        <f t="shared" si="5"/>
        <v>0.70286425385841467</v>
      </c>
      <c r="S26" s="36">
        <f t="shared" si="5"/>
        <v>0.69513089504119119</v>
      </c>
      <c r="T26" s="36">
        <f t="shared" si="5"/>
        <v>0.68748262354810952</v>
      </c>
      <c r="U26" s="36">
        <f t="shared" si="5"/>
        <v>0.67991850319440217</v>
      </c>
      <c r="V26" s="36">
        <f t="shared" si="5"/>
        <v>0.67243760809580044</v>
      </c>
      <c r="W26" s="36">
        <f t="shared" si="5"/>
        <v>0.66503902255520175</v>
      </c>
      <c r="X26" s="36">
        <f t="shared" si="5"/>
        <v>0.65772184095058561</v>
      </c>
      <c r="Y26" s="36">
        <f t="shared" si="5"/>
        <v>0.65048516762415909</v>
      </c>
      <c r="Z26" s="36">
        <f t="shared" si="5"/>
        <v>0.64332811677272572</v>
      </c>
      <c r="AA26" s="36">
        <f t="shared" si="5"/>
        <v>0.63624981233925759</v>
      </c>
      <c r="AB26" s="36">
        <f t="shared" si="5"/>
        <v>0.62924938790566309</v>
      </c>
      <c r="AC26" s="36">
        <f t="shared" si="5"/>
        <v>0.62232598658673199</v>
      </c>
      <c r="AD26" s="36">
        <f t="shared" si="5"/>
        <v>0.61547876092524989</v>
      </c>
      <c r="AE26" s="36">
        <f t="shared" si="5"/>
        <v>0.60870687278826419</v>
      </c>
      <c r="AF26" s="36">
        <f t="shared" si="5"/>
        <v>0.60200949326449327</v>
      </c>
      <c r="AG26" s="36">
        <f t="shared" si="5"/>
        <v>0.59538580256286444</v>
      </c>
      <c r="AH26" s="36">
        <f t="shared" si="5"/>
        <v>0.58883498991216621</v>
      </c>
      <c r="AI26" s="36">
        <f t="shared" si="5"/>
        <v>0.58235625346180686</v>
      </c>
      <c r="AJ26" s="36">
        <f t="shared" si="5"/>
        <v>0.57594880018366457</v>
      </c>
      <c r="AK26" s="36">
        <f t="shared" si="5"/>
        <v>0.56961184577501578</v>
      </c>
    </row>
    <row r="27" spans="1:37">
      <c r="A27" s="296" t="s">
        <v>121</v>
      </c>
      <c r="B27" s="36">
        <f>SUM(B29:B30)</f>
        <v>1.66232174730305</v>
      </c>
      <c r="C27" s="36">
        <f t="shared" ref="C27:AK27" si="6">SUM(C29:C30)</f>
        <v>1.863061817561005</v>
      </c>
      <c r="D27" s="36">
        <f t="shared" si="6"/>
        <v>2.0638018878189599</v>
      </c>
      <c r="E27" s="36">
        <f t="shared" si="6"/>
        <v>2.2645419580769146</v>
      </c>
      <c r="F27" s="36">
        <f t="shared" si="6"/>
        <v>2.234348065302556</v>
      </c>
      <c r="G27" s="36">
        <f t="shared" si="6"/>
        <v>2.2796389044640946</v>
      </c>
      <c r="H27" s="36">
        <f t="shared" si="6"/>
        <v>2.2796389044640946</v>
      </c>
      <c r="I27" s="36">
        <f t="shared" si="6"/>
        <v>2.3702205827871712</v>
      </c>
      <c r="J27" s="36">
        <f t="shared" si="6"/>
        <v>2.4155114219487093</v>
      </c>
      <c r="K27" s="36">
        <f t="shared" si="6"/>
        <v>2.4457053147230678</v>
      </c>
      <c r="L27" s="36">
        <f t="shared" si="6"/>
        <v>2.4909961538846064</v>
      </c>
      <c r="M27" s="36">
        <f t="shared" si="6"/>
        <v>2.4758992074974269</v>
      </c>
      <c r="N27" s="36">
        <f t="shared" si="6"/>
        <v>2.611771724982042</v>
      </c>
      <c r="O27" s="36">
        <f t="shared" si="6"/>
        <v>2.5211900466589654</v>
      </c>
      <c r="P27" s="36">
        <f t="shared" si="6"/>
        <v>2.4004144755615298</v>
      </c>
      <c r="Q27" s="36">
        <f t="shared" si="6"/>
        <v>2.234348065302556</v>
      </c>
      <c r="R27" s="36">
        <f t="shared" si="6"/>
        <v>2.3098327972384531</v>
      </c>
      <c r="S27" s="36">
        <f t="shared" si="6"/>
        <v>2.3853175291743502</v>
      </c>
      <c r="T27" s="36">
        <f t="shared" si="6"/>
        <v>2.2947358508512736</v>
      </c>
      <c r="U27" s="36">
        <f t="shared" si="6"/>
        <v>2.1588633333666589</v>
      </c>
      <c r="V27" s="36">
        <f t="shared" si="6"/>
        <v>2.0229908158820438</v>
      </c>
      <c r="W27" s="36">
        <f t="shared" si="6"/>
        <v>1.9475060839461467</v>
      </c>
      <c r="X27" s="36">
        <f t="shared" si="6"/>
        <v>1.9173121911717879</v>
      </c>
      <c r="Y27" s="36">
        <f t="shared" si="6"/>
        <v>1.4795007459435845</v>
      </c>
      <c r="Z27" s="36">
        <f t="shared" si="6"/>
        <v>1.4342099067820462</v>
      </c>
      <c r="AA27" s="36">
        <f t="shared" si="6"/>
        <v>1.3738221212333286</v>
      </c>
      <c r="AB27" s="36">
        <f t="shared" si="6"/>
        <v>1.3738221212333286</v>
      </c>
      <c r="AC27" s="36">
        <f t="shared" si="6"/>
        <v>1.3738221212333286</v>
      </c>
      <c r="AD27" s="36">
        <f t="shared" si="6"/>
        <v>1.3738221212333286</v>
      </c>
      <c r="AE27" s="36">
        <f t="shared" si="6"/>
        <v>1.3738221212333286</v>
      </c>
      <c r="AF27" s="36">
        <f t="shared" si="6"/>
        <v>1.3738221212333286</v>
      </c>
      <c r="AG27" s="36">
        <f t="shared" si="6"/>
        <v>1.3738221212333286</v>
      </c>
      <c r="AH27" s="36">
        <f t="shared" si="6"/>
        <v>1.3738221212333286</v>
      </c>
      <c r="AI27" s="36">
        <f t="shared" si="6"/>
        <v>1.3738221212333286</v>
      </c>
      <c r="AJ27" s="36">
        <f t="shared" si="6"/>
        <v>1.3738221212333286</v>
      </c>
      <c r="AK27" s="36">
        <f t="shared" si="6"/>
        <v>1.3738221212333286</v>
      </c>
    </row>
    <row r="28" spans="1:37">
      <c r="A28" s="296" t="s">
        <v>122</v>
      </c>
      <c r="B28" s="36">
        <f>B31</f>
        <v>0</v>
      </c>
      <c r="C28" s="36">
        <f t="shared" ref="C28:AK28" si="7">C31</f>
        <v>2.6796779772200292</v>
      </c>
      <c r="D28" s="36">
        <f t="shared" si="7"/>
        <v>2.7086424551530088</v>
      </c>
      <c r="E28" s="36">
        <f t="shared" si="7"/>
        <v>2.7376407607790796</v>
      </c>
      <c r="F28" s="36">
        <f t="shared" si="7"/>
        <v>2.7666730828083939</v>
      </c>
      <c r="G28" s="36">
        <f t="shared" si="7"/>
        <v>2.7957396110038379</v>
      </c>
      <c r="H28" s="36">
        <f t="shared" si="7"/>
        <v>2.8248405361869033</v>
      </c>
      <c r="I28" s="36">
        <f t="shared" si="7"/>
        <v>2.8539760502435914</v>
      </c>
      <c r="J28" s="36">
        <f t="shared" si="7"/>
        <v>2.883146346130355</v>
      </c>
      <c r="K28" s="36">
        <f t="shared" si="7"/>
        <v>2.9123516178800668</v>
      </c>
      <c r="L28" s="36">
        <f t="shared" si="7"/>
        <v>2.9415920606080257</v>
      </c>
      <c r="M28" s="36">
        <f t="shared" si="7"/>
        <v>2.9708678705179956</v>
      </c>
      <c r="N28" s="36">
        <f t="shared" si="7"/>
        <v>3.0001792449082747</v>
      </c>
      <c r="O28" s="36">
        <f t="shared" si="7"/>
        <v>3.029526382177806</v>
      </c>
      <c r="P28" s="36">
        <f t="shared" si="7"/>
        <v>3.0589094818323139</v>
      </c>
      <c r="Q28" s="36">
        <f t="shared" si="7"/>
        <v>3.0883287444904792</v>
      </c>
      <c r="R28" s="36">
        <f t="shared" si="7"/>
        <v>3.1177843718901488</v>
      </c>
      <c r="S28" s="36">
        <f t="shared" si="7"/>
        <v>3.1472765668945768</v>
      </c>
      <c r="T28" s="36">
        <f t="shared" si="7"/>
        <v>3.1768055334987064</v>
      </c>
      <c r="U28" s="36">
        <f t="shared" si="7"/>
        <v>3.2063714768354785</v>
      </c>
      <c r="V28" s="36">
        <f t="shared" si="7"/>
        <v>3.2359746031821852</v>
      </c>
      <c r="W28" s="36">
        <f t="shared" si="7"/>
        <v>3.2656151199668471</v>
      </c>
      <c r="X28" s="36">
        <f t="shared" si="7"/>
        <v>3.2952932357746403</v>
      </c>
      <c r="Y28" s="36">
        <f t="shared" si="7"/>
        <v>3.3250091603543459</v>
      </c>
      <c r="Z28" s="36">
        <f t="shared" si="7"/>
        <v>3.3547631046248445</v>
      </c>
      <c r="AA28" s="36">
        <f t="shared" si="7"/>
        <v>3.3845552806816399</v>
      </c>
      <c r="AB28" s="36">
        <f t="shared" si="7"/>
        <v>3.4143859018034286</v>
      </c>
      <c r="AC28" s="36">
        <f t="shared" si="7"/>
        <v>3.4442551824586953</v>
      </c>
      <c r="AD28" s="36">
        <f t="shared" si="7"/>
        <v>3.4741633383123527</v>
      </c>
      <c r="AE28" s="36">
        <f t="shared" si="7"/>
        <v>3.5041105862324162</v>
      </c>
      <c r="AF28" s="36">
        <f t="shared" si="7"/>
        <v>3.534097144296712</v>
      </c>
      <c r="AG28" s="36">
        <f t="shared" si="7"/>
        <v>3.5641232317996328</v>
      </c>
      <c r="AH28" s="36">
        <f t="shared" si="7"/>
        <v>3.5941890692589156</v>
      </c>
      <c r="AI28" s="36">
        <f t="shared" si="7"/>
        <v>3.6242948784224756</v>
      </c>
      <c r="AJ28" s="36">
        <f t="shared" si="7"/>
        <v>3.6544408822752601</v>
      </c>
      <c r="AK28" s="36">
        <f t="shared" si="7"/>
        <v>3.6846273050461567</v>
      </c>
    </row>
    <row r="29" spans="1:37">
      <c r="A29" s="301" t="s">
        <v>123</v>
      </c>
      <c r="B29" s="37">
        <f>'Chem - HCFC 22 Production'!B2</f>
        <v>0</v>
      </c>
      <c r="C29" s="37">
        <f>'Chem - HCFC 22 Production'!C2</f>
        <v>0</v>
      </c>
      <c r="D29" s="37">
        <f>'Chem - HCFC 22 Production'!D2</f>
        <v>0</v>
      </c>
      <c r="E29" s="37">
        <f>'Chem - HCFC 22 Production'!E2</f>
        <v>0</v>
      </c>
      <c r="F29" s="37">
        <f>'Chem - HCFC 22 Production'!F2</f>
        <v>0</v>
      </c>
      <c r="G29" s="37">
        <f>'Chem - HCFC 22 Production'!G2</f>
        <v>0</v>
      </c>
      <c r="H29" s="37">
        <f>'Chem - HCFC 22 Production'!H2</f>
        <v>0</v>
      </c>
      <c r="I29" s="37">
        <f>'Chem - HCFC 22 Production'!I2</f>
        <v>0</v>
      </c>
      <c r="J29" s="37">
        <f>'Chem - HCFC 22 Production'!J2</f>
        <v>0</v>
      </c>
      <c r="K29" s="37">
        <f>'Chem - HCFC 22 Production'!K2</f>
        <v>0</v>
      </c>
      <c r="L29" s="37">
        <f>'Chem - HCFC 22 Production'!L2</f>
        <v>0</v>
      </c>
      <c r="M29" s="37">
        <f>'Chem - HCFC 22 Production'!M2</f>
        <v>0</v>
      </c>
      <c r="N29" s="37">
        <f>'Chem - HCFC 22 Production'!N2</f>
        <v>0</v>
      </c>
      <c r="O29" s="37">
        <f>'Chem - HCFC 22 Production'!O2</f>
        <v>0</v>
      </c>
      <c r="P29" s="37">
        <f>'Chem - HCFC 22 Production'!P2</f>
        <v>0</v>
      </c>
      <c r="Q29" s="37">
        <f>'Chem - HCFC 22 Production'!Q2</f>
        <v>0</v>
      </c>
      <c r="R29" s="37">
        <f>'Chem - HCFC 22 Production'!R2</f>
        <v>0</v>
      </c>
      <c r="S29" s="37">
        <f>'Chem - HCFC 22 Production'!S2</f>
        <v>0</v>
      </c>
      <c r="T29" s="37">
        <f>'Chem - HCFC 22 Production'!T2</f>
        <v>0</v>
      </c>
      <c r="U29" s="37">
        <f>'Chem - HCFC 22 Production'!U2</f>
        <v>0</v>
      </c>
      <c r="V29" s="37">
        <f>'Chem - HCFC 22 Production'!V2</f>
        <v>0</v>
      </c>
      <c r="W29" s="37">
        <f>'Chem - HCFC 22 Production'!W2</f>
        <v>0</v>
      </c>
      <c r="X29" s="37">
        <f>'Chem - HCFC 22 Production'!X2</f>
        <v>0</v>
      </c>
      <c r="Y29" s="37">
        <f>'Chem - HCFC 22 Production'!Y2</f>
        <v>0</v>
      </c>
      <c r="Z29" s="37">
        <f>'Chem - HCFC 22 Production'!Z2</f>
        <v>0</v>
      </c>
      <c r="AA29" s="37">
        <f>'Chem - HCFC 22 Production'!AA2</f>
        <v>0</v>
      </c>
      <c r="AB29" s="37">
        <f>'Chem - HCFC 22 Production'!AB2</f>
        <v>0</v>
      </c>
      <c r="AC29" s="37">
        <f>'Chem - HCFC 22 Production'!AC2</f>
        <v>0</v>
      </c>
      <c r="AD29" s="37">
        <f>'Chem - HCFC 22 Production'!AD2</f>
        <v>0</v>
      </c>
      <c r="AE29" s="37">
        <f>'Chem - HCFC 22 Production'!AE2</f>
        <v>0</v>
      </c>
      <c r="AF29" s="37">
        <f>'Chem - HCFC 22 Production'!AF2</f>
        <v>0</v>
      </c>
      <c r="AG29" s="37">
        <f>'Chem - HCFC 22 Production'!AG2</f>
        <v>0</v>
      </c>
      <c r="AH29" s="37">
        <f>'Chem - HCFC 22 Production'!AH2</f>
        <v>0</v>
      </c>
      <c r="AI29" s="37">
        <f>'Chem - HCFC 22 Production'!AI2</f>
        <v>0</v>
      </c>
      <c r="AJ29" s="37">
        <f>'Chem - HCFC 22 Production'!AJ2</f>
        <v>0</v>
      </c>
      <c r="AK29" s="37">
        <f>'Chem - HCFC 22 Production'!AK2</f>
        <v>0</v>
      </c>
    </row>
    <row r="30" spans="1:37">
      <c r="A30" s="301" t="s">
        <v>124</v>
      </c>
      <c r="B30" s="37">
        <f>'Chem - ODS'!B5/10^6</f>
        <v>1.66232174730305</v>
      </c>
      <c r="C30" s="37">
        <f>'Chem - ODS'!C5/10^6</f>
        <v>1.863061817561005</v>
      </c>
      <c r="D30" s="37">
        <f>'Chem - ODS'!D5/10^6</f>
        <v>2.0638018878189599</v>
      </c>
      <c r="E30" s="37">
        <f>'Chem - ODS'!E5/10^6</f>
        <v>2.2645419580769146</v>
      </c>
      <c r="F30" s="37">
        <f>'Chem - ODS'!F5/10^6</f>
        <v>2.234348065302556</v>
      </c>
      <c r="G30" s="37">
        <f>'Chem - ODS'!G5/10^6</f>
        <v>2.2796389044640946</v>
      </c>
      <c r="H30" s="37">
        <f>'Chem - ODS'!H5/10^6</f>
        <v>2.2796389044640946</v>
      </c>
      <c r="I30" s="37">
        <f>'Chem - ODS'!I5/10^6</f>
        <v>2.3702205827871712</v>
      </c>
      <c r="J30" s="37">
        <f>'Chem - ODS'!J5/10^6</f>
        <v>2.4155114219487093</v>
      </c>
      <c r="K30" s="37">
        <f>'Chem - ODS'!K5/10^6</f>
        <v>2.4457053147230678</v>
      </c>
      <c r="L30" s="37">
        <f>'Chem - ODS'!L5/10^6</f>
        <v>2.4909961538846064</v>
      </c>
      <c r="M30" s="37">
        <f>'Chem - ODS'!M5/10^6</f>
        <v>2.4758992074974269</v>
      </c>
      <c r="N30" s="37">
        <f>'Chem - ODS'!N5/10^6</f>
        <v>2.611771724982042</v>
      </c>
      <c r="O30" s="37">
        <f>'Chem - ODS'!O5/10^6</f>
        <v>2.5211900466589654</v>
      </c>
      <c r="P30" s="37">
        <f>'Chem - ODS'!P5/10^6</f>
        <v>2.4004144755615298</v>
      </c>
      <c r="Q30" s="37">
        <f>'Chem - ODS'!Q5/10^6</f>
        <v>2.234348065302556</v>
      </c>
      <c r="R30" s="37">
        <f>'Chem - ODS'!R5/10^6</f>
        <v>2.3098327972384531</v>
      </c>
      <c r="S30" s="37">
        <f>'Chem - ODS'!S5/10^6</f>
        <v>2.3853175291743502</v>
      </c>
      <c r="T30" s="37">
        <f>'Chem - ODS'!T5/10^6</f>
        <v>2.2947358508512736</v>
      </c>
      <c r="U30" s="37">
        <f>'Chem - ODS'!U5/10^6</f>
        <v>2.1588633333666589</v>
      </c>
      <c r="V30" s="37">
        <f>'Chem - ODS'!V5/10^6</f>
        <v>2.0229908158820438</v>
      </c>
      <c r="W30" s="37">
        <f>'Chem - ODS'!W5/10^6</f>
        <v>1.9475060839461467</v>
      </c>
      <c r="X30" s="37">
        <f>'Chem - ODS'!X5/10^6</f>
        <v>1.9173121911717879</v>
      </c>
      <c r="Y30" s="37">
        <f>'Chem - ODS'!Y5/10^6</f>
        <v>1.4795007459435845</v>
      </c>
      <c r="Z30" s="37">
        <f>'Chem - ODS'!Z5/10^6</f>
        <v>1.4342099067820462</v>
      </c>
      <c r="AA30" s="37">
        <f>'Chem - ODS'!AA5/10^6</f>
        <v>1.3738221212333286</v>
      </c>
      <c r="AB30" s="37">
        <f>'Chem - ODS'!AB5/10^6</f>
        <v>1.3738221212333286</v>
      </c>
      <c r="AC30" s="37">
        <f>'Chem - ODS'!AC5/10^6</f>
        <v>1.3738221212333286</v>
      </c>
      <c r="AD30" s="37">
        <f>'Chem - ODS'!AD5/10^6</f>
        <v>1.3738221212333286</v>
      </c>
      <c r="AE30" s="37">
        <f>'Chem - ODS'!AE5/10^6</f>
        <v>1.3738221212333286</v>
      </c>
      <c r="AF30" s="37">
        <f>'Chem - ODS'!AF5/10^6</f>
        <v>1.3738221212333286</v>
      </c>
      <c r="AG30" s="37">
        <f>'Chem - ODS'!AG5/10^6</f>
        <v>1.3738221212333286</v>
      </c>
      <c r="AH30" s="37">
        <f>'Chem - ODS'!AH5/10^6</f>
        <v>1.3738221212333286</v>
      </c>
      <c r="AI30" s="37">
        <f>'Chem - ODS'!AI5/10^6</f>
        <v>1.3738221212333286</v>
      </c>
      <c r="AJ30" s="37">
        <f>'Chem - ODS'!AJ5/10^6</f>
        <v>1.3738221212333286</v>
      </c>
      <c r="AK30" s="37">
        <f>'Chem - ODS'!AK5/10^6</f>
        <v>1.3738221212333286</v>
      </c>
    </row>
    <row r="31" spans="1:37">
      <c r="A31" s="301" t="s">
        <v>237</v>
      </c>
      <c r="B31" s="37">
        <v>0</v>
      </c>
      <c r="C31" s="37">
        <f>'Other Industrial Processes'!D125/1000</f>
        <v>2.6796779772200292</v>
      </c>
      <c r="D31" s="37">
        <f>'Other Industrial Processes'!E125/1000</f>
        <v>2.7086424551530088</v>
      </c>
      <c r="E31" s="37">
        <f>'Other Industrial Processes'!F125/1000</f>
        <v>2.7376407607790796</v>
      </c>
      <c r="F31" s="37">
        <f>'Other Industrial Processes'!G125/1000</f>
        <v>2.7666730828083939</v>
      </c>
      <c r="G31" s="37">
        <f>'Other Industrial Processes'!H125/1000</f>
        <v>2.7957396110038379</v>
      </c>
      <c r="H31" s="37">
        <f>'Other Industrial Processes'!I125/1000</f>
        <v>2.8248405361869033</v>
      </c>
      <c r="I31" s="37">
        <f>'Other Industrial Processes'!J125/1000</f>
        <v>2.8539760502435914</v>
      </c>
      <c r="J31" s="37">
        <f>'Other Industrial Processes'!K125/1000</f>
        <v>2.883146346130355</v>
      </c>
      <c r="K31" s="37">
        <f>'Other Industrial Processes'!L125/1000</f>
        <v>2.9123516178800668</v>
      </c>
      <c r="L31" s="37">
        <f>'Other Industrial Processes'!M125/1000</f>
        <v>2.9415920606080257</v>
      </c>
      <c r="M31" s="37">
        <f>'Other Industrial Processes'!N125/1000</f>
        <v>2.9708678705179956</v>
      </c>
      <c r="N31" s="37">
        <f>'Other Industrial Processes'!O125/1000</f>
        <v>3.0001792449082747</v>
      </c>
      <c r="O31" s="37">
        <f>'Other Industrial Processes'!P125/1000</f>
        <v>3.029526382177806</v>
      </c>
      <c r="P31" s="37">
        <f>'Other Industrial Processes'!Q125/1000</f>
        <v>3.0589094818323139</v>
      </c>
      <c r="Q31" s="37">
        <f>'Other Industrial Processes'!R125/1000</f>
        <v>3.0883287444904792</v>
      </c>
      <c r="R31" s="37">
        <f>'Other Industrial Processes'!S125/1000</f>
        <v>3.1177843718901488</v>
      </c>
      <c r="S31" s="37">
        <f>'Other Industrial Processes'!T125/1000</f>
        <v>3.1472765668945768</v>
      </c>
      <c r="T31" s="37">
        <f>'Other Industrial Processes'!U125/1000</f>
        <v>3.1768055334987064</v>
      </c>
      <c r="U31" s="37">
        <f>'Other Industrial Processes'!V125/1000</f>
        <v>3.2063714768354785</v>
      </c>
      <c r="V31" s="37">
        <f>'Other Industrial Processes'!W125/1000</f>
        <v>3.2359746031821852</v>
      </c>
      <c r="W31" s="37">
        <f>'Other Industrial Processes'!X125/1000</f>
        <v>3.2656151199668471</v>
      </c>
      <c r="X31" s="37">
        <f>'Other Industrial Processes'!Y125/1000</f>
        <v>3.2952932357746403</v>
      </c>
      <c r="Y31" s="37">
        <f>'Other Industrial Processes'!Z125/1000</f>
        <v>3.3250091603543459</v>
      </c>
      <c r="Z31" s="37">
        <f>'Other Industrial Processes'!AA125/1000</f>
        <v>3.3547631046248445</v>
      </c>
      <c r="AA31" s="37">
        <f>'Other Industrial Processes'!AB125/1000</f>
        <v>3.3845552806816399</v>
      </c>
      <c r="AB31" s="37">
        <f>'Other Industrial Processes'!AC125/1000</f>
        <v>3.4143859018034286</v>
      </c>
      <c r="AC31" s="37">
        <f>'Other Industrial Processes'!AD125/1000</f>
        <v>3.4442551824586953</v>
      </c>
      <c r="AD31" s="37">
        <f>'Other Industrial Processes'!AE125/1000</f>
        <v>3.4741633383123527</v>
      </c>
      <c r="AE31" s="37">
        <f>'Other Industrial Processes'!AF125/1000</f>
        <v>3.5041105862324162</v>
      </c>
      <c r="AF31" s="37">
        <f>'Other Industrial Processes'!AG125/1000</f>
        <v>3.534097144296712</v>
      </c>
      <c r="AG31" s="37">
        <f>'Other Industrial Processes'!AH125/1000</f>
        <v>3.5641232317996328</v>
      </c>
      <c r="AH31" s="37">
        <f>'Other Industrial Processes'!AI125/1000</f>
        <v>3.5941890692589156</v>
      </c>
      <c r="AI31" s="37">
        <f>'Other Industrial Processes'!AJ125/1000</f>
        <v>3.6242948784224756</v>
      </c>
      <c r="AJ31" s="37">
        <f>'Other Industrial Processes'!AK125/1000</f>
        <v>3.6544408822752601</v>
      </c>
      <c r="AK31" s="37">
        <f>'Other Industrial Processes'!AL125/1000</f>
        <v>3.6846273050461567</v>
      </c>
    </row>
    <row r="32" spans="1:37">
      <c r="A32" s="301" t="s">
        <v>238</v>
      </c>
      <c r="B32" s="37">
        <v>0</v>
      </c>
      <c r="C32" s="37">
        <f>'Other Industrial Processes'!D126*N2O_to_CO2e/1000</f>
        <v>0.829744607992705</v>
      </c>
      <c r="D32" s="37">
        <f>'Other Industrial Processes'!E126*N2O_to_CO2e/1000</f>
        <v>0.82061523095433786</v>
      </c>
      <c r="E32" s="37">
        <f>'Other Industrial Processes'!F126*N2O_to_CO2e/1000</f>
        <v>0.8115863011190082</v>
      </c>
      <c r="F32" s="37">
        <f>'Other Industrial Processes'!G126*N2O_to_CO2e/1000</f>
        <v>0.80265671330280852</v>
      </c>
      <c r="G32" s="37">
        <f>'Other Industrial Processes'!H126*N2O_to_CO2e/1000</f>
        <v>0.79382537448176449</v>
      </c>
      <c r="H32" s="37">
        <f>'Other Industrial Processes'!I126*N2O_to_CO2e/1000</f>
        <v>0.78509120365804663</v>
      </c>
      <c r="I32" s="37">
        <f>'Other Industrial Processes'!J126*N2O_to_CO2e/1000</f>
        <v>0.77645313172764996</v>
      </c>
      <c r="J32" s="37">
        <f>'Other Industrial Processes'!K126*N2O_to_CO2e/1000</f>
        <v>0.76791010134953019</v>
      </c>
      <c r="K32" s="37">
        <f>'Other Industrial Processes'!L126*N2O_to_CO2e/1000</f>
        <v>0.75946106681618075</v>
      </c>
      <c r="L32" s="37">
        <f>'Other Industrial Processes'!M126*N2O_to_CO2e/1000</f>
        <v>0.75110499392563335</v>
      </c>
      <c r="M32" s="37">
        <f>'Other Industrial Processes'!N126*N2O_to_CO2e/1000</f>
        <v>0.7428408598548667</v>
      </c>
      <c r="N32" s="37">
        <f>'Other Industrial Processes'!O126*N2O_to_CO2e/1000</f>
        <v>0.73466765303460668</v>
      </c>
      <c r="O32" s="37">
        <f>'Other Industrial Processes'!P126*N2O_to_CO2e/1000</f>
        <v>0.72658437302550738</v>
      </c>
      <c r="P32" s="37">
        <f>'Other Industrial Processes'!Q126*N2O_to_CO2e/1000</f>
        <v>0.71859003039569214</v>
      </c>
      <c r="Q32" s="37">
        <f>'Other Industrial Processes'!R126*N2O_to_CO2e/1000</f>
        <v>0.71068364659964134</v>
      </c>
      <c r="R32" s="37">
        <f>'Other Industrial Processes'!S126*N2O_to_CO2e/1000</f>
        <v>0.70286425385841467</v>
      </c>
      <c r="S32" s="37">
        <f>'Other Industrial Processes'!T126*N2O_to_CO2e/1000</f>
        <v>0.69513089504119119</v>
      </c>
      <c r="T32" s="37">
        <f>'Other Industrial Processes'!U126*N2O_to_CO2e/1000</f>
        <v>0.68748262354810952</v>
      </c>
      <c r="U32" s="37">
        <f>'Other Industrial Processes'!V126*N2O_to_CO2e/1000</f>
        <v>0.67991850319440217</v>
      </c>
      <c r="V32" s="37">
        <f>'Other Industrial Processes'!W126*N2O_to_CO2e/1000</f>
        <v>0.67243760809580044</v>
      </c>
      <c r="W32" s="37">
        <f>'Other Industrial Processes'!X126*N2O_to_CO2e/1000</f>
        <v>0.66503902255520175</v>
      </c>
      <c r="X32" s="37">
        <f>'Other Industrial Processes'!Y126*N2O_to_CO2e/1000</f>
        <v>0.65772184095058561</v>
      </c>
      <c r="Y32" s="37">
        <f>'Other Industrial Processes'!Z126*N2O_to_CO2e/1000</f>
        <v>0.65048516762415909</v>
      </c>
      <c r="Z32" s="37">
        <f>'Other Industrial Processes'!AA126*N2O_to_CO2e/1000</f>
        <v>0.64332811677272572</v>
      </c>
      <c r="AA32" s="37">
        <f>'Other Industrial Processes'!AB126*N2O_to_CO2e/1000</f>
        <v>0.63624981233925759</v>
      </c>
      <c r="AB32" s="37">
        <f>'Other Industrial Processes'!AC126*N2O_to_CO2e/1000</f>
        <v>0.62924938790566309</v>
      </c>
      <c r="AC32" s="37">
        <f>'Other Industrial Processes'!AD126*N2O_to_CO2e/1000</f>
        <v>0.62232598658673199</v>
      </c>
      <c r="AD32" s="37">
        <f>'Other Industrial Processes'!AE126*N2O_to_CO2e/1000</f>
        <v>0.61547876092524989</v>
      </c>
      <c r="AE32" s="37">
        <f>'Other Industrial Processes'!AF126*N2O_to_CO2e/1000</f>
        <v>0.60870687278826419</v>
      </c>
      <c r="AF32" s="37">
        <f>'Other Industrial Processes'!AG126*N2O_to_CO2e/1000</f>
        <v>0.60200949326449327</v>
      </c>
      <c r="AG32" s="37">
        <f>'Other Industrial Processes'!AH126*N2O_to_CO2e/1000</f>
        <v>0.59538580256286444</v>
      </c>
      <c r="AH32" s="37">
        <f>'Other Industrial Processes'!AI126*N2O_to_CO2e/1000</f>
        <v>0.58883498991216621</v>
      </c>
      <c r="AI32" s="37">
        <f>'Other Industrial Processes'!AJ126*N2O_to_CO2e/1000</f>
        <v>0.58235625346180686</v>
      </c>
      <c r="AJ32" s="37">
        <f>'Other Industrial Processes'!AK126*N2O_to_CO2e/1000</f>
        <v>0.57594880018366457</v>
      </c>
      <c r="AK32" s="37">
        <f>'Other Industrial Processes'!AL126*N2O_to_CO2e/1000</f>
        <v>0.56961184577501578</v>
      </c>
    </row>
    <row r="33" spans="1:37">
      <c r="A33" s="301" t="s">
        <v>239</v>
      </c>
      <c r="B33" s="37">
        <v>0</v>
      </c>
      <c r="C33" s="37">
        <f>'Other Industrial Processes'!D124*CH4_to_CO2e/1000</f>
        <v>0</v>
      </c>
      <c r="D33" s="37">
        <f>'Other Industrial Processes'!E124*CH4_to_CO2e/1000</f>
        <v>0</v>
      </c>
      <c r="E33" s="37">
        <f>'Other Industrial Processes'!F124*CH4_to_CO2e/1000</f>
        <v>0</v>
      </c>
      <c r="F33" s="37">
        <f>'Other Industrial Processes'!G124*CH4_to_CO2e/1000</f>
        <v>0</v>
      </c>
      <c r="G33" s="37">
        <f>'Other Industrial Processes'!H124*CH4_to_CO2e/1000</f>
        <v>0</v>
      </c>
      <c r="H33" s="37">
        <f>'Other Industrial Processes'!I124*CH4_to_CO2e/1000</f>
        <v>0</v>
      </c>
      <c r="I33" s="37">
        <f>'Other Industrial Processes'!J124*CH4_to_CO2e/1000</f>
        <v>0</v>
      </c>
      <c r="J33" s="37">
        <f>'Other Industrial Processes'!K124*CH4_to_CO2e/1000</f>
        <v>0</v>
      </c>
      <c r="K33" s="37">
        <f>'Other Industrial Processes'!L124*CH4_to_CO2e/1000</f>
        <v>0</v>
      </c>
      <c r="L33" s="37">
        <f>'Other Industrial Processes'!M124*CH4_to_CO2e/1000</f>
        <v>0</v>
      </c>
      <c r="M33" s="37">
        <f>'Other Industrial Processes'!N124*CH4_to_CO2e/1000</f>
        <v>0</v>
      </c>
      <c r="N33" s="37">
        <f>'Other Industrial Processes'!O124*CH4_to_CO2e/1000</f>
        <v>0</v>
      </c>
      <c r="O33" s="37">
        <f>'Other Industrial Processes'!P124*CH4_to_CO2e/1000</f>
        <v>0</v>
      </c>
      <c r="P33" s="37">
        <f>'Other Industrial Processes'!Q124*CH4_to_CO2e/1000</f>
        <v>0</v>
      </c>
      <c r="Q33" s="37">
        <f>'Other Industrial Processes'!R124*CH4_to_CO2e/1000</f>
        <v>0</v>
      </c>
      <c r="R33" s="37">
        <f>'Other Industrial Processes'!S124*CH4_to_CO2e/1000</f>
        <v>0</v>
      </c>
      <c r="S33" s="37">
        <f>'Other Industrial Processes'!T124*CH4_to_CO2e/1000</f>
        <v>0</v>
      </c>
      <c r="T33" s="37">
        <f>'Other Industrial Processes'!U124*CH4_to_CO2e/1000</f>
        <v>0</v>
      </c>
      <c r="U33" s="37">
        <f>'Other Industrial Processes'!V124*CH4_to_CO2e/1000</f>
        <v>0</v>
      </c>
      <c r="V33" s="37">
        <f>'Other Industrial Processes'!W124*CH4_to_CO2e/1000</f>
        <v>0</v>
      </c>
      <c r="W33" s="37">
        <f>'Other Industrial Processes'!X124*CH4_to_CO2e/1000</f>
        <v>0</v>
      </c>
      <c r="X33" s="37">
        <f>'Other Industrial Processes'!Y124*CH4_to_CO2e/1000</f>
        <v>0</v>
      </c>
      <c r="Y33" s="37">
        <f>'Other Industrial Processes'!Z124*CH4_to_CO2e/1000</f>
        <v>0</v>
      </c>
      <c r="Z33" s="37">
        <f>'Other Industrial Processes'!AA124*CH4_to_CO2e/1000</f>
        <v>0</v>
      </c>
      <c r="AA33" s="37">
        <f>'Other Industrial Processes'!AB124*CH4_to_CO2e/1000</f>
        <v>0</v>
      </c>
      <c r="AB33" s="37">
        <f>'Other Industrial Processes'!AC124*CH4_to_CO2e/1000</f>
        <v>0</v>
      </c>
      <c r="AC33" s="37">
        <f>'Other Industrial Processes'!AD124*CH4_to_CO2e/1000</f>
        <v>0</v>
      </c>
      <c r="AD33" s="37">
        <f>'Other Industrial Processes'!AE124*CH4_to_CO2e/1000</f>
        <v>0</v>
      </c>
      <c r="AE33" s="37">
        <f>'Other Industrial Processes'!AF124*CH4_to_CO2e/1000</f>
        <v>0</v>
      </c>
      <c r="AF33" s="37">
        <f>'Other Industrial Processes'!AG124*CH4_to_CO2e/1000</f>
        <v>0</v>
      </c>
      <c r="AG33" s="37">
        <f>'Other Industrial Processes'!AH124*CH4_to_CO2e/1000</f>
        <v>0</v>
      </c>
      <c r="AH33" s="37">
        <f>'Other Industrial Processes'!AI124*CH4_to_CO2e/1000</f>
        <v>0</v>
      </c>
      <c r="AI33" s="37">
        <f>'Other Industrial Processes'!AJ124*CH4_to_CO2e/1000</f>
        <v>0</v>
      </c>
      <c r="AJ33" s="37">
        <f>'Other Industrial Processes'!AK124*CH4_to_CO2e/1000</f>
        <v>0</v>
      </c>
      <c r="AK33" s="37">
        <f>'Other Industrial Processes'!AL124*CH4_to_CO2e/1000</f>
        <v>0</v>
      </c>
    </row>
    <row r="34" spans="1:37">
      <c r="A34" s="40"/>
      <c r="B34" s="37"/>
      <c r="C34" s="41"/>
      <c r="D34" s="41"/>
      <c r="E34" s="41"/>
      <c r="F34" s="41"/>
      <c r="G34" s="41"/>
      <c r="H34" s="41"/>
      <c r="I34" s="41"/>
      <c r="J34" s="41"/>
    </row>
    <row r="35" spans="1:37">
      <c r="A35" s="30" t="s">
        <v>125</v>
      </c>
      <c r="B35" s="42"/>
      <c r="C35" s="42"/>
      <c r="D35" s="42"/>
      <c r="E35" s="42"/>
      <c r="F35" s="42"/>
      <c r="G35" s="42"/>
      <c r="H35" s="42"/>
      <c r="I35" s="42"/>
      <c r="J35" s="42"/>
    </row>
    <row r="36" spans="1:37">
      <c r="A36" s="32" t="s">
        <v>126</v>
      </c>
      <c r="B36" s="410">
        <f t="shared" ref="B36:AK36" si="8">SUM(B37:B38)</f>
        <v>0.4480336536371628</v>
      </c>
      <c r="C36" s="410">
        <f t="shared" si="8"/>
        <v>0.42522466763381622</v>
      </c>
      <c r="D36" s="410">
        <f t="shared" si="8"/>
        <v>0.38449433548498324</v>
      </c>
      <c r="E36" s="410">
        <f t="shared" si="8"/>
        <v>0.36168534948163678</v>
      </c>
      <c r="F36" s="410">
        <f t="shared" si="8"/>
        <v>0.32747187047661713</v>
      </c>
      <c r="G36" s="410">
        <f t="shared" si="8"/>
        <v>0.30541934998064368</v>
      </c>
      <c r="H36" s="410">
        <f t="shared" si="8"/>
        <v>0.28225423568589447</v>
      </c>
      <c r="I36" s="410">
        <f t="shared" si="8"/>
        <v>0.26084612375632865</v>
      </c>
      <c r="J36" s="410">
        <f t="shared" si="8"/>
        <v>0.24309826759715117</v>
      </c>
      <c r="K36" s="410">
        <f t="shared" si="8"/>
        <v>0.22685099500091943</v>
      </c>
      <c r="L36" s="410">
        <f t="shared" si="8"/>
        <v>0.21402700794694335</v>
      </c>
      <c r="M36" s="410">
        <f t="shared" si="8"/>
        <v>0.20655764090251583</v>
      </c>
      <c r="N36" s="410">
        <f t="shared" si="8"/>
        <v>0.19550559431439826</v>
      </c>
      <c r="O36" s="410">
        <f t="shared" si="8"/>
        <v>0.17401612272637046</v>
      </c>
      <c r="P36" s="410">
        <f t="shared" si="8"/>
        <v>0.16194673459588324</v>
      </c>
      <c r="Q36" s="410">
        <f t="shared" si="8"/>
        <v>0.15071445355387775</v>
      </c>
      <c r="R36" s="410">
        <f t="shared" si="8"/>
        <v>0.14026121963326943</v>
      </c>
      <c r="S36" s="410">
        <f t="shared" si="8"/>
        <v>0.13053299978279409</v>
      </c>
      <c r="T36" s="410">
        <f t="shared" si="8"/>
        <v>0.12147950856869175</v>
      </c>
      <c r="U36" s="410">
        <f t="shared" si="8"/>
        <v>0.11305394824792842</v>
      </c>
      <c r="V36" s="410">
        <f t="shared" si="8"/>
        <v>0.10521276686938549</v>
      </c>
      <c r="W36" s="410">
        <f t="shared" si="8"/>
        <v>9.7915433152636469E-2</v>
      </c>
      <c r="X36" s="410">
        <f t="shared" si="8"/>
        <v>9.1124226980650522E-2</v>
      </c>
      <c r="Y36" s="410">
        <f t="shared" si="8"/>
        <v>8.4804044423488989E-2</v>
      </c>
      <c r="Z36" s="410">
        <f t="shared" si="8"/>
        <v>7.8922216285118113E-2</v>
      </c>
      <c r="AA36" s="410">
        <f t="shared" si="8"/>
        <v>7.3448339235454366E-2</v>
      </c>
      <c r="AB36" s="410">
        <f t="shared" si="8"/>
        <v>6.9949656479388722E-2</v>
      </c>
      <c r="AC36" s="410">
        <f t="shared" si="8"/>
        <v>6.6617632100558127E-2</v>
      </c>
      <c r="AD36" s="410">
        <f t="shared" si="8"/>
        <v>6.3444327392701089E-2</v>
      </c>
      <c r="AE36" s="410">
        <f t="shared" si="8"/>
        <v>6.0422181806706977E-2</v>
      </c>
      <c r="AF36" s="410">
        <f t="shared" si="8"/>
        <v>5.754399493724887E-2</v>
      </c>
      <c r="AG36" s="410">
        <f t="shared" si="8"/>
        <v>5.4802909367476067E-2</v>
      </c>
      <c r="AH36" s="410">
        <f t="shared" si="8"/>
        <v>5.2192394330892865E-2</v>
      </c>
      <c r="AI36" s="410">
        <f t="shared" si="8"/>
        <v>4.9706230151497402E-2</v>
      </c>
      <c r="AJ36" s="410">
        <f t="shared" si="8"/>
        <v>4.7338493425108263E-2</v>
      </c>
      <c r="AK36" s="410">
        <f t="shared" si="8"/>
        <v>4.5083542906572835E-2</v>
      </c>
    </row>
    <row r="37" spans="1:37">
      <c r="A37" s="234" t="s">
        <v>527</v>
      </c>
      <c r="B37" s="44">
        <f>'Coal Mining'!B25*CH4_to_CO2e/1000</f>
        <v>0.4480336536371628</v>
      </c>
      <c r="C37" s="44">
        <f>'Coal Mining'!C25*CH4_to_CO2e/1000</f>
        <v>0.42522466763381622</v>
      </c>
      <c r="D37" s="44">
        <f>'Coal Mining'!D25*CH4_to_CO2e/1000</f>
        <v>0.38449433548498324</v>
      </c>
      <c r="E37" s="44">
        <f>'Coal Mining'!E25*CH4_to_CO2e/1000</f>
        <v>0.36168534948163678</v>
      </c>
      <c r="F37" s="44">
        <f>'Coal Mining'!F25*CH4_to_CO2e/1000</f>
        <v>0.32747187047661713</v>
      </c>
      <c r="G37" s="44">
        <f>'Coal Mining'!G25*CH4_to_CO2e/1000</f>
        <v>0.30541934998064368</v>
      </c>
      <c r="H37" s="44">
        <f>'Coal Mining'!H25*CH4_to_CO2e/1000</f>
        <v>0.28225423568589447</v>
      </c>
      <c r="I37" s="44">
        <f>'Coal Mining'!I25*CH4_to_CO2e/1000</f>
        <v>0.26084612375632865</v>
      </c>
      <c r="J37" s="44">
        <f>'Coal Mining'!J25*CH4_to_CO2e/1000</f>
        <v>0.24309826759715117</v>
      </c>
      <c r="K37" s="44">
        <f>'Coal Mining'!K25*CH4_to_CO2e/1000</f>
        <v>0.22685099500091943</v>
      </c>
      <c r="L37" s="44">
        <f>'Coal Mining'!L25*CH4_to_CO2e/1000</f>
        <v>0.21402700794694335</v>
      </c>
      <c r="M37" s="44">
        <f>'Coal Mining'!M25*CH4_to_CO2e/1000</f>
        <v>0.20655764090251583</v>
      </c>
      <c r="N37" s="44">
        <f>'Coal Mining'!N25*CH4_to_CO2e/1000</f>
        <v>0.19550559431439826</v>
      </c>
      <c r="O37" s="44">
        <f>'Coal Mining'!O25*CH4_to_CO2e/1000</f>
        <v>0.17401612272637046</v>
      </c>
      <c r="P37" s="44">
        <f>'Coal Mining'!P25*CH4_to_CO2e/1000</f>
        <v>0.16194673459588324</v>
      </c>
      <c r="Q37" s="44">
        <f>'Coal Mining'!Q25*CH4_to_CO2e/1000</f>
        <v>0.15071445355387775</v>
      </c>
      <c r="R37" s="44">
        <f>'Coal Mining'!R25*CH4_to_CO2e/1000</f>
        <v>0.14026121963326943</v>
      </c>
      <c r="S37" s="44">
        <f>'Coal Mining'!S25*CH4_to_CO2e/1000</f>
        <v>0.13053299978279409</v>
      </c>
      <c r="T37" s="44">
        <f>'Coal Mining'!T25*CH4_to_CO2e/1000</f>
        <v>0.12147950856869175</v>
      </c>
      <c r="U37" s="44">
        <f>'Coal Mining'!U25*CH4_to_CO2e/1000</f>
        <v>0.11305394824792842</v>
      </c>
      <c r="V37" s="44">
        <f>'Coal Mining'!V25*CH4_to_CO2e/1000</f>
        <v>0.10521276686938549</v>
      </c>
      <c r="W37" s="44">
        <f>'Coal Mining'!W25*CH4_to_CO2e/1000</f>
        <v>9.7915433152636469E-2</v>
      </c>
      <c r="X37" s="44">
        <f>'Coal Mining'!X25*CH4_to_CO2e/1000</f>
        <v>9.1124226980650522E-2</v>
      </c>
      <c r="Y37" s="44">
        <f>'Coal Mining'!Y25*CH4_to_CO2e/1000</f>
        <v>8.4804044423488989E-2</v>
      </c>
      <c r="Z37" s="44">
        <f>'Coal Mining'!Z25*CH4_to_CO2e/1000</f>
        <v>7.8922216285118113E-2</v>
      </c>
      <c r="AA37" s="44">
        <f>'Coal Mining'!AA25*CH4_to_CO2e/1000</f>
        <v>7.3448339235454366E-2</v>
      </c>
      <c r="AB37" s="44">
        <f>'Coal Mining'!AB25*CH4_to_CO2e/1000</f>
        <v>6.9949656479388722E-2</v>
      </c>
      <c r="AC37" s="44">
        <f>'Coal Mining'!AC25*CH4_to_CO2e/1000</f>
        <v>6.6617632100558127E-2</v>
      </c>
      <c r="AD37" s="44">
        <f>'Coal Mining'!AD25*CH4_to_CO2e/1000</f>
        <v>6.3444327392701089E-2</v>
      </c>
      <c r="AE37" s="44">
        <f>'Coal Mining'!AE25*CH4_to_CO2e/1000</f>
        <v>6.0422181806706977E-2</v>
      </c>
      <c r="AF37" s="44">
        <f>'Coal Mining'!AF25*CH4_to_CO2e/1000</f>
        <v>5.754399493724887E-2</v>
      </c>
      <c r="AG37" s="44">
        <f>'Coal Mining'!AG25*CH4_to_CO2e/1000</f>
        <v>5.4802909367476067E-2</v>
      </c>
      <c r="AH37" s="44">
        <f>'Coal Mining'!AH25*CH4_to_CO2e/1000</f>
        <v>5.2192394330892865E-2</v>
      </c>
      <c r="AI37" s="44">
        <f>'Coal Mining'!AI25*CH4_to_CO2e/1000</f>
        <v>4.9706230151497402E-2</v>
      </c>
      <c r="AJ37" s="44">
        <f>'Coal Mining'!AJ25*CH4_to_CO2e/1000</f>
        <v>4.7338493425108263E-2</v>
      </c>
      <c r="AK37" s="44">
        <f>'Coal Mining'!AK25*CH4_to_CO2e/1000</f>
        <v>4.5083542906572835E-2</v>
      </c>
    </row>
    <row r="38" spans="1:37">
      <c r="A38" s="301" t="s">
        <v>239</v>
      </c>
      <c r="B38" s="44">
        <v>0</v>
      </c>
      <c r="C38" s="44">
        <v>0</v>
      </c>
      <c r="D38" s="44">
        <v>0</v>
      </c>
      <c r="E38" s="44">
        <v>0</v>
      </c>
      <c r="F38" s="44">
        <v>0</v>
      </c>
      <c r="G38" s="44">
        <v>0</v>
      </c>
      <c r="H38" s="44">
        <v>0</v>
      </c>
      <c r="I38" s="44">
        <v>0</v>
      </c>
      <c r="J38" s="44">
        <v>0</v>
      </c>
      <c r="K38" s="44">
        <v>0</v>
      </c>
      <c r="L38" s="44">
        <v>0</v>
      </c>
      <c r="M38" s="44">
        <v>0</v>
      </c>
      <c r="N38" s="44">
        <v>0</v>
      </c>
      <c r="O38" s="44">
        <v>0</v>
      </c>
      <c r="P38" s="44">
        <v>0</v>
      </c>
      <c r="Q38" s="44">
        <v>0</v>
      </c>
      <c r="R38" s="44">
        <v>0</v>
      </c>
      <c r="S38" s="44">
        <v>0</v>
      </c>
      <c r="T38" s="44">
        <v>0</v>
      </c>
      <c r="U38" s="44">
        <v>0</v>
      </c>
      <c r="V38" s="44">
        <v>0</v>
      </c>
      <c r="W38" s="44">
        <v>0</v>
      </c>
      <c r="X38" s="44">
        <v>0</v>
      </c>
      <c r="Y38" s="44">
        <v>0</v>
      </c>
      <c r="Z38" s="44">
        <v>0</v>
      </c>
      <c r="AA38" s="44">
        <v>0</v>
      </c>
      <c r="AB38" s="44">
        <v>0</v>
      </c>
      <c r="AC38" s="44">
        <v>0</v>
      </c>
      <c r="AD38" s="44">
        <v>0</v>
      </c>
      <c r="AE38" s="44">
        <v>0</v>
      </c>
      <c r="AF38" s="44">
        <v>0</v>
      </c>
      <c r="AG38" s="44">
        <v>0</v>
      </c>
      <c r="AH38" s="44">
        <v>0</v>
      </c>
      <c r="AI38" s="44">
        <v>0</v>
      </c>
      <c r="AJ38" s="44">
        <v>0</v>
      </c>
      <c r="AK38" s="44">
        <v>0</v>
      </c>
    </row>
    <row r="39" spans="1:37">
      <c r="A39" s="40"/>
      <c r="B39" s="42"/>
      <c r="C39" s="42"/>
      <c r="D39" s="42"/>
      <c r="E39" s="42"/>
      <c r="F39" s="42"/>
      <c r="G39" s="42"/>
      <c r="H39" s="42"/>
      <c r="I39" s="42"/>
      <c r="J39" s="42"/>
    </row>
    <row r="40" spans="1:37">
      <c r="A40" s="30" t="s">
        <v>240</v>
      </c>
      <c r="B40" s="42"/>
      <c r="C40" s="42"/>
      <c r="D40" s="42"/>
      <c r="E40" s="42"/>
      <c r="F40" s="42"/>
      <c r="G40" s="42"/>
      <c r="H40" s="42"/>
      <c r="I40" s="42"/>
      <c r="J40" s="42"/>
    </row>
    <row r="41" spans="1:37">
      <c r="A41" s="302" t="s">
        <v>127</v>
      </c>
      <c r="B41" s="43">
        <f>SUM(B43:B44)</f>
        <v>8.6061143389816755E-2</v>
      </c>
      <c r="C41" s="43">
        <f t="shared" ref="C41:AK41" si="9">SUM(C43:C44)</f>
        <v>8.7568351011448581E-2</v>
      </c>
      <c r="D41" s="43">
        <f t="shared" si="9"/>
        <v>8.8721406022533061E-2</v>
      </c>
      <c r="E41" s="43">
        <f t="shared" si="9"/>
        <v>8.9927995730560734E-2</v>
      </c>
      <c r="F41" s="43">
        <f t="shared" si="9"/>
        <v>9.1377550601638352E-2</v>
      </c>
      <c r="G41" s="43">
        <f t="shared" si="9"/>
        <v>9.3028890099655759E-2</v>
      </c>
      <c r="H41" s="43">
        <f t="shared" si="9"/>
        <v>9.4793476071976093E-2</v>
      </c>
      <c r="I41" s="43">
        <f t="shared" si="9"/>
        <v>9.6683662679432431E-2</v>
      </c>
      <c r="J41" s="43">
        <f t="shared" si="9"/>
        <v>9.8658269385914571E-2</v>
      </c>
      <c r="K41" s="43">
        <f t="shared" si="9"/>
        <v>0.10062875803878571</v>
      </c>
      <c r="L41" s="43">
        <f t="shared" si="9"/>
        <v>0.10246746897610431</v>
      </c>
      <c r="M41" s="43">
        <f t="shared" si="9"/>
        <v>0.10422381884120263</v>
      </c>
      <c r="N41" s="43">
        <f t="shared" si="9"/>
        <v>0.10590192568769161</v>
      </c>
      <c r="O41" s="43">
        <f t="shared" si="9"/>
        <v>0.10752032075682089</v>
      </c>
      <c r="P41" s="43">
        <f t="shared" si="9"/>
        <v>0.1090213512980362</v>
      </c>
      <c r="Q41" s="43">
        <f t="shared" si="9"/>
        <v>0.11039678120411552</v>
      </c>
      <c r="R41" s="43">
        <f t="shared" si="9"/>
        <v>0.11156836745644956</v>
      </c>
      <c r="S41" s="43">
        <f t="shared" si="9"/>
        <v>0.11259993988600905</v>
      </c>
      <c r="T41" s="43">
        <f t="shared" si="9"/>
        <v>0.113621217181541</v>
      </c>
      <c r="U41" s="43">
        <f t="shared" si="9"/>
        <v>0.11472485554929328</v>
      </c>
      <c r="V41" s="43">
        <f t="shared" si="9"/>
        <v>0.11589232374801631</v>
      </c>
      <c r="W41" s="43">
        <f t="shared" si="9"/>
        <v>0.11710920859007153</v>
      </c>
      <c r="X41" s="43">
        <f t="shared" si="9"/>
        <v>0.11836727396823689</v>
      </c>
      <c r="Y41" s="43">
        <f t="shared" si="9"/>
        <v>0.11965416572167933</v>
      </c>
      <c r="Z41" s="43">
        <f t="shared" si="9"/>
        <v>0.12096576579678794</v>
      </c>
      <c r="AA41" s="43">
        <f t="shared" si="9"/>
        <v>0.12229177905953509</v>
      </c>
      <c r="AB41" s="43">
        <f t="shared" si="9"/>
        <v>0.12343970820515926</v>
      </c>
      <c r="AC41" s="43">
        <f t="shared" si="9"/>
        <v>0.1245984392241672</v>
      </c>
      <c r="AD41" s="43">
        <f t="shared" si="9"/>
        <v>0.12576807398930115</v>
      </c>
      <c r="AE41" s="43">
        <f t="shared" si="9"/>
        <v>0.12694871533603302</v>
      </c>
      <c r="AF41" s="43">
        <f t="shared" si="9"/>
        <v>0.1281404670716795</v>
      </c>
      <c r="AG41" s="43">
        <f t="shared" si="9"/>
        <v>0.12934343398460327</v>
      </c>
      <c r="AH41" s="43">
        <f t="shared" si="9"/>
        <v>0.13055772185350184</v>
      </c>
      <c r="AI41" s="43">
        <f t="shared" si="9"/>
        <v>0.13178343745678425</v>
      </c>
      <c r="AJ41" s="43">
        <f t="shared" si="9"/>
        <v>0.13302068858203686</v>
      </c>
      <c r="AK41" s="43">
        <f t="shared" si="9"/>
        <v>0.13426958403557868</v>
      </c>
    </row>
    <row r="42" spans="1:37">
      <c r="A42" s="303" t="s">
        <v>128</v>
      </c>
      <c r="B42" s="43">
        <f>SUM(B45:B47)</f>
        <v>1.9642848940820603</v>
      </c>
      <c r="C42" s="43">
        <f t="shared" ref="C42:AK42" si="10">SUM(C45:C47)</f>
        <v>1.9984443742282909</v>
      </c>
      <c r="D42" s="43">
        <f t="shared" si="10"/>
        <v>2.0245453922485419</v>
      </c>
      <c r="E42" s="43">
        <f t="shared" si="10"/>
        <v>2.0518704456684835</v>
      </c>
      <c r="F42" s="43">
        <f t="shared" si="10"/>
        <v>2.0847325259152529</v>
      </c>
      <c r="G42" s="43">
        <f t="shared" si="10"/>
        <v>2.1221938249927907</v>
      </c>
      <c r="H42" s="43">
        <f t="shared" si="10"/>
        <v>2.162238250047718</v>
      </c>
      <c r="I42" s="43">
        <f t="shared" si="10"/>
        <v>2.2051469407411917</v>
      </c>
      <c r="J42" s="43">
        <f t="shared" si="10"/>
        <v>2.2499821049536588</v>
      </c>
      <c r="K42" s="43">
        <f t="shared" si="10"/>
        <v>2.2947276651792099</v>
      </c>
      <c r="L42" s="43">
        <f t="shared" si="10"/>
        <v>2.3364767871138619</v>
      </c>
      <c r="M42" s="43">
        <f t="shared" si="10"/>
        <v>2.3763545092628879</v>
      </c>
      <c r="N42" s="43">
        <f t="shared" si="10"/>
        <v>2.4144544664555623</v>
      </c>
      <c r="O42" s="43">
        <f t="shared" si="10"/>
        <v>2.4511984731556979</v>
      </c>
      <c r="P42" s="43">
        <f t="shared" si="10"/>
        <v>2.4852737070346693</v>
      </c>
      <c r="Q42" s="43">
        <f t="shared" si="10"/>
        <v>2.516492522315799</v>
      </c>
      <c r="R42" s="43">
        <f t="shared" si="10"/>
        <v>2.5430732827212612</v>
      </c>
      <c r="S42" s="43">
        <f t="shared" si="10"/>
        <v>2.5664692267322078</v>
      </c>
      <c r="T42" s="43">
        <f t="shared" si="10"/>
        <v>2.5896338264977947</v>
      </c>
      <c r="U42" s="43">
        <f t="shared" si="10"/>
        <v>2.6146766783011173</v>
      </c>
      <c r="V42" s="43">
        <f t="shared" si="10"/>
        <v>2.6411757436647196</v>
      </c>
      <c r="W42" s="43">
        <f t="shared" si="10"/>
        <v>2.6688027517793036</v>
      </c>
      <c r="X42" s="43">
        <f t="shared" si="10"/>
        <v>2.6973700815822914</v>
      </c>
      <c r="Y42" s="43">
        <f t="shared" si="10"/>
        <v>2.726596350710536</v>
      </c>
      <c r="Z42" s="43">
        <f t="shared" si="10"/>
        <v>2.7563877085273396</v>
      </c>
      <c r="AA42" s="43">
        <f t="shared" si="10"/>
        <v>2.7865096607056028</v>
      </c>
      <c r="AB42" s="43">
        <f t="shared" si="10"/>
        <v>2.8099659451198327</v>
      </c>
      <c r="AC42" s="43">
        <f t="shared" si="10"/>
        <v>2.8336233113662064</v>
      </c>
      <c r="AD42" s="43">
        <f t="shared" si="10"/>
        <v>2.8574833653050695</v>
      </c>
      <c r="AE42" s="43">
        <f t="shared" si="10"/>
        <v>2.8815477295299581</v>
      </c>
      <c r="AF42" s="43">
        <f t="shared" si="10"/>
        <v>2.9058180434043717</v>
      </c>
      <c r="AG42" s="43">
        <f t="shared" si="10"/>
        <v>2.9302959631023411</v>
      </c>
      <c r="AH42" s="43">
        <f t="shared" si="10"/>
        <v>2.954983161652728</v>
      </c>
      <c r="AI42" s="43">
        <f t="shared" si="10"/>
        <v>2.9798813289871648</v>
      </c>
      <c r="AJ42" s="43">
        <f t="shared" si="10"/>
        <v>3.0049921719915504</v>
      </c>
      <c r="AK42" s="43">
        <f t="shared" si="10"/>
        <v>3.030317414561047</v>
      </c>
    </row>
    <row r="43" spans="1:37">
      <c r="A43" s="299" t="s">
        <v>735</v>
      </c>
      <c r="B43" s="44">
        <f>'Waste - Water Treatment'!B12*N2O_to_CO2e/1000</f>
        <v>6.9789782989816751E-2</v>
      </c>
      <c r="C43" s="44">
        <f>'Waste - Water Treatment'!C12*N2O_to_CO2e/1000</f>
        <v>7.1012026718996979E-2</v>
      </c>
      <c r="D43" s="44">
        <f>'Waste - Water Treatment'!D12*N2O_to_CO2e/1000</f>
        <v>7.1947076566457269E-2</v>
      </c>
      <c r="E43" s="44">
        <f>'Waste - Water Treatment'!E12*N2O_to_CO2e/1000</f>
        <v>7.2925539442549633E-2</v>
      </c>
      <c r="F43" s="44">
        <f>'Waste - Water Treatment'!F12*N2O_to_CO2e/1000</f>
        <v>7.4101030679356847E-2</v>
      </c>
      <c r="G43" s="44">
        <f>'Waste - Water Treatment'!G12*N2O_to_CO2e/1000</f>
        <v>7.5440155639469625E-2</v>
      </c>
      <c r="H43" s="44">
        <f>'Waste - Water Treatment'!H12*N2O_to_CO2e/1000</f>
        <v>7.6871115852457941E-2</v>
      </c>
      <c r="I43" s="44">
        <f>'Waste - Water Treatment'!I12*N2O_to_CO2e/1000</f>
        <v>7.8403929709544629E-2</v>
      </c>
      <c r="J43" s="44">
        <f>'Waste - Water Treatment'!J12*N2O_to_CO2e/1000</f>
        <v>8.0005202573320361E-2</v>
      </c>
      <c r="K43" s="44">
        <f>'Waste - Water Treatment'!K12*N2O_to_CO2e/1000</f>
        <v>8.1603135973355168E-2</v>
      </c>
      <c r="L43" s="44">
        <f>'Waste - Water Treatment'!L12*N2O_to_CO2e/1000</f>
        <v>8.3094206533680215E-2</v>
      </c>
      <c r="M43" s="44">
        <f>'Waste - Water Treatment'!M12*N2O_to_CO2e/1000</f>
        <v>8.4518487819186694E-2</v>
      </c>
      <c r="N43" s="44">
        <f>'Waste - Water Treatment'!N12*N2O_to_CO2e/1000</f>
        <v>8.5879319293615475E-2</v>
      </c>
      <c r="O43" s="44">
        <f>'Waste - Water Treatment'!O12*N2O_to_CO2e/1000</f>
        <v>8.7191728543800806E-2</v>
      </c>
      <c r="P43" s="44">
        <f>'Waste - Water Treatment'!P12*N2O_to_CO2e/1000</f>
        <v>8.8408963077369646E-2</v>
      </c>
      <c r="Q43" s="44">
        <f>'Waste - Water Treatment'!Q12*N2O_to_CO2e/1000</f>
        <v>8.9524343966840114E-2</v>
      </c>
      <c r="R43" s="44">
        <f>'Waste - Water Treatment'!R12*N2O_to_CO2e/1000</f>
        <v>9.0474421401134583E-2</v>
      </c>
      <c r="S43" s="44">
        <f>'Waste - Water Treatment'!S12*N2O_to_CO2e/1000</f>
        <v>9.1310957068237442E-2</v>
      </c>
      <c r="T43" s="44">
        <f>'Waste - Water Treatment'!T12*N2O_to_CO2e/1000</f>
        <v>9.2139144075987972E-2</v>
      </c>
      <c r="U43" s="44">
        <f>'Waste - Water Treatment'!U12*N2O_to_CO2e/1000</f>
        <v>9.3034120358557099E-2</v>
      </c>
      <c r="V43" s="44">
        <f>'Waste - Water Treatment'!V12*N2O_to_CO2e/1000</f>
        <v>9.3980858329110642E-2</v>
      </c>
      <c r="W43" s="44">
        <f>'Waste - Water Treatment'!W12*N2O_to_CO2e/1000</f>
        <v>9.4967669864555335E-2</v>
      </c>
      <c r="X43" s="44">
        <f>'Waste - Water Treatment'!X12*N2O_to_CO2e/1000</f>
        <v>9.5987876037409312E-2</v>
      </c>
      <c r="Y43" s="44">
        <f>'Waste - Water Treatment'!Y12*N2O_to_CO2e/1000</f>
        <v>9.7031458456449782E-2</v>
      </c>
      <c r="Z43" s="44">
        <f>'Waste - Water Treatment'!Z12*N2O_to_CO2e/1000</f>
        <v>9.8095077657935875E-2</v>
      </c>
      <c r="AA43" s="44">
        <f>'Waste - Water Treatment'!AA12*N2O_to_CO2e/1000</f>
        <v>9.9170384982515208E-2</v>
      </c>
      <c r="AB43" s="44">
        <f>'Waste - Water Treatment'!AB12*N2O_to_CO2e/1000</f>
        <v>0.10012356273464022</v>
      </c>
      <c r="AC43" s="44">
        <f>'Waste - Water Treatment'!AC12*N2O_to_CO2e/1000</f>
        <v>0.10108590197007808</v>
      </c>
      <c r="AD43" s="44">
        <f>'Waste - Water Treatment'!AD12*N2O_to_CO2e/1000</f>
        <v>0.10205749074457317</v>
      </c>
      <c r="AE43" s="44">
        <f>'Waste - Water Treatment'!AE12*N2O_to_CO2e/1000</f>
        <v>0.10303841796021908</v>
      </c>
      <c r="AF43" s="44">
        <f>'Waste - Water Treatment'!AF12*N2O_to_CO2e/1000</f>
        <v>0.1040287733735933</v>
      </c>
      <c r="AG43" s="44">
        <f>'Waste - Water Treatment'!AG12*N2O_to_CO2e/1000</f>
        <v>0.10502864760397011</v>
      </c>
      <c r="AH43" s="44">
        <f>'Waste - Water Treatment'!AH12*N2O_to_CO2e/1000</f>
        <v>0.10603813214161241</v>
      </c>
      <c r="AI43" s="44">
        <f>'Waste - Water Treatment'!AI12*N2O_to_CO2e/1000</f>
        <v>0.10705731935614321</v>
      </c>
      <c r="AJ43" s="44">
        <f>'Waste - Water Treatment'!AJ12*N2O_to_CO2e/1000</f>
        <v>0.10808630250499768</v>
      </c>
      <c r="AK43" s="44">
        <f>'Waste - Water Treatment'!AK12*N2O_to_CO2e/1000</f>
        <v>0.10912517574195629</v>
      </c>
    </row>
    <row r="44" spans="1:37">
      <c r="A44" s="301" t="s">
        <v>737</v>
      </c>
      <c r="B44" s="44">
        <f>'Waste - Landfills'!B4*N2O_to_CO2e/1000</f>
        <v>1.62713604E-2</v>
      </c>
      <c r="C44" s="44">
        <f>'Waste - Landfills'!C4*N2O_to_CO2e/1000</f>
        <v>1.6556324292451609E-2</v>
      </c>
      <c r="D44" s="44">
        <f>'Waste - Landfills'!D4*N2O_to_CO2e/1000</f>
        <v>1.6774329456075793E-2</v>
      </c>
      <c r="E44" s="44">
        <f>'Waste - Landfills'!E4*N2O_to_CO2e/1000</f>
        <v>1.7002456288011104E-2</v>
      </c>
      <c r="F44" s="44">
        <f>'Waste - Landfills'!F4*N2O_to_CO2e/1000</f>
        <v>1.7276519922281505E-2</v>
      </c>
      <c r="G44" s="44">
        <f>'Waste - Landfills'!G4*N2O_to_CO2e/1000</f>
        <v>1.7588734460186141E-2</v>
      </c>
      <c r="H44" s="44">
        <f>'Waste - Landfills'!H4*N2O_to_CO2e/1000</f>
        <v>1.7922360219518148E-2</v>
      </c>
      <c r="I44" s="44">
        <f>'Waste - Landfills'!I4*N2O_to_CO2e/1000</f>
        <v>1.8279732969887795E-2</v>
      </c>
      <c r="J44" s="44">
        <f>'Waste - Landfills'!J4*N2O_to_CO2e/1000</f>
        <v>1.8653066812594203E-2</v>
      </c>
      <c r="K44" s="44">
        <f>'Waste - Landfills'!K4*N2O_to_CO2e/1000</f>
        <v>1.9025622065430535E-2</v>
      </c>
      <c r="L44" s="44">
        <f>'Waste - Landfills'!L4*N2O_to_CO2e/1000</f>
        <v>1.9373262442424096E-2</v>
      </c>
      <c r="M44" s="44">
        <f>'Waste - Landfills'!M4*N2O_to_CO2e/1000</f>
        <v>1.9705331022015934E-2</v>
      </c>
      <c r="N44" s="44">
        <f>'Waste - Landfills'!N4*N2O_to_CO2e/1000</f>
        <v>2.0022606394076131E-2</v>
      </c>
      <c r="O44" s="44">
        <f>'Waste - Landfills'!O4*N2O_to_CO2e/1000</f>
        <v>2.0328592213020073E-2</v>
      </c>
      <c r="P44" s="44">
        <f>'Waste - Landfills'!P4*N2O_to_CO2e/1000</f>
        <v>2.0612388220666557E-2</v>
      </c>
      <c r="Q44" s="44">
        <f>'Waste - Landfills'!Q4*N2O_to_CO2e/1000</f>
        <v>2.0872437237275401E-2</v>
      </c>
      <c r="R44" s="44">
        <f>'Waste - Landfills'!R4*N2O_to_CO2e/1000</f>
        <v>2.1093946055314974E-2</v>
      </c>
      <c r="S44" s="44">
        <f>'Waste - Landfills'!S4*N2O_to_CO2e/1000</f>
        <v>2.1288982817771616E-2</v>
      </c>
      <c r="T44" s="44">
        <f>'Waste - Landfills'!T4*N2O_to_CO2e/1000</f>
        <v>2.1482073105553029E-2</v>
      </c>
      <c r="U44" s="44">
        <f>'Waste - Landfills'!U4*N2O_to_CO2e/1000</f>
        <v>2.169073519073618E-2</v>
      </c>
      <c r="V44" s="44">
        <f>'Waste - Landfills'!V4*N2O_to_CO2e/1000</f>
        <v>2.1911465418905669E-2</v>
      </c>
      <c r="W44" s="44">
        <f>'Waste - Landfills'!W4*N2O_to_CO2e/1000</f>
        <v>2.2141538725516188E-2</v>
      </c>
      <c r="X44" s="44">
        <f>'Waste - Landfills'!X4*N2O_to_CO2e/1000</f>
        <v>2.2379397930827574E-2</v>
      </c>
      <c r="Y44" s="44">
        <f>'Waste - Landfills'!Y4*N2O_to_CO2e/1000</f>
        <v>2.2622707265229559E-2</v>
      </c>
      <c r="Z44" s="44">
        <f>'Waste - Landfills'!Z4*N2O_to_CO2e/1000</f>
        <v>2.2870688138852072E-2</v>
      </c>
      <c r="AA44" s="44">
        <f>'Waste - Landfills'!AA4*N2O_to_CO2e/1000</f>
        <v>2.3121394077019884E-2</v>
      </c>
      <c r="AB44" s="44">
        <f>'Waste - Landfills'!AB4*N2O_to_CO2e/1000</f>
        <v>2.3316145470519044E-2</v>
      </c>
      <c r="AC44" s="44">
        <f>'Waste - Landfills'!AC4*N2O_to_CO2e/1000</f>
        <v>2.3512537254089125E-2</v>
      </c>
      <c r="AD44" s="44">
        <f>'Waste - Landfills'!AD4*N2O_to_CO2e/1000</f>
        <v>2.3710583244727978E-2</v>
      </c>
      <c r="AE44" s="44">
        <f>'Waste - Landfills'!AE4*N2O_to_CO2e/1000</f>
        <v>2.391029737581396E-2</v>
      </c>
      <c r="AF44" s="44">
        <f>'Waste - Landfills'!AF4*N2O_to_CO2e/1000</f>
        <v>2.4111693698086203E-2</v>
      </c>
      <c r="AG44" s="44">
        <f>'Waste - Landfills'!AG4*N2O_to_CO2e/1000</f>
        <v>2.4314786380633155E-2</v>
      </c>
      <c r="AH44" s="44">
        <f>'Waste - Landfills'!AH4*N2O_to_CO2e/1000</f>
        <v>2.4519589711889424E-2</v>
      </c>
      <c r="AI44" s="44">
        <f>'Waste - Landfills'!AI4*N2O_to_CO2e/1000</f>
        <v>2.4726118100641039E-2</v>
      </c>
      <c r="AJ44" s="44">
        <f>'Waste - Landfills'!AJ4*N2O_to_CO2e/1000</f>
        <v>2.4934386077039173E-2</v>
      </c>
      <c r="AK44" s="44">
        <f>'Waste - Landfills'!AK4*N2O_to_CO2e/1000</f>
        <v>2.5144408293622373E-2</v>
      </c>
    </row>
    <row r="45" spans="1:37">
      <c r="A45" s="299" t="s">
        <v>736</v>
      </c>
      <c r="B45" s="44">
        <f>'Waste - Water Treatment'!B11*CH4_to_CO2e/1000</f>
        <v>4.1751671834239966E-2</v>
      </c>
      <c r="C45" s="44">
        <f>'Waste - Water Treatment'!C11*CH4_to_CO2e/1000</f>
        <v>4.248287799216191E-2</v>
      </c>
      <c r="D45" s="44">
        <f>'Waste - Water Treatment'!D11*CH4_to_CO2e/1000</f>
        <v>4.3042270681282531E-2</v>
      </c>
      <c r="E45" s="44">
        <f>'Waste - Water Treatment'!E11*CH4_to_CO2e/1000</f>
        <v>4.3627635173826611E-2</v>
      </c>
      <c r="F45" s="44">
        <f>'Waste - Water Treatment'!F11*CH4_to_CO2e/1000</f>
        <v>4.4330871697292523E-2</v>
      </c>
      <c r="G45" s="44">
        <f>'Waste - Water Treatment'!G11*CH4_to_CO2e/1000</f>
        <v>4.5132001941354562E-2</v>
      </c>
      <c r="H45" s="44">
        <f>'Waste - Water Treatment'!H11*CH4_to_CO2e/1000</f>
        <v>4.5988072538812354E-2</v>
      </c>
      <c r="I45" s="44">
        <f>'Waste - Water Treatment'!I11*CH4_to_CO2e/1000</f>
        <v>4.6905076982763652E-2</v>
      </c>
      <c r="J45" s="44">
        <f>'Waste - Water Treatment'!J11*CH4_to_CO2e/1000</f>
        <v>4.7863036962882702E-2</v>
      </c>
      <c r="K45" s="44">
        <f>'Waste - Water Treatment'!K11*CH4_to_CO2e/1000</f>
        <v>4.8818999111969179E-2</v>
      </c>
      <c r="L45" s="44">
        <f>'Waste - Water Treatment'!L11*CH4_to_CO2e/1000</f>
        <v>4.9711030668013308E-2</v>
      </c>
      <c r="M45" s="44">
        <f>'Waste - Water Treatment'!M11*CH4_to_CO2e/1000</f>
        <v>5.0563105603405968E-2</v>
      </c>
      <c r="N45" s="44">
        <f>'Waste - Water Treatment'!N11*CH4_to_CO2e/1000</f>
        <v>5.1377221749179726E-2</v>
      </c>
      <c r="O45" s="44">
        <f>'Waste - Water Treatment'!O11*CH4_to_CO2e/1000</f>
        <v>5.2162369344981155E-2</v>
      </c>
      <c r="P45" s="44">
        <f>'Waste - Water Treatment'!P11*CH4_to_CO2e/1000</f>
        <v>5.2890578756354251E-2</v>
      </c>
      <c r="Q45" s="44">
        <f>'Waste - Water Treatment'!Q11*CH4_to_CO2e/1000</f>
        <v>5.3557854321233847E-2</v>
      </c>
      <c r="R45" s="44">
        <f>'Waste - Water Treatment'!R11*CH4_to_CO2e/1000</f>
        <v>5.4126237250001048E-2</v>
      </c>
      <c r="S45" s="44">
        <f>'Waste - Water Treatment'!S11*CH4_to_CO2e/1000</f>
        <v>5.4626693923660749E-2</v>
      </c>
      <c r="T45" s="44">
        <f>'Waste - Water Treatment'!T11*CH4_to_CO2e/1000</f>
        <v>5.5122156019739001E-2</v>
      </c>
      <c r="U45" s="44">
        <f>'Waste - Water Treatment'!U11*CH4_to_CO2e/1000</f>
        <v>5.5657574736468735E-2</v>
      </c>
      <c r="V45" s="44">
        <f>'Waste - Water Treatment'!V11*CH4_to_CO2e/1000</f>
        <v>5.6223959834203363E-2</v>
      </c>
      <c r="W45" s="44">
        <f>'Waste - Water Treatment'!W11*CH4_to_CO2e/1000</f>
        <v>5.6814318904328878E-2</v>
      </c>
      <c r="X45" s="44">
        <f>'Waste - Water Treatment'!X11*CH4_to_CO2e/1000</f>
        <v>5.7424656284780114E-2</v>
      </c>
      <c r="Y45" s="44">
        <f>'Waste - Water Treatment'!Y11*CH4_to_CO2e/1000</f>
        <v>5.8048978482459386E-2</v>
      </c>
      <c r="Z45" s="44">
        <f>'Waste - Water Treatment'!Z11*CH4_to_CO2e/1000</f>
        <v>5.8685287666334074E-2</v>
      </c>
      <c r="AA45" s="44">
        <f>'Waste - Water Treatment'!AA11*CH4_to_CO2e/1000</f>
        <v>5.9328589258822804E-2</v>
      </c>
      <c r="AB45" s="44">
        <f>'Waste - Water Treatment'!AB11*CH4_to_CO2e/1000</f>
        <v>5.9898826949807284E-2</v>
      </c>
      <c r="AC45" s="44">
        <f>'Waste - Water Treatment'!AC11*CH4_to_CO2e/1000</f>
        <v>6.0474545489540787E-2</v>
      </c>
      <c r="AD45" s="44">
        <f>'Waste - Water Treatment'!AD11*CH4_to_CO2e/1000</f>
        <v>6.1055797557289293E-2</v>
      </c>
      <c r="AE45" s="44">
        <f>'Waste - Water Treatment'!AE11*CH4_to_CO2e/1000</f>
        <v>6.1642636338646424E-2</v>
      </c>
      <c r="AF45" s="44">
        <f>'Waste - Water Treatment'!AF11*CH4_to_CO2e/1000</f>
        <v>6.2235115530399988E-2</v>
      </c>
      <c r="AG45" s="44">
        <f>'Waste - Water Treatment'!AG11*CH4_to_CO2e/1000</f>
        <v>6.283328934544534E-2</v>
      </c>
      <c r="AH45" s="44">
        <f>'Waste - Water Treatment'!AH11*CH4_to_CO2e/1000</f>
        <v>6.3437212517745936E-2</v>
      </c>
      <c r="AI45" s="44">
        <f>'Waste - Water Treatment'!AI11*CH4_to_CO2e/1000</f>
        <v>6.4046940307341635E-2</v>
      </c>
      <c r="AJ45" s="44">
        <f>'Waste - Water Treatment'!AJ11*CH4_to_CO2e/1000</f>
        <v>6.4662528505404993E-2</v>
      </c>
      <c r="AK45" s="44">
        <f>'Waste - Water Treatment'!AK11*CH4_to_CO2e/1000</f>
        <v>6.5284033439346384E-2</v>
      </c>
    </row>
    <row r="46" spans="1:37">
      <c r="A46" s="299" t="s">
        <v>738</v>
      </c>
      <c r="B46" s="44">
        <f>'Waste - Water Treatment'!B16*CH4_to_CO2e/1000</f>
        <v>4.7500716726232651E-3</v>
      </c>
      <c r="C46" s="44">
        <f>'Waste - Water Treatment'!C16*CH4_to_CO2e/1000</f>
        <v>4.591790017679012E-3</v>
      </c>
      <c r="D46" s="44">
        <f>'Waste - Water Treatment'!D16*CH4_to_CO2e/1000</f>
        <v>4.4387826162657698E-3</v>
      </c>
      <c r="E46" s="44">
        <f>'Waste - Water Treatment'!E16*CH4_to_CO2e/1000</f>
        <v>4.2908737199664586E-3</v>
      </c>
      <c r="F46" s="44">
        <f>'Waste - Water Treatment'!F16*CH4_to_CO2e/1000</f>
        <v>4.1478934366441182E-3</v>
      </c>
      <c r="G46" s="44">
        <f>'Waste - Water Treatment'!G16*CH4_to_CO2e/1000</f>
        <v>4.0096775352992317E-3</v>
      </c>
      <c r="H46" s="44">
        <f>'Waste - Water Treatment'!H16*CH4_to_CO2e/1000</f>
        <v>3.8760672574295789E-3</v>
      </c>
      <c r="I46" s="44">
        <f>'Waste - Water Treatment'!I16*CH4_to_CO2e/1000</f>
        <v>3.7469091346759545E-3</v>
      </c>
      <c r="J46" s="44">
        <f>'Waste - Water Treatment'!J16*CH4_to_CO2e/1000</f>
        <v>3.6220548125442792E-3</v>
      </c>
      <c r="K46" s="44">
        <f>'Waste - Water Treatment'!K16*CH4_to_CO2e/1000</f>
        <v>3.5013608800016369E-3</v>
      </c>
      <c r="L46" s="44">
        <f>'Waste - Water Treatment'!L16*CH4_to_CO2e/1000</f>
        <v>3.3846887047505074E-3</v>
      </c>
      <c r="M46" s="44">
        <f>'Waste - Water Treatment'!M16*CH4_to_CO2e/1000</f>
        <v>3.2719042739919775E-3</v>
      </c>
      <c r="N46" s="44">
        <f>'Waste - Water Treatment'!N16*CH4_to_CO2e/1000</f>
        <v>3.1628780404950371E-3</v>
      </c>
      <c r="O46" s="44">
        <f>'Waste - Water Treatment'!O16*CH4_to_CO2e/1000</f>
        <v>3.0574847737951435E-3</v>
      </c>
      <c r="P46" s="44">
        <f>'Waste - Water Treatment'!P16*CH4_to_CO2e/1000</f>
        <v>2.9556034163511435E-3</v>
      </c>
      <c r="Q46" s="44">
        <f>'Waste - Water Treatment'!Q16*CH4_to_CO2e/1000</f>
        <v>2.8571169444953212E-3</v>
      </c>
      <c r="R46" s="44">
        <f>'Waste - Water Treatment'!R16*CH4_to_CO2e/1000</f>
        <v>2.7619122340168702E-3</v>
      </c>
      <c r="S46" s="44">
        <f>'Waste - Water Treatment'!S16*CH4_to_CO2e/1000</f>
        <v>2.6698799302243793E-3</v>
      </c>
      <c r="T46" s="44">
        <f>'Waste - Water Treatment'!T16*CH4_to_CO2e/1000</f>
        <v>2.5809143223380917E-3</v>
      </c>
      <c r="U46" s="44">
        <f>'Waste - Water Treatment'!U16*CH4_to_CO2e/1000</f>
        <v>2.4949132220676621E-3</v>
      </c>
      <c r="V46" s="44">
        <f>'Waste - Water Treatment'!V16*CH4_to_CO2e/1000</f>
        <v>2.4117778462359363E-3</v>
      </c>
      <c r="W46" s="44">
        <f>'Waste - Water Treatment'!W16*CH4_to_CO2e/1000</f>
        <v>2.3314127033139368E-3</v>
      </c>
      <c r="X46" s="44">
        <f>'Waste - Water Treatment'!X16*CH4_to_CO2e/1000</f>
        <v>2.2537254837367232E-3</v>
      </c>
      <c r="Y46" s="44">
        <f>'Waste - Water Treatment'!Y16*CH4_to_CO2e/1000</f>
        <v>2.1786269538741445E-3</v>
      </c>
      <c r="Z46" s="44">
        <f>'Waste - Water Treatment'!Z16*CH4_to_CO2e/1000</f>
        <v>2.1060308535346905E-3</v>
      </c>
      <c r="AA46" s="44">
        <f>'Waste - Water Treatment'!AA16*CH4_to_CO2e/1000</f>
        <v>2.0358537968847143E-3</v>
      </c>
      <c r="AB46" s="44">
        <f>'Waste - Water Treatment'!AB16*CH4_to_CO2e/1000</f>
        <v>1.9680151766692223E-3</v>
      </c>
      <c r="AC46" s="44">
        <f>'Waste - Water Treatment'!AC16*CH4_to_CO2e/1000</f>
        <v>1.9024370716242129E-3</v>
      </c>
      <c r="AD46" s="44">
        <f>'Waste - Water Treatment'!AD16*CH4_to_CO2e/1000</f>
        <v>1.8390441569742148E-3</v>
      </c>
      <c r="AE46" s="44">
        <f>'Waste - Water Treatment'!AE16*CH4_to_CO2e/1000</f>
        <v>1.7777636179122254E-3</v>
      </c>
      <c r="AF46" s="44">
        <f>'Waste - Water Treatment'!AF16*CH4_to_CO2e/1000</f>
        <v>1.7185250659626646E-3</v>
      </c>
      <c r="AG46" s="44">
        <f>'Waste - Water Treatment'!AG16*CH4_to_CO2e/1000</f>
        <v>1.6612604581312772E-3</v>
      </c>
      <c r="AH46" s="44">
        <f>'Waste - Water Treatment'!AH16*CH4_to_CO2e/1000</f>
        <v>1.605904018749121E-3</v>
      </c>
      <c r="AI46" s="44">
        <f>'Waste - Water Treatment'!AI16*CH4_to_CO2e/1000</f>
        <v>1.5523921639208627E-3</v>
      </c>
      <c r="AJ46" s="44">
        <f>'Waste - Water Treatment'!AJ16*CH4_to_CO2e/1000</f>
        <v>1.500663428490606E-3</v>
      </c>
      <c r="AK46" s="44">
        <f>'Waste - Water Treatment'!AK16*CH4_to_CO2e/1000</f>
        <v>1.4506583954413607E-3</v>
      </c>
    </row>
    <row r="47" spans="1:37">
      <c r="A47" s="299" t="s">
        <v>739</v>
      </c>
      <c r="B47" s="44">
        <f>'Waste - Landfills'!B3*CH4_to_CO2e/1000</f>
        <v>1.917783150575197</v>
      </c>
      <c r="C47" s="44">
        <f>'Waste - Landfills'!C3*CH4_to_CO2e/1000</f>
        <v>1.9513697062184501</v>
      </c>
      <c r="D47" s="44">
        <f>'Waste - Landfills'!D3*CH4_to_CO2e/1000</f>
        <v>1.9770643389509934</v>
      </c>
      <c r="E47" s="44">
        <f>'Waste - Landfills'!E3*CH4_to_CO2e/1000</f>
        <v>2.0039519367746905</v>
      </c>
      <c r="F47" s="44">
        <f>'Waste - Landfills'!F3*CH4_to_CO2e/1000</f>
        <v>2.0362537607813165</v>
      </c>
      <c r="G47" s="44">
        <f>'Waste - Landfills'!G3*CH4_to_CO2e/1000</f>
        <v>2.073052145516137</v>
      </c>
      <c r="H47" s="44">
        <f>'Waste - Landfills'!H3*CH4_to_CO2e/1000</f>
        <v>2.1123741102514759</v>
      </c>
      <c r="I47" s="44">
        <f>'Waste - Landfills'!I3*CH4_to_CO2e/1000</f>
        <v>2.1544949546237522</v>
      </c>
      <c r="J47" s="44">
        <f>'Waste - Landfills'!J3*CH4_to_CO2e/1000</f>
        <v>2.198497013178232</v>
      </c>
      <c r="K47" s="44">
        <f>'Waste - Landfills'!K3*CH4_to_CO2e/1000</f>
        <v>2.2424073051872391</v>
      </c>
      <c r="L47" s="44">
        <f>'Waste - Landfills'!L3*CH4_to_CO2e/1000</f>
        <v>2.2833810677410979</v>
      </c>
      <c r="M47" s="44">
        <f>'Waste - Landfills'!M3*CH4_to_CO2e/1000</f>
        <v>2.3225194993854901</v>
      </c>
      <c r="N47" s="44">
        <f>'Waste - Landfills'!N3*CH4_to_CO2e/1000</f>
        <v>2.3599143666658877</v>
      </c>
      <c r="O47" s="44">
        <f>'Waste - Landfills'!O3*CH4_to_CO2e/1000</f>
        <v>2.3959786190369217</v>
      </c>
      <c r="P47" s="44">
        <f>'Waste - Landfills'!P3*CH4_to_CO2e/1000</f>
        <v>2.4294275248619641</v>
      </c>
      <c r="Q47" s="44">
        <f>'Waste - Landfills'!Q3*CH4_to_CO2e/1000</f>
        <v>2.4600775510500696</v>
      </c>
      <c r="R47" s="44">
        <f>'Waste - Landfills'!R3*CH4_to_CO2e/1000</f>
        <v>2.4861851332372433</v>
      </c>
      <c r="S47" s="44">
        <f>'Waste - Landfills'!S3*CH4_to_CO2e/1000</f>
        <v>2.5091726528783225</v>
      </c>
      <c r="T47" s="44">
        <f>'Waste - Landfills'!T3*CH4_to_CO2e/1000</f>
        <v>2.5319307561557176</v>
      </c>
      <c r="U47" s="44">
        <f>'Waste - Landfills'!U3*CH4_to_CO2e/1000</f>
        <v>2.5565241903425808</v>
      </c>
      <c r="V47" s="44">
        <f>'Waste - Landfills'!V3*CH4_to_CO2e/1000</f>
        <v>2.5825400059842805</v>
      </c>
      <c r="W47" s="44">
        <f>'Waste - Landfills'!W3*CH4_to_CO2e/1000</f>
        <v>2.6096570201716607</v>
      </c>
      <c r="X47" s="44">
        <f>'Waste - Landfills'!X3*CH4_to_CO2e/1000</f>
        <v>2.6376916998137747</v>
      </c>
      <c r="Y47" s="44">
        <f>'Waste - Landfills'!Y3*CH4_to_CO2e/1000</f>
        <v>2.6663687452742026</v>
      </c>
      <c r="Z47" s="44">
        <f>'Waste - Landfills'!Z3*CH4_to_CO2e/1000</f>
        <v>2.6955963900074709</v>
      </c>
      <c r="AA47" s="44">
        <f>'Waste - Landfills'!AA3*CH4_to_CO2e/1000</f>
        <v>2.7251452176498954</v>
      </c>
      <c r="AB47" s="44">
        <f>'Waste - Landfills'!AB3*CH4_to_CO2e/1000</f>
        <v>2.7480991029933564</v>
      </c>
      <c r="AC47" s="44">
        <f>'Waste - Landfills'!AC3*CH4_to_CO2e/1000</f>
        <v>2.7712463288050415</v>
      </c>
      <c r="AD47" s="44">
        <f>'Waste - Landfills'!AD3*CH4_to_CO2e/1000</f>
        <v>2.7945885235908059</v>
      </c>
      <c r="AE47" s="44">
        <f>'Waste - Landfills'!AE3*CH4_to_CO2e/1000</f>
        <v>2.8181273295733993</v>
      </c>
      <c r="AF47" s="44">
        <f>'Waste - Landfills'!AF3*CH4_to_CO2e/1000</f>
        <v>2.8418644028080089</v>
      </c>
      <c r="AG47" s="44">
        <f>'Waste - Landfills'!AG3*CH4_to_CO2e/1000</f>
        <v>2.8658014132987644</v>
      </c>
      <c r="AH47" s="44">
        <f>'Waste - Landfills'!AH3*CH4_to_CO2e/1000</f>
        <v>2.8899400451162331</v>
      </c>
      <c r="AI47" s="44">
        <f>'Waste - Landfills'!AI3*CH4_to_CO2e/1000</f>
        <v>2.9142819965159021</v>
      </c>
      <c r="AJ47" s="44">
        <f>'Waste - Landfills'!AJ3*CH4_to_CO2e/1000</f>
        <v>2.938828980057655</v>
      </c>
      <c r="AK47" s="44">
        <f>'Waste - Landfills'!AK3*CH4_to_CO2e/1000</f>
        <v>2.963582722726259</v>
      </c>
    </row>
    <row r="48" spans="1:37">
      <c r="A48" s="38"/>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row>
    <row r="49" spans="1:37">
      <c r="A49" s="46" t="s">
        <v>26</v>
      </c>
      <c r="B49" s="44"/>
      <c r="C49" s="44"/>
      <c r="D49" s="44"/>
      <c r="E49" s="44"/>
      <c r="F49" s="44"/>
      <c r="G49" s="44"/>
      <c r="H49" s="44"/>
      <c r="I49" s="44"/>
      <c r="J49" s="44"/>
    </row>
    <row r="50" spans="1:37">
      <c r="A50" s="405" t="s">
        <v>740</v>
      </c>
      <c r="B50" s="44">
        <f>B62</f>
        <v>0.87078165233168503</v>
      </c>
      <c r="C50" s="44">
        <f t="shared" ref="C50:AK50" si="11">C62</f>
        <v>0.92422466229446476</v>
      </c>
      <c r="D50" s="44">
        <f t="shared" si="11"/>
        <v>0.9776676722572446</v>
      </c>
      <c r="E50" s="44">
        <f t="shared" si="11"/>
        <v>1.0311106822200242</v>
      </c>
      <c r="F50" s="44">
        <f t="shared" si="11"/>
        <v>1.0845536921828041</v>
      </c>
      <c r="G50" s="44">
        <f t="shared" si="11"/>
        <v>1.1379967021455839</v>
      </c>
      <c r="H50" s="44">
        <f t="shared" si="11"/>
        <v>1.1914397121083637</v>
      </c>
      <c r="I50" s="44">
        <f t="shared" si="11"/>
        <v>1.2448827220711434</v>
      </c>
      <c r="J50" s="44">
        <f t="shared" si="11"/>
        <v>1.2983257320339232</v>
      </c>
      <c r="K50" s="44">
        <f t="shared" si="11"/>
        <v>1.351768741996703</v>
      </c>
      <c r="L50" s="44">
        <f t="shared" si="11"/>
        <v>1.4052117519594829</v>
      </c>
      <c r="M50" s="44">
        <f t="shared" si="11"/>
        <v>1.4586547619222627</v>
      </c>
      <c r="N50" s="44">
        <f t="shared" si="11"/>
        <v>1.5120977718850424</v>
      </c>
      <c r="O50" s="44">
        <f t="shared" si="11"/>
        <v>1.5655407818478222</v>
      </c>
      <c r="P50" s="44">
        <f t="shared" si="11"/>
        <v>1.618983791810602</v>
      </c>
      <c r="Q50" s="44">
        <f t="shared" si="11"/>
        <v>1.6724268017733819</v>
      </c>
      <c r="R50" s="44">
        <f t="shared" si="11"/>
        <v>1.7258698117361617</v>
      </c>
      <c r="S50" s="44">
        <f t="shared" si="11"/>
        <v>1.7793128216989413</v>
      </c>
      <c r="T50" s="44">
        <f t="shared" si="11"/>
        <v>1.8327558316617212</v>
      </c>
      <c r="U50" s="44">
        <f t="shared" si="11"/>
        <v>1.886198841624501</v>
      </c>
      <c r="V50" s="44">
        <f t="shared" si="11"/>
        <v>1.9396418515872809</v>
      </c>
      <c r="W50" s="44">
        <f t="shared" si="11"/>
        <v>1.9930848615500607</v>
      </c>
      <c r="X50" s="44">
        <f t="shared" si="11"/>
        <v>2.0465278715128403</v>
      </c>
      <c r="Y50" s="44">
        <f t="shared" si="11"/>
        <v>2.0999708814756199</v>
      </c>
      <c r="Z50" s="44">
        <f t="shared" si="11"/>
        <v>2.1534138914384</v>
      </c>
      <c r="AA50" s="44">
        <f t="shared" si="11"/>
        <v>2.2068569014011796</v>
      </c>
      <c r="AB50" s="44">
        <f t="shared" si="11"/>
        <v>2.2602999113639592</v>
      </c>
      <c r="AC50" s="44">
        <f t="shared" si="11"/>
        <v>2.3137429213267393</v>
      </c>
      <c r="AD50" s="44">
        <f t="shared" si="11"/>
        <v>2.3671859312895189</v>
      </c>
      <c r="AE50" s="44">
        <f t="shared" si="11"/>
        <v>2.420628941252299</v>
      </c>
      <c r="AF50" s="44">
        <f t="shared" si="11"/>
        <v>2.4740719512150786</v>
      </c>
      <c r="AG50" s="44">
        <f t="shared" si="11"/>
        <v>2.5275149611778582</v>
      </c>
      <c r="AH50" s="44">
        <f t="shared" si="11"/>
        <v>2.5809579711406383</v>
      </c>
      <c r="AI50" s="44">
        <f t="shared" si="11"/>
        <v>2.6344009811034179</v>
      </c>
      <c r="AJ50" s="44">
        <f t="shared" si="11"/>
        <v>2.687843991066198</v>
      </c>
      <c r="AK50" s="44">
        <f t="shared" si="11"/>
        <v>2.7412870010289776</v>
      </c>
    </row>
    <row r="51" spans="1:37">
      <c r="A51" s="405" t="s">
        <v>129</v>
      </c>
      <c r="B51" s="43">
        <f>SUM(B53,B54,B55,B59,B61)</f>
        <v>6.3599999999999994</v>
      </c>
      <c r="C51" s="43">
        <f t="shared" ref="C51:AK51" si="12">SUM(C53,C54,C55,C59,C61)</f>
        <v>6.5555861164274019</v>
      </c>
      <c r="D51" s="43">
        <f t="shared" si="12"/>
        <v>6.6629554097937014</v>
      </c>
      <c r="E51" s="43">
        <f t="shared" si="12"/>
        <v>6.7642503302263073</v>
      </c>
      <c r="F51" s="43">
        <f t="shared" si="12"/>
        <v>6.8552774097847964</v>
      </c>
      <c r="G51" s="43">
        <f t="shared" si="12"/>
        <v>6.9564980784409709</v>
      </c>
      <c r="H51" s="43">
        <f t="shared" si="12"/>
        <v>7.0590669194410118</v>
      </c>
      <c r="I51" s="43">
        <f t="shared" si="12"/>
        <v>7.1580141651104663</v>
      </c>
      <c r="J51" s="43">
        <f t="shared" si="12"/>
        <v>7.2830944876766752</v>
      </c>
      <c r="K51" s="43">
        <f t="shared" si="12"/>
        <v>7.4089986394849516</v>
      </c>
      <c r="L51" s="43">
        <f t="shared" si="12"/>
        <v>7.5347084901039452</v>
      </c>
      <c r="M51" s="43">
        <f t="shared" si="12"/>
        <v>7.6612741082170785</v>
      </c>
      <c r="N51" s="43">
        <f t="shared" si="12"/>
        <v>7.7887119243171403</v>
      </c>
      <c r="O51" s="43">
        <f t="shared" si="12"/>
        <v>7.9170386843612182</v>
      </c>
      <c r="P51" s="43">
        <f t="shared" si="12"/>
        <v>8.0462714558276769</v>
      </c>
      <c r="Q51" s="43">
        <f t="shared" si="12"/>
        <v>8.175780298199518</v>
      </c>
      <c r="R51" s="43">
        <f t="shared" si="12"/>
        <v>8.306230276325433</v>
      </c>
      <c r="S51" s="43">
        <f t="shared" si="12"/>
        <v>8.437639459763151</v>
      </c>
      <c r="T51" s="43">
        <f t="shared" si="12"/>
        <v>8.5700262650047492</v>
      </c>
      <c r="U51" s="43">
        <f t="shared" si="12"/>
        <v>8.7034094621378664</v>
      </c>
      <c r="V51" s="43">
        <f t="shared" si="12"/>
        <v>8.8377411999203659</v>
      </c>
      <c r="W51" s="43">
        <f t="shared" si="12"/>
        <v>8.9731079578429274</v>
      </c>
      <c r="X51" s="43">
        <f t="shared" si="12"/>
        <v>9.1095296080380841</v>
      </c>
      <c r="Y51" s="43">
        <f t="shared" si="12"/>
        <v>9.2470264041822592</v>
      </c>
      <c r="Z51" s="43">
        <f t="shared" si="12"/>
        <v>9.3856189888214967</v>
      </c>
      <c r="AA51" s="43">
        <f t="shared" si="12"/>
        <v>9.5255001156819059</v>
      </c>
      <c r="AB51" s="43">
        <f t="shared" si="12"/>
        <v>9.6665195127467083</v>
      </c>
      <c r="AC51" s="43">
        <f t="shared" si="12"/>
        <v>9.8086990345447198</v>
      </c>
      <c r="AD51" s="43">
        <f t="shared" si="12"/>
        <v>9.952060955210726</v>
      </c>
      <c r="AE51" s="43">
        <f t="shared" si="12"/>
        <v>10.096627976541974</v>
      </c>
      <c r="AF51" s="43">
        <f t="shared" si="12"/>
        <v>10.242443622818493</v>
      </c>
      <c r="AG51" s="43">
        <f t="shared" si="12"/>
        <v>10.389511089344431</v>
      </c>
      <c r="AH51" s="43">
        <f t="shared" si="12"/>
        <v>10.537854410804931</v>
      </c>
      <c r="AI51" s="43">
        <f t="shared" si="12"/>
        <v>10.687498083350309</v>
      </c>
      <c r="AJ51" s="43">
        <f t="shared" si="12"/>
        <v>10.838467073456117</v>
      </c>
      <c r="AK51" s="43">
        <f t="shared" si="12"/>
        <v>10.99078682695345</v>
      </c>
    </row>
    <row r="52" spans="1:37">
      <c r="A52" s="405" t="s">
        <v>130</v>
      </c>
      <c r="B52" s="43">
        <f>SUM(B56:B58,B60)</f>
        <v>11.452968420647384</v>
      </c>
      <c r="C52" s="43">
        <f t="shared" ref="C52:AK52" si="13">SUM(C56:C58,C60)</f>
        <v>11.629328839311579</v>
      </c>
      <c r="D52" s="43">
        <f t="shared" si="13"/>
        <v>11.805689257975777</v>
      </c>
      <c r="E52" s="43">
        <f t="shared" si="13"/>
        <v>11.982049676639969</v>
      </c>
      <c r="F52" s="43">
        <f t="shared" si="13"/>
        <v>12.158410095304166</v>
      </c>
      <c r="G52" s="43">
        <f t="shared" si="13"/>
        <v>12.329228903352327</v>
      </c>
      <c r="H52" s="43">
        <f t="shared" si="13"/>
        <v>12.500047711400487</v>
      </c>
      <c r="I52" s="43">
        <f t="shared" si="13"/>
        <v>12.670866519448655</v>
      </c>
      <c r="J52" s="43">
        <f t="shared" si="13"/>
        <v>12.841685327496817</v>
      </c>
      <c r="K52" s="43">
        <f t="shared" si="13"/>
        <v>13.012504135544981</v>
      </c>
      <c r="L52" s="43">
        <f t="shared" si="13"/>
        <v>13.172653332619488</v>
      </c>
      <c r="M52" s="43">
        <f t="shared" si="13"/>
        <v>13.332802529693993</v>
      </c>
      <c r="N52" s="43">
        <f t="shared" si="13"/>
        <v>13.492951726768499</v>
      </c>
      <c r="O52" s="43">
        <f t="shared" si="13"/>
        <v>13.653100923843002</v>
      </c>
      <c r="P52" s="43">
        <f t="shared" si="13"/>
        <v>13.813250120917509</v>
      </c>
      <c r="Q52" s="43">
        <f t="shared" si="13"/>
        <v>13.96675987473883</v>
      </c>
      <c r="R52" s="43">
        <f t="shared" si="13"/>
        <v>14.120269628560145</v>
      </c>
      <c r="S52" s="43">
        <f t="shared" si="13"/>
        <v>14.273779382381463</v>
      </c>
      <c r="T52" s="43">
        <f t="shared" si="13"/>
        <v>14.427289136202775</v>
      </c>
      <c r="U52" s="43">
        <f t="shared" si="13"/>
        <v>14.580798890024095</v>
      </c>
      <c r="V52" s="43">
        <f t="shared" si="13"/>
        <v>14.733670998635498</v>
      </c>
      <c r="W52" s="43">
        <f t="shared" si="13"/>
        <v>14.886543107246892</v>
      </c>
      <c r="X52" s="43">
        <f t="shared" si="13"/>
        <v>15.039415215858295</v>
      </c>
      <c r="Y52" s="43">
        <f t="shared" si="13"/>
        <v>15.192287324469687</v>
      </c>
      <c r="Z52" s="43">
        <f t="shared" si="13"/>
        <v>15.34515943308109</v>
      </c>
      <c r="AA52" s="43">
        <f t="shared" si="13"/>
        <v>15.499661200671454</v>
      </c>
      <c r="AB52" s="43">
        <f t="shared" si="13"/>
        <v>15.654162968261828</v>
      </c>
      <c r="AC52" s="43">
        <f t="shared" si="13"/>
        <v>15.808664735852195</v>
      </c>
      <c r="AD52" s="43">
        <f t="shared" si="13"/>
        <v>15.963166503442563</v>
      </c>
      <c r="AE52" s="43">
        <f t="shared" si="13"/>
        <v>16.117668271032933</v>
      </c>
      <c r="AF52" s="43">
        <f t="shared" si="13"/>
        <v>16.272332219401616</v>
      </c>
      <c r="AG52" s="43">
        <f t="shared" si="13"/>
        <v>16.426996167770298</v>
      </c>
      <c r="AH52" s="43">
        <f t="shared" si="13"/>
        <v>16.58166011613898</v>
      </c>
      <c r="AI52" s="43">
        <f t="shared" si="13"/>
        <v>16.736324064507656</v>
      </c>
      <c r="AJ52" s="43">
        <f t="shared" si="13"/>
        <v>16.890988012876338</v>
      </c>
      <c r="AK52" s="43">
        <f t="shared" si="13"/>
        <v>17.045651961245021</v>
      </c>
    </row>
    <row r="53" spans="1:37">
      <c r="A53" s="298" t="s">
        <v>167</v>
      </c>
      <c r="B53" s="44">
        <f>'Agriculture - Soil Mgmt'!B100*N2O_to_CO2e/1000*'Agriculture - Soil Mgmt'!$B107</f>
        <v>3.0206169363347608</v>
      </c>
      <c r="C53" s="44">
        <f>'Agriculture - Soil Mgmt'!C100*N2O_to_CO2e/1000*'Agriculture - Soil Mgmt'!$B107</f>
        <v>3.0861586245759751</v>
      </c>
      <c r="D53" s="44">
        <f>'Agriculture - Soil Mgmt'!D100*N2O_to_CO2e/1000*'Agriculture - Soil Mgmt'!$B107</f>
        <v>3.1517003128172059</v>
      </c>
      <c r="E53" s="44">
        <f>'Agriculture - Soil Mgmt'!E100*N2O_to_CO2e/1000*'Agriculture - Soil Mgmt'!$B107</f>
        <v>3.2172420010584375</v>
      </c>
      <c r="F53" s="44">
        <f>'Agriculture - Soil Mgmt'!F100*N2O_to_CO2e/1000*'Agriculture - Soil Mgmt'!$B107</f>
        <v>3.2827836892996518</v>
      </c>
      <c r="G53" s="44">
        <f>'Agriculture - Soil Mgmt'!G100*N2O_to_CO2e/1000*'Agriculture - Soil Mgmt'!$B107</f>
        <v>3.348325377540883</v>
      </c>
      <c r="H53" s="44">
        <f>'Agriculture - Soil Mgmt'!H100*N2O_to_CO2e/1000*'Agriculture - Soil Mgmt'!$B107</f>
        <v>3.4138670657821142</v>
      </c>
      <c r="I53" s="44">
        <f>'Agriculture - Soil Mgmt'!I100*N2O_to_CO2e/1000*'Agriculture - Soil Mgmt'!$B107</f>
        <v>3.4794087540233281</v>
      </c>
      <c r="J53" s="44">
        <f>'Agriculture - Soil Mgmt'!J100*N2O_to_CO2e/1000*'Agriculture - Soil Mgmt'!$B107</f>
        <v>3.5449504422645592</v>
      </c>
      <c r="K53" s="44">
        <f>'Agriculture - Soil Mgmt'!K100*N2O_to_CO2e/1000*'Agriculture - Soil Mgmt'!$B107</f>
        <v>3.6104921305057909</v>
      </c>
      <c r="L53" s="44">
        <f>'Agriculture - Soil Mgmt'!L100*N2O_to_CO2e/1000*'Agriculture - Soil Mgmt'!$B107</f>
        <v>3.6760338187470052</v>
      </c>
      <c r="M53" s="44">
        <f>'Agriculture - Soil Mgmt'!M100*N2O_to_CO2e/1000*'Agriculture - Soil Mgmt'!$B107</f>
        <v>3.7415755069882373</v>
      </c>
      <c r="N53" s="44">
        <f>'Agriculture - Soil Mgmt'!N100*N2O_to_CO2e/1000*'Agriculture - Soil Mgmt'!$B107</f>
        <v>3.8071171952294667</v>
      </c>
      <c r="O53" s="44">
        <f>'Agriculture - Soil Mgmt'!O100*N2O_to_CO2e/1000*'Agriculture - Soil Mgmt'!$B107</f>
        <v>3.872658883470681</v>
      </c>
      <c r="P53" s="44">
        <f>'Agriculture - Soil Mgmt'!P100*N2O_to_CO2e/1000*'Agriculture - Soil Mgmt'!$B107</f>
        <v>3.9382005717119131</v>
      </c>
      <c r="Q53" s="44">
        <f>'Agriculture - Soil Mgmt'!Q100*N2O_to_CO2e/1000*'Agriculture - Soil Mgmt'!$B107</f>
        <v>4.0037422599531443</v>
      </c>
      <c r="R53" s="44">
        <f>'Agriculture - Soil Mgmt'!R100*N2O_to_CO2e/1000*'Agriculture - Soil Mgmt'!$B107</f>
        <v>4.0692839481943581</v>
      </c>
      <c r="S53" s="44">
        <f>'Agriculture - Soil Mgmt'!S100*N2O_to_CO2e/1000*'Agriculture - Soil Mgmt'!$B107</f>
        <v>4.1348256364355906</v>
      </c>
      <c r="T53" s="44">
        <f>'Agriculture - Soil Mgmt'!T100*N2O_to_CO2e/1000*'Agriculture - Soil Mgmt'!$B107</f>
        <v>4.2003673246768214</v>
      </c>
      <c r="U53" s="44">
        <f>'Agriculture - Soil Mgmt'!U100*N2O_to_CO2e/1000*'Agriculture - Soil Mgmt'!$B107</f>
        <v>4.2659090129180353</v>
      </c>
      <c r="V53" s="44">
        <f>'Agriculture - Soil Mgmt'!V100*N2O_to_CO2e/1000*'Agriculture - Soil Mgmt'!$B107</f>
        <v>4.3314507011592669</v>
      </c>
      <c r="W53" s="44">
        <f>'Agriculture - Soil Mgmt'!W100*N2O_to_CO2e/1000*'Agriculture - Soil Mgmt'!$B107</f>
        <v>4.3969923894004976</v>
      </c>
      <c r="X53" s="44">
        <f>'Agriculture - Soil Mgmt'!X100*N2O_to_CO2e/1000*'Agriculture - Soil Mgmt'!$B107</f>
        <v>4.4625340776417284</v>
      </c>
      <c r="Y53" s="44">
        <f>'Agriculture - Soil Mgmt'!Y100*N2O_to_CO2e/1000*'Agriculture - Soil Mgmt'!$B107</f>
        <v>4.5280757658829431</v>
      </c>
      <c r="Z53" s="44">
        <f>'Agriculture - Soil Mgmt'!Z100*N2O_to_CO2e/1000*'Agriculture - Soil Mgmt'!$B107</f>
        <v>4.5936174541241739</v>
      </c>
      <c r="AA53" s="44">
        <f>'Agriculture - Soil Mgmt'!AA100*N2O_to_CO2e/1000*'Agriculture - Soil Mgmt'!$B107</f>
        <v>4.6591591423654055</v>
      </c>
      <c r="AB53" s="44">
        <f>'Agriculture - Soil Mgmt'!AB100*N2O_to_CO2e/1000*'Agriculture - Soil Mgmt'!$B107</f>
        <v>4.7247008306066203</v>
      </c>
      <c r="AC53" s="44">
        <f>'Agriculture - Soil Mgmt'!AC100*N2O_to_CO2e/1000*'Agriculture - Soil Mgmt'!$B107</f>
        <v>4.790242518847851</v>
      </c>
      <c r="AD53" s="44">
        <f>'Agriculture - Soil Mgmt'!AD100*N2O_to_CO2e/1000*'Agriculture - Soil Mgmt'!$B107</f>
        <v>4.8557842070890826</v>
      </c>
      <c r="AE53" s="44">
        <f>'Agriculture - Soil Mgmt'!AE100*N2O_to_CO2e/1000*'Agriculture - Soil Mgmt'!$B107</f>
        <v>4.9213258953302965</v>
      </c>
      <c r="AF53" s="44">
        <f>'Agriculture - Soil Mgmt'!AF100*N2O_to_CO2e/1000*'Agriculture - Soil Mgmt'!$B107</f>
        <v>4.9868675835715273</v>
      </c>
      <c r="AG53" s="44">
        <f>'Agriculture - Soil Mgmt'!AG100*N2O_to_CO2e/1000*'Agriculture - Soil Mgmt'!$B107</f>
        <v>5.0524092718127589</v>
      </c>
      <c r="AH53" s="44">
        <f>'Agriculture - Soil Mgmt'!AH100*N2O_to_CO2e/1000*'Agriculture - Soil Mgmt'!$B107</f>
        <v>5.1179509600539728</v>
      </c>
      <c r="AI53" s="44">
        <f>'Agriculture - Soil Mgmt'!AI100*N2O_to_CO2e/1000*'Agriculture - Soil Mgmt'!$B107</f>
        <v>5.1834926482952044</v>
      </c>
      <c r="AJ53" s="44">
        <f>'Agriculture - Soil Mgmt'!AJ100*N2O_to_CO2e/1000*'Agriculture - Soil Mgmt'!$B107</f>
        <v>5.2490343365364343</v>
      </c>
      <c r="AK53" s="44">
        <f>'Agriculture - Soil Mgmt'!AK100*N2O_to_CO2e/1000*'Agriculture - Soil Mgmt'!$B107</f>
        <v>5.3145760247776499</v>
      </c>
    </row>
    <row r="54" spans="1:37">
      <c r="A54" s="298" t="s">
        <v>168</v>
      </c>
      <c r="B54" s="44">
        <f>'Agriculture - Soil Mgmt'!B101*N2O_to_CO2e/1000*'Agriculture - Soil Mgmt'!$B107</f>
        <v>1.0540273696355009</v>
      </c>
      <c r="C54" s="44">
        <f>'Agriculture - Soil Mgmt'!C101*N2O_to_CO2e/1000*'Agriculture - Soil Mgmt'!$B107</f>
        <v>1.1130911593312167</v>
      </c>
      <c r="D54" s="44">
        <f>'Agriculture - Soil Mgmt'!D101*N2O_to_CO2e/1000*'Agriculture - Soil Mgmt'!$B107</f>
        <v>1.1259954336666678</v>
      </c>
      <c r="E54" s="44">
        <f>'Agriculture - Soil Mgmt'!E101*N2O_to_CO2e/1000*'Agriculture - Soil Mgmt'!$B107</f>
        <v>1.1357212880476548</v>
      </c>
      <c r="F54" s="44">
        <f>'Agriculture - Soil Mgmt'!F101*N2O_to_CO2e/1000*'Agriculture - Soil Mgmt'!$B107</f>
        <v>1.1400744873941673</v>
      </c>
      <c r="G54" s="44">
        <f>'Agriculture - Soil Mgmt'!G101*N2O_to_CO2e/1000*'Agriculture - Soil Mgmt'!$B107</f>
        <v>1.1500422859910653</v>
      </c>
      <c r="H54" s="44">
        <f>'Agriculture - Soil Mgmt'!H101*N2O_to_CO2e/1000*'Agriculture - Soil Mgmt'!$B107</f>
        <v>1.1607155167250056</v>
      </c>
      <c r="I54" s="44">
        <f>'Agriculture - Soil Mgmt'!I101*N2O_to_CO2e/1000*'Agriculture - Soil Mgmt'!$B107</f>
        <v>1.1694937451284455</v>
      </c>
      <c r="J54" s="44">
        <f>'Agriculture - Soil Mgmt'!J101*N2O_to_CO2e/1000*'Agriculture - Soil Mgmt'!$B107</f>
        <v>1.1919461245902405</v>
      </c>
      <c r="K54" s="44">
        <f>'Agriculture - Soil Mgmt'!K101*N2O_to_CO2e/1000*'Agriculture - Soil Mgmt'!$B107</f>
        <v>1.2148295732884216</v>
      </c>
      <c r="L54" s="44">
        <f>'Agriculture - Soil Mgmt'!L101*N2O_to_CO2e/1000*'Agriculture - Soil Mgmt'!$B107</f>
        <v>1.238152367626369</v>
      </c>
      <c r="M54" s="44">
        <f>'Agriculture - Soil Mgmt'!M101*N2O_to_CO2e/1000*'Agriculture - Soil Mgmt'!$B107</f>
        <v>1.2619229429137888</v>
      </c>
      <c r="N54" s="44">
        <f>'Agriculture - Soil Mgmt'!N101*N2O_to_CO2e/1000*'Agriculture - Soil Mgmt'!$B107</f>
        <v>1.2861498964177192</v>
      </c>
      <c r="O54" s="44">
        <f>'Agriculture - Soil Mgmt'!O101*N2O_to_CO2e/1000*'Agriculture - Soil Mgmt'!$B107</f>
        <v>1.3108419904721151</v>
      </c>
      <c r="P54" s="44">
        <f>'Agriculture - Soil Mgmt'!P101*N2O_to_CO2e/1000*'Agriculture - Soil Mgmt'!$B107</f>
        <v>1.3360081556471424</v>
      </c>
      <c r="Q54" s="44">
        <f>'Agriculture - Soil Mgmt'!Q101*N2O_to_CO2e/1000*'Agriculture - Soil Mgmt'!$B107</f>
        <v>1.3616574939793145</v>
      </c>
      <c r="R54" s="44">
        <f>'Agriculture - Soil Mgmt'!R101*N2O_to_CO2e/1000*'Agriculture - Soil Mgmt'!$B107</f>
        <v>1.3877992822636571</v>
      </c>
      <c r="S54" s="44">
        <f>'Agriculture - Soil Mgmt'!S101*N2O_to_CO2e/1000*'Agriculture - Soil Mgmt'!$B107</f>
        <v>1.4144429754090744</v>
      </c>
      <c r="T54" s="44">
        <f>'Agriculture - Soil Mgmt'!T101*N2O_to_CO2e/1000*'Agriculture - Soil Mgmt'!$B107</f>
        <v>1.441598209858145</v>
      </c>
      <c r="U54" s="44">
        <f>'Agriculture - Soil Mgmt'!U101*N2O_to_CO2e/1000*'Agriculture - Soil Mgmt'!$B107</f>
        <v>1.4692748070725736</v>
      </c>
      <c r="V54" s="44">
        <f>'Agriculture - Soil Mgmt'!V101*N2O_to_CO2e/1000*'Agriculture - Soil Mgmt'!$B107</f>
        <v>1.497482777085567</v>
      </c>
      <c r="W54" s="44">
        <f>'Agriculture - Soil Mgmt'!W101*N2O_to_CO2e/1000*'Agriculture - Soil Mgmt'!$B107</f>
        <v>1.5262323221224137</v>
      </c>
      <c r="X54" s="44">
        <f>'Agriculture - Soil Mgmt'!X101*N2O_to_CO2e/1000*'Agriculture - Soil Mgmt'!$B107</f>
        <v>1.5555338402905801</v>
      </c>
      <c r="Y54" s="44">
        <f>'Agriculture - Soil Mgmt'!Y101*N2O_to_CO2e/1000*'Agriculture - Soil Mgmt'!$B107</f>
        <v>1.585397929340659</v>
      </c>
      <c r="Z54" s="44">
        <f>'Agriculture - Soil Mgmt'!Z101*N2O_to_CO2e/1000*'Agriculture - Soil Mgmt'!$B107</f>
        <v>1.6158353904995215</v>
      </c>
      <c r="AA54" s="44">
        <f>'Agriculture - Soil Mgmt'!AA101*N2O_to_CO2e/1000*'Agriculture - Soil Mgmt'!$B107</f>
        <v>1.6468572323770767</v>
      </c>
      <c r="AB54" s="44">
        <f>'Agriculture - Soil Mgmt'!AB101*N2O_to_CO2e/1000*'Agriculture - Soil Mgmt'!$B107</f>
        <v>1.6784746749480293</v>
      </c>
      <c r="AC54" s="44">
        <f>'Agriculture - Soil Mgmt'!AC101*N2O_to_CO2e/1000*'Agriculture - Soil Mgmt'!$B107</f>
        <v>1.7106991536100975</v>
      </c>
      <c r="AD54" s="44">
        <f>'Agriculture - Soil Mgmt'!AD101*N2O_to_CO2e/1000*'Agriculture - Soil Mgmt'!$B107</f>
        <v>1.7435423233201452</v>
      </c>
      <c r="AE54" s="44">
        <f>'Agriculture - Soil Mgmt'!AE101*N2O_to_CO2e/1000*'Agriculture - Soil Mgmt'!$B107</f>
        <v>1.7770160628097262</v>
      </c>
      <c r="AF54" s="44">
        <f>'Agriculture - Soil Mgmt'!AF101*N2O_to_CO2e/1000*'Agriculture - Soil Mgmt'!$B107</f>
        <v>1.8111324788815695</v>
      </c>
      <c r="AG54" s="44">
        <f>'Agriculture - Soil Mgmt'!AG101*N2O_to_CO2e/1000*'Agriculture - Soil Mgmt'!$B107</f>
        <v>1.8459039107885591</v>
      </c>
      <c r="AH54" s="44">
        <f>'Agriculture - Soil Mgmt'!AH101*N2O_to_CO2e/1000*'Agriculture - Soil Mgmt'!$B107</f>
        <v>1.8813429346967849</v>
      </c>
      <c r="AI54" s="44">
        <f>'Agriculture - Soil Mgmt'!AI101*N2O_to_CO2e/1000*'Agriculture - Soil Mgmt'!$B107</f>
        <v>1.9174623682342937</v>
      </c>
      <c r="AJ54" s="44">
        <f>'Agriculture - Soil Mgmt'!AJ101*N2O_to_CO2e/1000*'Agriculture - Soil Mgmt'!$B107</f>
        <v>1.954275275127167</v>
      </c>
      <c r="AK54" s="44">
        <f>'Agriculture - Soil Mgmt'!AK101*N2O_to_CO2e/1000*'Agriculture - Soil Mgmt'!$B107</f>
        <v>1.9917949699246182</v>
      </c>
    </row>
    <row r="55" spans="1:37">
      <c r="A55" s="298" t="s">
        <v>131</v>
      </c>
      <c r="B55" s="44">
        <f>'Agriculture - EF &amp; Manure Mgmt'!B58*N2O_to_CO2e/1000</f>
        <v>1.325</v>
      </c>
      <c r="C55" s="44">
        <f>'Agriculture - EF &amp; Manure Mgmt'!C58*N2O_to_CO2e/1000</f>
        <v>1.3421658625374813</v>
      </c>
      <c r="D55" s="44">
        <f>'Agriculture - EF &amp; Manure Mgmt'!D58*N2O_to_CO2e/1000</f>
        <v>1.3593317250749624</v>
      </c>
      <c r="E55" s="44">
        <f>'Agriculture - EF &amp; Manure Mgmt'!E58*N2O_to_CO2e/1000</f>
        <v>1.3764975876124439</v>
      </c>
      <c r="F55" s="44">
        <f>'Agriculture - EF &amp; Manure Mgmt'!F58*N2O_to_CO2e/1000</f>
        <v>1.3936634501499245</v>
      </c>
      <c r="G55" s="44">
        <f>'Agriculture - EF &amp; Manure Mgmt'!G58*N2O_to_CO2e/1000</f>
        <v>1.4102926741220525</v>
      </c>
      <c r="H55" s="44">
        <f>'Agriculture - EF &amp; Manure Mgmt'!H58*N2O_to_CO2e/1000</f>
        <v>1.4269218980941798</v>
      </c>
      <c r="I55" s="44">
        <f>'Agriculture - EF &amp; Manure Mgmt'!I58*N2O_to_CO2e/1000</f>
        <v>1.4435511220663071</v>
      </c>
      <c r="J55" s="44">
        <f>'Agriculture - EF &amp; Manure Mgmt'!J58*N2O_to_CO2e/1000</f>
        <v>1.4601803460384344</v>
      </c>
      <c r="K55" s="44">
        <f>'Agriculture - EF &amp; Manure Mgmt'!K58*N2O_to_CO2e/1000</f>
        <v>1.4768095700105621</v>
      </c>
      <c r="L55" s="44">
        <f>'Agriculture - EF &amp; Manure Mgmt'!L58*N2O_to_CO2e/1000</f>
        <v>1.4924048462706361</v>
      </c>
      <c r="M55" s="44">
        <f>'Agriculture - EF &amp; Manure Mgmt'!M58*N2O_to_CO2e/1000</f>
        <v>1.5080001225307096</v>
      </c>
      <c r="N55" s="44">
        <f>'Agriculture - EF &amp; Manure Mgmt'!N58*N2O_to_CO2e/1000</f>
        <v>1.5235953987907833</v>
      </c>
      <c r="O55" s="44">
        <f>'Agriculture - EF &amp; Manure Mgmt'!O58*N2O_to_CO2e/1000</f>
        <v>1.5391906750508568</v>
      </c>
      <c r="P55" s="44">
        <f>'Agriculture - EF &amp; Manure Mgmt'!P58*N2O_to_CO2e/1000</f>
        <v>1.5547859513109301</v>
      </c>
      <c r="Q55" s="44">
        <f>'Agriculture - EF &amp; Manure Mgmt'!Q58*N2O_to_CO2e/1000</f>
        <v>1.5697338918812564</v>
      </c>
      <c r="R55" s="44">
        <f>'Agriculture - EF &amp; Manure Mgmt'!R58*N2O_to_CO2e/1000</f>
        <v>1.5846818324515819</v>
      </c>
      <c r="S55" s="44">
        <f>'Agriculture - EF &amp; Manure Mgmt'!S58*N2O_to_CO2e/1000</f>
        <v>1.5996297730219069</v>
      </c>
      <c r="T55" s="44">
        <f>'Agriculture - EF &amp; Manure Mgmt'!T58*N2O_to_CO2e/1000</f>
        <v>1.6145777135922323</v>
      </c>
      <c r="U55" s="44">
        <f>'Agriculture - EF &amp; Manure Mgmt'!U58*N2O_to_CO2e/1000</f>
        <v>1.6295256541625576</v>
      </c>
      <c r="V55" s="44">
        <f>'Agriculture - EF &amp; Manure Mgmt'!V58*N2O_to_CO2e/1000</f>
        <v>1.6444066130184463</v>
      </c>
      <c r="W55" s="44">
        <f>'Agriculture - EF &amp; Manure Mgmt'!W58*N2O_to_CO2e/1000</f>
        <v>1.6592875718743341</v>
      </c>
      <c r="X55" s="44">
        <f>'Agriculture - EF &amp; Manure Mgmt'!X58*N2O_to_CO2e/1000</f>
        <v>1.6741685307302223</v>
      </c>
      <c r="Y55" s="44">
        <f>'Agriculture - EF &amp; Manure Mgmt'!Y58*N2O_to_CO2e/1000</f>
        <v>1.6890494895861106</v>
      </c>
      <c r="Z55" s="44">
        <f>'Agriculture - EF &amp; Manure Mgmt'!Z58*N2O_to_CO2e/1000</f>
        <v>1.703930448441999</v>
      </c>
      <c r="AA55" s="44">
        <f>'Agriculture - EF &amp; Manure Mgmt'!AA58*N2O_to_CO2e/1000</f>
        <v>1.718983122142105</v>
      </c>
      <c r="AB55" s="44">
        <f>'Agriculture - EF &amp; Manure Mgmt'!AB58*N2O_to_CO2e/1000</f>
        <v>1.734035795842211</v>
      </c>
      <c r="AC55" s="44">
        <f>'Agriculture - EF &amp; Manure Mgmt'!AC58*N2O_to_CO2e/1000</f>
        <v>1.7490884695423177</v>
      </c>
      <c r="AD55" s="44">
        <f>'Agriculture - EF &amp; Manure Mgmt'!AD58*N2O_to_CO2e/1000</f>
        <v>1.7641411432424234</v>
      </c>
      <c r="AE55" s="44">
        <f>'Agriculture - EF &amp; Manure Mgmt'!AE58*N2O_to_CO2e/1000</f>
        <v>1.7791938169425296</v>
      </c>
      <c r="AF55" s="44">
        <f>'Agriculture - EF &amp; Manure Mgmt'!AF58*N2O_to_CO2e/1000</f>
        <v>1.7942668772517534</v>
      </c>
      <c r="AG55" s="44">
        <f>'Agriculture - EF &amp; Manure Mgmt'!AG58*N2O_to_CO2e/1000</f>
        <v>1.8093399375609769</v>
      </c>
      <c r="AH55" s="44">
        <f>'Agriculture - EF &amp; Manure Mgmt'!AH58*N2O_to_CO2e/1000</f>
        <v>1.8244129978702002</v>
      </c>
      <c r="AI55" s="44">
        <f>'Agriculture - EF &amp; Manure Mgmt'!AI58*N2O_to_CO2e/1000</f>
        <v>1.8394860581794239</v>
      </c>
      <c r="AJ55" s="44">
        <f>'Agriculture - EF &amp; Manure Mgmt'!AJ58*N2O_to_CO2e/1000</f>
        <v>1.8545591184886476</v>
      </c>
      <c r="AK55" s="44">
        <f>'Agriculture - EF &amp; Manure Mgmt'!AK58*N2O_to_CO2e/1000</f>
        <v>1.8696321787978714</v>
      </c>
    </row>
    <row r="56" spans="1:37">
      <c r="A56" s="298" t="s">
        <v>132</v>
      </c>
      <c r="B56" s="44">
        <f>'Agriculture - Rice Cultivation'!B3</f>
        <v>0</v>
      </c>
      <c r="C56" s="44">
        <f>'Agriculture - Rice Cultivation'!C3</f>
        <v>0</v>
      </c>
      <c r="D56" s="44">
        <f>'Agriculture - Rice Cultivation'!D3</f>
        <v>0</v>
      </c>
      <c r="E56" s="44">
        <f>'Agriculture - Rice Cultivation'!E3</f>
        <v>0</v>
      </c>
      <c r="F56" s="44">
        <f>'Agriculture - Rice Cultivation'!F3</f>
        <v>0</v>
      </c>
      <c r="G56" s="44">
        <f>'Agriculture - Rice Cultivation'!G3</f>
        <v>0</v>
      </c>
      <c r="H56" s="44">
        <f>'Agriculture - Rice Cultivation'!H3</f>
        <v>0</v>
      </c>
      <c r="I56" s="44">
        <f>'Agriculture - Rice Cultivation'!I3</f>
        <v>0</v>
      </c>
      <c r="J56" s="44">
        <f>'Agriculture - Rice Cultivation'!J3</f>
        <v>0</v>
      </c>
      <c r="K56" s="44">
        <f>'Agriculture - Rice Cultivation'!K3</f>
        <v>0</v>
      </c>
      <c r="L56" s="44">
        <f>'Agriculture - Rice Cultivation'!L3</f>
        <v>0</v>
      </c>
      <c r="M56" s="44">
        <f>'Agriculture - Rice Cultivation'!M3</f>
        <v>0</v>
      </c>
      <c r="N56" s="44">
        <f>'Agriculture - Rice Cultivation'!N3</f>
        <v>0</v>
      </c>
      <c r="O56" s="44">
        <f>'Agriculture - Rice Cultivation'!O3</f>
        <v>0</v>
      </c>
      <c r="P56" s="44">
        <f>'Agriculture - Rice Cultivation'!P3</f>
        <v>0</v>
      </c>
      <c r="Q56" s="44">
        <f>'Agriculture - Rice Cultivation'!Q3</f>
        <v>0</v>
      </c>
      <c r="R56" s="44">
        <f>'Agriculture - Rice Cultivation'!R3</f>
        <v>0</v>
      </c>
      <c r="S56" s="44">
        <f>'Agriculture - Rice Cultivation'!S3</f>
        <v>0</v>
      </c>
      <c r="T56" s="44">
        <f>'Agriculture - Rice Cultivation'!T3</f>
        <v>0</v>
      </c>
      <c r="U56" s="44">
        <f>'Agriculture - Rice Cultivation'!U3</f>
        <v>0</v>
      </c>
      <c r="V56" s="44">
        <f>'Agriculture - Rice Cultivation'!V3</f>
        <v>0</v>
      </c>
      <c r="W56" s="44">
        <f>'Agriculture - Rice Cultivation'!W3</f>
        <v>0</v>
      </c>
      <c r="X56" s="44">
        <f>'Agriculture - Rice Cultivation'!X3</f>
        <v>0</v>
      </c>
      <c r="Y56" s="44">
        <f>'Agriculture - Rice Cultivation'!Y3</f>
        <v>0</v>
      </c>
      <c r="Z56" s="44">
        <f>'Agriculture - Rice Cultivation'!Z3</f>
        <v>0</v>
      </c>
      <c r="AA56" s="44">
        <f>'Agriculture - Rice Cultivation'!AA3</f>
        <v>0</v>
      </c>
      <c r="AB56" s="44">
        <f>'Agriculture - Rice Cultivation'!AB3</f>
        <v>0</v>
      </c>
      <c r="AC56" s="44">
        <f>'Agriculture - Rice Cultivation'!AC3</f>
        <v>0</v>
      </c>
      <c r="AD56" s="44">
        <f>'Agriculture - Rice Cultivation'!AD3</f>
        <v>0</v>
      </c>
      <c r="AE56" s="44">
        <f>'Agriculture - Rice Cultivation'!AE3</f>
        <v>0</v>
      </c>
      <c r="AF56" s="44">
        <f>'Agriculture - Rice Cultivation'!AF3</f>
        <v>0</v>
      </c>
      <c r="AG56" s="44">
        <f>'Agriculture - Rice Cultivation'!AG3</f>
        <v>0</v>
      </c>
      <c r="AH56" s="44">
        <f>'Agriculture - Rice Cultivation'!AH3</f>
        <v>0</v>
      </c>
      <c r="AI56" s="44">
        <f>'Agriculture - Rice Cultivation'!AI3</f>
        <v>0</v>
      </c>
      <c r="AJ56" s="44">
        <f>'Agriculture - Rice Cultivation'!AJ3</f>
        <v>0</v>
      </c>
      <c r="AK56" s="44">
        <f>'Agriculture - Rice Cultivation'!AK3</f>
        <v>0</v>
      </c>
    </row>
    <row r="57" spans="1:37">
      <c r="A57" s="298" t="s">
        <v>133</v>
      </c>
      <c r="B57" s="44">
        <f>'Agriculture - EF &amp; Manure Mgmt'!B30*CH4_to_CO2e/1000</f>
        <v>10.64</v>
      </c>
      <c r="C57" s="44">
        <f>'Agriculture - EF &amp; Manure Mgmt'!C30*CH4_to_CO2e/1000</f>
        <v>10.797856367398349</v>
      </c>
      <c r="D57" s="44">
        <f>'Agriculture - EF &amp; Manure Mgmt'!D30*CH4_to_CO2e/1000</f>
        <v>10.955712734796702</v>
      </c>
      <c r="E57" s="44">
        <f>'Agriculture - EF &amp; Manure Mgmt'!E30*CH4_to_CO2e/1000</f>
        <v>11.113569102195049</v>
      </c>
      <c r="F57" s="44">
        <f>'Agriculture - EF &amp; Manure Mgmt'!F30*CH4_to_CO2e/1000</f>
        <v>11.2714254695934</v>
      </c>
      <c r="G57" s="44">
        <f>'Agriculture - EF &amp; Manure Mgmt'!G30*CH4_to_CO2e/1000</f>
        <v>11.424316863772768</v>
      </c>
      <c r="H57" s="44">
        <f>'Agriculture - EF &amp; Manure Mgmt'!H30*CH4_to_CO2e/1000</f>
        <v>11.577208257952137</v>
      </c>
      <c r="I57" s="44">
        <f>'Agriculture - EF &amp; Manure Mgmt'!I30*CH4_to_CO2e/1000</f>
        <v>11.730099652131511</v>
      </c>
      <c r="J57" s="44">
        <f>'Agriculture - EF &amp; Manure Mgmt'!J30*CH4_to_CO2e/1000</f>
        <v>11.882991046310879</v>
      </c>
      <c r="K57" s="44">
        <f>'Agriculture - EF &amp; Manure Mgmt'!K30*CH4_to_CO2e/1000</f>
        <v>12.03588244049025</v>
      </c>
      <c r="L57" s="44">
        <f>'Agriculture - EF &amp; Manure Mgmt'!L30*CH4_to_CO2e/1000</f>
        <v>12.179238800225532</v>
      </c>
      <c r="M57" s="44">
        <f>'Agriculture - EF &amp; Manure Mgmt'!M30*CH4_to_CO2e/1000</f>
        <v>12.322595159960812</v>
      </c>
      <c r="N57" s="44">
        <f>'Agriculture - EF &amp; Manure Mgmt'!N30*CH4_to_CO2e/1000</f>
        <v>12.465951519696093</v>
      </c>
      <c r="O57" s="44">
        <f>'Agriculture - EF &amp; Manure Mgmt'!O30*CH4_to_CO2e/1000</f>
        <v>12.609307879431372</v>
      </c>
      <c r="P57" s="44">
        <f>'Agriculture - EF &amp; Manure Mgmt'!P30*CH4_to_CO2e/1000</f>
        <v>12.752664239166654</v>
      </c>
      <c r="Q57" s="44">
        <f>'Agriculture - EF &amp; Manure Mgmt'!Q30*CH4_to_CO2e/1000</f>
        <v>12.890081616395253</v>
      </c>
      <c r="R57" s="44">
        <f>'Agriculture - EF &amp; Manure Mgmt'!R30*CH4_to_CO2e/1000</f>
        <v>13.027498993623849</v>
      </c>
      <c r="S57" s="44">
        <f>'Agriculture - EF &amp; Manure Mgmt'!S30*CH4_to_CO2e/1000</f>
        <v>13.164916370852447</v>
      </c>
      <c r="T57" s="44">
        <f>'Agriculture - EF &amp; Manure Mgmt'!T30*CH4_to_CO2e/1000</f>
        <v>13.30233374808104</v>
      </c>
      <c r="U57" s="44">
        <f>'Agriculture - EF &amp; Manure Mgmt'!U30*CH4_to_CO2e/1000</f>
        <v>13.439751125309638</v>
      </c>
      <c r="V57" s="44">
        <f>'Agriculture - EF &amp; Manure Mgmt'!V30*CH4_to_CO2e/1000</f>
        <v>13.576581662220716</v>
      </c>
      <c r="W57" s="44">
        <f>'Agriculture - EF &amp; Manure Mgmt'!W30*CH4_to_CO2e/1000</f>
        <v>13.713412199131788</v>
      </c>
      <c r="X57" s="44">
        <f>'Agriculture - EF &amp; Manure Mgmt'!X30*CH4_to_CO2e/1000</f>
        <v>13.850242736042865</v>
      </c>
      <c r="Y57" s="44">
        <f>'Agriculture - EF &amp; Manure Mgmt'!Y30*CH4_to_CO2e/1000</f>
        <v>13.987073272953936</v>
      </c>
      <c r="Z57" s="44">
        <f>'Agriculture - EF &amp; Manure Mgmt'!Z30*CH4_to_CO2e/1000</f>
        <v>14.123903809865014</v>
      </c>
      <c r="AA57" s="44">
        <f>'Agriculture - EF &amp; Manure Mgmt'!AA30*CH4_to_CO2e/1000</f>
        <v>14.262224157865468</v>
      </c>
      <c r="AB57" s="44">
        <f>'Agriculture - EF &amp; Manure Mgmt'!AB30*CH4_to_CO2e/1000</f>
        <v>14.400544505865927</v>
      </c>
      <c r="AC57" s="44">
        <f>'Agriculture - EF &amp; Manure Mgmt'!AC30*CH4_to_CO2e/1000</f>
        <v>14.538864853866382</v>
      </c>
      <c r="AD57" s="44">
        <f>'Agriculture - EF &amp; Manure Mgmt'!AD30*CH4_to_CO2e/1000</f>
        <v>14.677185201866839</v>
      </c>
      <c r="AE57" s="44">
        <f>'Agriculture - EF &amp; Manure Mgmt'!AE30*CH4_to_CO2e/1000</f>
        <v>14.815505549867295</v>
      </c>
      <c r="AF57" s="44">
        <f>'Agriculture - EF &amp; Manure Mgmt'!AF30*CH4_to_CO2e/1000</f>
        <v>14.95397081035285</v>
      </c>
      <c r="AG57" s="44">
        <f>'Agriculture - EF &amp; Manure Mgmt'!AG30*CH4_to_CO2e/1000</f>
        <v>15.092436070838401</v>
      </c>
      <c r="AH57" s="44">
        <f>'Agriculture - EF &amp; Manure Mgmt'!AH30*CH4_to_CO2e/1000</f>
        <v>15.230901331323956</v>
      </c>
      <c r="AI57" s="44">
        <f>'Agriculture - EF &amp; Manure Mgmt'!AI30*CH4_to_CO2e/1000</f>
        <v>15.369366591809502</v>
      </c>
      <c r="AJ57" s="44">
        <f>'Agriculture - EF &amp; Manure Mgmt'!AJ30*CH4_to_CO2e/1000</f>
        <v>15.507831852295057</v>
      </c>
      <c r="AK57" s="44">
        <f>'Agriculture - EF &amp; Manure Mgmt'!AK30*CH4_to_CO2e/1000</f>
        <v>15.646297112780609</v>
      </c>
    </row>
    <row r="58" spans="1:37">
      <c r="A58" s="298" t="s">
        <v>134</v>
      </c>
      <c r="B58" s="44">
        <f>'Agriculture - EF &amp; Manure Mgmt'!B44*CH4_to_CO2e/1000</f>
        <v>0.81200000000000006</v>
      </c>
      <c r="C58" s="44">
        <f>'Agriculture - EF &amp; Manure Mgmt'!C44*CH4_to_CO2e/1000</f>
        <v>0.83045048124541421</v>
      </c>
      <c r="D58" s="44">
        <f>'Agriculture - EF &amp; Manure Mgmt'!D44*CH4_to_CO2e/1000</f>
        <v>0.84890096249082869</v>
      </c>
      <c r="E58" s="44">
        <f>'Agriculture - EF &amp; Manure Mgmt'!E44*CH4_to_CO2e/1000</f>
        <v>0.86735144373624318</v>
      </c>
      <c r="F58" s="44">
        <f>'Agriculture - EF &amp; Manure Mgmt'!F44*CH4_to_CO2e/1000</f>
        <v>0.88580192498165744</v>
      </c>
      <c r="G58" s="44">
        <f>'Agriculture - EF &amp; Manure Mgmt'!G44*CH4_to_CO2e/1000</f>
        <v>0.90367576883001954</v>
      </c>
      <c r="H58" s="44">
        <f>'Agriculture - EF &amp; Manure Mgmt'!H44*CH4_to_CO2e/1000</f>
        <v>0.92154961267838209</v>
      </c>
      <c r="I58" s="44">
        <f>'Agriculture - EF &amp; Manure Mgmt'!I44*CH4_to_CO2e/1000</f>
        <v>0.93942345652674442</v>
      </c>
      <c r="J58" s="44">
        <f>'Agriculture - EF &amp; Manure Mgmt'!J44*CH4_to_CO2e/1000</f>
        <v>0.95729730037510696</v>
      </c>
      <c r="K58" s="44">
        <f>'Agriculture - EF &amp; Manure Mgmt'!K44*CH4_to_CO2e/1000</f>
        <v>0.97517114422346929</v>
      </c>
      <c r="L58" s="44">
        <f>'Agriculture - EF &amp; Manure Mgmt'!L44*CH4_to_CO2e/1000</f>
        <v>0.99191041154226345</v>
      </c>
      <c r="M58" s="44">
        <f>'Agriculture - EF &amp; Manure Mgmt'!M44*CH4_to_CO2e/1000</f>
        <v>1.0086496788610575</v>
      </c>
      <c r="N58" s="44">
        <f>'Agriculture - EF &amp; Manure Mgmt'!N44*CH4_to_CO2e/1000</f>
        <v>1.0253889461798518</v>
      </c>
      <c r="O58" s="44">
        <f>'Agriculture - EF &amp; Manure Mgmt'!O44*CH4_to_CO2e/1000</f>
        <v>1.0421282134986458</v>
      </c>
      <c r="P58" s="44">
        <f>'Agriculture - EF &amp; Manure Mgmt'!P44*CH4_to_CO2e/1000</f>
        <v>1.0588674808174401</v>
      </c>
      <c r="Q58" s="44">
        <f>'Agriculture - EF &amp; Manure Mgmt'!Q44*CH4_to_CO2e/1000</f>
        <v>1.0749062873897297</v>
      </c>
      <c r="R58" s="44">
        <f>'Agriculture - EF &amp; Manure Mgmt'!R44*CH4_to_CO2e/1000</f>
        <v>1.0909450939620191</v>
      </c>
      <c r="S58" s="44">
        <f>'Agriculture - EF &amp; Manure Mgmt'!S44*CH4_to_CO2e/1000</f>
        <v>1.1069839005343087</v>
      </c>
      <c r="T58" s="44">
        <f>'Agriculture - EF &amp; Manure Mgmt'!T44*CH4_to_CO2e/1000</f>
        <v>1.1230227071065984</v>
      </c>
      <c r="U58" s="44">
        <f>'Agriculture - EF &amp; Manure Mgmt'!U44*CH4_to_CO2e/1000</f>
        <v>1.1390615136788882</v>
      </c>
      <c r="V58" s="44">
        <f>'Agriculture - EF &amp; Manure Mgmt'!V44*CH4_to_CO2e/1000</f>
        <v>1.1550495153587805</v>
      </c>
      <c r="W58" s="44">
        <f>'Agriculture - EF &amp; Manure Mgmt'!W44*CH4_to_CO2e/1000</f>
        <v>1.1710375170386735</v>
      </c>
      <c r="X58" s="44">
        <f>'Agriculture - EF &amp; Manure Mgmt'!X44*CH4_to_CO2e/1000</f>
        <v>1.1870255187185663</v>
      </c>
      <c r="Y58" s="44">
        <f>'Agriculture - EF &amp; Manure Mgmt'!Y44*CH4_to_CO2e/1000</f>
        <v>1.2030135203984589</v>
      </c>
      <c r="Z58" s="44">
        <f>'Agriculture - EF &amp; Manure Mgmt'!Z44*CH4_to_CO2e/1000</f>
        <v>1.2190015220783517</v>
      </c>
      <c r="AA58" s="44">
        <f>'Agriculture - EF &amp; Manure Mgmt'!AA44*CH4_to_CO2e/1000</f>
        <v>1.2351293716478333</v>
      </c>
      <c r="AB58" s="44">
        <f>'Agriculture - EF &amp; Manure Mgmt'!AB44*CH4_to_CO2e/1000</f>
        <v>1.2512572212173154</v>
      </c>
      <c r="AC58" s="44">
        <f>'Agriculture - EF &amp; Manure Mgmt'!AC44*CH4_to_CO2e/1000</f>
        <v>1.2673850707867973</v>
      </c>
      <c r="AD58" s="44">
        <f>'Agriculture - EF &amp; Manure Mgmt'!AD44*CH4_to_CO2e/1000</f>
        <v>1.2835129203562787</v>
      </c>
      <c r="AE58" s="44">
        <f>'Agriculture - EF &amp; Manure Mgmt'!AE44*CH4_to_CO2e/1000</f>
        <v>1.2996407699257606</v>
      </c>
      <c r="AF58" s="44">
        <f>'Agriculture - EF &amp; Manure Mgmt'!AF44*CH4_to_CO2e/1000</f>
        <v>1.3157858877884594</v>
      </c>
      <c r="AG58" s="44">
        <f>'Agriculture - EF &amp; Manure Mgmt'!AG44*CH4_to_CO2e/1000</f>
        <v>1.3319310056511577</v>
      </c>
      <c r="AH58" s="44">
        <f>'Agriculture - EF &amp; Manure Mgmt'!AH44*CH4_to_CO2e/1000</f>
        <v>1.3480761235138559</v>
      </c>
      <c r="AI58" s="44">
        <f>'Agriculture - EF &amp; Manure Mgmt'!AI44*CH4_to_CO2e/1000</f>
        <v>1.3642212413765542</v>
      </c>
      <c r="AJ58" s="44">
        <f>'Agriculture - EF &amp; Manure Mgmt'!AJ44*CH4_to_CO2e/1000</f>
        <v>1.3803663592392528</v>
      </c>
      <c r="AK58" s="44">
        <f>'Agriculture - EF &amp; Manure Mgmt'!AK44*CH4_to_CO2e/1000</f>
        <v>1.3965114771019502</v>
      </c>
    </row>
    <row r="59" spans="1:37">
      <c r="A59" s="298" t="s">
        <v>169</v>
      </c>
      <c r="B59" s="44">
        <f>SUM('Agriculture - Soil Mgmt'!B102:B103)*N2O_to_CO2e/1000*'Agriculture - Soil Mgmt'!$B107</f>
        <v>0.96035569402973786</v>
      </c>
      <c r="C59" s="44">
        <f>SUM('Agriculture - Soil Mgmt'!C102:C103)*N2O_to_CO2e/1000*'Agriculture - Soil Mgmt'!$B107</f>
        <v>1.0141704699827294</v>
      </c>
      <c r="D59" s="44">
        <f>SUM('Agriculture - Soil Mgmt'!D102:D103)*N2O_to_CO2e/1000*'Agriculture - Soil Mgmt'!$B107</f>
        <v>1.0259279382348656</v>
      </c>
      <c r="E59" s="44">
        <f>SUM('Agriculture - Soil Mgmt'!E102:E103)*N2O_to_CO2e/1000*'Agriculture - Soil Mgmt'!$B107</f>
        <v>1.0347894535077709</v>
      </c>
      <c r="F59" s="44">
        <f>SUM('Agriculture - Soil Mgmt'!F102:F103)*N2O_to_CO2e/1000*'Agriculture - Soil Mgmt'!$B107</f>
        <v>1.0387557829410525</v>
      </c>
      <c r="G59" s="44">
        <f>SUM('Agriculture - Soil Mgmt'!G102:G103)*N2O_to_CO2e/1000*'Agriculture - Soil Mgmt'!$B107</f>
        <v>1.0478377407869699</v>
      </c>
      <c r="H59" s="44">
        <f>SUM('Agriculture - Soil Mgmt'!H102:H103)*N2O_to_CO2e/1000*'Agriculture - Soil Mgmt'!$B107</f>
        <v>1.0575624388397131</v>
      </c>
      <c r="I59" s="44">
        <f>SUM('Agriculture - Soil Mgmt'!I102:I103)*N2O_to_CO2e/1000*'Agriculture - Soil Mgmt'!$B107</f>
        <v>1.0655605438923859</v>
      </c>
      <c r="J59" s="44">
        <f>SUM('Agriculture - Soil Mgmt'!J102:J103)*N2O_to_CO2e/1000*'Agriculture - Soil Mgmt'!$B107</f>
        <v>1.0860175747834413</v>
      </c>
      <c r="K59" s="44">
        <f>SUM('Agriculture - Soil Mgmt'!K102:K103)*N2O_to_CO2e/1000*'Agriculture - Soil Mgmt'!$B107</f>
        <v>1.1068673656801762</v>
      </c>
      <c r="L59" s="44">
        <f>SUM('Agriculture - Soil Mgmt'!L102:L103)*N2O_to_CO2e/1000*'Agriculture - Soil Mgmt'!$B107</f>
        <v>1.1281174574599349</v>
      </c>
      <c r="M59" s="44">
        <f>SUM('Agriculture - Soil Mgmt'!M102:M103)*N2O_to_CO2e/1000*'Agriculture - Soil Mgmt'!$B107</f>
        <v>1.1497755357843435</v>
      </c>
      <c r="N59" s="44">
        <f>SUM('Agriculture - Soil Mgmt'!N102:N103)*N2O_to_CO2e/1000*'Agriculture - Soil Mgmt'!$B107</f>
        <v>1.1718494338791714</v>
      </c>
      <c r="O59" s="44">
        <f>SUM('Agriculture - Soil Mgmt'!O102:O103)*N2O_to_CO2e/1000*'Agriculture - Soil Mgmt'!$B107</f>
        <v>1.1943471353675661</v>
      </c>
      <c r="P59" s="44">
        <f>SUM('Agriculture - Soil Mgmt'!P102:P103)*N2O_to_CO2e/1000*'Agriculture - Soil Mgmt'!$B107</f>
        <v>1.2172767771576911</v>
      </c>
      <c r="Q59" s="44">
        <f>SUM('Agriculture - Soil Mgmt'!Q102:Q103)*N2O_to_CO2e/1000*'Agriculture - Soil Mgmt'!$B107</f>
        <v>1.2406466523858033</v>
      </c>
      <c r="R59" s="44">
        <f>SUM('Agriculture - Soil Mgmt'!R102:R103)*N2O_to_CO2e/1000*'Agriculture - Soil Mgmt'!$B107</f>
        <v>1.2644652134158363</v>
      </c>
      <c r="S59" s="44">
        <f>SUM('Agriculture - Soil Mgmt'!S102:S103)*N2O_to_CO2e/1000*'Agriculture - Soil Mgmt'!$B107</f>
        <v>1.2887410748965786</v>
      </c>
      <c r="T59" s="44">
        <f>SUM('Agriculture - Soil Mgmt'!T102:T103)*N2O_to_CO2e/1000*'Agriculture - Soil Mgmt'!$B107</f>
        <v>1.3134830168775502</v>
      </c>
      <c r="U59" s="44">
        <f>SUM('Agriculture - Soil Mgmt'!U102:U103)*N2O_to_CO2e/1000*'Agriculture - Soil Mgmt'!$B107</f>
        <v>1.3386999879847006</v>
      </c>
      <c r="V59" s="44">
        <f>SUM('Agriculture - Soil Mgmt'!V102:V103)*N2O_to_CO2e/1000*'Agriculture - Soil Mgmt'!$B107</f>
        <v>1.3644011086570851</v>
      </c>
      <c r="W59" s="44">
        <f>SUM('Agriculture - Soil Mgmt'!W102:W103)*N2O_to_CO2e/1000*'Agriculture - Soil Mgmt'!$B107</f>
        <v>1.3905956744456833</v>
      </c>
      <c r="X59" s="44">
        <f>SUM('Agriculture - Soil Mgmt'!X102:X103)*N2O_to_CO2e/1000*'Agriculture - Soil Mgmt'!$B107</f>
        <v>1.4172931593755533</v>
      </c>
      <c r="Y59" s="44">
        <f>SUM('Agriculture - Soil Mgmt'!Y102:Y103)*N2O_to_CO2e/1000*'Agriculture - Soil Mgmt'!$B107</f>
        <v>1.4445032193725462</v>
      </c>
      <c r="Z59" s="44">
        <f>SUM('Agriculture - Soil Mgmt'!Z102:Z103)*N2O_to_CO2e/1000*'Agriculture - Soil Mgmt'!$B107</f>
        <v>1.4722356957558027</v>
      </c>
      <c r="AA59" s="44">
        <f>SUM('Agriculture - Soil Mgmt'!AA102:AA103)*N2O_to_CO2e/1000*'Agriculture - Soil Mgmt'!$B107</f>
        <v>1.5005006187973196</v>
      </c>
      <c r="AB59" s="44">
        <f>SUM('Agriculture - Soil Mgmt'!AB102:AB103)*N2O_to_CO2e/1000*'Agriculture - Soil Mgmt'!$B107</f>
        <v>1.5293082113498482</v>
      </c>
      <c r="AC59" s="44">
        <f>SUM('Agriculture - Soil Mgmt'!AC102:AC103)*N2O_to_CO2e/1000*'Agriculture - Soil Mgmt'!$B107</f>
        <v>1.5586688925444538</v>
      </c>
      <c r="AD59" s="44">
        <f>SUM('Agriculture - Soil Mgmt'!AD102:AD103)*N2O_to_CO2e/1000*'Agriculture - Soil Mgmt'!$B107</f>
        <v>1.588593281559074</v>
      </c>
      <c r="AE59" s="44">
        <f>SUM('Agriculture - Soil Mgmt'!AE102:AE103)*N2O_to_CO2e/1000*'Agriculture - Soil Mgmt'!$B107</f>
        <v>1.6190922014594216</v>
      </c>
      <c r="AF59" s="44">
        <f>SUM('Agriculture - Soil Mgmt'!AF102:AF103)*N2O_to_CO2e/1000*'Agriculture - Soil Mgmt'!$B107</f>
        <v>1.6501766831136433</v>
      </c>
      <c r="AG59" s="44">
        <f>SUM('Agriculture - Soil Mgmt'!AG102:AG103)*N2O_to_CO2e/1000*'Agriculture - Soil Mgmt'!$B107</f>
        <v>1.6818579691821371</v>
      </c>
      <c r="AH59" s="44">
        <f>SUM('Agriculture - Soil Mgmt'!AH102:AH103)*N2O_to_CO2e/1000*'Agriculture - Soil Mgmt'!$B107</f>
        <v>1.7141475181839723</v>
      </c>
      <c r="AI59" s="44">
        <f>SUM('Agriculture - Soil Mgmt'!AI102:AI103)*N2O_to_CO2e/1000*'Agriculture - Soil Mgmt'!$B107</f>
        <v>1.7470570086413884</v>
      </c>
      <c r="AJ59" s="44">
        <f>SUM('Agriculture - Soil Mgmt'!AJ102:AJ103)*N2O_to_CO2e/1000*'Agriculture - Soil Mgmt'!$B107</f>
        <v>1.7805983433038683</v>
      </c>
      <c r="AK59" s="44">
        <f>SUM('Agriculture - Soil Mgmt'!AK102:AK103)*N2O_to_CO2e/1000*'Agriculture - Soil Mgmt'!$B107</f>
        <v>1.8147836534533099</v>
      </c>
    </row>
    <row r="60" spans="1:37">
      <c r="A60" s="390" t="s">
        <v>241</v>
      </c>
      <c r="B60" s="44">
        <f>'Other Industrial Processes'!C121*CH4_to_CO2e/1000</f>
        <v>9.6842064738461564E-4</v>
      </c>
      <c r="C60" s="44">
        <f>'Other Industrial Processes'!D121*CH4_to_CO2e/1000</f>
        <v>1.0219906678153848E-3</v>
      </c>
      <c r="D60" s="44">
        <f>'Other Industrial Processes'!E121*CH4_to_CO2e/1000</f>
        <v>1.075560688246154E-3</v>
      </c>
      <c r="E60" s="44">
        <f>'Other Industrial Processes'!F121*CH4_to_CO2e/1000</f>
        <v>1.129130708676923E-3</v>
      </c>
      <c r="F60" s="44">
        <f>'Other Industrial Processes'!G121*CH4_to_CO2e/1000</f>
        <v>1.1827007291076923E-3</v>
      </c>
      <c r="G60" s="44">
        <f>'Other Industrial Processes'!H121*CH4_to_CO2e/1000</f>
        <v>1.2362707495384615E-3</v>
      </c>
      <c r="H60" s="44">
        <f>'Other Industrial Processes'!I121*CH4_to_CO2e/1000</f>
        <v>1.2898407699692307E-3</v>
      </c>
      <c r="I60" s="44">
        <f>'Other Industrial Processes'!J121*CH4_to_CO2e/1000</f>
        <v>1.3434107904E-3</v>
      </c>
      <c r="J60" s="44">
        <f>'Other Industrial Processes'!K121*CH4_to_CO2e/1000</f>
        <v>1.3969808108307688E-3</v>
      </c>
      <c r="K60" s="44">
        <f>'Other Industrial Processes'!L121*CH4_to_CO2e/1000</f>
        <v>1.450550831261538E-3</v>
      </c>
      <c r="L60" s="44">
        <f>'Other Industrial Processes'!M121*CH4_to_CO2e/1000</f>
        <v>1.5041208516923072E-3</v>
      </c>
      <c r="M60" s="44">
        <f>'Other Industrial Processes'!N121*CH4_to_CO2e/1000</f>
        <v>1.5576908721230765E-3</v>
      </c>
      <c r="N60" s="44">
        <f>'Other Industrial Processes'!O121*CH4_to_CO2e/1000</f>
        <v>1.6112608925538457E-3</v>
      </c>
      <c r="O60" s="44">
        <f>'Other Industrial Processes'!P121*CH4_to_CO2e/1000</f>
        <v>1.6648309129846147E-3</v>
      </c>
      <c r="P60" s="44">
        <f>'Other Industrial Processes'!Q121*CH4_to_CO2e/1000</f>
        <v>1.718400933415384E-3</v>
      </c>
      <c r="Q60" s="44">
        <f>'Other Industrial Processes'!R121*CH4_to_CO2e/1000</f>
        <v>1.771970953846153E-3</v>
      </c>
      <c r="R60" s="44">
        <f>'Other Industrial Processes'!S121*CH4_to_CO2e/1000</f>
        <v>1.825540974276922E-3</v>
      </c>
      <c r="S60" s="44">
        <f>'Other Industrial Processes'!T121*CH4_to_CO2e/1000</f>
        <v>1.879110994707691E-3</v>
      </c>
      <c r="T60" s="44">
        <f>'Other Industrial Processes'!U121*CH4_to_CO2e/1000</f>
        <v>1.9326810151384598E-3</v>
      </c>
      <c r="U60" s="44">
        <f>'Other Industrial Processes'!V121*CH4_to_CO2e/1000</f>
        <v>1.9862510355692291E-3</v>
      </c>
      <c r="V60" s="44">
        <f>'Other Industrial Processes'!W121*CH4_to_CO2e/1000</f>
        <v>2.0398210559999979E-3</v>
      </c>
      <c r="W60" s="44">
        <f>'Other Industrial Processes'!X121*CH4_to_CO2e/1000</f>
        <v>2.0933910764307667E-3</v>
      </c>
      <c r="X60" s="44">
        <f>'Other Industrial Processes'!Y121*CH4_to_CO2e/1000</f>
        <v>2.1469610968615359E-3</v>
      </c>
      <c r="Y60" s="44">
        <f>'Other Industrial Processes'!Z121*CH4_to_CO2e/1000</f>
        <v>2.2005311172923047E-3</v>
      </c>
      <c r="Z60" s="44">
        <f>'Other Industrial Processes'!AA121*CH4_to_CO2e/1000</f>
        <v>2.2541011377230739E-3</v>
      </c>
      <c r="AA60" s="44">
        <f>'Other Industrial Processes'!AB121*CH4_to_CO2e/1000</f>
        <v>2.3076711581538423E-3</v>
      </c>
      <c r="AB60" s="44">
        <f>'Other Industrial Processes'!AC121*CH4_to_CO2e/1000</f>
        <v>2.3612411785846115E-3</v>
      </c>
      <c r="AC60" s="44">
        <f>'Other Industrial Processes'!AD121*CH4_to_CO2e/1000</f>
        <v>2.4148111990153803E-3</v>
      </c>
      <c r="AD60" s="44">
        <f>'Other Industrial Processes'!AE121*CH4_to_CO2e/1000</f>
        <v>2.4683812194461496E-3</v>
      </c>
      <c r="AE60" s="44">
        <f>'Other Industrial Processes'!AF121*CH4_to_CO2e/1000</f>
        <v>2.5219512398769184E-3</v>
      </c>
      <c r="AF60" s="44">
        <f>'Other Industrial Processes'!AG121*CH4_to_CO2e/1000</f>
        <v>2.5755212603076876E-3</v>
      </c>
      <c r="AG60" s="44">
        <f>'Other Industrial Processes'!AH121*CH4_to_CO2e/1000</f>
        <v>2.6290912807384564E-3</v>
      </c>
      <c r="AH60" s="44">
        <f>'Other Industrial Processes'!AI121*CH4_to_CO2e/1000</f>
        <v>2.6826613011692257E-3</v>
      </c>
      <c r="AI60" s="44">
        <f>'Other Industrial Processes'!AJ121*CH4_to_CO2e/1000</f>
        <v>2.7362313215999945E-3</v>
      </c>
      <c r="AJ60" s="44">
        <f>'Other Industrial Processes'!AK121*CH4_to_CO2e/1000</f>
        <v>2.7898013420307633E-3</v>
      </c>
      <c r="AK60" s="44">
        <f>'Other Industrial Processes'!AL121*CH4_to_CO2e/1000</f>
        <v>2.8433713624615321E-3</v>
      </c>
    </row>
    <row r="61" spans="1:37">
      <c r="A61" s="390" t="s">
        <v>256</v>
      </c>
      <c r="B61" s="44">
        <v>0</v>
      </c>
      <c r="C61" s="44">
        <f>'Other Industrial Processes'!D124*N2O_to_CO2e/1000</f>
        <v>0</v>
      </c>
      <c r="D61" s="44">
        <f>'Other Industrial Processes'!E124*N2O_to_CO2e/1000</f>
        <v>0</v>
      </c>
      <c r="E61" s="44">
        <f>'Other Industrial Processes'!F124*N2O_to_CO2e/1000</f>
        <v>0</v>
      </c>
      <c r="F61" s="44">
        <f>'Other Industrial Processes'!G124*N2O_to_CO2e/1000</f>
        <v>0</v>
      </c>
      <c r="G61" s="44">
        <f>'Other Industrial Processes'!H124*N2O_to_CO2e/1000</f>
        <v>0</v>
      </c>
      <c r="H61" s="44">
        <f>'Other Industrial Processes'!I124*N2O_to_CO2e/1000</f>
        <v>0</v>
      </c>
      <c r="I61" s="44">
        <f>'Other Industrial Processes'!J124*N2O_to_CO2e/1000</f>
        <v>0</v>
      </c>
      <c r="J61" s="44">
        <f>'Other Industrial Processes'!K124*N2O_to_CO2e/1000</f>
        <v>0</v>
      </c>
      <c r="K61" s="44">
        <f>'Other Industrial Processes'!L124*N2O_to_CO2e/1000</f>
        <v>0</v>
      </c>
      <c r="L61" s="44">
        <f>'Other Industrial Processes'!M124*N2O_to_CO2e/1000</f>
        <v>0</v>
      </c>
      <c r="M61" s="44">
        <f>'Other Industrial Processes'!N124*N2O_to_CO2e/1000</f>
        <v>0</v>
      </c>
      <c r="N61" s="44">
        <f>'Other Industrial Processes'!O124*N2O_to_CO2e/1000</f>
        <v>0</v>
      </c>
      <c r="O61" s="44">
        <f>'Other Industrial Processes'!P124*N2O_to_CO2e/1000</f>
        <v>0</v>
      </c>
      <c r="P61" s="44">
        <f>'Other Industrial Processes'!Q124*N2O_to_CO2e/1000</f>
        <v>0</v>
      </c>
      <c r="Q61" s="44">
        <f>'Other Industrial Processes'!R124*N2O_to_CO2e/1000</f>
        <v>0</v>
      </c>
      <c r="R61" s="44">
        <f>'Other Industrial Processes'!S124*N2O_to_CO2e/1000</f>
        <v>0</v>
      </c>
      <c r="S61" s="44">
        <f>'Other Industrial Processes'!T124*N2O_to_CO2e/1000</f>
        <v>0</v>
      </c>
      <c r="T61" s="44">
        <f>'Other Industrial Processes'!U124*N2O_to_CO2e/1000</f>
        <v>0</v>
      </c>
      <c r="U61" s="44">
        <f>'Other Industrial Processes'!V124*N2O_to_CO2e/1000</f>
        <v>0</v>
      </c>
      <c r="V61" s="44">
        <f>'Other Industrial Processes'!W124*N2O_to_CO2e/1000</f>
        <v>0</v>
      </c>
      <c r="W61" s="44">
        <f>'Other Industrial Processes'!X124*N2O_to_CO2e/1000</f>
        <v>0</v>
      </c>
      <c r="X61" s="44">
        <f>'Other Industrial Processes'!Y124*N2O_to_CO2e/1000</f>
        <v>0</v>
      </c>
      <c r="Y61" s="44">
        <f>'Other Industrial Processes'!Z124*N2O_to_CO2e/1000</f>
        <v>0</v>
      </c>
      <c r="Z61" s="44">
        <f>'Other Industrial Processes'!AA124*N2O_to_CO2e/1000</f>
        <v>0</v>
      </c>
      <c r="AA61" s="44">
        <f>'Other Industrial Processes'!AB124*N2O_to_CO2e/1000</f>
        <v>0</v>
      </c>
      <c r="AB61" s="44">
        <f>'Other Industrial Processes'!AC124*N2O_to_CO2e/1000</f>
        <v>0</v>
      </c>
      <c r="AC61" s="44">
        <f>'Other Industrial Processes'!AD124*N2O_to_CO2e/1000</f>
        <v>0</v>
      </c>
      <c r="AD61" s="44">
        <f>'Other Industrial Processes'!AE124*N2O_to_CO2e/1000</f>
        <v>0</v>
      </c>
      <c r="AE61" s="44">
        <f>'Other Industrial Processes'!AF124*N2O_to_CO2e/1000</f>
        <v>0</v>
      </c>
      <c r="AF61" s="44">
        <f>'Other Industrial Processes'!AG124*N2O_to_CO2e/1000</f>
        <v>0</v>
      </c>
      <c r="AG61" s="44">
        <f>'Other Industrial Processes'!AH124*N2O_to_CO2e/1000</f>
        <v>0</v>
      </c>
      <c r="AH61" s="44">
        <f>'Other Industrial Processes'!AI124*N2O_to_CO2e/1000</f>
        <v>0</v>
      </c>
      <c r="AI61" s="44">
        <f>'Other Industrial Processes'!AJ124*N2O_to_CO2e/1000</f>
        <v>0</v>
      </c>
      <c r="AJ61" s="44">
        <f>'Other Industrial Processes'!AK124*N2O_to_CO2e/1000</f>
        <v>0</v>
      </c>
      <c r="AK61" s="44">
        <f>'Other Industrial Processes'!AL124*N2O_to_CO2e/1000</f>
        <v>0</v>
      </c>
    </row>
    <row r="62" spans="1:37">
      <c r="A62" s="390" t="s">
        <v>233</v>
      </c>
      <c r="B62" s="44">
        <f>'Other Industrial Processes'!C122/1000</f>
        <v>0.87078165233168503</v>
      </c>
      <c r="C62" s="44">
        <f>'Other Industrial Processes'!D122/1000</f>
        <v>0.92422466229446476</v>
      </c>
      <c r="D62" s="44">
        <f>'Other Industrial Processes'!E122/1000</f>
        <v>0.9776676722572446</v>
      </c>
      <c r="E62" s="44">
        <f>'Other Industrial Processes'!F122/1000</f>
        <v>1.0311106822200242</v>
      </c>
      <c r="F62" s="44">
        <f>'Other Industrial Processes'!G122/1000</f>
        <v>1.0845536921828041</v>
      </c>
      <c r="G62" s="44">
        <f>'Other Industrial Processes'!H122/1000</f>
        <v>1.1379967021455839</v>
      </c>
      <c r="H62" s="44">
        <f>'Other Industrial Processes'!I122/1000</f>
        <v>1.1914397121083637</v>
      </c>
      <c r="I62" s="44">
        <f>'Other Industrial Processes'!J122/1000</f>
        <v>1.2448827220711434</v>
      </c>
      <c r="J62" s="44">
        <f>'Other Industrial Processes'!K122/1000</f>
        <v>1.2983257320339232</v>
      </c>
      <c r="K62" s="44">
        <f>'Other Industrial Processes'!L122/1000</f>
        <v>1.351768741996703</v>
      </c>
      <c r="L62" s="44">
        <f>'Other Industrial Processes'!M122/1000</f>
        <v>1.4052117519594829</v>
      </c>
      <c r="M62" s="44">
        <f>'Other Industrial Processes'!N122/1000</f>
        <v>1.4586547619222627</v>
      </c>
      <c r="N62" s="44">
        <f>'Other Industrial Processes'!O122/1000</f>
        <v>1.5120977718850424</v>
      </c>
      <c r="O62" s="44">
        <f>'Other Industrial Processes'!P122/1000</f>
        <v>1.5655407818478222</v>
      </c>
      <c r="P62" s="44">
        <f>'Other Industrial Processes'!Q122/1000</f>
        <v>1.618983791810602</v>
      </c>
      <c r="Q62" s="44">
        <f>'Other Industrial Processes'!R122/1000</f>
        <v>1.6724268017733819</v>
      </c>
      <c r="R62" s="44">
        <f>'Other Industrial Processes'!S122/1000</f>
        <v>1.7258698117361617</v>
      </c>
      <c r="S62" s="44">
        <f>'Other Industrial Processes'!T122/1000</f>
        <v>1.7793128216989413</v>
      </c>
      <c r="T62" s="44">
        <f>'Other Industrial Processes'!U122/1000</f>
        <v>1.8327558316617212</v>
      </c>
      <c r="U62" s="44">
        <f>'Other Industrial Processes'!V122/1000</f>
        <v>1.886198841624501</v>
      </c>
      <c r="V62" s="44">
        <f>'Other Industrial Processes'!W122/1000</f>
        <v>1.9396418515872809</v>
      </c>
      <c r="W62" s="44">
        <f>'Other Industrial Processes'!X122/1000</f>
        <v>1.9930848615500607</v>
      </c>
      <c r="X62" s="44">
        <f>'Other Industrial Processes'!Y122/1000</f>
        <v>2.0465278715128403</v>
      </c>
      <c r="Y62" s="44">
        <f>'Other Industrial Processes'!Z122/1000</f>
        <v>2.0999708814756199</v>
      </c>
      <c r="Z62" s="44">
        <f>'Other Industrial Processes'!AA122/1000</f>
        <v>2.1534138914384</v>
      </c>
      <c r="AA62" s="44">
        <f>'Other Industrial Processes'!AB122/1000</f>
        <v>2.2068569014011796</v>
      </c>
      <c r="AB62" s="44">
        <f>'Other Industrial Processes'!AC122/1000</f>
        <v>2.2602999113639592</v>
      </c>
      <c r="AC62" s="44">
        <f>'Other Industrial Processes'!AD122/1000</f>
        <v>2.3137429213267393</v>
      </c>
      <c r="AD62" s="44">
        <f>'Other Industrial Processes'!AE122/1000</f>
        <v>2.3671859312895189</v>
      </c>
      <c r="AE62" s="44">
        <f>'Other Industrial Processes'!AF122/1000</f>
        <v>2.420628941252299</v>
      </c>
      <c r="AF62" s="44">
        <f>'Other Industrial Processes'!AG122/1000</f>
        <v>2.4740719512150786</v>
      </c>
      <c r="AG62" s="44">
        <f>'Other Industrial Processes'!AH122/1000</f>
        <v>2.5275149611778582</v>
      </c>
      <c r="AH62" s="44">
        <f>'Other Industrial Processes'!AI122/1000</f>
        <v>2.5809579711406383</v>
      </c>
      <c r="AI62" s="44">
        <f>'Other Industrial Processes'!AJ122/1000</f>
        <v>2.6344009811034179</v>
      </c>
      <c r="AJ62" s="44">
        <f>'Other Industrial Processes'!AK122/1000</f>
        <v>2.687843991066198</v>
      </c>
      <c r="AK62" s="44">
        <f>'Other Industrial Processes'!AL122/1000</f>
        <v>2.7412870010289776</v>
      </c>
    </row>
    <row r="63" spans="1:37">
      <c r="A63" s="45"/>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row>
    <row r="64" spans="1:37">
      <c r="A64" s="47" t="s">
        <v>135</v>
      </c>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row>
    <row r="65" spans="1:37">
      <c r="A65" s="303" t="s">
        <v>136</v>
      </c>
      <c r="B65" s="43">
        <f>SUM(B68,B69,B71,B73,B76)</f>
        <v>4.0274166117592056E-3</v>
      </c>
      <c r="C65" s="43">
        <f t="shared" ref="C65:AK65" si="14">SUM(C68,C69,C71,C73,C76)</f>
        <v>4.3513309234684992E-3</v>
      </c>
      <c r="D65" s="43">
        <f t="shared" si="14"/>
        <v>4.6752452351777919E-3</v>
      </c>
      <c r="E65" s="43">
        <f t="shared" si="14"/>
        <v>4.9991595468870855E-3</v>
      </c>
      <c r="F65" s="43">
        <f t="shared" si="14"/>
        <v>5.3230738585963791E-3</v>
      </c>
      <c r="G65" s="43">
        <f t="shared" si="14"/>
        <v>5.6469881703056718E-3</v>
      </c>
      <c r="H65" s="43">
        <f t="shared" si="14"/>
        <v>5.9709024820149654E-3</v>
      </c>
      <c r="I65" s="43">
        <f t="shared" si="14"/>
        <v>6.294816793724259E-3</v>
      </c>
      <c r="J65" s="43">
        <f t="shared" si="14"/>
        <v>6.6187311054335517E-3</v>
      </c>
      <c r="K65" s="43">
        <f t="shared" si="14"/>
        <v>6.9426454171428453E-3</v>
      </c>
      <c r="L65" s="43">
        <f t="shared" si="14"/>
        <v>7.2665597288521389E-3</v>
      </c>
      <c r="M65" s="43">
        <f t="shared" si="14"/>
        <v>7.5904740405614316E-3</v>
      </c>
      <c r="N65" s="43">
        <f t="shared" si="14"/>
        <v>7.9143883522707244E-3</v>
      </c>
      <c r="O65" s="43">
        <f t="shared" si="14"/>
        <v>8.238302663980018E-3</v>
      </c>
      <c r="P65" s="43">
        <f t="shared" si="14"/>
        <v>8.5622169756893116E-3</v>
      </c>
      <c r="Q65" s="43">
        <f t="shared" si="14"/>
        <v>8.8861312873986052E-3</v>
      </c>
      <c r="R65" s="43">
        <f t="shared" si="14"/>
        <v>9.2100455991078987E-3</v>
      </c>
      <c r="S65" s="43">
        <f t="shared" si="14"/>
        <v>9.5339599108171923E-3</v>
      </c>
      <c r="T65" s="43">
        <f t="shared" si="14"/>
        <v>9.8578742225264842E-3</v>
      </c>
      <c r="U65" s="43">
        <f t="shared" si="14"/>
        <v>1.0181788534235778E-2</v>
      </c>
      <c r="V65" s="43">
        <f t="shared" si="14"/>
        <v>1.0505702845945071E-2</v>
      </c>
      <c r="W65" s="43">
        <f t="shared" si="14"/>
        <v>1.0829617157654365E-2</v>
      </c>
      <c r="X65" s="43">
        <f t="shared" si="14"/>
        <v>1.1153531469363659E-2</v>
      </c>
      <c r="Y65" s="43">
        <f t="shared" si="14"/>
        <v>1.1477445781072952E-2</v>
      </c>
      <c r="Z65" s="43">
        <f t="shared" si="14"/>
        <v>1.1801360092782244E-2</v>
      </c>
      <c r="AA65" s="43">
        <f t="shared" si="14"/>
        <v>1.2125274404491538E-2</v>
      </c>
      <c r="AB65" s="43">
        <f t="shared" si="14"/>
        <v>1.2449188716200831E-2</v>
      </c>
      <c r="AC65" s="43">
        <f t="shared" si="14"/>
        <v>1.2773103027910125E-2</v>
      </c>
      <c r="AD65" s="43">
        <f t="shared" si="14"/>
        <v>1.3097017339619418E-2</v>
      </c>
      <c r="AE65" s="43">
        <f t="shared" si="14"/>
        <v>1.3420931651328712E-2</v>
      </c>
      <c r="AF65" s="43">
        <f t="shared" si="14"/>
        <v>1.3744845963038004E-2</v>
      </c>
      <c r="AG65" s="43">
        <f t="shared" si="14"/>
        <v>1.4068760274747297E-2</v>
      </c>
      <c r="AH65" s="43">
        <f t="shared" si="14"/>
        <v>1.4392674586456591E-2</v>
      </c>
      <c r="AI65" s="43">
        <f t="shared" si="14"/>
        <v>1.4716588898165885E-2</v>
      </c>
      <c r="AJ65" s="43">
        <f t="shared" si="14"/>
        <v>1.5040503209875178E-2</v>
      </c>
      <c r="AK65" s="43">
        <f t="shared" si="14"/>
        <v>1.5364417521584472E-2</v>
      </c>
    </row>
    <row r="66" spans="1:37">
      <c r="A66" s="303" t="s">
        <v>137</v>
      </c>
      <c r="B66" s="49">
        <f>SUM(B70,B72,B74)</f>
        <v>6.7758620603560098E-3</v>
      </c>
      <c r="C66" s="49">
        <f t="shared" ref="C66:AK66" si="15">SUM(C70,C72,C74)</f>
        <v>7.5287356226177889E-3</v>
      </c>
      <c r="D66" s="49">
        <f t="shared" si="15"/>
        <v>8.2816091848795671E-3</v>
      </c>
      <c r="E66" s="49">
        <f t="shared" si="15"/>
        <v>9.034482747141347E-3</v>
      </c>
      <c r="F66" s="49">
        <f t="shared" si="15"/>
        <v>9.7873563094031269E-3</v>
      </c>
      <c r="G66" s="49">
        <f t="shared" si="15"/>
        <v>1.0540229871664905E-2</v>
      </c>
      <c r="H66" s="49">
        <f t="shared" si="15"/>
        <v>1.1293103433926685E-2</v>
      </c>
      <c r="I66" s="49">
        <f t="shared" si="15"/>
        <v>1.2045976996188465E-2</v>
      </c>
      <c r="J66" s="49">
        <f t="shared" si="15"/>
        <v>1.2798850558450245E-2</v>
      </c>
      <c r="K66" s="49">
        <f t="shared" si="15"/>
        <v>1.3551724120712023E-2</v>
      </c>
      <c r="L66" s="49">
        <f t="shared" si="15"/>
        <v>1.4304597682973803E-2</v>
      </c>
      <c r="M66" s="49">
        <f t="shared" si="15"/>
        <v>1.5057471245235583E-2</v>
      </c>
      <c r="N66" s="49">
        <f t="shared" si="15"/>
        <v>1.5810344807497361E-2</v>
      </c>
      <c r="O66" s="49">
        <f t="shared" si="15"/>
        <v>1.6563218369759141E-2</v>
      </c>
      <c r="P66" s="49">
        <f t="shared" si="15"/>
        <v>1.7316091932020921E-2</v>
      </c>
      <c r="Q66" s="49">
        <f t="shared" si="15"/>
        <v>1.8068965494282701E-2</v>
      </c>
      <c r="R66" s="49">
        <f t="shared" si="15"/>
        <v>1.8821839056544481E-2</v>
      </c>
      <c r="S66" s="49">
        <f t="shared" si="15"/>
        <v>1.9574712618806261E-2</v>
      </c>
      <c r="T66" s="49">
        <f t="shared" si="15"/>
        <v>2.0327586181068037E-2</v>
      </c>
      <c r="U66" s="49">
        <f t="shared" si="15"/>
        <v>2.1080459743329817E-2</v>
      </c>
      <c r="V66" s="49">
        <f t="shared" si="15"/>
        <v>2.1833333305591597E-2</v>
      </c>
      <c r="W66" s="49">
        <f t="shared" si="15"/>
        <v>2.2586206867853377E-2</v>
      </c>
      <c r="X66" s="49">
        <f t="shared" si="15"/>
        <v>2.3339080430115157E-2</v>
      </c>
      <c r="Y66" s="49">
        <f t="shared" si="15"/>
        <v>2.4091953992376937E-2</v>
      </c>
      <c r="Z66" s="49">
        <f t="shared" si="15"/>
        <v>2.4844827554638717E-2</v>
      </c>
      <c r="AA66" s="49">
        <f t="shared" si="15"/>
        <v>2.5597701116900497E-2</v>
      </c>
      <c r="AB66" s="49">
        <f t="shared" si="15"/>
        <v>2.6350574679162273E-2</v>
      </c>
      <c r="AC66" s="49">
        <f t="shared" si="15"/>
        <v>2.7103448241424053E-2</v>
      </c>
      <c r="AD66" s="49">
        <f t="shared" si="15"/>
        <v>2.7856321803685833E-2</v>
      </c>
      <c r="AE66" s="49">
        <f t="shared" si="15"/>
        <v>2.8609195365947613E-2</v>
      </c>
      <c r="AF66" s="49">
        <f t="shared" si="15"/>
        <v>2.9362068928209393E-2</v>
      </c>
      <c r="AG66" s="49">
        <f t="shared" si="15"/>
        <v>3.0114942490471173E-2</v>
      </c>
      <c r="AH66" s="49">
        <f t="shared" si="15"/>
        <v>3.0867816052732953E-2</v>
      </c>
      <c r="AI66" s="49">
        <f t="shared" si="15"/>
        <v>3.1620689614994729E-2</v>
      </c>
      <c r="AJ66" s="49">
        <f t="shared" si="15"/>
        <v>3.2373563177256509E-2</v>
      </c>
      <c r="AK66" s="49">
        <f t="shared" si="15"/>
        <v>3.3126436739518282E-2</v>
      </c>
    </row>
    <row r="67" spans="1:37">
      <c r="A67" s="303" t="s">
        <v>172</v>
      </c>
      <c r="B67" s="43">
        <f>B75</f>
        <v>2.6068580699400774E-2</v>
      </c>
      <c r="C67" s="43">
        <f t="shared" ref="C67:AK67" si="16">C75</f>
        <v>0</v>
      </c>
      <c r="D67" s="43">
        <f t="shared" si="16"/>
        <v>0</v>
      </c>
      <c r="E67" s="43">
        <f t="shared" si="16"/>
        <v>0</v>
      </c>
      <c r="F67" s="43">
        <f t="shared" si="16"/>
        <v>0</v>
      </c>
      <c r="G67" s="43">
        <f t="shared" si="16"/>
        <v>0</v>
      </c>
      <c r="H67" s="43">
        <f t="shared" si="16"/>
        <v>0</v>
      </c>
      <c r="I67" s="43">
        <f t="shared" si="16"/>
        <v>0</v>
      </c>
      <c r="J67" s="43">
        <f t="shared" si="16"/>
        <v>0</v>
      </c>
      <c r="K67" s="43">
        <f t="shared" si="16"/>
        <v>0</v>
      </c>
      <c r="L67" s="43">
        <f t="shared" si="16"/>
        <v>0</v>
      </c>
      <c r="M67" s="43">
        <f t="shared" si="16"/>
        <v>0</v>
      </c>
      <c r="N67" s="43">
        <f t="shared" si="16"/>
        <v>0</v>
      </c>
      <c r="O67" s="43">
        <f t="shared" si="16"/>
        <v>0</v>
      </c>
      <c r="P67" s="43">
        <f t="shared" si="16"/>
        <v>0</v>
      </c>
      <c r="Q67" s="43">
        <f t="shared" si="16"/>
        <v>0</v>
      </c>
      <c r="R67" s="43">
        <f t="shared" si="16"/>
        <v>0</v>
      </c>
      <c r="S67" s="43">
        <f t="shared" si="16"/>
        <v>0</v>
      </c>
      <c r="T67" s="43">
        <f t="shared" si="16"/>
        <v>0</v>
      </c>
      <c r="U67" s="43">
        <f t="shared" si="16"/>
        <v>0</v>
      </c>
      <c r="V67" s="43">
        <f t="shared" si="16"/>
        <v>0</v>
      </c>
      <c r="W67" s="43">
        <f t="shared" si="16"/>
        <v>0</v>
      </c>
      <c r="X67" s="43">
        <f t="shared" si="16"/>
        <v>0</v>
      </c>
      <c r="Y67" s="43">
        <f t="shared" si="16"/>
        <v>0</v>
      </c>
      <c r="Z67" s="43">
        <f t="shared" si="16"/>
        <v>0</v>
      </c>
      <c r="AA67" s="43">
        <f t="shared" si="16"/>
        <v>0</v>
      </c>
      <c r="AB67" s="43">
        <f t="shared" si="16"/>
        <v>0</v>
      </c>
      <c r="AC67" s="43">
        <f t="shared" si="16"/>
        <v>0</v>
      </c>
      <c r="AD67" s="43">
        <f t="shared" si="16"/>
        <v>0</v>
      </c>
      <c r="AE67" s="43">
        <f t="shared" si="16"/>
        <v>0</v>
      </c>
      <c r="AF67" s="43">
        <f t="shared" si="16"/>
        <v>0</v>
      </c>
      <c r="AG67" s="43">
        <f t="shared" si="16"/>
        <v>0</v>
      </c>
      <c r="AH67" s="43">
        <f t="shared" si="16"/>
        <v>0</v>
      </c>
      <c r="AI67" s="43">
        <f t="shared" si="16"/>
        <v>0</v>
      </c>
      <c r="AJ67" s="43">
        <f t="shared" si="16"/>
        <v>0</v>
      </c>
      <c r="AK67" s="43">
        <f t="shared" si="16"/>
        <v>0</v>
      </c>
    </row>
    <row r="68" spans="1:37">
      <c r="A68" s="298" t="s">
        <v>138</v>
      </c>
      <c r="B68" s="37">
        <f>'Other - Semiconductor Mfg'!B7</f>
        <v>0</v>
      </c>
      <c r="C68" s="37">
        <f>'Other - Semiconductor Mfg'!C7</f>
        <v>0</v>
      </c>
      <c r="D68" s="37">
        <f>'Other - Semiconductor Mfg'!D7</f>
        <v>0</v>
      </c>
      <c r="E68" s="37">
        <f>'Other - Semiconductor Mfg'!E7</f>
        <v>0</v>
      </c>
      <c r="F68" s="37">
        <f>'Other - Semiconductor Mfg'!F7</f>
        <v>0</v>
      </c>
      <c r="G68" s="37">
        <f>'Other - Semiconductor Mfg'!G7</f>
        <v>0</v>
      </c>
      <c r="H68" s="37">
        <f>'Other - Semiconductor Mfg'!H7</f>
        <v>0</v>
      </c>
      <c r="I68" s="37">
        <f>'Other - Semiconductor Mfg'!I7</f>
        <v>0</v>
      </c>
      <c r="J68" s="37">
        <f>'Other - Semiconductor Mfg'!J7</f>
        <v>0</v>
      </c>
      <c r="K68" s="37">
        <f>'Other - Semiconductor Mfg'!K7</f>
        <v>0</v>
      </c>
      <c r="L68" s="37">
        <f>'Other - Semiconductor Mfg'!L7</f>
        <v>0</v>
      </c>
      <c r="M68" s="37">
        <f>'Other - Semiconductor Mfg'!M7</f>
        <v>0</v>
      </c>
      <c r="N68" s="37">
        <f>'Other - Semiconductor Mfg'!N7</f>
        <v>0</v>
      </c>
      <c r="O68" s="37">
        <f>'Other - Semiconductor Mfg'!O7</f>
        <v>0</v>
      </c>
      <c r="P68" s="37">
        <f>'Other - Semiconductor Mfg'!P7</f>
        <v>0</v>
      </c>
      <c r="Q68" s="37">
        <f>'Other - Semiconductor Mfg'!Q7</f>
        <v>0</v>
      </c>
      <c r="R68" s="37">
        <f>'Other - Semiconductor Mfg'!R7</f>
        <v>0</v>
      </c>
      <c r="S68" s="37">
        <f>'Other - Semiconductor Mfg'!S7</f>
        <v>0</v>
      </c>
      <c r="T68" s="37">
        <f>'Other - Semiconductor Mfg'!T7</f>
        <v>0</v>
      </c>
      <c r="U68" s="37">
        <f>'Other - Semiconductor Mfg'!U7</f>
        <v>0</v>
      </c>
      <c r="V68" s="37">
        <f>'Other - Semiconductor Mfg'!V7</f>
        <v>0</v>
      </c>
      <c r="W68" s="37">
        <f>'Other - Semiconductor Mfg'!W7</f>
        <v>0</v>
      </c>
      <c r="X68" s="37">
        <f>'Other - Semiconductor Mfg'!X7</f>
        <v>0</v>
      </c>
      <c r="Y68" s="37">
        <f>'Other - Semiconductor Mfg'!Y7</f>
        <v>0</v>
      </c>
      <c r="Z68" s="37">
        <f>'Other - Semiconductor Mfg'!Z7</f>
        <v>0</v>
      </c>
      <c r="AA68" s="37">
        <f>'Other - Semiconductor Mfg'!AA7</f>
        <v>0</v>
      </c>
      <c r="AB68" s="37">
        <f>'Other - Semiconductor Mfg'!AB7</f>
        <v>0</v>
      </c>
      <c r="AC68" s="37">
        <f>'Other - Semiconductor Mfg'!AC7</f>
        <v>0</v>
      </c>
      <c r="AD68" s="37">
        <f>'Other - Semiconductor Mfg'!AD7</f>
        <v>0</v>
      </c>
      <c r="AE68" s="37">
        <f>'Other - Semiconductor Mfg'!AE7</f>
        <v>0</v>
      </c>
      <c r="AF68" s="37">
        <f>'Other - Semiconductor Mfg'!AF7</f>
        <v>0</v>
      </c>
      <c r="AG68" s="37">
        <f>'Other - Semiconductor Mfg'!AG7</f>
        <v>0</v>
      </c>
      <c r="AH68" s="37">
        <f>'Other - Semiconductor Mfg'!AH7</f>
        <v>0</v>
      </c>
      <c r="AI68" s="37">
        <f>'Other - Semiconductor Mfg'!AI7</f>
        <v>0</v>
      </c>
      <c r="AJ68" s="37">
        <f>'Other - Semiconductor Mfg'!AJ7</f>
        <v>0</v>
      </c>
      <c r="AK68" s="37">
        <f>'Other - Semiconductor Mfg'!AK7</f>
        <v>0</v>
      </c>
    </row>
    <row r="69" spans="1:37">
      <c r="A69" s="298" t="s">
        <v>139</v>
      </c>
      <c r="B69" s="304">
        <f>'Other - Aluminum'!B4</f>
        <v>0</v>
      </c>
      <c r="C69" s="37">
        <f>'Other - Aluminum'!C4</f>
        <v>0</v>
      </c>
      <c r="D69" s="37">
        <f>'Other - Aluminum'!D4</f>
        <v>0</v>
      </c>
      <c r="E69" s="37">
        <f>'Other - Aluminum'!E4</f>
        <v>0</v>
      </c>
      <c r="F69" s="37">
        <f>'Other - Aluminum'!F4</f>
        <v>0</v>
      </c>
      <c r="G69" s="37">
        <f>'Other - Aluminum'!G4</f>
        <v>0</v>
      </c>
      <c r="H69" s="37">
        <f>'Other - Aluminum'!H4</f>
        <v>0</v>
      </c>
      <c r="I69" s="37">
        <f>'Other - Aluminum'!I4</f>
        <v>0</v>
      </c>
      <c r="J69" s="37">
        <f>'Other - Aluminum'!J4</f>
        <v>0</v>
      </c>
      <c r="K69" s="37">
        <f>'Other - Aluminum'!K4</f>
        <v>0</v>
      </c>
      <c r="L69" s="37">
        <f>'Other - Aluminum'!L4</f>
        <v>0</v>
      </c>
      <c r="M69" s="37">
        <f>'Other - Aluminum'!M4</f>
        <v>0</v>
      </c>
      <c r="N69" s="37">
        <f>'Other - Aluminum'!N4</f>
        <v>0</v>
      </c>
      <c r="O69" s="37">
        <f>'Other - Aluminum'!O4</f>
        <v>0</v>
      </c>
      <c r="P69" s="37">
        <f>'Other - Aluminum'!P4</f>
        <v>0</v>
      </c>
      <c r="Q69" s="37">
        <f>'Other - Aluminum'!Q4</f>
        <v>0</v>
      </c>
      <c r="R69" s="37">
        <f>'Other - Aluminum'!R4</f>
        <v>0</v>
      </c>
      <c r="S69" s="37">
        <f>'Other - Aluminum'!S4</f>
        <v>0</v>
      </c>
      <c r="T69" s="37">
        <f>'Other - Aluminum'!T4</f>
        <v>0</v>
      </c>
      <c r="U69" s="37">
        <f>'Other - Aluminum'!U4</f>
        <v>0</v>
      </c>
      <c r="V69" s="37">
        <f>'Other - Aluminum'!V4</f>
        <v>0</v>
      </c>
      <c r="W69" s="37">
        <f>'Other - Aluminum'!W4</f>
        <v>0</v>
      </c>
      <c r="X69" s="37">
        <f>'Other - Aluminum'!X4</f>
        <v>0</v>
      </c>
      <c r="Y69" s="37">
        <f>'Other - Aluminum'!Y4</f>
        <v>0</v>
      </c>
      <c r="Z69" s="37">
        <f>'Other - Aluminum'!Z4</f>
        <v>0</v>
      </c>
      <c r="AA69" s="37">
        <f>'Other - Aluminum'!AA4</f>
        <v>0</v>
      </c>
      <c r="AB69" s="37">
        <f>'Other - Aluminum'!AB4</f>
        <v>0</v>
      </c>
      <c r="AC69" s="37">
        <f>'Other - Aluminum'!AC4</f>
        <v>0</v>
      </c>
      <c r="AD69" s="37">
        <f>'Other - Aluminum'!AD4</f>
        <v>0</v>
      </c>
      <c r="AE69" s="37">
        <f>'Other - Aluminum'!AE4</f>
        <v>0</v>
      </c>
      <c r="AF69" s="37">
        <f>'Other - Aluminum'!AF4</f>
        <v>0</v>
      </c>
      <c r="AG69" s="37">
        <f>'Other - Aluminum'!AG4</f>
        <v>0</v>
      </c>
      <c r="AH69" s="37">
        <f>'Other - Aluminum'!AH4</f>
        <v>0</v>
      </c>
      <c r="AI69" s="37">
        <f>'Other - Aluminum'!AI4</f>
        <v>0</v>
      </c>
      <c r="AJ69" s="37">
        <f>'Other - Aluminum'!AJ4</f>
        <v>0</v>
      </c>
      <c r="AK69" s="37">
        <f>'Other - Aluminum'!AK4</f>
        <v>0</v>
      </c>
    </row>
    <row r="70" spans="1:37">
      <c r="A70" s="298" t="s">
        <v>170</v>
      </c>
      <c r="B70" s="37">
        <f>'Other - Aluminum'!B3</f>
        <v>0</v>
      </c>
      <c r="C70" s="37">
        <f>'Other - Aluminum'!C3</f>
        <v>0</v>
      </c>
      <c r="D70" s="37">
        <f>'Other - Aluminum'!D3</f>
        <v>0</v>
      </c>
      <c r="E70" s="37">
        <f>'Other - Aluminum'!E3</f>
        <v>0</v>
      </c>
      <c r="F70" s="37">
        <f>'Other - Aluminum'!F3</f>
        <v>0</v>
      </c>
      <c r="G70" s="37">
        <f>'Other - Aluminum'!G3</f>
        <v>0</v>
      </c>
      <c r="H70" s="37">
        <f>'Other - Aluminum'!H3</f>
        <v>0</v>
      </c>
      <c r="I70" s="37">
        <f>'Other - Aluminum'!I3</f>
        <v>0</v>
      </c>
      <c r="J70" s="37">
        <f>'Other - Aluminum'!J3</f>
        <v>0</v>
      </c>
      <c r="K70" s="37">
        <f>'Other - Aluminum'!K3</f>
        <v>0</v>
      </c>
      <c r="L70" s="37">
        <f>'Other - Aluminum'!L3</f>
        <v>0</v>
      </c>
      <c r="M70" s="37">
        <f>'Other - Aluminum'!M3</f>
        <v>0</v>
      </c>
      <c r="N70" s="37">
        <f>'Other - Aluminum'!N3</f>
        <v>0</v>
      </c>
      <c r="O70" s="37">
        <f>'Other - Aluminum'!O3</f>
        <v>0</v>
      </c>
      <c r="P70" s="37">
        <f>'Other - Aluminum'!P3</f>
        <v>0</v>
      </c>
      <c r="Q70" s="37">
        <f>'Other - Aluminum'!Q3</f>
        <v>0</v>
      </c>
      <c r="R70" s="37">
        <f>'Other - Aluminum'!R3</f>
        <v>0</v>
      </c>
      <c r="S70" s="37">
        <f>'Other - Aluminum'!S3</f>
        <v>0</v>
      </c>
      <c r="T70" s="37">
        <f>'Other - Aluminum'!T3</f>
        <v>0</v>
      </c>
      <c r="U70" s="37">
        <f>'Other - Aluminum'!U3</f>
        <v>0</v>
      </c>
      <c r="V70" s="37">
        <f>'Other - Aluminum'!V3</f>
        <v>0</v>
      </c>
      <c r="W70" s="37">
        <f>'Other - Aluminum'!W3</f>
        <v>0</v>
      </c>
      <c r="X70" s="37">
        <f>'Other - Aluminum'!X3</f>
        <v>0</v>
      </c>
      <c r="Y70" s="37">
        <f>'Other - Aluminum'!Y3</f>
        <v>0</v>
      </c>
      <c r="Z70" s="37">
        <f>'Other - Aluminum'!Z3</f>
        <v>0</v>
      </c>
      <c r="AA70" s="37">
        <f>'Other - Aluminum'!AA3</f>
        <v>0</v>
      </c>
      <c r="AB70" s="37">
        <f>'Other - Aluminum'!AB3</f>
        <v>0</v>
      </c>
      <c r="AC70" s="37">
        <f>'Other - Aluminum'!AC3</f>
        <v>0</v>
      </c>
      <c r="AD70" s="37">
        <f>'Other - Aluminum'!AD3</f>
        <v>0</v>
      </c>
      <c r="AE70" s="37">
        <f>'Other - Aluminum'!AE3</f>
        <v>0</v>
      </c>
      <c r="AF70" s="37">
        <f>'Other - Aluminum'!AF3</f>
        <v>0</v>
      </c>
      <c r="AG70" s="37">
        <f>'Other - Aluminum'!AG3</f>
        <v>0</v>
      </c>
      <c r="AH70" s="37">
        <f>'Other - Aluminum'!AH3</f>
        <v>0</v>
      </c>
      <c r="AI70" s="37">
        <f>'Other - Aluminum'!AI3</f>
        <v>0</v>
      </c>
      <c r="AJ70" s="37">
        <f>'Other - Aluminum'!AJ3</f>
        <v>0</v>
      </c>
      <c r="AK70" s="37">
        <f>'Other - Aluminum'!AK3</f>
        <v>0</v>
      </c>
    </row>
    <row r="71" spans="1:37">
      <c r="A71" s="298" t="s">
        <v>140</v>
      </c>
      <c r="B71" s="37">
        <f>'Other - Magnesium'!B4</f>
        <v>0</v>
      </c>
      <c r="C71" s="37">
        <f>'Other - Magnesium'!C4</f>
        <v>0</v>
      </c>
      <c r="D71" s="37">
        <f>'Other - Magnesium'!D4</f>
        <v>0</v>
      </c>
      <c r="E71" s="37">
        <f>'Other - Magnesium'!E4</f>
        <v>0</v>
      </c>
      <c r="F71" s="37">
        <f>'Other - Magnesium'!F4</f>
        <v>0</v>
      </c>
      <c r="G71" s="37">
        <f>'Other - Magnesium'!G4</f>
        <v>0</v>
      </c>
      <c r="H71" s="37">
        <f>'Other - Magnesium'!H4</f>
        <v>0</v>
      </c>
      <c r="I71" s="37">
        <f>'Other - Magnesium'!I4</f>
        <v>0</v>
      </c>
      <c r="J71" s="37">
        <f>'Other - Magnesium'!J4</f>
        <v>0</v>
      </c>
      <c r="K71" s="37">
        <f>'Other - Magnesium'!K4</f>
        <v>0</v>
      </c>
      <c r="L71" s="37">
        <f>'Other - Magnesium'!L4</f>
        <v>0</v>
      </c>
      <c r="M71" s="37">
        <f>'Other - Magnesium'!M4</f>
        <v>0</v>
      </c>
      <c r="N71" s="37">
        <f>'Other - Magnesium'!N4</f>
        <v>0</v>
      </c>
      <c r="O71" s="37">
        <f>'Other - Magnesium'!O4</f>
        <v>0</v>
      </c>
      <c r="P71" s="37">
        <f>'Other - Magnesium'!P4</f>
        <v>0</v>
      </c>
      <c r="Q71" s="37">
        <f>'Other - Magnesium'!Q4</f>
        <v>0</v>
      </c>
      <c r="R71" s="37">
        <f>'Other - Magnesium'!R4</f>
        <v>0</v>
      </c>
      <c r="S71" s="37">
        <f>'Other - Magnesium'!S4</f>
        <v>0</v>
      </c>
      <c r="T71" s="37">
        <f>'Other - Magnesium'!T4</f>
        <v>0</v>
      </c>
      <c r="U71" s="37">
        <f>'Other - Magnesium'!U4</f>
        <v>0</v>
      </c>
      <c r="V71" s="37">
        <f>'Other - Magnesium'!V4</f>
        <v>0</v>
      </c>
      <c r="W71" s="37">
        <f>'Other - Magnesium'!W4</f>
        <v>0</v>
      </c>
      <c r="X71" s="37">
        <f>'Other - Magnesium'!X4</f>
        <v>0</v>
      </c>
      <c r="Y71" s="37">
        <f>'Other - Magnesium'!Y4</f>
        <v>0</v>
      </c>
      <c r="Z71" s="37">
        <f>'Other - Magnesium'!Z4</f>
        <v>0</v>
      </c>
      <c r="AA71" s="37">
        <f>'Other - Magnesium'!AA4</f>
        <v>0</v>
      </c>
      <c r="AB71" s="37">
        <f>'Other - Magnesium'!AB4</f>
        <v>0</v>
      </c>
      <c r="AC71" s="37">
        <f>'Other - Magnesium'!AC4</f>
        <v>0</v>
      </c>
      <c r="AD71" s="37">
        <f>'Other - Magnesium'!AD4</f>
        <v>0</v>
      </c>
      <c r="AE71" s="37">
        <f>'Other - Magnesium'!AE4</f>
        <v>0</v>
      </c>
      <c r="AF71" s="37">
        <f>'Other - Magnesium'!AF4</f>
        <v>0</v>
      </c>
      <c r="AG71" s="37">
        <f>'Other - Magnesium'!AG4</f>
        <v>0</v>
      </c>
      <c r="AH71" s="37">
        <f>'Other - Magnesium'!AH4</f>
        <v>0</v>
      </c>
      <c r="AI71" s="37">
        <f>'Other - Magnesium'!AI4</f>
        <v>0</v>
      </c>
      <c r="AJ71" s="37">
        <f>'Other - Magnesium'!AJ4</f>
        <v>0</v>
      </c>
      <c r="AK71" s="37">
        <f>'Other - Magnesium'!AK4</f>
        <v>0</v>
      </c>
    </row>
    <row r="72" spans="1:37">
      <c r="A72" s="298" t="s">
        <v>171</v>
      </c>
      <c r="B72" s="37">
        <f>'Other - Magnesium'!B3</f>
        <v>0</v>
      </c>
      <c r="C72" s="37">
        <f>'Other - Magnesium'!C3</f>
        <v>0</v>
      </c>
      <c r="D72" s="37">
        <f>'Other - Magnesium'!D3</f>
        <v>0</v>
      </c>
      <c r="E72" s="37">
        <f>'Other - Magnesium'!E3</f>
        <v>0</v>
      </c>
      <c r="F72" s="37">
        <f>'Other - Magnesium'!F3</f>
        <v>0</v>
      </c>
      <c r="G72" s="37">
        <f>'Other - Magnesium'!G3</f>
        <v>0</v>
      </c>
      <c r="H72" s="37">
        <f>'Other - Magnesium'!H3</f>
        <v>0</v>
      </c>
      <c r="I72" s="37">
        <f>'Other - Magnesium'!I3</f>
        <v>0</v>
      </c>
      <c r="J72" s="37">
        <f>'Other - Magnesium'!J3</f>
        <v>0</v>
      </c>
      <c r="K72" s="37">
        <f>'Other - Magnesium'!K3</f>
        <v>0</v>
      </c>
      <c r="L72" s="37">
        <f>'Other - Magnesium'!L3</f>
        <v>0</v>
      </c>
      <c r="M72" s="37">
        <f>'Other - Magnesium'!M3</f>
        <v>0</v>
      </c>
      <c r="N72" s="37">
        <f>'Other - Magnesium'!N3</f>
        <v>0</v>
      </c>
      <c r="O72" s="37">
        <f>'Other - Magnesium'!O3</f>
        <v>0</v>
      </c>
      <c r="P72" s="37">
        <f>'Other - Magnesium'!P3</f>
        <v>0</v>
      </c>
      <c r="Q72" s="37">
        <f>'Other - Magnesium'!Q3</f>
        <v>0</v>
      </c>
      <c r="R72" s="37">
        <f>'Other - Magnesium'!R3</f>
        <v>0</v>
      </c>
      <c r="S72" s="37">
        <f>'Other - Magnesium'!S3</f>
        <v>0</v>
      </c>
      <c r="T72" s="37">
        <f>'Other - Magnesium'!T3</f>
        <v>0</v>
      </c>
      <c r="U72" s="37">
        <f>'Other - Magnesium'!U3</f>
        <v>0</v>
      </c>
      <c r="V72" s="37">
        <f>'Other - Magnesium'!V3</f>
        <v>0</v>
      </c>
      <c r="W72" s="37">
        <f>'Other - Magnesium'!W3</f>
        <v>0</v>
      </c>
      <c r="X72" s="37">
        <f>'Other - Magnesium'!X3</f>
        <v>0</v>
      </c>
      <c r="Y72" s="37">
        <f>'Other - Magnesium'!Y3</f>
        <v>0</v>
      </c>
      <c r="Z72" s="37">
        <f>'Other - Magnesium'!Z3</f>
        <v>0</v>
      </c>
      <c r="AA72" s="37">
        <f>'Other - Magnesium'!AA3</f>
        <v>0</v>
      </c>
      <c r="AB72" s="37">
        <f>'Other - Magnesium'!AB3</f>
        <v>0</v>
      </c>
      <c r="AC72" s="37">
        <f>'Other - Magnesium'!AC3</f>
        <v>0</v>
      </c>
      <c r="AD72" s="37">
        <f>'Other - Magnesium'!AD3</f>
        <v>0</v>
      </c>
      <c r="AE72" s="37">
        <f>'Other - Magnesium'!AE3</f>
        <v>0</v>
      </c>
      <c r="AF72" s="37">
        <f>'Other - Magnesium'!AF3</f>
        <v>0</v>
      </c>
      <c r="AG72" s="37">
        <f>'Other - Magnesium'!AG3</f>
        <v>0</v>
      </c>
      <c r="AH72" s="37">
        <f>'Other - Magnesium'!AH3</f>
        <v>0</v>
      </c>
      <c r="AI72" s="37">
        <f>'Other - Magnesium'!AI3</f>
        <v>0</v>
      </c>
      <c r="AJ72" s="37">
        <f>'Other - Magnesium'!AJ3</f>
        <v>0</v>
      </c>
      <c r="AK72" s="37">
        <f>'Other - Magnesium'!AK3</f>
        <v>0</v>
      </c>
    </row>
    <row r="73" spans="1:37">
      <c r="A73" s="298" t="s">
        <v>141</v>
      </c>
      <c r="B73" s="37">
        <f>'Other - Elec Trans and Dist'!B1</f>
        <v>0</v>
      </c>
      <c r="C73" s="37">
        <f>'Other - Elec Trans and Dist'!C1</f>
        <v>0</v>
      </c>
      <c r="D73" s="37">
        <f>'Other - Elec Trans and Dist'!D1</f>
        <v>0</v>
      </c>
      <c r="E73" s="37">
        <f>'Other - Elec Trans and Dist'!E1</f>
        <v>0</v>
      </c>
      <c r="F73" s="37">
        <f>'Other - Elec Trans and Dist'!F1</f>
        <v>0</v>
      </c>
      <c r="G73" s="37">
        <f>'Other - Elec Trans and Dist'!G1</f>
        <v>0</v>
      </c>
      <c r="H73" s="37">
        <f>'Other - Elec Trans and Dist'!H1</f>
        <v>0</v>
      </c>
      <c r="I73" s="37">
        <f>'Other - Elec Trans and Dist'!I1</f>
        <v>0</v>
      </c>
      <c r="J73" s="37">
        <f>'Other - Elec Trans and Dist'!J1</f>
        <v>0</v>
      </c>
      <c r="K73" s="37">
        <f>'Other - Elec Trans and Dist'!K1</f>
        <v>0</v>
      </c>
      <c r="L73" s="37">
        <f>'Other - Elec Trans and Dist'!L1</f>
        <v>0</v>
      </c>
      <c r="M73" s="37">
        <f>'Other - Elec Trans and Dist'!M1</f>
        <v>0</v>
      </c>
      <c r="N73" s="37">
        <f>'Other - Elec Trans and Dist'!N1</f>
        <v>0</v>
      </c>
      <c r="O73" s="37">
        <f>'Other - Elec Trans and Dist'!O1</f>
        <v>0</v>
      </c>
      <c r="P73" s="37">
        <f>'Other - Elec Trans and Dist'!P1</f>
        <v>0</v>
      </c>
      <c r="Q73" s="37">
        <f>'Other - Elec Trans and Dist'!Q1</f>
        <v>0</v>
      </c>
      <c r="R73" s="37">
        <f>'Other - Elec Trans and Dist'!R1</f>
        <v>0</v>
      </c>
      <c r="S73" s="37">
        <f>'Other - Elec Trans and Dist'!S1</f>
        <v>0</v>
      </c>
      <c r="T73" s="37">
        <f>'Other - Elec Trans and Dist'!T1</f>
        <v>0</v>
      </c>
      <c r="U73" s="37">
        <f>'Other - Elec Trans and Dist'!U1</f>
        <v>0</v>
      </c>
      <c r="V73" s="37">
        <f>'Other - Elec Trans and Dist'!V1</f>
        <v>0</v>
      </c>
      <c r="W73" s="37">
        <f>'Other - Elec Trans and Dist'!W1</f>
        <v>0</v>
      </c>
      <c r="X73" s="37">
        <f>'Other - Elec Trans and Dist'!X1</f>
        <v>0</v>
      </c>
      <c r="Y73" s="37">
        <f>'Other - Elec Trans and Dist'!Y1</f>
        <v>0</v>
      </c>
      <c r="Z73" s="37">
        <f>'Other - Elec Trans and Dist'!Z1</f>
        <v>0</v>
      </c>
      <c r="AA73" s="37">
        <f>'Other - Elec Trans and Dist'!AA1</f>
        <v>0</v>
      </c>
      <c r="AB73" s="37">
        <f>'Other - Elec Trans and Dist'!AB1</f>
        <v>0</v>
      </c>
      <c r="AC73" s="37">
        <f>'Other - Elec Trans and Dist'!AC1</f>
        <v>0</v>
      </c>
      <c r="AD73" s="37">
        <f>'Other - Elec Trans and Dist'!AD1</f>
        <v>0</v>
      </c>
      <c r="AE73" s="37">
        <f>'Other - Elec Trans and Dist'!AE1</f>
        <v>0</v>
      </c>
      <c r="AF73" s="37">
        <f>'Other - Elec Trans and Dist'!AF1</f>
        <v>0</v>
      </c>
      <c r="AG73" s="37">
        <f>'Other - Elec Trans and Dist'!AG1</f>
        <v>0</v>
      </c>
      <c r="AH73" s="37">
        <f>'Other - Elec Trans and Dist'!AH1</f>
        <v>0</v>
      </c>
      <c r="AI73" s="37">
        <f>'Other - Elec Trans and Dist'!AI1</f>
        <v>0</v>
      </c>
      <c r="AJ73" s="37">
        <f>'Other - Elec Trans and Dist'!AJ1</f>
        <v>0</v>
      </c>
      <c r="AK73" s="37">
        <f>'Other - Elec Trans and Dist'!AK1</f>
        <v>0</v>
      </c>
    </row>
    <row r="74" spans="1:37">
      <c r="A74" s="298" t="s">
        <v>235</v>
      </c>
      <c r="B74" s="37">
        <f>'Other Industrial Processes'!C127/1000</f>
        <v>6.7758620603560098E-3</v>
      </c>
      <c r="C74" s="37">
        <f>'Other Industrial Processes'!D127/1000</f>
        <v>7.5287356226177889E-3</v>
      </c>
      <c r="D74" s="37">
        <f>'Other Industrial Processes'!E127/1000</f>
        <v>8.2816091848795671E-3</v>
      </c>
      <c r="E74" s="37">
        <f>'Other Industrial Processes'!F127/1000</f>
        <v>9.034482747141347E-3</v>
      </c>
      <c r="F74" s="37">
        <f>'Other Industrial Processes'!G127/1000</f>
        <v>9.7873563094031269E-3</v>
      </c>
      <c r="G74" s="37">
        <f>'Other Industrial Processes'!H127/1000</f>
        <v>1.0540229871664905E-2</v>
      </c>
      <c r="H74" s="37">
        <f>'Other Industrial Processes'!I127/1000</f>
        <v>1.1293103433926685E-2</v>
      </c>
      <c r="I74" s="37">
        <f>'Other Industrial Processes'!J127/1000</f>
        <v>1.2045976996188465E-2</v>
      </c>
      <c r="J74" s="37">
        <f>'Other Industrial Processes'!K127/1000</f>
        <v>1.2798850558450245E-2</v>
      </c>
      <c r="K74" s="37">
        <f>'Other Industrial Processes'!L127/1000</f>
        <v>1.3551724120712023E-2</v>
      </c>
      <c r="L74" s="37">
        <f>'Other Industrial Processes'!M127/1000</f>
        <v>1.4304597682973803E-2</v>
      </c>
      <c r="M74" s="37">
        <f>'Other Industrial Processes'!N127/1000</f>
        <v>1.5057471245235583E-2</v>
      </c>
      <c r="N74" s="37">
        <f>'Other Industrial Processes'!O127/1000</f>
        <v>1.5810344807497361E-2</v>
      </c>
      <c r="O74" s="37">
        <f>'Other Industrial Processes'!P127/1000</f>
        <v>1.6563218369759141E-2</v>
      </c>
      <c r="P74" s="37">
        <f>'Other Industrial Processes'!Q127/1000</f>
        <v>1.7316091932020921E-2</v>
      </c>
      <c r="Q74" s="37">
        <f>'Other Industrial Processes'!R127/1000</f>
        <v>1.8068965494282701E-2</v>
      </c>
      <c r="R74" s="37">
        <f>'Other Industrial Processes'!S127/1000</f>
        <v>1.8821839056544481E-2</v>
      </c>
      <c r="S74" s="37">
        <f>'Other Industrial Processes'!T127/1000</f>
        <v>1.9574712618806261E-2</v>
      </c>
      <c r="T74" s="37">
        <f>'Other Industrial Processes'!U127/1000</f>
        <v>2.0327586181068037E-2</v>
      </c>
      <c r="U74" s="37">
        <f>'Other Industrial Processes'!V127/1000</f>
        <v>2.1080459743329817E-2</v>
      </c>
      <c r="V74" s="37">
        <f>'Other Industrial Processes'!W127/1000</f>
        <v>2.1833333305591597E-2</v>
      </c>
      <c r="W74" s="37">
        <f>'Other Industrial Processes'!X127/1000</f>
        <v>2.2586206867853377E-2</v>
      </c>
      <c r="X74" s="37">
        <f>'Other Industrial Processes'!Y127/1000</f>
        <v>2.3339080430115157E-2</v>
      </c>
      <c r="Y74" s="37">
        <f>'Other Industrial Processes'!Z127/1000</f>
        <v>2.4091953992376937E-2</v>
      </c>
      <c r="Z74" s="37">
        <f>'Other Industrial Processes'!AA127/1000</f>
        <v>2.4844827554638717E-2</v>
      </c>
      <c r="AA74" s="37">
        <f>'Other Industrial Processes'!AB127/1000</f>
        <v>2.5597701116900497E-2</v>
      </c>
      <c r="AB74" s="37">
        <f>'Other Industrial Processes'!AC127/1000</f>
        <v>2.6350574679162273E-2</v>
      </c>
      <c r="AC74" s="37">
        <f>'Other Industrial Processes'!AD127/1000</f>
        <v>2.7103448241424053E-2</v>
      </c>
      <c r="AD74" s="37">
        <f>'Other Industrial Processes'!AE127/1000</f>
        <v>2.7856321803685833E-2</v>
      </c>
      <c r="AE74" s="37">
        <f>'Other Industrial Processes'!AF127/1000</f>
        <v>2.8609195365947613E-2</v>
      </c>
      <c r="AF74" s="37">
        <f>'Other Industrial Processes'!AG127/1000</f>
        <v>2.9362068928209393E-2</v>
      </c>
      <c r="AG74" s="37">
        <f>'Other Industrial Processes'!AH127/1000</f>
        <v>3.0114942490471173E-2</v>
      </c>
      <c r="AH74" s="37">
        <f>'Other Industrial Processes'!AI127/1000</f>
        <v>3.0867816052732953E-2</v>
      </c>
      <c r="AI74" s="37">
        <f>'Other Industrial Processes'!AJ127/1000</f>
        <v>3.1620689614994729E-2</v>
      </c>
      <c r="AJ74" s="37">
        <f>'Other Industrial Processes'!AK127/1000</f>
        <v>3.2373563177256509E-2</v>
      </c>
      <c r="AK74" s="37">
        <f>'Other Industrial Processes'!AL127/1000</f>
        <v>3.3126436739518282E-2</v>
      </c>
    </row>
    <row r="75" spans="1:37">
      <c r="A75" s="300" t="s">
        <v>256</v>
      </c>
      <c r="B75" s="37">
        <f>'Other Industrial Processes'!C128*N2O_to_CO2e/1000</f>
        <v>2.6068580699400774E-2</v>
      </c>
      <c r="C75" s="37">
        <f>'Other Industrial Processes'!D128*N2O_to_CO2e/1000</f>
        <v>0</v>
      </c>
      <c r="D75" s="37">
        <f>'Other Industrial Processes'!E128*N2O_to_CO2e/1000</f>
        <v>0</v>
      </c>
      <c r="E75" s="37">
        <f>'Other Industrial Processes'!F128*N2O_to_CO2e/1000</f>
        <v>0</v>
      </c>
      <c r="F75" s="37">
        <f>'Other Industrial Processes'!G128*N2O_to_CO2e/1000</f>
        <v>0</v>
      </c>
      <c r="G75" s="37">
        <f>'Other Industrial Processes'!H128*N2O_to_CO2e/1000</f>
        <v>0</v>
      </c>
      <c r="H75" s="37">
        <f>'Other Industrial Processes'!I128*N2O_to_CO2e/1000</f>
        <v>0</v>
      </c>
      <c r="I75" s="37">
        <f>'Other Industrial Processes'!J128*N2O_to_CO2e/1000</f>
        <v>0</v>
      </c>
      <c r="J75" s="37">
        <f>'Other Industrial Processes'!K128*N2O_to_CO2e/1000</f>
        <v>0</v>
      </c>
      <c r="K75" s="37">
        <f>'Other Industrial Processes'!L128*N2O_to_CO2e/1000</f>
        <v>0</v>
      </c>
      <c r="L75" s="37">
        <f>'Other Industrial Processes'!M128*N2O_to_CO2e/1000</f>
        <v>0</v>
      </c>
      <c r="M75" s="37">
        <f>'Other Industrial Processes'!N128*N2O_to_CO2e/1000</f>
        <v>0</v>
      </c>
      <c r="N75" s="37">
        <f>'Other Industrial Processes'!O128*N2O_to_CO2e/1000</f>
        <v>0</v>
      </c>
      <c r="O75" s="37">
        <f>'Other Industrial Processes'!P128*N2O_to_CO2e/1000</f>
        <v>0</v>
      </c>
      <c r="P75" s="37">
        <f>'Other Industrial Processes'!Q128*N2O_to_CO2e/1000</f>
        <v>0</v>
      </c>
      <c r="Q75" s="37">
        <f>'Other Industrial Processes'!R128*N2O_to_CO2e/1000</f>
        <v>0</v>
      </c>
      <c r="R75" s="37">
        <f>'Other Industrial Processes'!S128*N2O_to_CO2e/1000</f>
        <v>0</v>
      </c>
      <c r="S75" s="37">
        <f>'Other Industrial Processes'!T128*N2O_to_CO2e/1000</f>
        <v>0</v>
      </c>
      <c r="T75" s="37">
        <f>'Other Industrial Processes'!U128*N2O_to_CO2e/1000</f>
        <v>0</v>
      </c>
      <c r="U75" s="37">
        <f>'Other Industrial Processes'!V128*N2O_to_CO2e/1000</f>
        <v>0</v>
      </c>
      <c r="V75" s="37">
        <f>'Other Industrial Processes'!W128*N2O_to_CO2e/1000</f>
        <v>0</v>
      </c>
      <c r="W75" s="37">
        <f>'Other Industrial Processes'!X128*N2O_to_CO2e/1000</f>
        <v>0</v>
      </c>
      <c r="X75" s="37">
        <f>'Other Industrial Processes'!Y128*N2O_to_CO2e/1000</f>
        <v>0</v>
      </c>
      <c r="Y75" s="37">
        <f>'Other Industrial Processes'!Z128*N2O_to_CO2e/1000</f>
        <v>0</v>
      </c>
      <c r="Z75" s="37">
        <f>'Other Industrial Processes'!AA128*N2O_to_CO2e/1000</f>
        <v>0</v>
      </c>
      <c r="AA75" s="37">
        <f>'Other Industrial Processes'!AB128*N2O_to_CO2e/1000</f>
        <v>0</v>
      </c>
      <c r="AB75" s="37">
        <f>'Other Industrial Processes'!AC128*N2O_to_CO2e/1000</f>
        <v>0</v>
      </c>
      <c r="AC75" s="37">
        <f>'Other Industrial Processes'!AD128*N2O_to_CO2e/1000</f>
        <v>0</v>
      </c>
      <c r="AD75" s="37">
        <f>'Other Industrial Processes'!AE128*N2O_to_CO2e/1000</f>
        <v>0</v>
      </c>
      <c r="AE75" s="37">
        <f>'Other Industrial Processes'!AF128*N2O_to_CO2e/1000</f>
        <v>0</v>
      </c>
      <c r="AF75" s="37">
        <f>'Other Industrial Processes'!AG128*N2O_to_CO2e/1000</f>
        <v>0</v>
      </c>
      <c r="AG75" s="37">
        <f>'Other Industrial Processes'!AH128*N2O_to_CO2e/1000</f>
        <v>0</v>
      </c>
      <c r="AH75" s="37">
        <f>'Other Industrial Processes'!AI128*N2O_to_CO2e/1000</f>
        <v>0</v>
      </c>
      <c r="AI75" s="37">
        <f>'Other Industrial Processes'!AJ128*N2O_to_CO2e/1000</f>
        <v>0</v>
      </c>
      <c r="AJ75" s="37">
        <f>'Other Industrial Processes'!AK128*N2O_to_CO2e/1000</f>
        <v>0</v>
      </c>
      <c r="AK75" s="37">
        <f>'Other Industrial Processes'!AL128*N2O_to_CO2e/1000</f>
        <v>0</v>
      </c>
    </row>
    <row r="76" spans="1:37">
      <c r="A76" s="300" t="s">
        <v>741</v>
      </c>
      <c r="B76" s="50">
        <f>SUM('Other Industrial Processes'!C129:C130)/10^3</f>
        <v>4.0274166117592056E-3</v>
      </c>
      <c r="C76" s="50">
        <f>SUM('Other Industrial Processes'!D129:D130)/10^3</f>
        <v>4.3513309234684992E-3</v>
      </c>
      <c r="D76" s="50">
        <f>SUM('Other Industrial Processes'!E129:E130)/10^3</f>
        <v>4.6752452351777919E-3</v>
      </c>
      <c r="E76" s="50">
        <f>SUM('Other Industrial Processes'!F129:F130)/10^3</f>
        <v>4.9991595468870855E-3</v>
      </c>
      <c r="F76" s="50">
        <f>SUM('Other Industrial Processes'!G129:G130)/10^3</f>
        <v>5.3230738585963791E-3</v>
      </c>
      <c r="G76" s="50">
        <f>SUM('Other Industrial Processes'!H129:H130)/10^3</f>
        <v>5.6469881703056718E-3</v>
      </c>
      <c r="H76" s="50">
        <f>SUM('Other Industrial Processes'!I129:I130)/10^3</f>
        <v>5.9709024820149654E-3</v>
      </c>
      <c r="I76" s="50">
        <f>SUM('Other Industrial Processes'!J129:J130)/10^3</f>
        <v>6.294816793724259E-3</v>
      </c>
      <c r="J76" s="50">
        <f>SUM('Other Industrial Processes'!K129:K130)/10^3</f>
        <v>6.6187311054335517E-3</v>
      </c>
      <c r="K76" s="50">
        <f>SUM('Other Industrial Processes'!L129:L130)/10^3</f>
        <v>6.9426454171428453E-3</v>
      </c>
      <c r="L76" s="50">
        <f>SUM('Other Industrial Processes'!M129:M130)/10^3</f>
        <v>7.2665597288521389E-3</v>
      </c>
      <c r="M76" s="50">
        <f>SUM('Other Industrial Processes'!N129:N130)/10^3</f>
        <v>7.5904740405614316E-3</v>
      </c>
      <c r="N76" s="50">
        <f>SUM('Other Industrial Processes'!O129:O130)/10^3</f>
        <v>7.9143883522707244E-3</v>
      </c>
      <c r="O76" s="50">
        <f>SUM('Other Industrial Processes'!P129:P130)/10^3</f>
        <v>8.238302663980018E-3</v>
      </c>
      <c r="P76" s="50">
        <f>SUM('Other Industrial Processes'!Q129:Q130)/10^3</f>
        <v>8.5622169756893116E-3</v>
      </c>
      <c r="Q76" s="50">
        <f>SUM('Other Industrial Processes'!R129:R130)/10^3</f>
        <v>8.8861312873986052E-3</v>
      </c>
      <c r="R76" s="50">
        <f>SUM('Other Industrial Processes'!S129:S130)/10^3</f>
        <v>9.2100455991078987E-3</v>
      </c>
      <c r="S76" s="50">
        <f>SUM('Other Industrial Processes'!T129:T130)/10^3</f>
        <v>9.5339599108171923E-3</v>
      </c>
      <c r="T76" s="50">
        <f>SUM('Other Industrial Processes'!U129:U130)/10^3</f>
        <v>9.8578742225264842E-3</v>
      </c>
      <c r="U76" s="50">
        <f>SUM('Other Industrial Processes'!V129:V130)/10^3</f>
        <v>1.0181788534235778E-2</v>
      </c>
      <c r="V76" s="50">
        <f>SUM('Other Industrial Processes'!W129:W130)/10^3</f>
        <v>1.0505702845945071E-2</v>
      </c>
      <c r="W76" s="50">
        <f>SUM('Other Industrial Processes'!X129:X130)/10^3</f>
        <v>1.0829617157654365E-2</v>
      </c>
      <c r="X76" s="50">
        <f>SUM('Other Industrial Processes'!Y129:Y130)/10^3</f>
        <v>1.1153531469363659E-2</v>
      </c>
      <c r="Y76" s="50">
        <f>SUM('Other Industrial Processes'!Z129:Z130)/10^3</f>
        <v>1.1477445781072952E-2</v>
      </c>
      <c r="Z76" s="50">
        <f>SUM('Other Industrial Processes'!AA129:AA130)/10^3</f>
        <v>1.1801360092782244E-2</v>
      </c>
      <c r="AA76" s="50">
        <f>SUM('Other Industrial Processes'!AB129:AB130)/10^3</f>
        <v>1.2125274404491538E-2</v>
      </c>
      <c r="AB76" s="50">
        <f>SUM('Other Industrial Processes'!AC129:AC130)/10^3</f>
        <v>1.2449188716200831E-2</v>
      </c>
      <c r="AC76" s="50">
        <f>SUM('Other Industrial Processes'!AD129:AD130)/10^3</f>
        <v>1.2773103027910125E-2</v>
      </c>
      <c r="AD76" s="50">
        <f>SUM('Other Industrial Processes'!AE129:AE130)/10^3</f>
        <v>1.3097017339619418E-2</v>
      </c>
      <c r="AE76" s="50">
        <f>SUM('Other Industrial Processes'!AF129:AF130)/10^3</f>
        <v>1.3420931651328712E-2</v>
      </c>
      <c r="AF76" s="50">
        <f>SUM('Other Industrial Processes'!AG129:AG130)/10^3</f>
        <v>1.3744845963038004E-2</v>
      </c>
      <c r="AG76" s="50">
        <f>SUM('Other Industrial Processes'!AH129:AH130)/10^3</f>
        <v>1.4068760274747297E-2</v>
      </c>
      <c r="AH76" s="50">
        <f>SUM('Other Industrial Processes'!AI129:AI130)/10^3</f>
        <v>1.4392674586456591E-2</v>
      </c>
      <c r="AI76" s="50">
        <f>SUM('Other Industrial Processes'!AJ129:AJ130)/10^3</f>
        <v>1.4716588898165885E-2</v>
      </c>
      <c r="AJ76" s="50">
        <f>SUM('Other Industrial Processes'!AK129:AK130)/10^3</f>
        <v>1.5040503209875178E-2</v>
      </c>
      <c r="AK76" s="50">
        <f>SUM('Other Industrial Processes'!AL129:AL130)/10^3</f>
        <v>1.5364417521584472E-2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25"/>
  <sheetViews>
    <sheetView topLeftCell="O81" zoomScaleNormal="100" workbookViewId="0">
      <selection activeCell="AD116" sqref="AD116"/>
    </sheetView>
  </sheetViews>
  <sheetFormatPr baseColWidth="10" defaultColWidth="8.83203125" defaultRowHeight="15"/>
  <cols>
    <col min="1" max="1" width="47.5" style="9" customWidth="1"/>
    <col min="2" max="9" width="10.5" style="9" customWidth="1"/>
    <col min="10" max="10" width="10.6640625" style="9" customWidth="1"/>
    <col min="11" max="37" width="10.5" style="9" bestFit="1" customWidth="1"/>
    <col min="38" max="16384" width="8.83203125" style="9"/>
  </cols>
  <sheetData>
    <row r="1" spans="1:7">
      <c r="A1" s="16" t="s">
        <v>41</v>
      </c>
      <c r="B1" s="16"/>
      <c r="C1" s="16"/>
      <c r="D1" s="16"/>
      <c r="E1" s="16"/>
      <c r="F1" s="16"/>
      <c r="G1" s="495"/>
    </row>
    <row r="2" spans="1:7" s="416" customFormat="1">
      <c r="A2" s="53" t="s">
        <v>1040</v>
      </c>
      <c r="B2" s="53"/>
      <c r="C2" s="53"/>
      <c r="D2" s="53"/>
      <c r="E2" s="53"/>
      <c r="F2" s="53"/>
      <c r="G2" s="413"/>
    </row>
    <row r="3" spans="1:7" s="416" customFormat="1">
      <c r="A3" s="496" t="s">
        <v>15</v>
      </c>
      <c r="B3" s="496" t="s">
        <v>987</v>
      </c>
      <c r="C3" s="496" t="s">
        <v>51</v>
      </c>
      <c r="D3" s="496" t="s">
        <v>988</v>
      </c>
      <c r="E3" s="496" t="s">
        <v>989</v>
      </c>
      <c r="F3" s="497" t="s">
        <v>15</v>
      </c>
      <c r="G3" s="497" t="s">
        <v>990</v>
      </c>
    </row>
    <row r="4" spans="1:7" s="416" customFormat="1">
      <c r="A4" s="498" t="s">
        <v>991</v>
      </c>
      <c r="B4" s="420">
        <f>B5+B6</f>
        <v>82000</v>
      </c>
      <c r="C4" s="420">
        <f>C5+C6</f>
        <v>0</v>
      </c>
      <c r="D4" s="414">
        <f t="shared" ref="D4:D18" si="0">C4*25</f>
        <v>0</v>
      </c>
      <c r="E4" s="499">
        <f>D4+B4</f>
        <v>82000</v>
      </c>
      <c r="F4" s="500" t="s">
        <v>992</v>
      </c>
      <c r="G4" s="9" t="s">
        <v>993</v>
      </c>
    </row>
    <row r="5" spans="1:7" s="416" customFormat="1">
      <c r="A5" s="9" t="s">
        <v>994</v>
      </c>
      <c r="B5" s="420">
        <f>(56.3+8.8)*1000</f>
        <v>65099.999999999993</v>
      </c>
      <c r="C5" s="420">
        <v>0</v>
      </c>
      <c r="D5" s="414">
        <f t="shared" si="0"/>
        <v>0</v>
      </c>
      <c r="E5" s="499">
        <f t="shared" ref="E5:E18" si="1">D5+B5</f>
        <v>65099.999999999993</v>
      </c>
      <c r="F5" s="500" t="s">
        <v>992</v>
      </c>
      <c r="G5" s="9"/>
    </row>
    <row r="6" spans="1:7" s="416" customFormat="1">
      <c r="A6" s="9" t="s">
        <v>995</v>
      </c>
      <c r="B6" s="420">
        <f>16.9*1000</f>
        <v>16900</v>
      </c>
      <c r="C6" s="420">
        <v>0</v>
      </c>
      <c r="D6" s="414">
        <f t="shared" si="0"/>
        <v>0</v>
      </c>
      <c r="E6" s="499">
        <f t="shared" si="1"/>
        <v>16900</v>
      </c>
      <c r="F6" s="500" t="s">
        <v>992</v>
      </c>
      <c r="G6" s="9"/>
    </row>
    <row r="7" spans="1:7" s="416" customFormat="1">
      <c r="A7" s="498" t="s">
        <v>996</v>
      </c>
      <c r="B7" s="501">
        <v>22.573</v>
      </c>
      <c r="C7" s="420">
        <v>1.0939249999999999E-3</v>
      </c>
      <c r="D7" s="414">
        <f t="shared" si="0"/>
        <v>2.7348124999999997E-2</v>
      </c>
      <c r="E7" s="499">
        <f t="shared" si="1"/>
        <v>22.600348125</v>
      </c>
      <c r="F7" s="500" t="s">
        <v>997</v>
      </c>
      <c r="G7" s="9" t="s">
        <v>998</v>
      </c>
    </row>
    <row r="8" spans="1:7" s="416" customFormat="1">
      <c r="A8" s="502" t="s">
        <v>999</v>
      </c>
      <c r="B8" s="503">
        <f>SUM(B9:B14)</f>
        <v>210.03836665114827</v>
      </c>
      <c r="C8" s="503">
        <f>SUM(C9:C14)</f>
        <v>295.11851494805114</v>
      </c>
      <c r="D8" s="414">
        <f t="shared" si="0"/>
        <v>7377.962873701279</v>
      </c>
      <c r="E8" s="499">
        <f>D8+B8</f>
        <v>7588.001240352427</v>
      </c>
      <c r="F8" s="500" t="s">
        <v>1000</v>
      </c>
    </row>
    <row r="9" spans="1:7" s="416" customFormat="1">
      <c r="A9" s="504" t="s">
        <v>1001</v>
      </c>
      <c r="B9" s="503" t="str">
        <f>'Oil&amp;Gas emissions'!H12</f>
        <v>IE</v>
      </c>
      <c r="C9" s="505" t="str">
        <f>'Oil&amp;Gas emissions'!J12</f>
        <v>IE</v>
      </c>
      <c r="D9" s="414"/>
      <c r="E9" s="499"/>
      <c r="F9" s="500" t="s">
        <v>1000</v>
      </c>
    </row>
    <row r="10" spans="1:7" s="416" customFormat="1">
      <c r="A10" s="504" t="s">
        <v>1002</v>
      </c>
      <c r="B10" s="503">
        <f>'Oil&amp;Gas emissions'!H13</f>
        <v>209.20228125400951</v>
      </c>
      <c r="C10" s="505">
        <f>'Oil&amp;Gas emissions'!J13</f>
        <v>291.6083753455884</v>
      </c>
      <c r="D10" s="414">
        <f t="shared" si="0"/>
        <v>7290.2093836397098</v>
      </c>
      <c r="E10" s="499">
        <f t="shared" si="1"/>
        <v>7499.4116648937197</v>
      </c>
      <c r="F10" s="500" t="s">
        <v>1000</v>
      </c>
    </row>
    <row r="11" spans="1:7" s="416" customFormat="1">
      <c r="A11" s="504" t="s">
        <v>1003</v>
      </c>
      <c r="B11" s="503">
        <f>'Oil&amp;Gas emissions'!H14</f>
        <v>1.833922232541E-2</v>
      </c>
      <c r="C11" s="505">
        <f>'Oil&amp;Gas emissions'!J14</f>
        <v>1.265686198411E-2</v>
      </c>
      <c r="D11" s="414">
        <f t="shared" si="0"/>
        <v>0.31642154960274999</v>
      </c>
      <c r="E11" s="499">
        <f t="shared" si="1"/>
        <v>0.33476077192816001</v>
      </c>
      <c r="F11" s="500" t="s">
        <v>1000</v>
      </c>
    </row>
    <row r="12" spans="1:7" s="416" customFormat="1">
      <c r="A12" s="504" t="s">
        <v>1004</v>
      </c>
      <c r="B12" s="503">
        <f>'Oil&amp;Gas emissions'!H15</f>
        <v>0.81774617481334</v>
      </c>
      <c r="C12" s="505">
        <f>'Oil&amp;Gas emissions'!J15</f>
        <v>3.4974827404786502</v>
      </c>
      <c r="D12" s="414">
        <f t="shared" si="0"/>
        <v>87.43706851196626</v>
      </c>
      <c r="E12" s="499">
        <f t="shared" si="1"/>
        <v>88.254814686779596</v>
      </c>
      <c r="F12" s="500" t="s">
        <v>1000</v>
      </c>
    </row>
    <row r="13" spans="1:7" s="416" customFormat="1">
      <c r="A13" s="504" t="s">
        <v>1005</v>
      </c>
      <c r="B13" s="503" t="str">
        <f>'Oil&amp;Gas emissions'!H16</f>
        <v>IE</v>
      </c>
      <c r="C13" s="505" t="str">
        <f>'Oil&amp;Gas emissions'!J16</f>
        <v>IE</v>
      </c>
      <c r="D13" s="414"/>
      <c r="E13" s="499"/>
      <c r="F13" s="500" t="s">
        <v>1000</v>
      </c>
    </row>
    <row r="14" spans="1:7" s="416" customFormat="1">
      <c r="A14" s="504" t="s">
        <v>1006</v>
      </c>
      <c r="B14" s="503" t="str">
        <f>'Oil&amp;Gas emissions'!H17</f>
        <v>NO</v>
      </c>
      <c r="C14" s="505" t="str">
        <f>'Oil&amp;Gas emissions'!J17</f>
        <v>NO</v>
      </c>
      <c r="D14" s="414"/>
      <c r="E14" s="499"/>
      <c r="F14" s="500" t="s">
        <v>1000</v>
      </c>
    </row>
    <row r="15" spans="1:7" s="416" customFormat="1">
      <c r="A15" s="502" t="s">
        <v>333</v>
      </c>
      <c r="B15" s="505">
        <f>'Oil&amp;Gas emissions'!H27</f>
        <v>3420.4849455547414</v>
      </c>
      <c r="C15" s="505">
        <f>'Oil&amp;Gas emissions'!J27</f>
        <v>622.82243942621335</v>
      </c>
      <c r="D15" s="414">
        <f t="shared" si="0"/>
        <v>15570.560985655335</v>
      </c>
      <c r="E15" s="499">
        <f>D15+B15</f>
        <v>18991.045931210076</v>
      </c>
      <c r="F15" s="500" t="s">
        <v>1000</v>
      </c>
    </row>
    <row r="16" spans="1:7" s="416" customFormat="1">
      <c r="A16" s="9" t="s">
        <v>994</v>
      </c>
      <c r="B16" s="415">
        <f>B15*$E$16/$E$15</f>
        <v>3186.3414210049154</v>
      </c>
      <c r="C16" s="415">
        <f>C15*$E$16/$E$15</f>
        <v>580.18818040820634</v>
      </c>
      <c r="D16" s="415">
        <f>D15*$E$16/$E$15</f>
        <v>14504.70451020516</v>
      </c>
      <c r="E16" s="499">
        <f>E15-E17</f>
        <v>17691.045931210076</v>
      </c>
      <c r="F16" s="500" t="s">
        <v>1170</v>
      </c>
    </row>
    <row r="17" spans="1:7" s="416" customFormat="1">
      <c r="A17" s="9" t="s">
        <v>995</v>
      </c>
      <c r="B17" s="415">
        <f>B15*$E$17/$E$15</f>
        <v>234.1435245498262</v>
      </c>
      <c r="C17" s="415">
        <f>C15*$E$17/$E$15</f>
        <v>42.634259018006951</v>
      </c>
      <c r="D17" s="415">
        <f>D15*$E$17/$E$15</f>
        <v>1065.8564754501738</v>
      </c>
      <c r="E17" s="499">
        <v>1300</v>
      </c>
      <c r="F17" s="500" t="s">
        <v>992</v>
      </c>
    </row>
    <row r="18" spans="1:7" s="416" customFormat="1">
      <c r="A18" s="502" t="s">
        <v>334</v>
      </c>
      <c r="B18" s="506">
        <f>'Oil&amp;Gas emissions'!H31</f>
        <v>3590.1566687474947</v>
      </c>
      <c r="C18" s="506">
        <f>'Oil&amp;Gas emissions'!J31</f>
        <v>11.812294909918659</v>
      </c>
      <c r="D18" s="415">
        <f t="shared" si="0"/>
        <v>295.3073727479665</v>
      </c>
      <c r="E18" s="499">
        <f t="shared" si="1"/>
        <v>3885.4640414954611</v>
      </c>
      <c r="F18" s="500" t="s">
        <v>1000</v>
      </c>
    </row>
    <row r="19" spans="1:7" s="416" customFormat="1">
      <c r="A19" s="9" t="s">
        <v>994</v>
      </c>
      <c r="B19" s="415">
        <f t="shared" ref="B19:C19" si="2">B18*$E$19/$E$18</f>
        <v>3405.3572918696846</v>
      </c>
      <c r="C19" s="415">
        <f t="shared" si="2"/>
        <v>11.204269985031063</v>
      </c>
      <c r="D19" s="415">
        <f>D18*$E$19/$E$18</f>
        <v>280.10674962577662</v>
      </c>
      <c r="E19" s="499">
        <f>E18-E20</f>
        <v>3685.4640414954611</v>
      </c>
      <c r="F19" s="500" t="s">
        <v>1170</v>
      </c>
    </row>
    <row r="20" spans="1:7" s="416" customFormat="1">
      <c r="A20" s="9" t="s">
        <v>995</v>
      </c>
      <c r="B20" s="415">
        <f>B18*$E$20/$E$18</f>
        <v>184.79937687781012</v>
      </c>
      <c r="C20" s="415">
        <f t="shared" ref="C20:D20" si="3">C18*$E$20/$E$18</f>
        <v>0.60802492488759574</v>
      </c>
      <c r="D20" s="415">
        <f t="shared" si="3"/>
        <v>15.200623122189894</v>
      </c>
      <c r="E20" s="499">
        <v>200</v>
      </c>
      <c r="F20" s="500" t="s">
        <v>992</v>
      </c>
      <c r="G20" s="416" t="s">
        <v>1007</v>
      </c>
    </row>
    <row r="21" spans="1:7" s="416" customFormat="1">
      <c r="A21" s="5" t="s">
        <v>40</v>
      </c>
      <c r="B21" s="507">
        <f>SUM(B4,B7:B8,B15,B18)</f>
        <v>89243.252980953388</v>
      </c>
      <c r="C21" s="507">
        <f>SUM(C4,C7:C8,C15,C18)</f>
        <v>929.75434320918328</v>
      </c>
      <c r="D21" s="507">
        <f t="shared" ref="D21:E21" si="4">SUM(D4,D7:D8,D15,D18)</f>
        <v>23243.858580229582</v>
      </c>
      <c r="E21" s="507">
        <f t="shared" si="4"/>
        <v>112487.11156118296</v>
      </c>
      <c r="F21" s="393"/>
    </row>
    <row r="22" spans="1:7" s="416" customFormat="1" ht="7" customHeight="1">
      <c r="A22" s="5"/>
      <c r="B22" s="507"/>
      <c r="C22" s="507"/>
      <c r="D22" s="507"/>
      <c r="E22" s="507"/>
      <c r="F22" s="393"/>
    </row>
    <row r="23" spans="1:7" s="416" customFormat="1">
      <c r="A23" s="5" t="s">
        <v>1193</v>
      </c>
      <c r="B23" s="420"/>
      <c r="C23" s="507"/>
      <c r="D23" s="507"/>
      <c r="E23" s="507"/>
      <c r="F23" s="393"/>
      <c r="G23" s="499"/>
    </row>
    <row r="24" spans="1:7" s="416" customFormat="1">
      <c r="A24" s="550" t="s">
        <v>34</v>
      </c>
      <c r="B24" s="551">
        <f>SUM(B10,B16)+B19</f>
        <v>6800.9009941286095</v>
      </c>
      <c r="C24" s="551">
        <f>SUM(C10,C16)+C19</f>
        <v>883.00082573882582</v>
      </c>
      <c r="D24" s="551">
        <f>SUM(D10,D16)+D19</f>
        <v>22075.020643470649</v>
      </c>
      <c r="E24" s="551">
        <f t="shared" ref="E24" si="5">SUM(E10,E16)+E19</f>
        <v>28875.921637599255</v>
      </c>
      <c r="F24" s="393" t="s">
        <v>1194</v>
      </c>
    </row>
    <row r="25" spans="1:7" s="416" customFormat="1">
      <c r="A25" s="550" t="s">
        <v>996</v>
      </c>
      <c r="B25" s="551">
        <f>SUM(B11)</f>
        <v>1.833922232541E-2</v>
      </c>
      <c r="C25" s="551">
        <f t="shared" ref="C25:E25" si="6">SUM(C11)</f>
        <v>1.265686198411E-2</v>
      </c>
      <c r="D25" s="551">
        <f t="shared" si="6"/>
        <v>0.31642154960274999</v>
      </c>
      <c r="E25" s="551">
        <f t="shared" si="6"/>
        <v>0.33476077192816001</v>
      </c>
      <c r="F25" s="393" t="s">
        <v>1194</v>
      </c>
    </row>
    <row r="26" spans="1:7" s="416" customFormat="1">
      <c r="A26" s="416" t="s">
        <v>37</v>
      </c>
      <c r="B26" s="417">
        <f>SUM(B12,B17,B20)</f>
        <v>419.76064760244969</v>
      </c>
      <c r="C26" s="417">
        <f>SUM(C12,C17,C20)</f>
        <v>46.739766683373198</v>
      </c>
      <c r="D26" s="417">
        <f>SUM(D12,D17,D20)</f>
        <v>1168.49416708433</v>
      </c>
      <c r="E26" s="417">
        <f t="shared" ref="E26" si="7">SUM(E12,E17,E20)</f>
        <v>1588.2548146867796</v>
      </c>
      <c r="F26" s="393" t="s">
        <v>1195</v>
      </c>
    </row>
    <row r="27" spans="1:7" s="416" customFormat="1">
      <c r="A27" s="418" t="s">
        <v>1008</v>
      </c>
      <c r="B27" s="417">
        <f>SUM(B24:B26)</f>
        <v>7220.6799809533841</v>
      </c>
      <c r="C27" s="417">
        <f t="shared" ref="C27:E27" si="8">SUM(C24:C26)</f>
        <v>929.75324928418308</v>
      </c>
      <c r="D27" s="417">
        <f t="shared" si="8"/>
        <v>23243.831232104581</v>
      </c>
      <c r="E27" s="417">
        <f t="shared" si="8"/>
        <v>30464.511213057966</v>
      </c>
      <c r="F27" s="393"/>
    </row>
    <row r="28" spans="1:7" s="416" customFormat="1">
      <c r="A28" s="418"/>
      <c r="B28" s="417"/>
      <c r="C28" s="417"/>
      <c r="D28" s="417"/>
      <c r="E28" s="417"/>
      <c r="F28" s="393"/>
    </row>
    <row r="29" spans="1:7" s="536" customFormat="1">
      <c r="A29" s="535" t="s">
        <v>1148</v>
      </c>
    </row>
    <row r="30" spans="1:7" s="536" customFormat="1">
      <c r="A30" s="535"/>
      <c r="B30" s="535">
        <v>2015</v>
      </c>
      <c r="C30" s="535" t="s">
        <v>15</v>
      </c>
    </row>
    <row r="31" spans="1:7" s="536" customFormat="1">
      <c r="A31" s="536" t="s">
        <v>34</v>
      </c>
      <c r="B31" s="537">
        <f>'Oil&amp;Gas emissions'!D13*6.29</f>
        <v>983374.15234100004</v>
      </c>
      <c r="C31" s="538" t="s">
        <v>1000</v>
      </c>
      <c r="D31" s="539"/>
      <c r="E31" s="539"/>
      <c r="F31" s="535"/>
    </row>
    <row r="32" spans="1:7" s="536" customFormat="1">
      <c r="A32" s="536" t="s">
        <v>996</v>
      </c>
      <c r="B32" s="539">
        <f>'Oil&amp;Gas emissions'!D14*6.29</f>
        <v>983374.15234100004</v>
      </c>
      <c r="C32" s="538" t="s">
        <v>1000</v>
      </c>
      <c r="D32" s="539"/>
      <c r="E32" s="539"/>
      <c r="F32" s="535"/>
    </row>
    <row r="33" spans="1:12" s="536" customFormat="1">
      <c r="A33" s="536" t="s">
        <v>37</v>
      </c>
      <c r="B33" s="537">
        <f>F41</f>
        <v>718141.15</v>
      </c>
      <c r="C33" s="538" t="s">
        <v>1149</v>
      </c>
      <c r="D33" s="539"/>
      <c r="E33" s="539"/>
      <c r="F33" s="535"/>
    </row>
    <row r="34" spans="1:12" s="536" customFormat="1">
      <c r="A34" s="535"/>
      <c r="B34" s="540"/>
      <c r="C34" s="540"/>
      <c r="D34" s="540"/>
      <c r="E34" s="535"/>
      <c r="F34" s="535"/>
    </row>
    <row r="35" spans="1:12" s="536" customFormat="1">
      <c r="A35" s="535" t="s">
        <v>1009</v>
      </c>
    </row>
    <row r="36" spans="1:12" s="536" customFormat="1">
      <c r="B36" s="536">
        <v>2011</v>
      </c>
      <c r="C36" s="536">
        <v>2012</v>
      </c>
      <c r="D36" s="536">
        <v>2013</v>
      </c>
      <c r="E36" s="536">
        <v>2014</v>
      </c>
      <c r="F36" s="536">
        <v>2015</v>
      </c>
      <c r="G36" s="541"/>
    </row>
    <row r="37" spans="1:12" s="536" customFormat="1">
      <c r="A37" s="536" t="s">
        <v>38</v>
      </c>
      <c r="B37" s="542">
        <f>'Crude Oil Production'!H9*365</f>
        <v>1148698.8</v>
      </c>
      <c r="C37" s="542">
        <f>'Crude Oil Production'!I9*365</f>
        <v>1232532</v>
      </c>
      <c r="D37" s="542">
        <f>'Crude Oil Production'!J9*365</f>
        <v>1324471.8500000001</v>
      </c>
      <c r="E37" s="542">
        <f>'Crude Oil Production'!K9*365</f>
        <v>1418915.6</v>
      </c>
      <c r="F37" s="542">
        <f>'Crude Oil Production'!L9*365</f>
        <v>1493966.9</v>
      </c>
      <c r="J37" s="543"/>
    </row>
    <row r="38" spans="1:12" s="536" customFormat="1"/>
    <row r="39" spans="1:12" s="536" customFormat="1">
      <c r="A39" s="535" t="s">
        <v>1010</v>
      </c>
    </row>
    <row r="40" spans="1:12" s="536" customFormat="1">
      <c r="B40" s="536">
        <v>2011</v>
      </c>
      <c r="C40" s="536">
        <v>2012</v>
      </c>
      <c r="D40" s="536">
        <v>2013</v>
      </c>
      <c r="E40" s="536">
        <v>2014</v>
      </c>
      <c r="F40" s="536">
        <v>2015</v>
      </c>
      <c r="G40" s="541"/>
    </row>
    <row r="41" spans="1:12" s="536" customFormat="1">
      <c r="A41" s="536" t="s">
        <v>42</v>
      </c>
      <c r="B41" s="537">
        <f>'Refinery Balances'!H19*365</f>
        <v>697646.39999999991</v>
      </c>
      <c r="C41" s="537">
        <f>'Refinery Balances'!I19*365</f>
        <v>708037.95</v>
      </c>
      <c r="D41" s="537">
        <f>'Refinery Balances'!J19*365</f>
        <v>692237.1</v>
      </c>
      <c r="E41" s="537">
        <f>'Refinery Balances'!K19*365</f>
        <v>684072.05</v>
      </c>
      <c r="F41" s="537">
        <f>'Refinery Balances'!L19*365</f>
        <v>718141.15</v>
      </c>
      <c r="G41" s="544"/>
    </row>
    <row r="42" spans="1:12" s="536" customFormat="1">
      <c r="A42" s="536" t="s">
        <v>1011</v>
      </c>
      <c r="B42" s="537"/>
      <c r="C42" s="537"/>
      <c r="D42" s="537"/>
      <c r="E42" s="537"/>
      <c r="F42" s="537"/>
      <c r="G42" s="544"/>
    </row>
    <row r="43" spans="1:12" s="536" customFormat="1"/>
    <row r="44" spans="1:12" s="536" customFormat="1">
      <c r="A44" s="535" t="s">
        <v>1039</v>
      </c>
    </row>
    <row r="45" spans="1:12" s="536" customFormat="1" ht="16">
      <c r="A45" s="536" t="s">
        <v>180</v>
      </c>
      <c r="B45" s="545">
        <v>2011</v>
      </c>
      <c r="C45" s="545">
        <v>2012</v>
      </c>
      <c r="D45" s="545">
        <v>2013</v>
      </c>
      <c r="E45" s="545">
        <v>2014</v>
      </c>
      <c r="F45" s="545">
        <v>2015</v>
      </c>
      <c r="G45" s="545" t="s">
        <v>1012</v>
      </c>
      <c r="H45" s="545"/>
      <c r="I45" s="545"/>
      <c r="K45" s="545"/>
      <c r="L45" s="545"/>
    </row>
    <row r="46" spans="1:12" s="536" customFormat="1">
      <c r="A46" s="536" t="s">
        <v>43</v>
      </c>
      <c r="B46" s="546"/>
      <c r="C46" s="546"/>
      <c r="D46" s="546"/>
      <c r="E46" s="546"/>
      <c r="F46" s="546">
        <f>C24/B31</f>
        <v>8.9792966760085405E-4</v>
      </c>
      <c r="G46" s="547">
        <f>F46</f>
        <v>8.9792966760085405E-4</v>
      </c>
      <c r="H46" s="547"/>
      <c r="I46" s="548"/>
    </row>
    <row r="47" spans="1:12" s="536" customFormat="1">
      <c r="A47" s="536" t="s">
        <v>44</v>
      </c>
      <c r="B47" s="546"/>
      <c r="C47" s="546"/>
      <c r="D47" s="546"/>
      <c r="E47" s="546"/>
      <c r="F47" s="546">
        <f>B24/B31</f>
        <v>6.9158834182681391E-3</v>
      </c>
      <c r="G47" s="547">
        <f t="shared" ref="G47:G50" si="9">F47</f>
        <v>6.9158834182681391E-3</v>
      </c>
      <c r="H47" s="547"/>
      <c r="I47" s="548"/>
    </row>
    <row r="48" spans="1:12" s="536" customFormat="1">
      <c r="A48" s="536" t="s">
        <v>45</v>
      </c>
      <c r="B48" s="546"/>
      <c r="C48" s="546"/>
      <c r="D48" s="546"/>
      <c r="E48" s="546"/>
      <c r="F48" s="546">
        <f>C25</f>
        <v>1.265686198411E-2</v>
      </c>
      <c r="G48" s="547">
        <f>F48</f>
        <v>1.265686198411E-2</v>
      </c>
      <c r="H48" s="547"/>
      <c r="I48" s="548"/>
    </row>
    <row r="49" spans="1:11" s="536" customFormat="1">
      <c r="A49" s="536" t="s">
        <v>1013</v>
      </c>
      <c r="B49" s="546"/>
      <c r="C49" s="546"/>
      <c r="D49" s="546"/>
      <c r="E49" s="546"/>
      <c r="F49" s="546">
        <f>B25</f>
        <v>1.833922232541E-2</v>
      </c>
      <c r="G49" s="547">
        <f>F49</f>
        <v>1.833922232541E-2</v>
      </c>
      <c r="H49" s="547"/>
      <c r="I49" s="548"/>
    </row>
    <row r="50" spans="1:11" s="536" customFormat="1">
      <c r="A50" s="536" t="s">
        <v>46</v>
      </c>
      <c r="B50" s="546"/>
      <c r="C50" s="546"/>
      <c r="D50" s="546"/>
      <c r="E50" s="546"/>
      <c r="F50" s="546">
        <f>C26/B33</f>
        <v>6.5084373292594632E-5</v>
      </c>
      <c r="G50" s="547">
        <f t="shared" si="9"/>
        <v>6.5084373292594632E-5</v>
      </c>
      <c r="H50" s="547"/>
      <c r="I50" s="548"/>
    </row>
    <row r="51" spans="1:11" s="536" customFormat="1">
      <c r="A51" s="536" t="s">
        <v>47</v>
      </c>
      <c r="B51" s="546"/>
      <c r="C51" s="546"/>
      <c r="D51" s="546"/>
      <c r="E51" s="546"/>
      <c r="F51" s="546">
        <f>B26/B33</f>
        <v>5.8450994989278876E-4</v>
      </c>
      <c r="G51" s="547">
        <f>F51</f>
        <v>5.8450994989278876E-4</v>
      </c>
      <c r="H51" s="547"/>
      <c r="I51" s="548"/>
    </row>
    <row r="52" spans="1:11">
      <c r="B52" s="511"/>
      <c r="C52" s="511"/>
      <c r="D52" s="511"/>
      <c r="E52" s="511"/>
      <c r="F52" s="509"/>
      <c r="G52" s="510"/>
      <c r="H52" s="510"/>
      <c r="I52" s="419"/>
    </row>
    <row r="53" spans="1:11">
      <c r="A53" s="5" t="s">
        <v>1174</v>
      </c>
      <c r="B53" s="512"/>
    </row>
    <row r="54" spans="1:11">
      <c r="A54" s="9" t="s">
        <v>1172</v>
      </c>
      <c r="C54" s="9">
        <f>48*0.09</f>
        <v>4.32</v>
      </c>
      <c r="D54" s="9" t="s">
        <v>1169</v>
      </c>
    </row>
    <row r="55" spans="1:11">
      <c r="A55" s="9" t="s">
        <v>1171</v>
      </c>
      <c r="C55" s="513">
        <f>'Crude Oil Production'!I15*365*J64</f>
        <v>1.0821035968081304E-2</v>
      </c>
      <c r="D55" s="9" t="s">
        <v>1170</v>
      </c>
    </row>
    <row r="56" spans="1:11">
      <c r="A56" s="9" t="s">
        <v>1173</v>
      </c>
      <c r="C56" s="514">
        <f>'Refinery Balances'!I19*365*J66</f>
        <v>4.6082206243123452E-2</v>
      </c>
      <c r="D56" s="9" t="s">
        <v>1170</v>
      </c>
    </row>
    <row r="57" spans="1:11">
      <c r="A57" s="9" t="s">
        <v>1180</v>
      </c>
      <c r="C57" s="513">
        <f>4.3-C55-C56</f>
        <v>4.2430967577887957</v>
      </c>
      <c r="D57" s="9" t="s">
        <v>1170</v>
      </c>
    </row>
    <row r="58" spans="1:11">
      <c r="A58" s="9" t="s">
        <v>1178</v>
      </c>
    </row>
    <row r="60" spans="1:11" s="515" customFormat="1" ht="48">
      <c r="A60" s="460" t="s">
        <v>1164</v>
      </c>
      <c r="B60" s="460" t="s">
        <v>1158</v>
      </c>
      <c r="C60" s="460" t="s">
        <v>1159</v>
      </c>
      <c r="D60" s="460" t="s">
        <v>1160</v>
      </c>
      <c r="E60" s="460" t="s">
        <v>1161</v>
      </c>
      <c r="F60" s="460" t="s">
        <v>1175</v>
      </c>
      <c r="G60" s="460" t="s">
        <v>1156</v>
      </c>
      <c r="H60" s="460" t="s">
        <v>1157</v>
      </c>
      <c r="I60" s="460" t="s">
        <v>1162</v>
      </c>
      <c r="J60" s="460" t="s">
        <v>1199</v>
      </c>
      <c r="K60" s="460" t="s">
        <v>1181</v>
      </c>
    </row>
    <row r="61" spans="1:11">
      <c r="A61" s="516" t="s">
        <v>1152</v>
      </c>
      <c r="B61" s="517">
        <v>0.79996900000000004</v>
      </c>
      <c r="C61" s="517">
        <v>0.179256</v>
      </c>
      <c r="D61" s="518">
        <f>C61*25</f>
        <v>4.4813999999999998</v>
      </c>
      <c r="E61" s="518"/>
      <c r="F61" s="519" t="s">
        <v>328</v>
      </c>
      <c r="G61" s="520">
        <v>2010</v>
      </c>
      <c r="H61" s="521">
        <f>'Crude Oil Production'!G41*365</f>
        <v>116435</v>
      </c>
      <c r="I61" s="522">
        <f t="shared" ref="I61:I66" si="10">B61/$H61</f>
        <v>6.8705200326362348E-6</v>
      </c>
      <c r="J61" s="522">
        <f>C61/$H61</f>
        <v>1.5395370807746812E-6</v>
      </c>
      <c r="K61" s="9" t="s">
        <v>1182</v>
      </c>
    </row>
    <row r="62" spans="1:11">
      <c r="A62" s="516" t="s">
        <v>1150</v>
      </c>
      <c r="B62" s="517">
        <v>3.8924E-2</v>
      </c>
      <c r="C62" s="517">
        <v>0.19906099999999999</v>
      </c>
      <c r="D62" s="518">
        <f>C62*25</f>
        <v>4.9765249999999996</v>
      </c>
      <c r="E62" s="518"/>
      <c r="F62" s="519" t="s">
        <v>328</v>
      </c>
      <c r="G62" s="520">
        <v>2010</v>
      </c>
      <c r="H62" s="521">
        <f>'Crude Oil Production'!G42*365</f>
        <v>51213.15</v>
      </c>
      <c r="I62" s="522">
        <f t="shared" si="10"/>
        <v>7.60039169627332E-7</v>
      </c>
      <c r="J62" s="522">
        <f t="shared" ref="J62:J66" si="11">C62/$H62</f>
        <v>3.8869118575990735E-6</v>
      </c>
      <c r="K62" s="9" t="s">
        <v>1182</v>
      </c>
    </row>
    <row r="63" spans="1:11">
      <c r="A63" s="523" t="s">
        <v>1153</v>
      </c>
      <c r="B63" s="518">
        <f>E63-D63</f>
        <v>2.178451621105602</v>
      </c>
      <c r="C63" s="518">
        <f>D63/25</f>
        <v>8.4861935155775919E-2</v>
      </c>
      <c r="D63" s="517">
        <f>$C$57/2</f>
        <v>2.1215483788943978</v>
      </c>
      <c r="E63" s="517">
        <v>4.3</v>
      </c>
      <c r="F63" s="524" t="s">
        <v>316</v>
      </c>
      <c r="G63" s="520">
        <v>2015</v>
      </c>
      <c r="H63" s="521">
        <f>'Crude Oil Production'!L45*365</f>
        <v>412975.60000000003</v>
      </c>
      <c r="I63" s="522">
        <f t="shared" si="10"/>
        <v>5.2750129090086724E-6</v>
      </c>
      <c r="J63" s="522">
        <f t="shared" si="11"/>
        <v>2.0548898083997192E-7</v>
      </c>
      <c r="K63" s="519" t="s">
        <v>1179</v>
      </c>
    </row>
    <row r="64" spans="1:11">
      <c r="A64" s="516" t="s">
        <v>1151</v>
      </c>
      <c r="B64" s="517">
        <v>6.6220000000000001E-2</v>
      </c>
      <c r="C64" s="517">
        <v>8.2410000000000001E-3</v>
      </c>
      <c r="D64" s="518">
        <f>C64*25</f>
        <v>0.20602500000000001</v>
      </c>
      <c r="E64" s="518"/>
      <c r="F64" s="519" t="s">
        <v>328</v>
      </c>
      <c r="G64" s="520">
        <v>2010</v>
      </c>
      <c r="H64" s="521">
        <f>'Crude Oil Production'!G46*365</f>
        <v>275819.55</v>
      </c>
      <c r="I64" s="522">
        <f t="shared" si="10"/>
        <v>2.4008450452478805E-7</v>
      </c>
      <c r="J64" s="522">
        <f t="shared" si="11"/>
        <v>2.9878230168963729E-8</v>
      </c>
      <c r="K64" s="519" t="s">
        <v>1182</v>
      </c>
    </row>
    <row r="65" spans="1:37">
      <c r="A65" s="523" t="s">
        <v>1154</v>
      </c>
      <c r="B65" s="518">
        <f>E65-D65</f>
        <v>1.0784516211056023</v>
      </c>
      <c r="C65" s="518">
        <f>D65/25</f>
        <v>8.4861935155775919E-2</v>
      </c>
      <c r="D65" s="517">
        <f>$C$57/2</f>
        <v>2.1215483788943978</v>
      </c>
      <c r="E65" s="517">
        <v>3.2</v>
      </c>
      <c r="F65" s="524" t="s">
        <v>316</v>
      </c>
      <c r="G65" s="520">
        <v>2015</v>
      </c>
      <c r="H65" s="521">
        <f>'Crude Oil Production'!L47*365</f>
        <v>364467.1</v>
      </c>
      <c r="I65" s="522">
        <f t="shared" si="10"/>
        <v>2.958982089482432E-6</v>
      </c>
      <c r="J65" s="522">
        <f t="shared" si="11"/>
        <v>2.3283839654052705E-7</v>
      </c>
      <c r="K65" s="519" t="s">
        <v>1179</v>
      </c>
    </row>
    <row r="66" spans="1:37">
      <c r="A66" s="523" t="s">
        <v>37</v>
      </c>
      <c r="B66" s="517">
        <v>0.41976064760244997</v>
      </c>
      <c r="C66" s="517">
        <v>4.67397666833732E-2</v>
      </c>
      <c r="D66" s="518">
        <f>C66*25</f>
        <v>1.1684941670843301</v>
      </c>
      <c r="E66" s="518"/>
      <c r="F66" s="524" t="s">
        <v>316</v>
      </c>
      <c r="G66" s="520">
        <v>2015</v>
      </c>
      <c r="H66" s="525">
        <f>'Refinery Balances'!L19*365</f>
        <v>718141.15</v>
      </c>
      <c r="I66" s="522">
        <f t="shared" si="10"/>
        <v>5.845099498927891E-7</v>
      </c>
      <c r="J66" s="522">
        <f t="shared" si="11"/>
        <v>6.5084373292594633E-8</v>
      </c>
      <c r="K66" s="524" t="s">
        <v>1183</v>
      </c>
    </row>
    <row r="68" spans="1:37">
      <c r="A68" s="16" t="s">
        <v>1042</v>
      </c>
      <c r="B68" s="16"/>
      <c r="C68" s="16"/>
      <c r="D68" s="16"/>
      <c r="E68" s="16"/>
      <c r="F68" s="16"/>
      <c r="G68" s="495"/>
      <c r="H68" s="495"/>
      <c r="I68" s="495"/>
      <c r="J68" s="495"/>
      <c r="K68" s="495"/>
      <c r="L68" s="495"/>
      <c r="M68" s="495"/>
      <c r="N68" s="495"/>
      <c r="O68" s="495"/>
      <c r="P68" s="495"/>
      <c r="Q68" s="495"/>
      <c r="R68" s="495"/>
      <c r="S68" s="495"/>
      <c r="T68" s="495"/>
      <c r="U68" s="495"/>
      <c r="V68" s="495"/>
      <c r="W68" s="495"/>
      <c r="X68" s="495"/>
      <c r="Y68" s="495"/>
      <c r="Z68" s="495"/>
      <c r="AA68" s="495"/>
      <c r="AB68" s="495"/>
      <c r="AC68" s="495"/>
      <c r="AD68" s="495"/>
      <c r="AE68" s="495"/>
      <c r="AF68" s="495"/>
      <c r="AG68" s="495"/>
      <c r="AH68" s="495"/>
      <c r="AI68" s="495"/>
      <c r="AJ68" s="495"/>
      <c r="AK68" s="495"/>
    </row>
    <row r="69" spans="1:37">
      <c r="A69" s="6" t="s">
        <v>181</v>
      </c>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row>
    <row r="70" spans="1:37">
      <c r="A70" s="9" t="s">
        <v>1014</v>
      </c>
      <c r="B70" s="508">
        <f>F37</f>
        <v>1493966.9</v>
      </c>
    </row>
    <row r="71" spans="1:37">
      <c r="A71" s="9" t="s">
        <v>1015</v>
      </c>
      <c r="B71" s="420">
        <f>F41</f>
        <v>718141.15</v>
      </c>
    </row>
    <row r="72" spans="1:37">
      <c r="B72" s="420"/>
    </row>
    <row r="73" spans="1:37">
      <c r="A73" s="9" t="s">
        <v>1043</v>
      </c>
      <c r="B73" s="423">
        <v>2015</v>
      </c>
      <c r="C73" s="526">
        <v>2016</v>
      </c>
      <c r="D73" s="423">
        <v>2017</v>
      </c>
      <c r="E73" s="526">
        <v>2018</v>
      </c>
      <c r="F73" s="423">
        <v>2019</v>
      </c>
      <c r="G73" s="526">
        <v>2020</v>
      </c>
      <c r="H73" s="423">
        <v>2021</v>
      </c>
      <c r="I73" s="526">
        <v>2022</v>
      </c>
      <c r="J73" s="423">
        <v>2023</v>
      </c>
      <c r="K73" s="526">
        <v>2024</v>
      </c>
      <c r="L73" s="423">
        <v>2025</v>
      </c>
      <c r="M73" s="423">
        <v>2026</v>
      </c>
      <c r="N73" s="423">
        <v>2027</v>
      </c>
      <c r="O73" s="423">
        <v>2028</v>
      </c>
      <c r="P73" s="423">
        <v>2029</v>
      </c>
      <c r="Q73" s="423">
        <v>2030</v>
      </c>
      <c r="R73" s="423">
        <v>2031</v>
      </c>
      <c r="S73" s="423">
        <v>2032</v>
      </c>
      <c r="T73" s="423">
        <v>2033</v>
      </c>
      <c r="U73" s="423">
        <v>2034</v>
      </c>
      <c r="V73" s="423">
        <v>2035</v>
      </c>
      <c r="W73" s="423">
        <v>2036</v>
      </c>
      <c r="X73" s="423">
        <v>2037</v>
      </c>
      <c r="Y73" s="423">
        <v>2038</v>
      </c>
      <c r="Z73" s="423">
        <v>2039</v>
      </c>
      <c r="AA73" s="423">
        <v>2040</v>
      </c>
      <c r="AB73" s="423">
        <v>2041</v>
      </c>
      <c r="AC73" s="423">
        <v>2042</v>
      </c>
      <c r="AD73" s="423">
        <v>2043</v>
      </c>
      <c r="AE73" s="423">
        <v>2044</v>
      </c>
      <c r="AF73" s="423">
        <v>2045</v>
      </c>
      <c r="AG73" s="423">
        <v>2046</v>
      </c>
      <c r="AH73" s="423">
        <v>2047</v>
      </c>
      <c r="AI73" s="423">
        <v>2048</v>
      </c>
      <c r="AJ73" s="423">
        <v>2049</v>
      </c>
      <c r="AK73" s="423">
        <v>2050</v>
      </c>
    </row>
    <row r="74" spans="1:37">
      <c r="A74" s="9" t="s">
        <v>49</v>
      </c>
      <c r="B74" s="420">
        <f>'Crude Oil Production'!L9*365</f>
        <v>1493966.9</v>
      </c>
      <c r="C74" s="420">
        <f>'Crude Oil Production'!M9*365</f>
        <v>1595980.75</v>
      </c>
      <c r="D74" s="420">
        <f>'Crude Oil Production'!N9*365</f>
        <v>1681620.7000000002</v>
      </c>
      <c r="E74" s="420">
        <f>'Crude Oil Production'!O9*365</f>
        <v>1744112.35</v>
      </c>
      <c r="F74" s="420">
        <f>'Crude Oil Production'!P9*365</f>
        <v>1775104.5</v>
      </c>
      <c r="G74" s="420">
        <f>'Crude Oil Production'!Q9*365</f>
        <v>1782200.0999999999</v>
      </c>
      <c r="H74" s="420">
        <f>'Crude Oil Production'!R9*365</f>
        <v>1799891.65</v>
      </c>
      <c r="I74" s="420">
        <f>'Crude Oil Production'!S9*365</f>
        <v>1838107.15</v>
      </c>
      <c r="J74" s="420">
        <f>'Crude Oil Production'!T9*365</f>
        <v>1885035.2</v>
      </c>
      <c r="K74" s="420">
        <f>'Crude Oil Production'!U9*365</f>
        <v>1932748</v>
      </c>
      <c r="L74" s="420">
        <f>'Crude Oil Production'!V9*365</f>
        <v>1998674.2999999998</v>
      </c>
      <c r="M74" s="420">
        <f>'Crude Oil Production'!W9*365</f>
        <v>2021676.6</v>
      </c>
      <c r="N74" s="420">
        <f>'Crude Oil Production'!X9*365</f>
        <v>2045087.7</v>
      </c>
      <c r="O74" s="420">
        <f>'Crude Oil Production'!Y9*365</f>
        <v>2070312.85</v>
      </c>
      <c r="P74" s="420">
        <f>'Crude Oil Production'!Z9*365</f>
        <v>2092304.1</v>
      </c>
      <c r="Q74" s="420">
        <f>'Crude Oil Production'!AA9*365</f>
        <v>2112039.65</v>
      </c>
      <c r="R74" s="420">
        <f>'Crude Oil Production'!AB9*365</f>
        <v>2129369.85</v>
      </c>
      <c r="S74" s="420">
        <f>'Crude Oil Production'!AC9*365</f>
        <v>2143958.9</v>
      </c>
      <c r="T74" s="420">
        <f>'Crude Oil Production'!AD9*365</f>
        <v>2155503.85</v>
      </c>
      <c r="U74" s="420">
        <f>'Crude Oil Production'!AE9*365</f>
        <v>2168534.3499999996</v>
      </c>
      <c r="V74" s="420">
        <f>'Crude Oil Production'!AF9*365</f>
        <v>2178327.3000000003</v>
      </c>
      <c r="W74" s="420">
        <f>'Crude Oil Production'!AG9*365</f>
        <v>2190073</v>
      </c>
      <c r="X74" s="420">
        <f>'Crude Oil Production'!AH9*365</f>
        <v>2197230.6500000004</v>
      </c>
      <c r="Y74" s="420">
        <f>'Crude Oil Production'!AI9*365</f>
        <v>2201822.35</v>
      </c>
      <c r="Z74" s="420">
        <f>'Crude Oil Production'!AJ9*365</f>
        <v>2205337.3000000003</v>
      </c>
      <c r="AA74" s="420">
        <f>'Crude Oil Production'!AK9*365</f>
        <v>2210487.4500000002</v>
      </c>
      <c r="AB74" s="508">
        <f>(1+(($AA74-$R74)/$R74)/10)*AA74</f>
        <v>2218908.2246612981</v>
      </c>
      <c r="AC74" s="508">
        <f>(1+(($AA74-$R74)/$R74)/10)*AB74</f>
        <v>2227361.0779692749</v>
      </c>
      <c r="AD74" s="508">
        <f t="shared" ref="AD74:AK74" si="12">(1+(($AA74-$R74)/$R74)/10)*AC74</f>
        <v>2235846.1321264133</v>
      </c>
      <c r="AE74" s="508">
        <f t="shared" si="12"/>
        <v>2244363.5098007228</v>
      </c>
      <c r="AF74" s="508">
        <f t="shared" si="12"/>
        <v>2252913.3341275118</v>
      </c>
      <c r="AG74" s="508">
        <f>(1+(($AA74-$R74)/$R74)/10)*AF74</f>
        <v>2261495.7287111687</v>
      </c>
      <c r="AH74" s="508">
        <f t="shared" si="12"/>
        <v>2270110.817626948</v>
      </c>
      <c r="AI74" s="508">
        <f t="shared" si="12"/>
        <v>2278758.7254227651</v>
      </c>
      <c r="AJ74" s="508">
        <f>(1+(($AA74-$R74)/$R74)/10)*AI74</f>
        <v>2287439.5771209965</v>
      </c>
      <c r="AK74" s="508">
        <f t="shared" si="12"/>
        <v>2296153.4982202863</v>
      </c>
    </row>
    <row r="75" spans="1:37">
      <c r="A75" s="9" t="s">
        <v>50</v>
      </c>
      <c r="B75" s="420">
        <f>'Refinery Balances'!L19*365</f>
        <v>718141.15</v>
      </c>
      <c r="C75" s="420">
        <f>'Refinery Balances'!M19*365</f>
        <v>720845.8</v>
      </c>
      <c r="D75" s="420">
        <f>'Refinery Balances'!N19*365</f>
        <v>727463.25</v>
      </c>
      <c r="E75" s="420">
        <f>'Refinery Balances'!O19*365</f>
        <v>726707.7</v>
      </c>
      <c r="F75" s="420">
        <f>'Refinery Balances'!P19*365</f>
        <v>731427.15</v>
      </c>
      <c r="G75" s="420">
        <f>'Refinery Balances'!Q19*365</f>
        <v>727718.75</v>
      </c>
      <c r="H75" s="420">
        <f>'Refinery Balances'!R19*365</f>
        <v>728715.2</v>
      </c>
      <c r="I75" s="420">
        <f>'Refinery Balances'!S19*365</f>
        <v>726663.89999999991</v>
      </c>
      <c r="J75" s="420">
        <f>'Refinery Balances'!T19*365</f>
        <v>725630.95</v>
      </c>
      <c r="K75" s="420">
        <f>'Refinery Balances'!U19*365</f>
        <v>722433.55</v>
      </c>
      <c r="L75" s="420">
        <f>'Refinery Balances'!V19*365</f>
        <v>723565.04999999993</v>
      </c>
      <c r="M75" s="420">
        <f>'Refinery Balances'!W19*365</f>
        <v>721897</v>
      </c>
      <c r="N75" s="420">
        <f>'Refinery Balances'!X19*365</f>
        <v>722867.9</v>
      </c>
      <c r="O75" s="420">
        <f>'Refinery Balances'!Y19*365</f>
        <v>719926</v>
      </c>
      <c r="P75" s="420">
        <f>'Refinery Balances'!Z19*365</f>
        <v>723357</v>
      </c>
      <c r="Q75" s="420">
        <f>'Refinery Balances'!AA19*365</f>
        <v>724590.70000000007</v>
      </c>
      <c r="R75" s="420">
        <f>'Refinery Balances'!AB19*365</f>
        <v>725988.65</v>
      </c>
      <c r="S75" s="420">
        <f>'Refinery Balances'!AC19*365</f>
        <v>724397.25</v>
      </c>
      <c r="T75" s="420">
        <f>'Refinery Balances'!AD19*365</f>
        <v>728014.4</v>
      </c>
      <c r="U75" s="420">
        <f>'Refinery Balances'!AE19*365</f>
        <v>729091.15</v>
      </c>
      <c r="V75" s="420">
        <f>'Refinery Balances'!AF19*365</f>
        <v>730193.45</v>
      </c>
      <c r="W75" s="420">
        <f>'Refinery Balances'!AG19*365</f>
        <v>732277.6</v>
      </c>
      <c r="X75" s="420">
        <f>'Refinery Balances'!AH19*365</f>
        <v>738851.25</v>
      </c>
      <c r="Y75" s="420">
        <f>'Refinery Balances'!AI19*365</f>
        <v>743260.45</v>
      </c>
      <c r="Z75" s="420">
        <f>'Refinery Balances'!AJ19*365</f>
        <v>747676.95</v>
      </c>
      <c r="AA75" s="420">
        <f>'Refinery Balances'!AK19*365</f>
        <v>750487.45000000007</v>
      </c>
      <c r="AB75" s="508">
        <f>(1+(($AA75-$R75)/$R75)/10)*AA75</f>
        <v>753020.00225685141</v>
      </c>
      <c r="AC75" s="508">
        <f>(1+(($AA75-$R75)/$R75)/10)*AB75</f>
        <v>755561.10072048299</v>
      </c>
      <c r="AD75" s="508">
        <f t="shared" ref="AD75:AI75" si="13">(1+(($AA75-$R75)/$R75)/10)*AC75</f>
        <v>758110.77423043805</v>
      </c>
      <c r="AE75" s="508">
        <f t="shared" si="13"/>
        <v>760669.05172358023</v>
      </c>
      <c r="AF75" s="508">
        <f t="shared" si="13"/>
        <v>763235.96223442163</v>
      </c>
      <c r="AG75" s="508">
        <f t="shared" si="13"/>
        <v>765811.53489545267</v>
      </c>
      <c r="AH75" s="508">
        <f t="shared" si="13"/>
        <v>768395.79893747263</v>
      </c>
      <c r="AI75" s="508">
        <f t="shared" si="13"/>
        <v>770988.78368992149</v>
      </c>
      <c r="AJ75" s="508">
        <f>(1+(($AA75-$R75)/$R75)/10)*AI75</f>
        <v>773590.5185812125</v>
      </c>
      <c r="AK75" s="508">
        <f>(1+(($AA75-$R75)/$R75)/10)*AJ75</f>
        <v>776201.03313906642</v>
      </c>
    </row>
    <row r="76" spans="1:37">
      <c r="B76" s="420"/>
    </row>
    <row r="77" spans="1:37">
      <c r="A77" s="9" t="s">
        <v>1041</v>
      </c>
      <c r="B77" s="9">
        <v>2015</v>
      </c>
      <c r="C77" s="9">
        <v>2016</v>
      </c>
      <c r="D77" s="9">
        <v>2017</v>
      </c>
      <c r="E77" s="9">
        <v>2018</v>
      </c>
      <c r="F77" s="9">
        <v>2019</v>
      </c>
      <c r="G77" s="9">
        <v>2020</v>
      </c>
      <c r="H77" s="9">
        <v>2021</v>
      </c>
      <c r="I77" s="9">
        <v>2022</v>
      </c>
      <c r="J77" s="9">
        <v>2023</v>
      </c>
      <c r="K77" s="9">
        <v>2024</v>
      </c>
      <c r="L77" s="9">
        <v>2025</v>
      </c>
      <c r="M77" s="9">
        <v>2026</v>
      </c>
      <c r="N77" s="9">
        <v>2027</v>
      </c>
      <c r="O77" s="9">
        <v>2028</v>
      </c>
      <c r="P77" s="9">
        <v>2029</v>
      </c>
      <c r="Q77" s="9">
        <v>2030</v>
      </c>
      <c r="R77" s="9">
        <v>2031</v>
      </c>
      <c r="S77" s="9">
        <v>2032</v>
      </c>
      <c r="T77" s="9">
        <v>2033</v>
      </c>
      <c r="U77" s="9">
        <v>2034</v>
      </c>
      <c r="V77" s="9">
        <v>2035</v>
      </c>
      <c r="W77" s="9">
        <v>2036</v>
      </c>
      <c r="X77" s="9">
        <v>2037</v>
      </c>
      <c r="Y77" s="9">
        <v>2038</v>
      </c>
      <c r="Z77" s="9">
        <v>2039</v>
      </c>
      <c r="AA77" s="9">
        <v>2040</v>
      </c>
      <c r="AB77" s="9">
        <v>2041</v>
      </c>
      <c r="AC77" s="9">
        <v>2042</v>
      </c>
      <c r="AD77" s="9">
        <v>2043</v>
      </c>
      <c r="AE77" s="9">
        <v>2044</v>
      </c>
      <c r="AF77" s="9">
        <v>2045</v>
      </c>
      <c r="AG77" s="9">
        <v>2046</v>
      </c>
      <c r="AH77" s="9">
        <v>2047</v>
      </c>
      <c r="AI77" s="9">
        <v>2048</v>
      </c>
      <c r="AJ77" s="9">
        <v>2049</v>
      </c>
      <c r="AK77" s="9">
        <v>2050</v>
      </c>
    </row>
    <row r="78" spans="1:37">
      <c r="A78" s="527" t="s">
        <v>1128</v>
      </c>
      <c r="B78" s="508">
        <f>'Crude Oil Production'!L40*365</f>
        <v>1191451.25</v>
      </c>
      <c r="C78" s="508">
        <f>'Crude Oil Production'!M40*365</f>
        <v>1278675.2999999998</v>
      </c>
      <c r="D78" s="508">
        <f>'Crude Oil Production'!N40*365</f>
        <v>1368881.4000000001</v>
      </c>
      <c r="E78" s="508">
        <f>'Crude Oil Production'!O40*365</f>
        <v>1408257.5999999999</v>
      </c>
      <c r="F78" s="508">
        <f>'Crude Oil Production'!P40*365</f>
        <v>1437607.25</v>
      </c>
      <c r="G78" s="508">
        <f>'Crude Oil Production'!Q40*365</f>
        <v>1460839.5</v>
      </c>
      <c r="H78" s="508">
        <f>'Crude Oil Production'!R40*365</f>
        <v>1481761.3</v>
      </c>
      <c r="I78" s="508">
        <f>'Crude Oil Production'!S40*365</f>
        <v>1517250.2500000002</v>
      </c>
      <c r="J78" s="508">
        <f>'Crude Oil Production'!T40*365</f>
        <v>1576066.3499999999</v>
      </c>
      <c r="K78" s="508">
        <f>'Crude Oil Production'!U40*365</f>
        <v>1623775.5</v>
      </c>
      <c r="L78" s="508">
        <f>'Crude Oil Production'!V40*365</f>
        <v>1657986.9500000002</v>
      </c>
      <c r="M78" s="508">
        <f>'Crude Oil Production'!W40*365</f>
        <v>1694370.15</v>
      </c>
      <c r="N78" s="508">
        <f>'Crude Oil Production'!X40*365</f>
        <v>1730293.45</v>
      </c>
      <c r="O78" s="508">
        <f>'Crude Oil Production'!Y40*365</f>
        <v>1764245.75</v>
      </c>
      <c r="P78" s="508">
        <f>'Crude Oil Production'!Z40*365</f>
        <v>1792602.5999999999</v>
      </c>
      <c r="Q78" s="508">
        <f>'Crude Oil Production'!AA40*365</f>
        <v>1817835.05</v>
      </c>
      <c r="R78" s="508">
        <f>'Crude Oil Production'!AB40*365</f>
        <v>1843903.35</v>
      </c>
      <c r="S78" s="508">
        <f>'Crude Oil Production'!AC40*365</f>
        <v>1868577.35</v>
      </c>
      <c r="T78" s="508">
        <f>'Crude Oil Production'!AD40*365</f>
        <v>1887809.2</v>
      </c>
      <c r="U78" s="508">
        <f>'Crude Oil Production'!AE40*365</f>
        <v>1904617.45</v>
      </c>
      <c r="V78" s="508">
        <f>'Crude Oil Production'!AF40*365</f>
        <v>1922528</v>
      </c>
      <c r="W78" s="508">
        <f>'Crude Oil Production'!AG40*365</f>
        <v>1940161.1500000001</v>
      </c>
      <c r="X78" s="508">
        <f>'Crude Oil Production'!AH40*365</f>
        <v>1953454.4500000002</v>
      </c>
      <c r="Y78" s="508">
        <f>'Crude Oil Production'!AI40*365</f>
        <v>1964930.05</v>
      </c>
      <c r="Z78" s="508">
        <f>'Crude Oil Production'!AJ40*365</f>
        <v>1975139.1</v>
      </c>
      <c r="AA78" s="508">
        <f>'Crude Oil Production'!AK40*365</f>
        <v>1984731.3</v>
      </c>
      <c r="AB78" s="508">
        <f>(1+(($AA78-$R78)/$R78)/10)*AA78</f>
        <v>1999889.6671823056</v>
      </c>
      <c r="AC78" s="508">
        <f>(1+(($AA78-$R78)/$R78)/10)*AB78</f>
        <v>2015163.8062555636</v>
      </c>
      <c r="AD78" s="508">
        <f>(1+(($AA$78-$R$78)/$R$78)/10)*AC78</f>
        <v>2030554.6014265341</v>
      </c>
      <c r="AE78" s="508">
        <f t="shared" ref="AE78:AJ78" si="14">(1+(($AA$78-$R$78)/$R$78)/10)*AD78</f>
        <v>2046062.9436550986</v>
      </c>
      <c r="AF78" s="508">
        <f t="shared" si="14"/>
        <v>2061689.7307058359</v>
      </c>
      <c r="AG78" s="508">
        <f t="shared" si="14"/>
        <v>2077435.8671999939</v>
      </c>
      <c r="AH78" s="508">
        <f t="shared" si="14"/>
        <v>2093302.2646678572</v>
      </c>
      <c r="AI78" s="508">
        <f t="shared" si="14"/>
        <v>2109289.8416015143</v>
      </c>
      <c r="AJ78" s="508">
        <f t="shared" si="14"/>
        <v>2125399.5235080286</v>
      </c>
      <c r="AK78" s="508">
        <f>(1+(($AA$78-$R$78)/$R$78)/10)*AJ78</f>
        <v>2141632.2429630156</v>
      </c>
    </row>
    <row r="79" spans="1:37">
      <c r="A79" s="528" t="s">
        <v>317</v>
      </c>
      <c r="B79" s="508">
        <f>'Crude Oil Production'!L41*365</f>
        <v>157720.15</v>
      </c>
      <c r="C79" s="508">
        <f>'Crude Oil Production'!M41*365</f>
        <v>153431.4</v>
      </c>
      <c r="D79" s="508">
        <f>'Crude Oil Production'!N41*365</f>
        <v>150628.20000000001</v>
      </c>
      <c r="E79" s="508">
        <f>'Crude Oil Production'!O41*365</f>
        <v>148252.05000000002</v>
      </c>
      <c r="F79" s="508">
        <f>'Crude Oil Production'!P41*365</f>
        <v>146682.54999999999</v>
      </c>
      <c r="G79" s="508">
        <f>'Crude Oil Production'!Q41*365</f>
        <v>145854</v>
      </c>
      <c r="H79" s="508">
        <f>'Crude Oil Production'!R41*365</f>
        <v>145547.4</v>
      </c>
      <c r="I79" s="508">
        <f>'Crude Oil Production'!S41*365</f>
        <v>145835.75</v>
      </c>
      <c r="J79" s="508">
        <f>'Crude Oil Production'!T41*365</f>
        <v>146733.65</v>
      </c>
      <c r="K79" s="508">
        <f>'Crude Oil Production'!U41*365</f>
        <v>148095.1</v>
      </c>
      <c r="L79" s="508">
        <f>'Crude Oil Production'!V41*365</f>
        <v>149876.29999999999</v>
      </c>
      <c r="M79" s="508">
        <f>'Crude Oil Production'!W41*365</f>
        <v>151898.40000000002</v>
      </c>
      <c r="N79" s="508">
        <f>'Crude Oil Production'!X41*365</f>
        <v>153931.45000000001</v>
      </c>
      <c r="O79" s="508">
        <f>'Crude Oil Production'!Y41*365</f>
        <v>155716.29999999999</v>
      </c>
      <c r="P79" s="508">
        <f>'Crude Oil Production'!Z41*365</f>
        <v>157048.54999999999</v>
      </c>
      <c r="Q79" s="508">
        <f>'Crude Oil Production'!AA41*365</f>
        <v>157899</v>
      </c>
      <c r="R79" s="508">
        <f>'Crude Oil Production'!AB41*365</f>
        <v>158274.95000000001</v>
      </c>
      <c r="S79" s="508">
        <f>'Crude Oil Production'!AC41*365</f>
        <v>158147.19999999998</v>
      </c>
      <c r="T79" s="508">
        <f>'Crude Oil Production'!AD41*365</f>
        <v>157461</v>
      </c>
      <c r="U79" s="508">
        <f>'Crude Oil Production'!AE41*365</f>
        <v>156617.84999999998</v>
      </c>
      <c r="V79" s="508">
        <f>'Crude Oil Production'!AF41*365</f>
        <v>155263.70000000001</v>
      </c>
      <c r="W79" s="508">
        <f>'Crude Oil Production'!AG41*365</f>
        <v>153982.54999999999</v>
      </c>
      <c r="X79" s="508">
        <f>'Crude Oil Production'!AH41*365</f>
        <v>152570</v>
      </c>
      <c r="Y79" s="508">
        <f>'Crude Oil Production'!AI41*365</f>
        <v>151146.5</v>
      </c>
      <c r="Z79" s="508">
        <f>'Crude Oil Production'!AJ41*365</f>
        <v>149423.70000000001</v>
      </c>
      <c r="AA79" s="508">
        <f>'Crude Oil Production'!AK41*365</f>
        <v>147536.65</v>
      </c>
      <c r="AB79" s="508">
        <f t="shared" ref="AB79:AC79" si="15">(1+(($AA79-$R79)/$R79)/10)*AA79</f>
        <v>146535.67491917071</v>
      </c>
      <c r="AC79" s="508">
        <f t="shared" si="15"/>
        <v>145541.49103979842</v>
      </c>
      <c r="AD79" s="508">
        <f t="shared" ref="AD79:AD84" si="16">(1+(($AA$78-$R$78)/$R$78)/10)*AC79</f>
        <v>146653.06284875891</v>
      </c>
      <c r="AE79" s="508">
        <f t="shared" ref="AE79:AE84" si="17">(1+(($AA$78-$R$78)/$R$78)/10)*AD79</f>
        <v>147773.1242772612</v>
      </c>
      <c r="AF79" s="508">
        <f t="shared" ref="AF79:AF84" si="18">(1+(($AA$78-$R$78)/$R$78)/10)*AE79</f>
        <v>148901.74016469705</v>
      </c>
      <c r="AG79" s="508">
        <f t="shared" ref="AG79:AG84" si="19">(1+(($AA$78-$R$78)/$R$78)/10)*AF79</f>
        <v>150038.97584566844</v>
      </c>
      <c r="AH79" s="508">
        <f t="shared" ref="AH79:AH84" si="20">(1+(($AA$78-$R$78)/$R$78)/10)*AG79</f>
        <v>151184.89715376979</v>
      </c>
      <c r="AI79" s="508">
        <f t="shared" ref="AI79:AI84" si="21">(1+(($AA$78-$R$78)/$R$78)/10)*AH79</f>
        <v>152339.57042539903</v>
      </c>
      <c r="AJ79" s="508">
        <f t="shared" ref="AJ79:AJ84" si="22">(1+(($AA$78-$R$78)/$R$78)/10)*AI79</f>
        <v>153503.06250359767</v>
      </c>
      <c r="AK79" s="508">
        <f t="shared" ref="AK79:AK84" si="23">(1+(($AA$78-$R$78)/$R$78)/10)*AJ79</f>
        <v>154675.44074192038</v>
      </c>
    </row>
    <row r="80" spans="1:37">
      <c r="A80" s="528" t="s">
        <v>318</v>
      </c>
      <c r="B80" s="508">
        <f>'Crude Oil Production'!L42*365</f>
        <v>54687.950000000004</v>
      </c>
      <c r="C80" s="508">
        <f>'Crude Oil Production'!M42*365</f>
        <v>53100.2</v>
      </c>
      <c r="D80" s="508">
        <f>'Crude Oil Production'!N42*365</f>
        <v>51567.199999999997</v>
      </c>
      <c r="E80" s="508">
        <f>'Crude Oil Production'!O42*365</f>
        <v>50191.149999999994</v>
      </c>
      <c r="F80" s="508">
        <f>'Crude Oil Production'!P42*365</f>
        <v>49015.85</v>
      </c>
      <c r="G80" s="508">
        <f>'Crude Oil Production'!Q42*365</f>
        <v>48004.800000000003</v>
      </c>
      <c r="H80" s="508">
        <f>'Crude Oil Production'!R42*365</f>
        <v>47150.700000000004</v>
      </c>
      <c r="I80" s="508">
        <f>'Crude Oil Production'!S42*365</f>
        <v>46464.5</v>
      </c>
      <c r="J80" s="508">
        <f>'Crude Oil Production'!T42*365</f>
        <v>45924.299999999996</v>
      </c>
      <c r="K80" s="508">
        <f>'Crude Oil Production'!U42*365</f>
        <v>45522.8</v>
      </c>
      <c r="L80" s="508">
        <f>'Crude Oil Production'!V42*365</f>
        <v>45252.700000000004</v>
      </c>
      <c r="M80" s="508">
        <f>'Crude Oil Production'!W42*365</f>
        <v>45070.200000000004</v>
      </c>
      <c r="N80" s="508">
        <f>'Crude Oil Production'!X42*365</f>
        <v>44942.45</v>
      </c>
      <c r="O80" s="508">
        <f>'Crude Oil Production'!Y42*365</f>
        <v>44792.800000000003</v>
      </c>
      <c r="P80" s="508">
        <f>'Crude Oil Production'!Z42*365</f>
        <v>44570.15</v>
      </c>
      <c r="Q80" s="508">
        <f>'Crude Oil Production'!AA42*365</f>
        <v>44259.9</v>
      </c>
      <c r="R80" s="508">
        <f>'Crude Oil Production'!AB42*365</f>
        <v>43858.400000000001</v>
      </c>
      <c r="S80" s="508">
        <f>'Crude Oil Production'!AC42*365</f>
        <v>43362</v>
      </c>
      <c r="T80" s="508">
        <f>'Crude Oil Production'!AD42*365</f>
        <v>42752.45</v>
      </c>
      <c r="U80" s="508">
        <f>'Crude Oil Production'!AE42*365</f>
        <v>42110.05</v>
      </c>
      <c r="V80" s="508">
        <f>'Crude Oil Production'!AF42*365</f>
        <v>41325.300000000003</v>
      </c>
      <c r="W80" s="508">
        <f>'Crude Oil Production'!AG42*365</f>
        <v>40620.850000000006</v>
      </c>
      <c r="X80" s="508">
        <f>'Crude Oil Production'!AH42*365</f>
        <v>39905.449999999997</v>
      </c>
      <c r="Y80" s="508">
        <f>'Crude Oil Production'!AI42*365</f>
        <v>39211.950000000004</v>
      </c>
      <c r="Z80" s="508">
        <f>'Crude Oil Production'!AJ42*365</f>
        <v>38492.899999999994</v>
      </c>
      <c r="AA80" s="508">
        <f>'Crude Oil Production'!AK42*365</f>
        <v>37759.25</v>
      </c>
      <c r="AB80" s="508">
        <f t="shared" ref="AB80:AC80" si="24">(1+(($AA80-$R80)/$R80)/10)*AA80</f>
        <v>37234.152573651802</v>
      </c>
      <c r="AC80" s="508">
        <f t="shared" si="24"/>
        <v>36716.357392638383</v>
      </c>
      <c r="AD80" s="508">
        <f t="shared" si="16"/>
        <v>36996.778236988634</v>
      </c>
      <c r="AE80" s="508">
        <f t="shared" si="17"/>
        <v>37279.340792977244</v>
      </c>
      <c r="AF80" s="508">
        <f t="shared" si="18"/>
        <v>37564.061417907302</v>
      </c>
      <c r="AG80" s="508">
        <f t="shared" si="19"/>
        <v>37850.95659401064</v>
      </c>
      <c r="AH80" s="508">
        <f t="shared" si="20"/>
        <v>38140.042929402</v>
      </c>
      <c r="AI80" s="508">
        <f t="shared" si="21"/>
        <v>38431.337159040428</v>
      </c>
      <c r="AJ80" s="508">
        <f t="shared" si="22"/>
        <v>38724.856145698075</v>
      </c>
      <c r="AK80" s="508">
        <f t="shared" si="23"/>
        <v>39020.616880936366</v>
      </c>
    </row>
    <row r="81" spans="1:37">
      <c r="A81" s="528" t="s">
        <v>321</v>
      </c>
      <c r="B81" s="508">
        <f>'Crude Oil Production'!L45*365</f>
        <v>412975.60000000003</v>
      </c>
      <c r="C81" s="508">
        <f>'Crude Oil Production'!M45*365</f>
        <v>459483.89999999997</v>
      </c>
      <c r="D81" s="508">
        <f>'Crude Oil Production'!N45*365</f>
        <v>498075.35</v>
      </c>
      <c r="E81" s="508">
        <f>'Crude Oil Production'!O45*365</f>
        <v>517438.60000000003</v>
      </c>
      <c r="F81" s="508">
        <f>'Crude Oil Production'!P45*365</f>
        <v>533991.35</v>
      </c>
      <c r="G81" s="508">
        <f>'Crude Oil Production'!Q45*365</f>
        <v>538451.65</v>
      </c>
      <c r="H81" s="508">
        <f>'Crude Oil Production'!R45*365</f>
        <v>538725.4</v>
      </c>
      <c r="I81" s="508">
        <f>'Crude Oil Production'!S45*365</f>
        <v>543981.39999999991</v>
      </c>
      <c r="J81" s="508">
        <f>'Crude Oil Production'!T45*365</f>
        <v>556599.45000000007</v>
      </c>
      <c r="K81" s="508">
        <f>'Crude Oil Production'!U45*365</f>
        <v>565472.6</v>
      </c>
      <c r="L81" s="508">
        <f>'Crude Oil Production'!V45*365</f>
        <v>568301.35</v>
      </c>
      <c r="M81" s="508">
        <f>'Crude Oil Production'!W45*365</f>
        <v>569943.85</v>
      </c>
      <c r="N81" s="508">
        <f>'Crude Oil Production'!X45*365</f>
        <v>573363.89999999991</v>
      </c>
      <c r="O81" s="508">
        <f>'Crude Oil Production'!Y45*365</f>
        <v>577225.6</v>
      </c>
      <c r="P81" s="508">
        <f>'Crude Oil Production'!Z45*365</f>
        <v>577999.4</v>
      </c>
      <c r="Q81" s="508">
        <f>'Crude Oil Production'!AA45*365</f>
        <v>577999.4</v>
      </c>
      <c r="R81" s="508">
        <f>'Crude Oil Production'!AB45*365</f>
        <v>581090.94999999995</v>
      </c>
      <c r="S81" s="508">
        <f>'Crude Oil Production'!AC45*365</f>
        <v>584956.29999999993</v>
      </c>
      <c r="T81" s="508">
        <f>'Crude Oil Production'!AD45*365</f>
        <v>585730.1</v>
      </c>
      <c r="U81" s="508">
        <f>'Crude Oil Production'!AE45*365</f>
        <v>585730.1</v>
      </c>
      <c r="V81" s="508">
        <f>'Crude Oil Production'!AF45*365</f>
        <v>588821.65</v>
      </c>
      <c r="W81" s="508">
        <f>'Crude Oil Production'!AG45*365</f>
        <v>592687</v>
      </c>
      <c r="X81" s="508">
        <f>'Crude Oil Production'!AH45*365</f>
        <v>593457.15</v>
      </c>
      <c r="Y81" s="508">
        <f>'Crude Oil Production'!AI45*365</f>
        <v>593457.15</v>
      </c>
      <c r="Z81" s="508">
        <f>'Crude Oil Production'!AJ45*365</f>
        <v>593457.15</v>
      </c>
      <c r="AA81" s="508">
        <f>'Crude Oil Production'!AK45*365</f>
        <v>593457.15</v>
      </c>
      <c r="AB81" s="508">
        <f t="shared" ref="AB81:AC81" si="25">(1+(($AA81-$R81)/$R81)/10)*AA81</f>
        <v>594720.08651765354</v>
      </c>
      <c r="AC81" s="508">
        <f t="shared" si="25"/>
        <v>595985.71069126949</v>
      </c>
      <c r="AD81" s="508">
        <f t="shared" si="16"/>
        <v>600537.54611507</v>
      </c>
      <c r="AE81" s="508">
        <f t="shared" si="17"/>
        <v>605124.14614035957</v>
      </c>
      <c r="AF81" s="508">
        <f t="shared" si="18"/>
        <v>609745.77628146461</v>
      </c>
      <c r="AG81" s="508">
        <f t="shared" si="19"/>
        <v>614402.70408057491</v>
      </c>
      <c r="AH81" s="508">
        <f t="shared" si="20"/>
        <v>619095.19912323123</v>
      </c>
      <c r="AI81" s="508">
        <f t="shared" si="21"/>
        <v>623823.53305393131</v>
      </c>
      <c r="AJ81" s="508">
        <f t="shared" si="22"/>
        <v>628587.97959185543</v>
      </c>
      <c r="AK81" s="508">
        <f t="shared" si="23"/>
        <v>633388.81454671151</v>
      </c>
    </row>
    <row r="82" spans="1:37">
      <c r="A82" s="528" t="s">
        <v>322</v>
      </c>
      <c r="B82" s="508">
        <f>'Crude Oil Production'!L46*365</f>
        <v>505247.6</v>
      </c>
      <c r="C82" s="508">
        <f>'Crude Oil Production'!M46*365</f>
        <v>553026.10000000009</v>
      </c>
      <c r="D82" s="508">
        <f>'Crude Oil Production'!N46*365</f>
        <v>608951.39999999991</v>
      </c>
      <c r="E82" s="508">
        <f>'Crude Oil Production'!O46*365</f>
        <v>632691</v>
      </c>
      <c r="F82" s="508">
        <f>'Crude Oil Production'!P46*365</f>
        <v>648086.69999999995</v>
      </c>
      <c r="G82" s="508">
        <f>'Crude Oil Production'!Q46*365</f>
        <v>668570.5</v>
      </c>
      <c r="H82" s="508">
        <f>'Crude Oil Production'!R46*365</f>
        <v>690174.85000000009</v>
      </c>
      <c r="I82" s="508">
        <f>'Crude Oil Production'!S46*365</f>
        <v>720572.05</v>
      </c>
      <c r="J82" s="508">
        <f>'Crude Oil Production'!T46*365</f>
        <v>766197.05</v>
      </c>
      <c r="K82" s="508">
        <f>'Crude Oil Production'!U46*365</f>
        <v>803883.3</v>
      </c>
      <c r="L82" s="508">
        <f>'Crude Oil Production'!V46*365</f>
        <v>833645.4</v>
      </c>
      <c r="M82" s="508">
        <f>'Crude Oil Production'!W46*365</f>
        <v>866495.4</v>
      </c>
      <c r="N82" s="508">
        <f>'Crude Oil Production'!X46*365</f>
        <v>897045.89999999991</v>
      </c>
      <c r="O82" s="508">
        <f>'Crude Oil Production'!Y46*365</f>
        <v>925457.5</v>
      </c>
      <c r="P82" s="508">
        <f>'Crude Oil Production'!Z46*365</f>
        <v>951879.85</v>
      </c>
      <c r="Q82" s="508">
        <f>'Crude Oil Production'!AA46*365</f>
        <v>976451.65</v>
      </c>
      <c r="R82" s="508">
        <f>'Crude Oil Production'!AB46*365</f>
        <v>999307.95</v>
      </c>
      <c r="S82" s="508">
        <f>'Crude Oil Production'!AC46*365</f>
        <v>1020561.9</v>
      </c>
      <c r="T82" s="508">
        <f>'Crude Oil Production'!AD46*365</f>
        <v>1040326.65</v>
      </c>
      <c r="U82" s="508">
        <f>'Crude Oil Production'!AE46*365</f>
        <v>1058708.05</v>
      </c>
      <c r="V82" s="508">
        <f>'Crude Oil Production'!AF46*365</f>
        <v>1075804.6499999999</v>
      </c>
      <c r="W82" s="508">
        <f>'Crude Oil Production'!AG46*365</f>
        <v>1091704.0499999998</v>
      </c>
      <c r="X82" s="508">
        <f>'Crude Oil Production'!AH46*365</f>
        <v>1106490.2</v>
      </c>
      <c r="Y82" s="508">
        <f>'Crude Oil Production'!AI46*365</f>
        <v>1120239.75</v>
      </c>
      <c r="Z82" s="508">
        <f>'Crude Oil Production'!AJ46*365</f>
        <v>1133029.3500000001</v>
      </c>
      <c r="AA82" s="508">
        <f>'Crude Oil Production'!AK46*365</f>
        <v>1145370</v>
      </c>
      <c r="AB82" s="508">
        <f t="shared" ref="AB82:AC82" si="26">(1+(($AA82-$R82)/$R82)/10)*AA82</f>
        <v>1162111.094695434</v>
      </c>
      <c r="AC82" s="508">
        <f t="shared" si="26"/>
        <v>1179096.8825918436</v>
      </c>
      <c r="AD82" s="508">
        <f t="shared" si="16"/>
        <v>1188102.2242669808</v>
      </c>
      <c r="AE82" s="508">
        <f t="shared" si="17"/>
        <v>1197176.3441569391</v>
      </c>
      <c r="AF82" s="508">
        <f t="shared" si="18"/>
        <v>1206319.7675547064</v>
      </c>
      <c r="AG82" s="508">
        <f t="shared" si="19"/>
        <v>1215533.0237651907</v>
      </c>
      <c r="AH82" s="508">
        <f t="shared" si="20"/>
        <v>1224816.6461358618</v>
      </c>
      <c r="AI82" s="508">
        <f t="shared" si="21"/>
        <v>1234171.1720876254</v>
      </c>
      <c r="AJ82" s="508">
        <f t="shared" si="22"/>
        <v>1243597.1431459347</v>
      </c>
      <c r="AK82" s="508">
        <f t="shared" si="23"/>
        <v>1253095.1049721388</v>
      </c>
    </row>
    <row r="83" spans="1:37">
      <c r="A83" s="528" t="s">
        <v>1165</v>
      </c>
      <c r="B83" s="508">
        <f>'Crude Oil Production'!L47*365</f>
        <v>364467.1</v>
      </c>
      <c r="C83" s="508">
        <f>'Crude Oil Production'!M47*365</f>
        <v>371748.85</v>
      </c>
      <c r="D83" s="508">
        <f>'Crude Oil Production'!N47*365</f>
        <v>385710.1</v>
      </c>
      <c r="E83" s="508">
        <f>'Crude Oil Production'!O47*365</f>
        <v>405912.85</v>
      </c>
      <c r="F83" s="508">
        <f>'Crude Oil Production'!P47*365</f>
        <v>421626.10000000003</v>
      </c>
      <c r="G83" s="508">
        <f>'Crude Oil Production'!Q47*365</f>
        <v>425418.45</v>
      </c>
      <c r="H83" s="508">
        <f>'Crude Oil Production'!R47*365</f>
        <v>425652.05000000005</v>
      </c>
      <c r="I83" s="508">
        <f>'Crude Oil Production'!S47*365</f>
        <v>425652.05000000005</v>
      </c>
      <c r="J83" s="508">
        <f>'Crude Oil Production'!T47*365</f>
        <v>428280.05</v>
      </c>
      <c r="K83" s="508">
        <f>'Crude Oil Production'!U47*365</f>
        <v>431565.05</v>
      </c>
      <c r="L83" s="508">
        <f>'Crude Oil Production'!V47*365</f>
        <v>432222.05000000005</v>
      </c>
      <c r="M83" s="508">
        <f>'Crude Oil Production'!W47*365</f>
        <v>432222.05000000005</v>
      </c>
      <c r="N83" s="508">
        <f>'Crude Oil Production'!X47*365</f>
        <v>434850.05</v>
      </c>
      <c r="O83" s="508">
        <f>'Crude Oil Production'!Y47*365</f>
        <v>438135.05</v>
      </c>
      <c r="P83" s="508">
        <f>'Crude Oil Production'!Z47*365</f>
        <v>438792.05000000005</v>
      </c>
      <c r="Q83" s="508">
        <f>'Crude Oil Production'!AA47*365</f>
        <v>438792.05000000005</v>
      </c>
      <c r="R83" s="508">
        <f>'Crude Oil Production'!AB47*365</f>
        <v>441420.05</v>
      </c>
      <c r="S83" s="508">
        <f>'Crude Oil Production'!AC47*365</f>
        <v>444705.05</v>
      </c>
      <c r="T83" s="508">
        <f>'Crude Oil Production'!AD47*365</f>
        <v>445362.05000000005</v>
      </c>
      <c r="U83" s="508">
        <f>'Crude Oil Production'!AE47*365</f>
        <v>445362.05000000005</v>
      </c>
      <c r="V83" s="508">
        <f>'Crude Oil Production'!AF47*365</f>
        <v>447990.05</v>
      </c>
      <c r="W83" s="508">
        <f>'Crude Oil Production'!AG47*365</f>
        <v>451275.05</v>
      </c>
      <c r="X83" s="508">
        <f>'Crude Oil Production'!AH47*365</f>
        <v>451932.05000000005</v>
      </c>
      <c r="Y83" s="508">
        <f>'Crude Oil Production'!AI47*365</f>
        <v>451932.05000000005</v>
      </c>
      <c r="Z83" s="508">
        <f>'Crude Oil Production'!AJ47*365</f>
        <v>451932.05000000005</v>
      </c>
      <c r="AA83" s="508">
        <f>'Crude Oil Production'!AK47*365</f>
        <v>451932.05000000005</v>
      </c>
      <c r="AB83" s="508">
        <f t="shared" ref="AB83:AC83" si="27">(1+(($AA83-$R83)/$R83)/10)*AA83</f>
        <v>453008.28333140403</v>
      </c>
      <c r="AC83" s="508">
        <f t="shared" si="27"/>
        <v>454087.07961045386</v>
      </c>
      <c r="AD83" s="508">
        <f t="shared" si="16"/>
        <v>457555.16553496971</v>
      </c>
      <c r="AE83" s="508">
        <f t="shared" si="17"/>
        <v>461049.73893406894</v>
      </c>
      <c r="AF83" s="508">
        <f t="shared" si="18"/>
        <v>464571.00210559682</v>
      </c>
      <c r="AG83" s="508">
        <f t="shared" si="19"/>
        <v>468119.15889244666</v>
      </c>
      <c r="AH83" s="508">
        <f t="shared" si="20"/>
        <v>471694.41469435988</v>
      </c>
      <c r="AI83" s="508">
        <f t="shared" si="21"/>
        <v>475296.9764798166</v>
      </c>
      <c r="AJ83" s="508">
        <f t="shared" si="22"/>
        <v>478927.05279801681</v>
      </c>
      <c r="AK83" s="508">
        <f t="shared" si="23"/>
        <v>482584.85379095312</v>
      </c>
    </row>
    <row r="84" spans="1:37">
      <c r="A84" s="529" t="s">
        <v>37</v>
      </c>
      <c r="B84" s="508">
        <f>'Refinery Balances'!L19*365</f>
        <v>718141.15</v>
      </c>
      <c r="C84" s="508">
        <f>'Refinery Balances'!M19*365</f>
        <v>720845.8</v>
      </c>
      <c r="D84" s="508">
        <f>'Refinery Balances'!N19*365</f>
        <v>727463.25</v>
      </c>
      <c r="E84" s="508">
        <f>'Refinery Balances'!O19*365</f>
        <v>726707.7</v>
      </c>
      <c r="F84" s="508">
        <f>'Refinery Balances'!P19*365</f>
        <v>731427.15</v>
      </c>
      <c r="G84" s="508">
        <f>'Refinery Balances'!Q19*365</f>
        <v>727718.75</v>
      </c>
      <c r="H84" s="508">
        <f>'Refinery Balances'!R19*365</f>
        <v>728715.2</v>
      </c>
      <c r="I84" s="508">
        <f>'Refinery Balances'!S19*365</f>
        <v>726663.89999999991</v>
      </c>
      <c r="J84" s="508">
        <f>'Refinery Balances'!T19*365</f>
        <v>725630.95</v>
      </c>
      <c r="K84" s="508">
        <f>'Refinery Balances'!U19*365</f>
        <v>722433.55</v>
      </c>
      <c r="L84" s="508">
        <f>'Refinery Balances'!V19*365</f>
        <v>723565.04999999993</v>
      </c>
      <c r="M84" s="508">
        <f>'Refinery Balances'!W19*365</f>
        <v>721897</v>
      </c>
      <c r="N84" s="508">
        <f>'Refinery Balances'!X19*365</f>
        <v>722867.9</v>
      </c>
      <c r="O84" s="508">
        <f>'Refinery Balances'!Y19*365</f>
        <v>719926</v>
      </c>
      <c r="P84" s="508">
        <f>'Refinery Balances'!Z19*365</f>
        <v>723357</v>
      </c>
      <c r="Q84" s="508">
        <f>'Refinery Balances'!AA19*365</f>
        <v>724590.70000000007</v>
      </c>
      <c r="R84" s="508">
        <f>'Refinery Balances'!AB19*365</f>
        <v>725988.65</v>
      </c>
      <c r="S84" s="508">
        <f>'Refinery Balances'!AC19*365</f>
        <v>724397.25</v>
      </c>
      <c r="T84" s="508">
        <f>'Refinery Balances'!AD19*365</f>
        <v>728014.4</v>
      </c>
      <c r="U84" s="508">
        <f>'Refinery Balances'!AE19*365</f>
        <v>729091.15</v>
      </c>
      <c r="V84" s="508">
        <f>'Refinery Balances'!AF19*365</f>
        <v>730193.45</v>
      </c>
      <c r="W84" s="508">
        <f>'Refinery Balances'!AG19*365</f>
        <v>732277.6</v>
      </c>
      <c r="X84" s="508">
        <f>'Refinery Balances'!AH19*365</f>
        <v>738851.25</v>
      </c>
      <c r="Y84" s="508">
        <f>'Refinery Balances'!AI19*365</f>
        <v>743260.45</v>
      </c>
      <c r="Z84" s="508">
        <f>'Refinery Balances'!AJ19*365</f>
        <v>747676.95</v>
      </c>
      <c r="AA84" s="508">
        <f>'Refinery Balances'!AK19*365</f>
        <v>750487.45000000007</v>
      </c>
      <c r="AB84" s="508">
        <f t="shared" ref="AB84:AC84" si="28">(1+(($AA84-$R84)/$R84)/10)*AA84</f>
        <v>753020.00225685141</v>
      </c>
      <c r="AC84" s="508">
        <f t="shared" si="28"/>
        <v>755561.10072048299</v>
      </c>
      <c r="AD84" s="508">
        <f t="shared" si="16"/>
        <v>761331.69172864011</v>
      </c>
      <c r="AE84" s="508">
        <f t="shared" si="17"/>
        <v>767146.35557293403</v>
      </c>
      <c r="AF84" s="508">
        <f t="shared" si="18"/>
        <v>773005.42885924841</v>
      </c>
      <c r="AG84" s="508">
        <f t="shared" si="19"/>
        <v>778909.25076429115</v>
      </c>
      <c r="AH84" s="508">
        <f t="shared" si="20"/>
        <v>784858.16305522923</v>
      </c>
      <c r="AI84" s="508">
        <f t="shared" si="21"/>
        <v>790852.51010947325</v>
      </c>
      <c r="AJ84" s="508">
        <f t="shared" si="22"/>
        <v>796892.63893461321</v>
      </c>
      <c r="AK84" s="508">
        <f t="shared" si="23"/>
        <v>802978.89918850618</v>
      </c>
    </row>
    <row r="85" spans="1:37">
      <c r="A85" s="404" t="s">
        <v>1044</v>
      </c>
      <c r="B85" s="424">
        <f t="shared" ref="B85:AK85" si="29">B78/B74</f>
        <v>0.79750846554900245</v>
      </c>
      <c r="C85" s="424">
        <f t="shared" si="29"/>
        <v>0.80118466341151029</v>
      </c>
      <c r="D85" s="424">
        <f t="shared" si="29"/>
        <v>0.81402506522428031</v>
      </c>
      <c r="E85" s="424">
        <f t="shared" si="29"/>
        <v>0.80743514028783736</v>
      </c>
      <c r="F85" s="424">
        <f t="shared" si="29"/>
        <v>0.80987189768264345</v>
      </c>
      <c r="G85" s="424">
        <f t="shared" si="29"/>
        <v>0.81968321065631189</v>
      </c>
      <c r="H85" s="424">
        <f t="shared" si="29"/>
        <v>0.82325027731530398</v>
      </c>
      <c r="I85" s="424">
        <f t="shared" si="29"/>
        <v>0.82544167786954115</v>
      </c>
      <c r="J85" s="424">
        <f t="shared" si="29"/>
        <v>0.836093856496685</v>
      </c>
      <c r="K85" s="424">
        <f t="shared" si="29"/>
        <v>0.84013823840459279</v>
      </c>
      <c r="L85" s="424">
        <f t="shared" si="29"/>
        <v>0.82954333780146183</v>
      </c>
      <c r="M85" s="424">
        <f t="shared" si="29"/>
        <v>0.83810147973221827</v>
      </c>
      <c r="N85" s="424">
        <f t="shared" si="29"/>
        <v>0.84607298259140673</v>
      </c>
      <c r="O85" s="424">
        <f t="shared" si="29"/>
        <v>0.85216384084173558</v>
      </c>
      <c r="P85" s="424">
        <f t="shared" si="29"/>
        <v>0.85676006656967296</v>
      </c>
      <c r="Q85" s="424">
        <f t="shared" si="29"/>
        <v>0.86070119469584772</v>
      </c>
      <c r="R85" s="424">
        <f t="shared" si="29"/>
        <v>0.8659385075824193</v>
      </c>
      <c r="S85" s="424">
        <f t="shared" si="29"/>
        <v>0.87155465060454296</v>
      </c>
      <c r="T85" s="424">
        <f t="shared" si="29"/>
        <v>0.87580878132043227</v>
      </c>
      <c r="U85" s="424">
        <f t="shared" si="29"/>
        <v>0.8782971088283662</v>
      </c>
      <c r="V85" s="424">
        <f t="shared" si="29"/>
        <v>0.88257076886471553</v>
      </c>
      <c r="W85" s="424">
        <f t="shared" si="29"/>
        <v>0.88588880370654322</v>
      </c>
      <c r="X85" s="424">
        <f t="shared" si="29"/>
        <v>0.88905297675508022</v>
      </c>
      <c r="Y85" s="424">
        <f t="shared" si="29"/>
        <v>0.8924108023519699</v>
      </c>
      <c r="Z85" s="424">
        <f t="shared" si="29"/>
        <v>0.89561769077229136</v>
      </c>
      <c r="AA85" s="424">
        <f t="shared" si="29"/>
        <v>0.89787042220031599</v>
      </c>
      <c r="AB85" s="424">
        <f t="shared" si="29"/>
        <v>0.90129444965556238</v>
      </c>
      <c r="AC85" s="424">
        <f t="shared" si="29"/>
        <v>0.904731534634171</v>
      </c>
      <c r="AD85" s="424">
        <f t="shared" si="29"/>
        <v>0.9081817269309872</v>
      </c>
      <c r="AE85" s="424">
        <f t="shared" si="29"/>
        <v>0.91164507653074822</v>
      </c>
      <c r="AF85" s="424">
        <f t="shared" si="29"/>
        <v>0.91512163360880838</v>
      </c>
      <c r="AG85" s="424">
        <f t="shared" si="29"/>
        <v>0.91861144853186572</v>
      </c>
      <c r="AH85" s="424">
        <f t="shared" si="29"/>
        <v>0.9221145718586915</v>
      </c>
      <c r="AI85" s="424">
        <f t="shared" si="29"/>
        <v>0.92563105434086257</v>
      </c>
      <c r="AJ85" s="424">
        <f t="shared" si="29"/>
        <v>0.92916094692349693</v>
      </c>
      <c r="AK85" s="424">
        <f t="shared" si="29"/>
        <v>0.93270430074599198</v>
      </c>
    </row>
    <row r="87" spans="1:37">
      <c r="A87" s="6" t="s">
        <v>48</v>
      </c>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row>
    <row r="88" spans="1:37" s="536" customFormat="1">
      <c r="A88" s="536" t="s">
        <v>58</v>
      </c>
      <c r="B88" s="536">
        <v>2015</v>
      </c>
      <c r="C88" s="536">
        <v>2016</v>
      </c>
      <c r="D88" s="536">
        <v>2017</v>
      </c>
      <c r="E88" s="536">
        <v>2018</v>
      </c>
      <c r="F88" s="536">
        <v>2019</v>
      </c>
      <c r="G88" s="536">
        <v>2020</v>
      </c>
      <c r="H88" s="536">
        <v>2021</v>
      </c>
      <c r="I88" s="536">
        <v>2022</v>
      </c>
      <c r="J88" s="536">
        <v>2023</v>
      </c>
      <c r="K88" s="536">
        <v>2024</v>
      </c>
      <c r="L88" s="536">
        <v>2025</v>
      </c>
      <c r="M88" s="536">
        <v>2026</v>
      </c>
      <c r="N88" s="536">
        <v>2027</v>
      </c>
      <c r="O88" s="536">
        <v>2028</v>
      </c>
      <c r="P88" s="536">
        <v>2029</v>
      </c>
      <c r="Q88" s="536">
        <v>2030</v>
      </c>
      <c r="R88" s="536">
        <v>2031</v>
      </c>
      <c r="S88" s="536">
        <v>2032</v>
      </c>
      <c r="T88" s="536">
        <v>2033</v>
      </c>
      <c r="U88" s="536">
        <v>2034</v>
      </c>
      <c r="V88" s="536">
        <v>2035</v>
      </c>
      <c r="W88" s="536">
        <v>2036</v>
      </c>
      <c r="X88" s="536">
        <v>2037</v>
      </c>
      <c r="Y88" s="536">
        <v>2038</v>
      </c>
      <c r="Z88" s="536">
        <v>2039</v>
      </c>
      <c r="AA88" s="536">
        <v>2040</v>
      </c>
      <c r="AB88" s="536">
        <v>2041</v>
      </c>
      <c r="AC88" s="536">
        <v>2042</v>
      </c>
      <c r="AD88" s="536">
        <v>2043</v>
      </c>
      <c r="AE88" s="536">
        <v>2044</v>
      </c>
      <c r="AF88" s="536">
        <v>2045</v>
      </c>
      <c r="AG88" s="536">
        <v>2046</v>
      </c>
      <c r="AH88" s="536">
        <v>2047</v>
      </c>
      <c r="AI88" s="536">
        <v>2048</v>
      </c>
      <c r="AJ88" s="536">
        <v>2049</v>
      </c>
      <c r="AK88" s="536">
        <v>2050</v>
      </c>
    </row>
    <row r="89" spans="1:37" s="536" customFormat="1">
      <c r="A89" s="536" t="s">
        <v>53</v>
      </c>
      <c r="B89" s="549">
        <f t="shared" ref="B89:AK89" si="30">$G$46*B78</f>
        <v>1069.8394248751219</v>
      </c>
      <c r="C89" s="549">
        <f t="shared" si="30"/>
        <v>1148.1604870984222</v>
      </c>
      <c r="D89" s="549">
        <f t="shared" si="30"/>
        <v>1229.1592204869919</v>
      </c>
      <c r="E89" s="549">
        <f t="shared" si="30"/>
        <v>1264.5162786643764</v>
      </c>
      <c r="F89" s="549">
        <f t="shared" si="30"/>
        <v>1290.8702001330778</v>
      </c>
      <c r="G89" s="549">
        <f t="shared" si="30"/>
        <v>1311.7311266531979</v>
      </c>
      <c r="H89" s="549">
        <f t="shared" si="30"/>
        <v>1330.5174315728095</v>
      </c>
      <c r="I89" s="549">
        <f t="shared" si="30"/>
        <v>1362.3840126498128</v>
      </c>
      <c r="J89" s="549">
        <f t="shared" si="30"/>
        <v>1415.1967337723911</v>
      </c>
      <c r="K89" s="549">
        <f t="shared" si="30"/>
        <v>1458.0361949734106</v>
      </c>
      <c r="L89" s="549">
        <f t="shared" si="30"/>
        <v>1488.7556709000539</v>
      </c>
      <c r="M89" s="549">
        <f t="shared" si="30"/>
        <v>1521.4252255823092</v>
      </c>
      <c r="N89" s="549">
        <f t="shared" si="30"/>
        <v>1553.681822410435</v>
      </c>
      <c r="O89" s="549">
        <f t="shared" si="30"/>
        <v>1584.1685998637195</v>
      </c>
      <c r="P89" s="549">
        <f t="shared" si="30"/>
        <v>1609.6310567584267</v>
      </c>
      <c r="Q89" s="549">
        <f t="shared" si="30"/>
        <v>1632.288022199682</v>
      </c>
      <c r="R89" s="549">
        <f t="shared" si="30"/>
        <v>1655.6955221536014</v>
      </c>
      <c r="S89" s="549">
        <f t="shared" si="30"/>
        <v>1677.8510387719848</v>
      </c>
      <c r="T89" s="549">
        <f t="shared" si="30"/>
        <v>1695.1198874498341</v>
      </c>
      <c r="U89" s="549">
        <f t="shared" si="30"/>
        <v>1710.2125137852863</v>
      </c>
      <c r="V89" s="549">
        <f t="shared" si="30"/>
        <v>1726.2949279933348</v>
      </c>
      <c r="W89" s="549">
        <f t="shared" si="30"/>
        <v>1742.128256511591</v>
      </c>
      <c r="X89" s="549">
        <f t="shared" si="30"/>
        <v>1754.0647049619092</v>
      </c>
      <c r="Y89" s="549">
        <f t="shared" si="30"/>
        <v>1764.3689866554296</v>
      </c>
      <c r="Z89" s="549">
        <f t="shared" si="30"/>
        <v>1773.53599552845</v>
      </c>
      <c r="AA89" s="549">
        <f t="shared" si="30"/>
        <v>1782.1491164860111</v>
      </c>
      <c r="AB89" s="549">
        <f t="shared" si="30"/>
        <v>1795.7602640913904</v>
      </c>
      <c r="AC89" s="549">
        <f t="shared" si="30"/>
        <v>1809.47536671233</v>
      </c>
      <c r="AD89" s="549">
        <f t="shared" si="30"/>
        <v>1823.2952183043124</v>
      </c>
      <c r="AE89" s="549">
        <f t="shared" si="30"/>
        <v>1837.2206188866476</v>
      </c>
      <c r="AF89" s="549">
        <f t="shared" si="30"/>
        <v>1851.2523745887854</v>
      </c>
      <c r="AG89" s="549">
        <f t="shared" si="30"/>
        <v>1865.3912976969825</v>
      </c>
      <c r="AH89" s="549">
        <f t="shared" si="30"/>
        <v>1879.638206701324</v>
      </c>
      <c r="AI89" s="549">
        <f t="shared" si="30"/>
        <v>1893.9939263431058</v>
      </c>
      <c r="AJ89" s="549">
        <f t="shared" si="30"/>
        <v>1908.4592876625777</v>
      </c>
      <c r="AK89" s="549">
        <f t="shared" si="30"/>
        <v>1923.035128047052</v>
      </c>
    </row>
    <row r="90" spans="1:37" s="536" customFormat="1">
      <c r="A90" s="536" t="s">
        <v>54</v>
      </c>
      <c r="B90" s="549">
        <f t="shared" ref="B90:AK90" si="31">$G$48*B78/B74</f>
        <v>1.009395457961307E-2</v>
      </c>
      <c r="C90" s="549">
        <f t="shared" si="31"/>
        <v>1.0140483708585111E-2</v>
      </c>
      <c r="D90" s="549">
        <f t="shared" si="31"/>
        <v>1.0303002902149857E-2</v>
      </c>
      <c r="E90" s="549">
        <f t="shared" si="31"/>
        <v>1.0219595131743654E-2</v>
      </c>
      <c r="F90" s="549">
        <f t="shared" si="31"/>
        <v>1.0250436833778475E-2</v>
      </c>
      <c r="G90" s="549">
        <f t="shared" si="31"/>
        <v>1.0374617267969104E-2</v>
      </c>
      <c r="H90" s="549">
        <f t="shared" si="31"/>
        <v>1.0419765138360087E-2</v>
      </c>
      <c r="I90" s="549">
        <f t="shared" si="31"/>
        <v>1.0447501392726967E-2</v>
      </c>
      <c r="J90" s="549">
        <f t="shared" si="31"/>
        <v>1.0582324547440815E-2</v>
      </c>
      <c r="K90" s="549">
        <f t="shared" si="31"/>
        <v>1.0633513731060236E-2</v>
      </c>
      <c r="L90" s="549">
        <f t="shared" si="31"/>
        <v>1.0499415536391042E-2</v>
      </c>
      <c r="M90" s="549">
        <f t="shared" si="31"/>
        <v>1.060773475764905E-2</v>
      </c>
      <c r="N90" s="549">
        <f t="shared" si="31"/>
        <v>1.0708628969143737E-2</v>
      </c>
      <c r="O90" s="549">
        <f t="shared" si="31"/>
        <v>1.0785720121382928E-2</v>
      </c>
      <c r="P90" s="549">
        <f t="shared" si="31"/>
        <v>1.0843893916069249E-2</v>
      </c>
      <c r="Q90" s="549">
        <f t="shared" si="31"/>
        <v>1.0893776230823935E-2</v>
      </c>
      <c r="R90" s="549">
        <f t="shared" si="31"/>
        <v>1.0960064177196872E-2</v>
      </c>
      <c r="S90" s="549">
        <f t="shared" si="31"/>
        <v>1.1031146924310913E-2</v>
      </c>
      <c r="T90" s="549">
        <f t="shared" si="31"/>
        <v>1.1084990869644288E-2</v>
      </c>
      <c r="U90" s="549">
        <f t="shared" si="31"/>
        <v>1.111648528748347E-2</v>
      </c>
      <c r="V90" s="549">
        <f t="shared" si="31"/>
        <v>1.1170576412730551E-2</v>
      </c>
      <c r="W90" s="549">
        <f t="shared" si="31"/>
        <v>1.1212572321782032E-2</v>
      </c>
      <c r="X90" s="549">
        <f t="shared" si="31"/>
        <v>1.1252620823351208E-2</v>
      </c>
      <c r="Y90" s="549">
        <f t="shared" si="31"/>
        <v>1.1295120358497751E-2</v>
      </c>
      <c r="Z90" s="549">
        <f t="shared" si="31"/>
        <v>1.1335709502632199E-2</v>
      </c>
      <c r="AA90" s="549">
        <f t="shared" si="31"/>
        <v>1.1364222013403974E-2</v>
      </c>
      <c r="AB90" s="549">
        <f t="shared" si="31"/>
        <v>1.140755945633483E-2</v>
      </c>
      <c r="AC90" s="549">
        <f t="shared" si="31"/>
        <v>1.1451062166536739E-2</v>
      </c>
      <c r="AD90" s="549">
        <f t="shared" si="31"/>
        <v>1.149473077425618E-2</v>
      </c>
      <c r="AE90" s="549">
        <f t="shared" si="31"/>
        <v>1.1538565912143079E-2</v>
      </c>
      <c r="AF90" s="549">
        <f t="shared" si="31"/>
        <v>1.1582568215259968E-2</v>
      </c>
      <c r="AG90" s="549">
        <f t="shared" si="31"/>
        <v>1.1626738321091191E-2</v>
      </c>
      <c r="AH90" s="549">
        <f t="shared" si="31"/>
        <v>1.1671076869552141E-2</v>
      </c>
      <c r="AI90" s="549">
        <f t="shared" si="31"/>
        <v>1.1715584502998522E-2</v>
      </c>
      <c r="AJ90" s="549">
        <f t="shared" si="31"/>
        <v>1.1760261866235659E-2</v>
      </c>
      <c r="AK90" s="549">
        <f t="shared" si="31"/>
        <v>1.1805109606527846E-2</v>
      </c>
    </row>
    <row r="91" spans="1:37" s="536" customFormat="1">
      <c r="A91" s="536" t="s">
        <v>55</v>
      </c>
      <c r="B91" s="549">
        <f>$G$50*B75*'AB Refining capacity'!$I$35</f>
        <v>11.716576020835355</v>
      </c>
      <c r="C91" s="549">
        <f>$G$50*C75*'AB Refining capacity'!$I$35</f>
        <v>11.760702774099324</v>
      </c>
      <c r="D91" s="549">
        <f>$G$50*D75*'AB Refining capacity'!$I$35</f>
        <v>11.868667421423984</v>
      </c>
      <c r="E91" s="549">
        <f>$G$50*E75*'AB Refining capacity'!$I$35</f>
        <v>11.856340514641742</v>
      </c>
      <c r="F91" s="549">
        <f>$G$50*F75*'AB Refining capacity'!$I$35</f>
        <v>11.933339019325022</v>
      </c>
      <c r="G91" s="549">
        <f>$G$50*G75*'AB Refining capacity'!$I$35</f>
        <v>11.872835940625707</v>
      </c>
      <c r="H91" s="549">
        <f>$G$50*H75*'AB Refining capacity'!$I$35</f>
        <v>11.889093165512433</v>
      </c>
      <c r="I91" s="549">
        <f>$G$50*I75*'AB Refining capacity'!$I$35</f>
        <v>11.855625911350018</v>
      </c>
      <c r="J91" s="549">
        <f>$G$50*J75*'AB Refining capacity'!$I$35</f>
        <v>11.838773183720189</v>
      </c>
      <c r="K91" s="549">
        <f>$G$50*K75*'AB Refining capacity'!$I$35</f>
        <v>11.786607143424325</v>
      </c>
      <c r="L91" s="549">
        <f>$G$50*L75*'AB Refining capacity'!$I$35</f>
        <v>11.80506772846053</v>
      </c>
      <c r="M91" s="549">
        <f>$G$50*M75*'AB Refining capacity'!$I$35</f>
        <v>11.777853253100703</v>
      </c>
      <c r="N91" s="549">
        <f>$G$50*N75*'AB Refining capacity'!$I$35</f>
        <v>11.793693626067256</v>
      </c>
      <c r="O91" s="549">
        <f>$G$50*O75*'AB Refining capacity'!$I$35</f>
        <v>11.745696104973113</v>
      </c>
      <c r="P91" s="549">
        <f>$G$50*P75*'AB Refining capacity'!$I$35</f>
        <v>11.801673362824841</v>
      </c>
      <c r="Q91" s="549">
        <f>$G$50*Q75*'AB Refining capacity'!$I$35</f>
        <v>11.821801355541741</v>
      </c>
      <c r="R91" s="549">
        <f>$G$50*R75*'AB Refining capacity'!$I$35</f>
        <v>11.844609110602605</v>
      </c>
      <c r="S91" s="549">
        <f>$G$50*S75*'AB Refining capacity'!$I$35</f>
        <v>11.818645191003291</v>
      </c>
      <c r="T91" s="549">
        <f>$G$50*T75*'AB Refining capacity'!$I$35</f>
        <v>11.877659512844847</v>
      </c>
      <c r="U91" s="549">
        <f>$G$50*U75*'AB Refining capacity'!$I$35</f>
        <v>11.8952268437664</v>
      </c>
      <c r="V91" s="549">
        <f>$G$50*V75*'AB Refining capacity'!$I$35</f>
        <v>11.913211026608124</v>
      </c>
      <c r="W91" s="549">
        <f>$G$50*W75*'AB Refining capacity'!$I$35</f>
        <v>11.947214233239333</v>
      </c>
      <c r="X91" s="549">
        <f>$G$50*X75*'AB Refining capacity'!$I$35</f>
        <v>12.054464277272272</v>
      </c>
      <c r="Y91" s="549">
        <f>$G$50*Y75*'AB Refining capacity'!$I$35</f>
        <v>12.126401008639171</v>
      </c>
      <c r="Z91" s="549">
        <f>$G$50*Z75*'AB Refining capacity'!$I$35</f>
        <v>12.198456840554693</v>
      </c>
      <c r="AA91" s="549">
        <f>$G$50*AA75*'AB Refining capacity'!$I$35</f>
        <v>12.244310551773664</v>
      </c>
      <c r="AB91" s="549">
        <f>$G$50*AB75*'AB Refining capacity'!$I$35</f>
        <v>12.285629505636892</v>
      </c>
      <c r="AC91" s="549">
        <f>$G$50*AC75*'AB Refining capacity'!$I$35</f>
        <v>12.327087892091377</v>
      </c>
      <c r="AD91" s="549">
        <f>$G$50*AD75*'AB Refining capacity'!$I$35</f>
        <v>12.368686181658404</v>
      </c>
      <c r="AE91" s="549">
        <f>$G$50*AE75*'AB Refining capacity'!$I$35</f>
        <v>12.410424846447064</v>
      </c>
      <c r="AF91" s="549">
        <f>$G$50*AF75*'AB Refining capacity'!$I$35</f>
        <v>12.452304360159591</v>
      </c>
      <c r="AG91" s="549">
        <f>$G$50*AG75*'AB Refining capacity'!$I$35</f>
        <v>12.494325198096751</v>
      </c>
      <c r="AH91" s="549">
        <f>$G$50*AH75*'AB Refining capacity'!$I$35</f>
        <v>12.536487837163232</v>
      </c>
      <c r="AI91" s="549">
        <f>$G$50*AI75*'AB Refining capacity'!$I$35</f>
        <v>12.578792755873064</v>
      </c>
      <c r="AJ91" s="549">
        <f>$G$50*AJ75*'AB Refining capacity'!$I$35</f>
        <v>12.62124043435503</v>
      </c>
      <c r="AK91" s="549">
        <f>$G$50*AK75*'AB Refining capacity'!$I$35</f>
        <v>12.663831354358143</v>
      </c>
    </row>
    <row r="92" spans="1:37" s="536" customFormat="1">
      <c r="A92" s="536" t="s">
        <v>57</v>
      </c>
      <c r="B92" s="549">
        <f t="shared" ref="B92:AK92" si="32">$G$47*B78/1000</f>
        <v>8.2399379435498474</v>
      </c>
      <c r="C92" s="549">
        <f t="shared" si="32"/>
        <v>8.8431693046190372</v>
      </c>
      <c r="D92" s="549">
        <f t="shared" si="32"/>
        <v>9.467024175835677</v>
      </c>
      <c r="E92" s="549">
        <f t="shared" si="32"/>
        <v>9.7393453844900844</v>
      </c>
      <c r="F92" s="549">
        <f t="shared" si="32"/>
        <v>9.9423241422570587</v>
      </c>
      <c r="G92" s="549">
        <f t="shared" si="32"/>
        <v>10.10299567480112</v>
      </c>
      <c r="H92" s="549">
        <f t="shared" si="32"/>
        <v>10.24768840450144</v>
      </c>
      <c r="I92" s="549">
        <f t="shared" si="32"/>
        <v>10.493125845338191</v>
      </c>
      <c r="J92" s="549">
        <f t="shared" si="32"/>
        <v>10.899891136055388</v>
      </c>
      <c r="K92" s="549">
        <f t="shared" si="32"/>
        <v>11.229842055440056</v>
      </c>
      <c r="L92" s="549">
        <f t="shared" si="32"/>
        <v>11.466444455209967</v>
      </c>
      <c r="M92" s="549">
        <f t="shared" si="32"/>
        <v>11.718066424793498</v>
      </c>
      <c r="N92" s="549">
        <f t="shared" si="32"/>
        <v>11.966507779592972</v>
      </c>
      <c r="O92" s="549">
        <f t="shared" si="32"/>
        <v>12.201317928175037</v>
      </c>
      <c r="P92" s="549">
        <f t="shared" si="32"/>
        <v>12.397430596884353</v>
      </c>
      <c r="Q92" s="549">
        <f t="shared" si="32"/>
        <v>12.571935279441634</v>
      </c>
      <c r="R92" s="549">
        <f t="shared" si="32"/>
        <v>12.752220603154074</v>
      </c>
      <c r="S92" s="549">
        <f t="shared" si="32"/>
        <v>12.92286311061642</v>
      </c>
      <c r="T92" s="549">
        <f t="shared" si="32"/>
        <v>13.055868343134041</v>
      </c>
      <c r="U92" s="549">
        <f t="shared" si="32"/>
        <v>13.172112240599146</v>
      </c>
      <c r="V92" s="549">
        <f t="shared" si="32"/>
        <v>13.295979516356208</v>
      </c>
      <c r="W92" s="549">
        <f t="shared" si="32"/>
        <v>13.417928326053044</v>
      </c>
      <c r="X92" s="549">
        <f t="shared" si="32"/>
        <v>13.509863239097109</v>
      </c>
      <c r="Y92" s="549">
        <f t="shared" si="32"/>
        <v>13.589227150851785</v>
      </c>
      <c r="Z92" s="549">
        <f t="shared" si="32"/>
        <v>13.659831750463056</v>
      </c>
      <c r="AA92" s="549">
        <f t="shared" si="32"/>
        <v>13.726170287387767</v>
      </c>
      <c r="AB92" s="549">
        <f t="shared" si="32"/>
        <v>13.831003787631895</v>
      </c>
      <c r="AC92" s="549">
        <f t="shared" si="32"/>
        <v>13.936637952776962</v>
      </c>
      <c r="AD92" s="549">
        <f t="shared" si="32"/>
        <v>14.043078897893839</v>
      </c>
      <c r="AE92" s="549">
        <f t="shared" si="32"/>
        <v>14.150332784757195</v>
      </c>
      <c r="AF92" s="549">
        <f t="shared" si="32"/>
        <v>14.258405822202196</v>
      </c>
      <c r="AG92" s="549">
        <f t="shared" si="32"/>
        <v>14.367304266483931</v>
      </c>
      <c r="AH92" s="549">
        <f t="shared" si="32"/>
        <v>14.477034421639576</v>
      </c>
      <c r="AI92" s="549">
        <f t="shared" si="32"/>
        <v>14.58760263985334</v>
      </c>
      <c r="AJ92" s="549">
        <f t="shared" si="32"/>
        <v>14.699015321824179</v>
      </c>
      <c r="AK92" s="549">
        <f t="shared" si="32"/>
        <v>14.811278917136322</v>
      </c>
    </row>
    <row r="93" spans="1:37" s="536" customFormat="1">
      <c r="A93" s="536" t="s">
        <v>1016</v>
      </c>
      <c r="B93" s="549">
        <f t="shared" ref="B93:AK93" si="33">$G$49*B78/B74/1000</f>
        <v>1.4625685056099739E-5</v>
      </c>
      <c r="C93" s="549">
        <f t="shared" si="33"/>
        <v>1.4693103666012467E-5</v>
      </c>
      <c r="D93" s="549">
        <f t="shared" si="33"/>
        <v>1.4928586649604453E-5</v>
      </c>
      <c r="E93" s="549">
        <f t="shared" si="33"/>
        <v>1.4807732551087264E-5</v>
      </c>
      <c r="F93" s="549">
        <f t="shared" si="33"/>
        <v>1.4852420786703698E-5</v>
      </c>
      <c r="G93" s="549">
        <f t="shared" si="33"/>
        <v>1.5032352636631983E-5</v>
      </c>
      <c r="H93" s="549">
        <f t="shared" si="33"/>
        <v>1.5097769865140795E-5</v>
      </c>
      <c r="I93" s="549">
        <f t="shared" si="33"/>
        <v>1.5137958447108979E-5</v>
      </c>
      <c r="J93" s="549">
        <f t="shared" si="33"/>
        <v>1.5333311119202152E-5</v>
      </c>
      <c r="K93" s="549">
        <f t="shared" si="33"/>
        <v>1.5407481938180139E-5</v>
      </c>
      <c r="L93" s="549">
        <f t="shared" si="33"/>
        <v>1.5213179700503699E-5</v>
      </c>
      <c r="M93" s="549">
        <f t="shared" si="33"/>
        <v>1.5370129368064252E-5</v>
      </c>
      <c r="N93" s="549">
        <f t="shared" si="33"/>
        <v>1.5516320531266553E-5</v>
      </c>
      <c r="O93" s="549">
        <f t="shared" si="33"/>
        <v>1.5628022134871891E-5</v>
      </c>
      <c r="P93" s="549">
        <f t="shared" si="33"/>
        <v>1.5712313340354305E-5</v>
      </c>
      <c r="Q93" s="549">
        <f t="shared" si="33"/>
        <v>1.5784590565273154E-5</v>
      </c>
      <c r="R93" s="549">
        <f t="shared" si="33"/>
        <v>1.5880638810687721E-5</v>
      </c>
      <c r="S93" s="549">
        <f t="shared" si="33"/>
        <v>1.5983634506181746E-5</v>
      </c>
      <c r="T93" s="549">
        <f t="shared" si="33"/>
        <v>1.6061651955181797E-5</v>
      </c>
      <c r="U93" s="549">
        <f t="shared" si="33"/>
        <v>1.6107285946568229E-5</v>
      </c>
      <c r="V93" s="549">
        <f t="shared" si="33"/>
        <v>1.6185661548118059E-5</v>
      </c>
      <c r="W93" s="549">
        <f t="shared" si="33"/>
        <v>1.6246511726765796E-5</v>
      </c>
      <c r="X93" s="549">
        <f t="shared" si="33"/>
        <v>1.6304540199778984E-5</v>
      </c>
      <c r="Y93" s="549">
        <f t="shared" si="33"/>
        <v>1.6366120109930298E-5</v>
      </c>
      <c r="Z93" s="549">
        <f t="shared" si="33"/>
        <v>1.6424931949643353E-5</v>
      </c>
      <c r="AA93" s="549">
        <f t="shared" si="33"/>
        <v>1.6466245292141336E-5</v>
      </c>
      <c r="AB93" s="549">
        <f t="shared" si="33"/>
        <v>1.6529039292891407E-5</v>
      </c>
      <c r="AC93" s="549">
        <f t="shared" si="33"/>
        <v>1.6592072758465441E-5</v>
      </c>
      <c r="AD93" s="549">
        <f t="shared" si="33"/>
        <v>1.6655346602062168E-5</v>
      </c>
      <c r="AE93" s="549">
        <f t="shared" si="33"/>
        <v>1.6718861740362809E-5</v>
      </c>
      <c r="AF93" s="549">
        <f t="shared" si="33"/>
        <v>1.6782619093544329E-5</v>
      </c>
      <c r="AG93" s="549">
        <f t="shared" si="33"/>
        <v>1.6846619585292812E-5</v>
      </c>
      <c r="AH93" s="549">
        <f t="shared" si="33"/>
        <v>1.6910864142816801E-5</v>
      </c>
      <c r="AI93" s="549">
        <f t="shared" si="33"/>
        <v>1.6975353696860743E-5</v>
      </c>
      <c r="AJ93" s="549">
        <f t="shared" si="33"/>
        <v>1.7040089181718487E-5</v>
      </c>
      <c r="AK93" s="549">
        <f t="shared" si="33"/>
        <v>1.7105071535246818E-5</v>
      </c>
    </row>
    <row r="94" spans="1:37" s="536" customFormat="1">
      <c r="A94" s="536" t="s">
        <v>56</v>
      </c>
      <c r="B94" s="549">
        <f>$G$51*B75*'AB Refining capacity'!$I$35/1000</f>
        <v>0.10522426377320204</v>
      </c>
      <c r="C94" s="549">
        <f>$G$51*C75*'AB Refining capacity'!$I$35/1000</f>
        <v>0.1056205574614473</v>
      </c>
      <c r="D94" s="549">
        <f>$G$51*D75*'AB Refining capacity'!$I$35/1000</f>
        <v>0.10659016671487326</v>
      </c>
      <c r="E94" s="549">
        <f>$G$51*E75*'AB Refining capacity'!$I$35/1000</f>
        <v>0.10647946119062662</v>
      </c>
      <c r="F94" s="549">
        <f>$G$51*F75*'AB Refining capacity'!$I$35/1000</f>
        <v>0.10717096961019629</v>
      </c>
      <c r="G94" s="549">
        <f>$G$51*G75*'AB Refining capacity'!$I$35/1000</f>
        <v>0.1066276033655847</v>
      </c>
      <c r="H94" s="549">
        <f>$G$51*H75*'AB Refining capacity'!$I$35/1000</f>
        <v>0.10677360630335926</v>
      </c>
      <c r="I94" s="549">
        <f>$G$51*I75*'AB Refining capacity'!$I$35/1000</f>
        <v>0.10647304347907609</v>
      </c>
      <c r="J94" s="549">
        <f>$G$51*J75*'AB Refining capacity'!$I$35/1000</f>
        <v>0.10632169244834275</v>
      </c>
      <c r="K94" s="549">
        <f>$G$51*K75*'AB Refining capacity'!$I$35/1000</f>
        <v>0.10585319950515402</v>
      </c>
      <c r="L94" s="549">
        <f>$G$51*L75*'AB Refining capacity'!$I$35/1000</f>
        <v>0.10601899038687604</v>
      </c>
      <c r="M94" s="549">
        <f>$G$51*M75*'AB Refining capacity'!$I$35/1000</f>
        <v>0.10577458253866003</v>
      </c>
      <c r="N94" s="549">
        <f>$G$51*N75*'AB Refining capacity'!$I$35/1000</f>
        <v>0.10591684181136345</v>
      </c>
      <c r="O94" s="549">
        <f>$G$51*O75*'AB Refining capacity'!$I$35/1000</f>
        <v>0.10548578551888615</v>
      </c>
      <c r="P94" s="549">
        <f>$G$51*P75*'AB Refining capacity'!$I$35/1000</f>
        <v>0.10598850625701103</v>
      </c>
      <c r="Q94" s="549">
        <f>$G$51*Q75*'AB Refining capacity'!$I$35/1000</f>
        <v>0.10616927179901765</v>
      </c>
      <c r="R94" s="549">
        <f>$G$51*R75*'AB Refining capacity'!$I$35/1000</f>
        <v>0.10637410375933876</v>
      </c>
      <c r="S94" s="549">
        <f>$G$51*S75*'AB Refining capacity'!$I$35/1000</f>
        <v>0.10614092690633613</v>
      </c>
      <c r="T94" s="549">
        <f>$G$51*T75*'AB Refining capacity'!$I$35/1000</f>
        <v>0.10667092291855079</v>
      </c>
      <c r="U94" s="549">
        <f>$G$51*U75*'AB Refining capacity'!$I$35/1000</f>
        <v>0.10682869166083465</v>
      </c>
      <c r="V94" s="549">
        <f>$G$51*V75*'AB Refining capacity'!$I$35/1000</f>
        <v>0.10699020406818967</v>
      </c>
      <c r="W94" s="549">
        <f>$G$51*W75*'AB Refining capacity'!$I$35/1000</f>
        <v>0.10729558017613576</v>
      </c>
      <c r="X94" s="549">
        <f>$G$51*X75*'AB Refining capacity'!$I$35/1000</f>
        <v>0.10825877171801121</v>
      </c>
      <c r="Y94" s="549">
        <f>$G$51*Y75*'AB Refining capacity'!$I$35/1000</f>
        <v>0.10890482134743126</v>
      </c>
      <c r="Z94" s="549">
        <f>$G$51*Z75*'AB Refining capacity'!$I$35/1000</f>
        <v>0.10955194059544308</v>
      </c>
      <c r="AA94" s="549">
        <f>$G$51*AA75*'AB Refining capacity'!$I$35/1000</f>
        <v>0.1099637437532688</v>
      </c>
      <c r="AB94" s="549">
        <f>$G$51*AB75*'AB Refining capacity'!$I$35/1000</f>
        <v>0.11033482114758655</v>
      </c>
      <c r="AC94" s="549">
        <f>$G$51*AC75*'AB Refining capacity'!$I$35/1000</f>
        <v>0.1107071507585702</v>
      </c>
      <c r="AD94" s="549">
        <f>$G$51*AD75*'AB Refining capacity'!$I$35/1000</f>
        <v>0.11108073681187887</v>
      </c>
      <c r="AE94" s="549">
        <f>$G$51*AE75*'AB Refining capacity'!$I$35/1000</f>
        <v>0.1114555835474314</v>
      </c>
      <c r="AF94" s="549">
        <f>$G$51*AF75*'AB Refining capacity'!$I$35/1000</f>
        <v>0.11183169521945435</v>
      </c>
      <c r="AG94" s="549">
        <f>$G$51*AG75*'AB Refining capacity'!$I$35/1000</f>
        <v>0.11220907609653037</v>
      </c>
      <c r="AH94" s="549">
        <f>$G$51*AH75*'AB Refining capacity'!$I$35/1000</f>
        <v>0.11258773046164662</v>
      </c>
      <c r="AI94" s="549">
        <f>$G$51*AI75*'AB Refining capacity'!$I$35/1000</f>
        <v>0.11296766261224343</v>
      </c>
      <c r="AJ94" s="549">
        <f>$G$51*AJ75*'AB Refining capacity'!$I$35/1000</f>
        <v>0.11334887686026299</v>
      </c>
      <c r="AK94" s="549">
        <f>$G$51*AK75*'AB Refining capacity'!$I$35/1000</f>
        <v>0.11373137753219832</v>
      </c>
    </row>
    <row r="95" spans="1:37">
      <c r="B95" s="427"/>
      <c r="C95" s="427"/>
      <c r="D95" s="427"/>
      <c r="E95" s="427"/>
      <c r="F95" s="427"/>
      <c r="G95" s="427"/>
      <c r="H95" s="427"/>
      <c r="I95" s="427"/>
      <c r="J95" s="427"/>
      <c r="K95" s="427"/>
      <c r="L95" s="427"/>
      <c r="M95" s="427"/>
      <c r="N95" s="427"/>
      <c r="O95" s="427"/>
      <c r="P95" s="427"/>
      <c r="Q95" s="427"/>
      <c r="R95" s="427"/>
      <c r="S95" s="427"/>
      <c r="T95" s="427"/>
      <c r="U95" s="427"/>
      <c r="V95" s="427"/>
      <c r="W95" s="427"/>
      <c r="X95" s="427"/>
      <c r="Y95" s="427"/>
      <c r="Z95" s="427"/>
      <c r="AA95" s="427"/>
      <c r="AB95" s="427"/>
      <c r="AC95" s="427"/>
      <c r="AD95" s="427"/>
      <c r="AE95" s="427"/>
      <c r="AF95" s="427"/>
      <c r="AG95" s="427"/>
      <c r="AH95" s="427"/>
      <c r="AI95" s="427"/>
      <c r="AJ95" s="427"/>
      <c r="AK95" s="427"/>
    </row>
    <row r="96" spans="1:37">
      <c r="A96" s="5" t="s">
        <v>1176</v>
      </c>
      <c r="B96" s="427"/>
      <c r="C96" s="427"/>
      <c r="D96" s="427"/>
      <c r="E96" s="427"/>
      <c r="F96" s="427"/>
      <c r="G96" s="427"/>
      <c r="H96" s="427"/>
      <c r="I96" s="427"/>
      <c r="J96" s="427"/>
      <c r="K96" s="427"/>
      <c r="L96" s="427"/>
      <c r="M96" s="427"/>
      <c r="N96" s="427"/>
      <c r="O96" s="427"/>
      <c r="P96" s="427"/>
      <c r="Q96" s="427"/>
      <c r="R96" s="427"/>
      <c r="S96" s="427"/>
      <c r="T96" s="427"/>
      <c r="U96" s="427"/>
      <c r="V96" s="427"/>
      <c r="W96" s="427"/>
      <c r="X96" s="427"/>
      <c r="Y96" s="427"/>
      <c r="Z96" s="427"/>
      <c r="AA96" s="427"/>
      <c r="AB96" s="427"/>
      <c r="AC96" s="427"/>
      <c r="AD96" s="427"/>
      <c r="AE96" s="427"/>
      <c r="AF96" s="427"/>
      <c r="AG96" s="427"/>
      <c r="AH96" s="427"/>
      <c r="AI96" s="427"/>
      <c r="AJ96" s="427"/>
      <c r="AK96" s="427"/>
    </row>
    <row r="97" spans="1:37" s="512" customFormat="1">
      <c r="A97" s="530" t="s">
        <v>317</v>
      </c>
      <c r="B97" s="512">
        <f>B79*$J61</f>
        <v>0.24281601931034483</v>
      </c>
      <c r="C97" s="512">
        <f t="shared" ref="C97:AA97" si="34">C79*$J61</f>
        <v>0.23621332965517242</v>
      </c>
      <c r="D97" s="512">
        <f t="shared" si="34"/>
        <v>0.23189769931034485</v>
      </c>
      <c r="E97" s="512">
        <f t="shared" si="34"/>
        <v>0.22823952827586211</v>
      </c>
      <c r="F97" s="512">
        <f t="shared" si="34"/>
        <v>0.22582322482758618</v>
      </c>
      <c r="G97" s="512">
        <f t="shared" si="34"/>
        <v>0.22454764137931035</v>
      </c>
      <c r="H97" s="512">
        <f t="shared" si="34"/>
        <v>0.22407561931034481</v>
      </c>
      <c r="I97" s="512">
        <f t="shared" si="34"/>
        <v>0.22451954482758621</v>
      </c>
      <c r="J97" s="512">
        <f t="shared" si="34"/>
        <v>0.2259018951724138</v>
      </c>
      <c r="K97" s="512">
        <f t="shared" si="34"/>
        <v>0.2279978979310345</v>
      </c>
      <c r="L97" s="512">
        <f t="shared" si="34"/>
        <v>0.23074012137931033</v>
      </c>
      <c r="M97" s="512">
        <f t="shared" si="34"/>
        <v>0.23385321931034486</v>
      </c>
      <c r="N97" s="512">
        <f t="shared" si="34"/>
        <v>0.23698317517241382</v>
      </c>
      <c r="O97" s="512">
        <f t="shared" si="34"/>
        <v>0.23973101793103446</v>
      </c>
      <c r="P97" s="512">
        <f t="shared" si="34"/>
        <v>0.24178206620689655</v>
      </c>
      <c r="Q97" s="512">
        <f t="shared" si="34"/>
        <v>0.24309136551724139</v>
      </c>
      <c r="R97" s="512">
        <f t="shared" si="34"/>
        <v>0.24367015448275864</v>
      </c>
      <c r="S97" s="512">
        <f t="shared" si="34"/>
        <v>0.24347347862068963</v>
      </c>
      <c r="T97" s="512">
        <f t="shared" si="34"/>
        <v>0.24241704827586208</v>
      </c>
      <c r="U97" s="512">
        <f t="shared" si="34"/>
        <v>0.24111898758620687</v>
      </c>
      <c r="V97" s="512">
        <f t="shared" si="34"/>
        <v>0.23903422344827588</v>
      </c>
      <c r="W97" s="512">
        <f t="shared" si="34"/>
        <v>0.23706184551724135</v>
      </c>
      <c r="X97" s="512">
        <f t="shared" si="34"/>
        <v>0.23488717241379312</v>
      </c>
      <c r="Y97" s="512">
        <f t="shared" si="34"/>
        <v>0.23269564137931034</v>
      </c>
      <c r="Z97" s="512">
        <f t="shared" si="34"/>
        <v>0.23004332689655174</v>
      </c>
      <c r="AA97" s="512">
        <f t="shared" si="34"/>
        <v>0.22713814344827585</v>
      </c>
      <c r="AB97" s="512">
        <f t="shared" ref="AB97:AK97" si="35">AB79*$J61</f>
        <v>0.22559710519440773</v>
      </c>
      <c r="AC97" s="512">
        <f t="shared" si="35"/>
        <v>0.22406652224700568</v>
      </c>
      <c r="AD97" s="512">
        <f t="shared" si="35"/>
        <v>0.22577782826484413</v>
      </c>
      <c r="AE97" s="512">
        <f t="shared" si="35"/>
        <v>0.22750220436676888</v>
      </c>
      <c r="AF97" s="512">
        <f t="shared" si="35"/>
        <v>0.22923975037542779</v>
      </c>
      <c r="AG97" s="512">
        <f t="shared" si="35"/>
        <v>0.23099056687586328</v>
      </c>
      <c r="AH97" s="512">
        <f t="shared" si="35"/>
        <v>0.23275475522133515</v>
      </c>
      <c r="AI97" s="512">
        <f t="shared" si="35"/>
        <v>0.23453241753918777</v>
      </c>
      <c r="AJ97" s="512">
        <f t="shared" si="35"/>
        <v>0.23632365673676217</v>
      </c>
      <c r="AK97" s="512">
        <f t="shared" si="35"/>
        <v>0.23812857650735328</v>
      </c>
    </row>
    <row r="98" spans="1:37" s="512" customFormat="1">
      <c r="A98" s="530" t="s">
        <v>318</v>
      </c>
      <c r="B98" s="512">
        <f t="shared" ref="B98:AA98" si="36">B80*$J62</f>
        <v>0.21256724132278526</v>
      </c>
      <c r="C98" s="512">
        <f t="shared" si="36"/>
        <v>0.20639579702088232</v>
      </c>
      <c r="D98" s="512">
        <f t="shared" si="36"/>
        <v>0.20043716114318294</v>
      </c>
      <c r="E98" s="512">
        <f t="shared" si="36"/>
        <v>0.19508857608153371</v>
      </c>
      <c r="F98" s="512">
        <f t="shared" si="36"/>
        <v>0.19052028857529754</v>
      </c>
      <c r="G98" s="512">
        <f t="shared" si="36"/>
        <v>0.18659042634167203</v>
      </c>
      <c r="H98" s="512">
        <f t="shared" si="36"/>
        <v>0.18327061492409666</v>
      </c>
      <c r="I98" s="512">
        <f t="shared" si="36"/>
        <v>0.18060341600741214</v>
      </c>
      <c r="J98" s="512">
        <f t="shared" si="36"/>
        <v>0.17850370622193712</v>
      </c>
      <c r="K98" s="512">
        <f t="shared" si="36"/>
        <v>0.17694311111111111</v>
      </c>
      <c r="L98" s="512">
        <f t="shared" si="36"/>
        <v>0.17589325621837362</v>
      </c>
      <c r="M98" s="512">
        <f t="shared" si="36"/>
        <v>0.17518389480436178</v>
      </c>
      <c r="N98" s="512">
        <f t="shared" si="36"/>
        <v>0.17468734181455348</v>
      </c>
      <c r="O98" s="512">
        <f t="shared" si="36"/>
        <v>0.17410566545506378</v>
      </c>
      <c r="P98" s="512">
        <f t="shared" si="36"/>
        <v>0.17324024452996936</v>
      </c>
      <c r="Q98" s="512">
        <f t="shared" si="36"/>
        <v>0.17203433012614924</v>
      </c>
      <c r="R98" s="512">
        <f t="shared" si="36"/>
        <v>0.1704737350153232</v>
      </c>
      <c r="S98" s="512">
        <f t="shared" si="36"/>
        <v>0.16854427196921101</v>
      </c>
      <c r="T98" s="512">
        <f t="shared" si="36"/>
        <v>0.16617500484641151</v>
      </c>
      <c r="U98" s="512">
        <f t="shared" si="36"/>
        <v>0.16367805266908989</v>
      </c>
      <c r="V98" s="512">
        <f t="shared" si="36"/>
        <v>0.16062779858883899</v>
      </c>
      <c r="W98" s="512">
        <f t="shared" si="36"/>
        <v>0.15788966353075334</v>
      </c>
      <c r="X98" s="512">
        <f t="shared" si="36"/>
        <v>0.15510896678782693</v>
      </c>
      <c r="Y98" s="512">
        <f t="shared" si="36"/>
        <v>0.15241339341458202</v>
      </c>
      <c r="Z98" s="512">
        <f t="shared" si="36"/>
        <v>0.14961850944337535</v>
      </c>
      <c r="AA98" s="512">
        <f t="shared" si="36"/>
        <v>0.14676687655904783</v>
      </c>
      <c r="AB98" s="512">
        <f t="shared" ref="AB98:AK98" si="37">AB80*$J62</f>
        <v>0.14472586914618024</v>
      </c>
      <c r="AC98" s="512">
        <f t="shared" si="37"/>
        <v>0.14271324491729154</v>
      </c>
      <c r="AD98" s="512">
        <f t="shared" si="37"/>
        <v>0.14380321602231447</v>
      </c>
      <c r="AE98" s="512">
        <f t="shared" si="37"/>
        <v>0.1449015117717001</v>
      </c>
      <c r="AF98" s="512">
        <f t="shared" si="37"/>
        <v>0.14600819574484375</v>
      </c>
      <c r="AG98" s="512">
        <f t="shared" si="37"/>
        <v>0.14712333200672781</v>
      </c>
      <c r="AH98" s="512">
        <f t="shared" si="37"/>
        <v>0.14824698511163034</v>
      </c>
      <c r="AI98" s="512">
        <f t="shared" si="37"/>
        <v>0.14937922010686214</v>
      </c>
      <c r="AJ98" s="512">
        <f t="shared" si="37"/>
        <v>0.1505201025365322</v>
      </c>
      <c r="AK98" s="512">
        <f t="shared" si="37"/>
        <v>0.15166969844534214</v>
      </c>
    </row>
    <row r="99" spans="1:37" s="512" customFormat="1">
      <c r="A99" s="530" t="s">
        <v>321</v>
      </c>
      <c r="B99" s="512">
        <f t="shared" ref="B99:AA99" si="38">B81*$J63</f>
        <v>8.4861935155775919E-2</v>
      </c>
      <c r="C99" s="512">
        <f t="shared" si="38"/>
        <v>9.4418878323375574E-2</v>
      </c>
      <c r="D99" s="512">
        <f t="shared" si="38"/>
        <v>0.1023489960530123</v>
      </c>
      <c r="E99" s="512">
        <f t="shared" si="38"/>
        <v>0.1063279305612619</v>
      </c>
      <c r="F99" s="512">
        <f t="shared" si="38"/>
        <v>0.10972933828886074</v>
      </c>
      <c r="G99" s="512">
        <f t="shared" si="38"/>
        <v>0.11064588079010128</v>
      </c>
      <c r="H99" s="512">
        <f t="shared" si="38"/>
        <v>0.11070213339860621</v>
      </c>
      <c r="I99" s="512">
        <f t="shared" si="38"/>
        <v>0.11178218348190108</v>
      </c>
      <c r="J99" s="512">
        <f t="shared" si="38"/>
        <v>0.11437505371658893</v>
      </c>
      <c r="K99" s="512">
        <f t="shared" si="38"/>
        <v>0.1161983882669291</v>
      </c>
      <c r="L99" s="512">
        <f t="shared" si="38"/>
        <v>0.11677966522148017</v>
      </c>
      <c r="M99" s="512">
        <f t="shared" si="38"/>
        <v>0.11711718087250983</v>
      </c>
      <c r="N99" s="512">
        <f t="shared" si="38"/>
        <v>0.11781996346143156</v>
      </c>
      <c r="O99" s="512">
        <f t="shared" si="38"/>
        <v>0.11861350025874129</v>
      </c>
      <c r="P99" s="512">
        <f t="shared" si="38"/>
        <v>0.11877250763211528</v>
      </c>
      <c r="Q99" s="512">
        <f t="shared" si="38"/>
        <v>0.11877250763211528</v>
      </c>
      <c r="R99" s="512">
        <f t="shared" si="38"/>
        <v>0.11940778709083108</v>
      </c>
      <c r="S99" s="512">
        <f t="shared" si="38"/>
        <v>0.12020207392292086</v>
      </c>
      <c r="T99" s="512">
        <f t="shared" si="38"/>
        <v>0.12036108129629483</v>
      </c>
      <c r="U99" s="512">
        <f t="shared" si="38"/>
        <v>0.12036108129629483</v>
      </c>
      <c r="V99" s="512">
        <f t="shared" si="38"/>
        <v>0.12099636075501066</v>
      </c>
      <c r="W99" s="512">
        <f t="shared" si="38"/>
        <v>0.12179064758710044</v>
      </c>
      <c r="X99" s="512">
        <f t="shared" si="38"/>
        <v>0.12194890492569435</v>
      </c>
      <c r="Y99" s="512">
        <f t="shared" si="38"/>
        <v>0.12194890492569435</v>
      </c>
      <c r="Z99" s="512">
        <f t="shared" si="38"/>
        <v>0.12194890492569435</v>
      </c>
      <c r="AA99" s="512">
        <f t="shared" si="38"/>
        <v>0.12194890492569435</v>
      </c>
      <c r="AB99" s="512">
        <f t="shared" ref="AB99:AK99" si="39">AB81*$J63</f>
        <v>0.12220842446357255</v>
      </c>
      <c r="AC99" s="512">
        <f t="shared" si="39"/>
        <v>0.12246849628513533</v>
      </c>
      <c r="AD99" s="512">
        <f t="shared" si="39"/>
        <v>0.12340384830732337</v>
      </c>
      <c r="AE99" s="512">
        <f t="shared" si="39"/>
        <v>0.12434634407204072</v>
      </c>
      <c r="AF99" s="512">
        <f t="shared" si="39"/>
        <v>0.1252960381395557</v>
      </c>
      <c r="AG99" s="512">
        <f t="shared" si="39"/>
        <v>0.12625298548684019</v>
      </c>
      <c r="AH99" s="512">
        <f t="shared" si="39"/>
        <v>0.12721724151075225</v>
      </c>
      <c r="AI99" s="512">
        <f t="shared" si="39"/>
        <v>0.12818886203124288</v>
      </c>
      <c r="AJ99" s="512">
        <f t="shared" si="39"/>
        <v>0.12916790329458744</v>
      </c>
      <c r="AK99" s="512">
        <f t="shared" si="39"/>
        <v>0.13015442197664173</v>
      </c>
    </row>
    <row r="100" spans="1:37" s="512" customFormat="1">
      <c r="A100" s="530" t="s">
        <v>322</v>
      </c>
      <c r="B100" s="512">
        <f t="shared" ref="B100:AA100" si="40">B82*$J64</f>
        <v>1.5095904085116518E-2</v>
      </c>
      <c r="C100" s="512">
        <f t="shared" si="40"/>
        <v>1.6523441105244355E-2</v>
      </c>
      <c r="D100" s="512">
        <f t="shared" si="40"/>
        <v>1.8194390090912695E-2</v>
      </c>
      <c r="E100" s="512">
        <f t="shared" si="40"/>
        <v>1.8903687323831832E-2</v>
      </c>
      <c r="F100" s="512">
        <f t="shared" si="40"/>
        <v>1.9363683592044142E-2</v>
      </c>
      <c r="G100" s="512">
        <f t="shared" si="40"/>
        <v>1.9975703283179165E-2</v>
      </c>
      <c r="H100" s="512">
        <f t="shared" si="40"/>
        <v>2.0621203025130017E-2</v>
      </c>
      <c r="I100" s="512">
        <f t="shared" si="40"/>
        <v>2.1529417563222041E-2</v>
      </c>
      <c r="J100" s="512">
        <f t="shared" si="40"/>
        <v>2.289261181468101E-2</v>
      </c>
      <c r="K100" s="512">
        <f t="shared" si="40"/>
        <v>2.4018610266386121E-2</v>
      </c>
      <c r="L100" s="512">
        <f t="shared" si="40"/>
        <v>2.4907849140497835E-2</v>
      </c>
      <c r="M100" s="512">
        <f t="shared" si="40"/>
        <v>2.5889349001548295E-2</v>
      </c>
      <c r="N100" s="512">
        <f t="shared" si="40"/>
        <v>2.6802143872325216E-2</v>
      </c>
      <c r="O100" s="512">
        <f t="shared" si="40"/>
        <v>2.7651032196593751E-2</v>
      </c>
      <c r="P100" s="512">
        <f t="shared" si="40"/>
        <v>2.8440485251498667E-2</v>
      </c>
      <c r="Q100" s="512">
        <f t="shared" si="40"/>
        <v>2.9174647147564414E-2</v>
      </c>
      <c r="R100" s="512">
        <f t="shared" si="40"/>
        <v>2.9857552939775295E-2</v>
      </c>
      <c r="S100" s="512">
        <f t="shared" si="40"/>
        <v>3.0492583349874945E-2</v>
      </c>
      <c r="T100" s="512">
        <f t="shared" si="40"/>
        <v>3.1083119099606971E-2</v>
      </c>
      <c r="U100" s="512">
        <f t="shared" si="40"/>
        <v>3.1632322799634759E-2</v>
      </c>
      <c r="V100" s="512">
        <f t="shared" si="40"/>
        <v>3.2143138949541461E-2</v>
      </c>
      <c r="W100" s="512">
        <f t="shared" si="40"/>
        <v>3.2618184882289881E-2</v>
      </c>
      <c r="X100" s="512">
        <f t="shared" si="40"/>
        <v>3.3059968875302707E-2</v>
      </c>
      <c r="Y100" s="512">
        <f t="shared" si="40"/>
        <v>3.3470781094922387E-2</v>
      </c>
      <c r="Z100" s="512">
        <f t="shared" si="40"/>
        <v>3.3852911707491364E-2</v>
      </c>
      <c r="AA100" s="512">
        <f t="shared" si="40"/>
        <v>3.4221628488625984E-2</v>
      </c>
      <c r="AB100" s="512">
        <f t="shared" ref="AB100:AK100" si="41">AB82*$J64</f>
        <v>3.4721822769216579E-2</v>
      </c>
      <c r="AC100" s="512">
        <f t="shared" si="41"/>
        <v>3.5229328049586707E-2</v>
      </c>
      <c r="AD100" s="512">
        <f t="shared" si="41"/>
        <v>3.5498391720906616E-2</v>
      </c>
      <c r="AE100" s="512">
        <f t="shared" si="41"/>
        <v>3.5769510363559562E-2</v>
      </c>
      <c r="AF100" s="512">
        <f t="shared" si="41"/>
        <v>3.6042699672370344E-2</v>
      </c>
      <c r="AG100" s="512">
        <f t="shared" si="41"/>
        <v>3.6317975462032824E-2</v>
      </c>
      <c r="AH100" s="512">
        <f t="shared" si="41"/>
        <v>3.6595353668025479E-2</v>
      </c>
      <c r="AI100" s="512">
        <f t="shared" si="41"/>
        <v>3.6874850347533815E-2</v>
      </c>
      <c r="AJ100" s="512">
        <f t="shared" si="41"/>
        <v>3.7156481680379973E-2</v>
      </c>
      <c r="AK100" s="512">
        <f t="shared" si="41"/>
        <v>3.744026396995933E-2</v>
      </c>
    </row>
    <row r="101" spans="1:37" s="512" customFormat="1">
      <c r="A101" s="530" t="s">
        <v>1165</v>
      </c>
      <c r="B101" s="512">
        <f t="shared" ref="B101:AA101" si="42">B83*$J65</f>
        <v>8.4861935155775919E-2</v>
      </c>
      <c r="C101" s="512">
        <f t="shared" si="42"/>
        <v>8.655740614978491E-2</v>
      </c>
      <c r="D101" s="512">
        <f t="shared" si="42"/>
        <v>8.9808121213486344E-2</v>
      </c>
      <c r="E101" s="512">
        <f t="shared" si="42"/>
        <v>9.4512097129195477E-2</v>
      </c>
      <c r="F101" s="512">
        <f t="shared" si="42"/>
        <v>9.817074506363592E-2</v>
      </c>
      <c r="G101" s="512">
        <f t="shared" si="42"/>
        <v>9.9053749756756376E-2</v>
      </c>
      <c r="H101" s="512">
        <f t="shared" si="42"/>
        <v>9.9108140806188252E-2</v>
      </c>
      <c r="I101" s="512">
        <f t="shared" si="42"/>
        <v>9.9108140806188252E-2</v>
      </c>
      <c r="J101" s="512">
        <f t="shared" si="42"/>
        <v>9.9720040112296751E-2</v>
      </c>
      <c r="K101" s="512">
        <f t="shared" si="42"/>
        <v>0.10048491424493237</v>
      </c>
      <c r="L101" s="512">
        <f t="shared" si="42"/>
        <v>0.10063788907145953</v>
      </c>
      <c r="M101" s="512">
        <f t="shared" si="42"/>
        <v>0.10063788907145953</v>
      </c>
      <c r="N101" s="512">
        <f t="shared" si="42"/>
        <v>0.10124978837756801</v>
      </c>
      <c r="O101" s="512">
        <f t="shared" si="42"/>
        <v>0.10201466251020365</v>
      </c>
      <c r="P101" s="512">
        <f t="shared" si="42"/>
        <v>0.10216763733673079</v>
      </c>
      <c r="Q101" s="512">
        <f t="shared" si="42"/>
        <v>0.10216763733673079</v>
      </c>
      <c r="R101" s="512">
        <f t="shared" si="42"/>
        <v>0.10277953664283927</v>
      </c>
      <c r="S101" s="512">
        <f t="shared" si="42"/>
        <v>0.10354441077547491</v>
      </c>
      <c r="T101" s="512">
        <f t="shared" si="42"/>
        <v>0.10369738560200205</v>
      </c>
      <c r="U101" s="512">
        <f t="shared" si="42"/>
        <v>0.10369738560200205</v>
      </c>
      <c r="V101" s="512">
        <f t="shared" si="42"/>
        <v>0.10430928490811053</v>
      </c>
      <c r="W101" s="512">
        <f t="shared" si="42"/>
        <v>0.10507415904074617</v>
      </c>
      <c r="X101" s="512">
        <f t="shared" si="42"/>
        <v>0.10522713386727331</v>
      </c>
      <c r="Y101" s="512">
        <f t="shared" si="42"/>
        <v>0.10522713386727331</v>
      </c>
      <c r="Z101" s="512">
        <f t="shared" si="42"/>
        <v>0.10522713386727331</v>
      </c>
      <c r="AA101" s="512">
        <f t="shared" si="42"/>
        <v>0.10522713386727331</v>
      </c>
      <c r="AB101" s="512">
        <f t="shared" ref="AB101:AK101" si="43">AB83*$J65</f>
        <v>0.10547772231046089</v>
      </c>
      <c r="AC101" s="512">
        <f t="shared" si="43"/>
        <v>0.10572890750626873</v>
      </c>
      <c r="AD101" s="512">
        <f t="shared" si="43"/>
        <v>0.10653641107199778</v>
      </c>
      <c r="AE101" s="512">
        <f t="shared" si="43"/>
        <v>0.10735008193883722</v>
      </c>
      <c r="AF101" s="512">
        <f t="shared" si="43"/>
        <v>0.10816996720949298</v>
      </c>
      <c r="AG101" s="512">
        <f t="shared" si="43"/>
        <v>0.10899611434641748</v>
      </c>
      <c r="AH101" s="512">
        <f t="shared" si="43"/>
        <v>0.10982857117455717</v>
      </c>
      <c r="AI101" s="512">
        <f t="shared" si="43"/>
        <v>0.1106673858841211</v>
      </c>
      <c r="AJ101" s="512">
        <f t="shared" si="43"/>
        <v>0.11151260703337057</v>
      </c>
      <c r="AK101" s="512">
        <f t="shared" si="43"/>
        <v>0.11236428355143022</v>
      </c>
    </row>
    <row r="102" spans="1:37" s="512" customFormat="1">
      <c r="A102" s="531" t="s">
        <v>37</v>
      </c>
      <c r="B102" s="512">
        <f t="shared" ref="B102:AA102" si="44">B84*$J66</f>
        <v>4.67397666833732E-2</v>
      </c>
      <c r="C102" s="512">
        <f t="shared" si="44"/>
        <v>4.6915797133599016E-2</v>
      </c>
      <c r="D102" s="512">
        <f t="shared" si="44"/>
        <v>4.7346489719644093E-2</v>
      </c>
      <c r="E102" s="512">
        <f t="shared" si="44"/>
        <v>4.7297315221402868E-2</v>
      </c>
      <c r="F102" s="512">
        <f t="shared" si="44"/>
        <v>4.7604477666938608E-2</v>
      </c>
      <c r="G102" s="512">
        <f t="shared" si="44"/>
        <v>4.7363118777020354E-2</v>
      </c>
      <c r="H102" s="512">
        <f t="shared" si="44"/>
        <v>4.7427972100787752E-2</v>
      </c>
      <c r="I102" s="512">
        <f t="shared" si="44"/>
        <v>4.7294464525852654E-2</v>
      </c>
      <c r="J102" s="512">
        <f t="shared" si="44"/>
        <v>4.7227235622460069E-2</v>
      </c>
      <c r="K102" s="512">
        <f t="shared" si="44"/>
        <v>4.7019134847294329E-2</v>
      </c>
      <c r="L102" s="512">
        <f t="shared" si="44"/>
        <v>4.7092777815674898E-2</v>
      </c>
      <c r="M102" s="512">
        <f t="shared" si="44"/>
        <v>4.6984213826804185E-2</v>
      </c>
      <c r="N102" s="512">
        <f t="shared" si="44"/>
        <v>4.7047404244833967E-2</v>
      </c>
      <c r="O102" s="512">
        <f t="shared" si="44"/>
        <v>4.685593252704448E-2</v>
      </c>
      <c r="P102" s="512">
        <f t="shared" si="44"/>
        <v>4.7079237011811374E-2</v>
      </c>
      <c r="Q102" s="512">
        <f t="shared" si="44"/>
        <v>4.7159531603142457E-2</v>
      </c>
      <c r="R102" s="512">
        <f t="shared" si="44"/>
        <v>4.7250516302786837E-2</v>
      </c>
      <c r="S102" s="512">
        <f t="shared" si="44"/>
        <v>4.7146941031129E-2</v>
      </c>
      <c r="T102" s="512">
        <f t="shared" si="44"/>
        <v>4.7382360971984311E-2</v>
      </c>
      <c r="U102" s="512">
        <f t="shared" si="44"/>
        <v>4.745244057092711E-2</v>
      </c>
      <c r="V102" s="512">
        <f t="shared" si="44"/>
        <v>4.7524183075607532E-2</v>
      </c>
      <c r="W102" s="512">
        <f t="shared" si="44"/>
        <v>4.7659828672205293E-2</v>
      </c>
      <c r="X102" s="512">
        <f t="shared" si="44"/>
        <v>4.8087670562700163E-2</v>
      </c>
      <c r="Y102" s="512">
        <f t="shared" si="44"/>
        <v>4.8374640581421866E-2</v>
      </c>
      <c r="Z102" s="512">
        <f t="shared" si="44"/>
        <v>4.8662085716068608E-2</v>
      </c>
      <c r="AA102" s="512">
        <f t="shared" si="44"/>
        <v>4.8845005347207454E-2</v>
      </c>
      <c r="AB102" s="512">
        <f t="shared" ref="AB102:AK102" si="45">AB84*$J66</f>
        <v>4.9009834923675367E-2</v>
      </c>
      <c r="AC102" s="512">
        <f t="shared" si="45"/>
        <v>4.9175220724655605E-2</v>
      </c>
      <c r="AD102" s="512">
        <f t="shared" si="45"/>
        <v>4.9550796023949392E-2</v>
      </c>
      <c r="AE102" s="512">
        <f t="shared" si="45"/>
        <v>4.9929239776162371E-2</v>
      </c>
      <c r="AF102" s="512">
        <f t="shared" si="45"/>
        <v>5.0310573889077531E-2</v>
      </c>
      <c r="AG102" s="512">
        <f t="shared" si="45"/>
        <v>5.0694820437798327E-2</v>
      </c>
      <c r="AH102" s="512">
        <f t="shared" si="45"/>
        <v>5.1082001666026645E-2</v>
      </c>
      <c r="AI102" s="512">
        <f t="shared" si="45"/>
        <v>5.1472139987350431E-2</v>
      </c>
      <c r="AJ102" s="512">
        <f t="shared" si="45"/>
        <v>5.1865257986541201E-2</v>
      </c>
      <c r="AK102" s="512">
        <f t="shared" si="45"/>
        <v>5.2261378420861447E-2</v>
      </c>
    </row>
    <row r="103" spans="1:37" s="512" customFormat="1">
      <c r="A103" s="531"/>
    </row>
    <row r="104" spans="1:37" s="512" customFormat="1">
      <c r="A104" s="5" t="s">
        <v>1177</v>
      </c>
    </row>
    <row r="105" spans="1:37" s="512" customFormat="1">
      <c r="A105" s="530" t="s">
        <v>317</v>
      </c>
      <c r="B105" s="512">
        <f>B79*$I61</f>
        <v>1.0836194501253917</v>
      </c>
      <c r="C105" s="512">
        <f t="shared" ref="C105:AA110" si="46">C79*$I61</f>
        <v>1.0541535073354231</v>
      </c>
      <c r="D105" s="512">
        <f t="shared" si="46"/>
        <v>1.0348940655799375</v>
      </c>
      <c r="E105" s="512">
        <f t="shared" si="46"/>
        <v>1.0185686794043889</v>
      </c>
      <c r="F105" s="512">
        <f t="shared" si="46"/>
        <v>1.0077853982131662</v>
      </c>
      <c r="G105" s="512">
        <f t="shared" si="46"/>
        <v>1.0020928288401254</v>
      </c>
      <c r="H105" s="512">
        <f t="shared" si="46"/>
        <v>0.9999863273981191</v>
      </c>
      <c r="I105" s="512">
        <f t="shared" si="46"/>
        <v>1.0019674418495297</v>
      </c>
      <c r="J105" s="512">
        <f t="shared" si="46"/>
        <v>1.0081364817868339</v>
      </c>
      <c r="K105" s="512">
        <f t="shared" si="46"/>
        <v>1.0174903512852664</v>
      </c>
      <c r="L105" s="512">
        <f t="shared" si="46"/>
        <v>1.0297281215673981</v>
      </c>
      <c r="M105" s="512">
        <f t="shared" si="46"/>
        <v>1.0436210001253921</v>
      </c>
      <c r="N105" s="512">
        <f t="shared" si="46"/>
        <v>1.0575891108777431</v>
      </c>
      <c r="O105" s="512">
        <f t="shared" si="46"/>
        <v>1.0698519585579938</v>
      </c>
      <c r="P105" s="512">
        <f t="shared" si="46"/>
        <v>1.0790052088714732</v>
      </c>
      <c r="Q105" s="512">
        <f t="shared" si="46"/>
        <v>1.0848482426332289</v>
      </c>
      <c r="R105" s="512">
        <f t="shared" si="46"/>
        <v>1.0874312146394984</v>
      </c>
      <c r="S105" s="512">
        <f t="shared" si="46"/>
        <v>1.086553505705329</v>
      </c>
      <c r="T105" s="512">
        <f t="shared" si="46"/>
        <v>1.0818389548589342</v>
      </c>
      <c r="U105" s="512">
        <f t="shared" si="46"/>
        <v>1.0760460758934167</v>
      </c>
      <c r="V105" s="512">
        <f t="shared" si="46"/>
        <v>1.0667423611912226</v>
      </c>
      <c r="W105" s="512">
        <f t="shared" si="46"/>
        <v>1.0579401944514106</v>
      </c>
      <c r="X105" s="512">
        <f t="shared" si="46"/>
        <v>1.0482352413793103</v>
      </c>
      <c r="Y105" s="512">
        <f t="shared" si="46"/>
        <v>1.0384550561128527</v>
      </c>
      <c r="Z105" s="512">
        <f t="shared" si="46"/>
        <v>1.0266185242006269</v>
      </c>
      <c r="AA105" s="512">
        <f t="shared" si="46"/>
        <v>1.0136535093730408</v>
      </c>
      <c r="AB105" s="512">
        <f t="shared" ref="AB105:AK105" si="47">AB79*$I61</f>
        <v>1.0067762900280335</v>
      </c>
      <c r="AC105" s="512">
        <f t="shared" si="47"/>
        <v>0.99994572976868212</v>
      </c>
      <c r="AD105" s="512">
        <f t="shared" si="47"/>
        <v>1.0075828061498588</v>
      </c>
      <c r="AE105" s="512">
        <f t="shared" si="47"/>
        <v>1.0152782106321669</v>
      </c>
      <c r="AF105" s="512">
        <f t="shared" si="47"/>
        <v>1.0230323886959465</v>
      </c>
      <c r="AG105" s="512">
        <f t="shared" si="47"/>
        <v>1.0308457892238891</v>
      </c>
      <c r="AH105" s="512">
        <f t="shared" si="47"/>
        <v>1.0387188645270242</v>
      </c>
      <c r="AI105" s="512">
        <f t="shared" si="47"/>
        <v>1.0466520703709026</v>
      </c>
      <c r="AJ105" s="512">
        <f t="shared" si="47"/>
        <v>1.05464586600198</v>
      </c>
      <c r="AK105" s="512">
        <f t="shared" si="47"/>
        <v>1.0627007141742029</v>
      </c>
    </row>
    <row r="106" spans="1:37" s="512" customFormat="1">
      <c r="A106" s="530" t="s">
        <v>318</v>
      </c>
      <c r="B106" s="512">
        <f t="shared" ref="B106:Q110" si="48">B80*$I62</f>
        <v>4.1564984106621052E-2</v>
      </c>
      <c r="C106" s="512">
        <f t="shared" si="48"/>
        <v>4.0358231915045249E-2</v>
      </c>
      <c r="D106" s="512">
        <f t="shared" si="48"/>
        <v>3.9193091868006555E-2</v>
      </c>
      <c r="E106" s="512">
        <f t="shared" si="48"/>
        <v>3.8147239968640861E-2</v>
      </c>
      <c r="F106" s="512">
        <f t="shared" si="48"/>
        <v>3.7253965932577862E-2</v>
      </c>
      <c r="G106" s="512">
        <f t="shared" si="48"/>
        <v>3.6485528330126152E-2</v>
      </c>
      <c r="H106" s="512">
        <f t="shared" si="48"/>
        <v>3.5836378875347449E-2</v>
      </c>
      <c r="I106" s="512">
        <f t="shared" si="48"/>
        <v>3.5314839997149169E-2</v>
      </c>
      <c r="J106" s="512">
        <f t="shared" si="48"/>
        <v>3.4904266837716483E-2</v>
      </c>
      <c r="K106" s="512">
        <f t="shared" si="48"/>
        <v>3.4599111111111108E-2</v>
      </c>
      <c r="L106" s="512">
        <f t="shared" si="48"/>
        <v>3.4393824531394772E-2</v>
      </c>
      <c r="M106" s="512">
        <f t="shared" si="48"/>
        <v>3.425511738293778E-2</v>
      </c>
      <c r="N106" s="512">
        <f t="shared" si="48"/>
        <v>3.4158022379017883E-2</v>
      </c>
      <c r="O106" s="512">
        <f t="shared" si="48"/>
        <v>3.4044282517283156E-2</v>
      </c>
      <c r="P106" s="512">
        <f t="shared" si="48"/>
        <v>3.3875059796165632E-2</v>
      </c>
      <c r="Q106" s="512">
        <f t="shared" si="48"/>
        <v>3.363925764378875E-2</v>
      </c>
      <c r="R106" s="512">
        <f t="shared" si="46"/>
        <v>3.3334101917183376E-2</v>
      </c>
      <c r="S106" s="512">
        <f t="shared" si="46"/>
        <v>3.2956818473380368E-2</v>
      </c>
      <c r="T106" s="512">
        <f t="shared" si="46"/>
        <v>3.2493536597534026E-2</v>
      </c>
      <c r="U106" s="512">
        <f t="shared" si="46"/>
        <v>3.2005287434965432E-2</v>
      </c>
      <c r="V106" s="512">
        <f t="shared" si="46"/>
        <v>3.1408846696600386E-2</v>
      </c>
      <c r="W106" s="512">
        <f t="shared" si="46"/>
        <v>3.0873437103556414E-2</v>
      </c>
      <c r="X106" s="512">
        <f t="shared" si="46"/>
        <v>3.0329705081605013E-2</v>
      </c>
      <c r="Y106" s="512">
        <f t="shared" si="46"/>
        <v>2.9802617917468466E-2</v>
      </c>
      <c r="Z106" s="512">
        <f t="shared" si="46"/>
        <v>2.9256111752547925E-2</v>
      </c>
      <c r="AA106" s="512">
        <f t="shared" si="46"/>
        <v>2.8698509015750835E-2</v>
      </c>
      <c r="AB106" s="512">
        <f t="shared" ref="AB106:AK106" si="49">AB80*$I62</f>
        <v>2.8299414403855701E-2</v>
      </c>
      <c r="AC106" s="512">
        <f t="shared" si="49"/>
        <v>2.7905869784441231E-2</v>
      </c>
      <c r="AD106" s="512">
        <f t="shared" si="49"/>
        <v>2.8119000610127388E-2</v>
      </c>
      <c r="AE106" s="512">
        <f t="shared" si="49"/>
        <v>2.8333759220548749E-2</v>
      </c>
      <c r="AF106" s="512">
        <f t="shared" si="49"/>
        <v>2.8550158047896367E-2</v>
      </c>
      <c r="AG106" s="512">
        <f t="shared" si="49"/>
        <v>2.8768209619312035E-2</v>
      </c>
      <c r="AH106" s="512">
        <f t="shared" si="49"/>
        <v>2.8987926557613491E-2</v>
      </c>
      <c r="AI106" s="512">
        <f t="shared" si="49"/>
        <v>2.9209321582025115E-2</v>
      </c>
      <c r="AJ106" s="512">
        <f t="shared" si="49"/>
        <v>2.9432407508914248E-2</v>
      </c>
      <c r="AK106" s="512">
        <f t="shared" si="49"/>
        <v>2.965719725253313E-2</v>
      </c>
    </row>
    <row r="107" spans="1:37" s="512" customFormat="1">
      <c r="A107" s="530" t="s">
        <v>321</v>
      </c>
      <c r="B107" s="512">
        <f t="shared" si="48"/>
        <v>2.178451621105602</v>
      </c>
      <c r="C107" s="512">
        <f t="shared" si="46"/>
        <v>2.4237835039816495</v>
      </c>
      <c r="D107" s="512">
        <f t="shared" si="46"/>
        <v>2.6273539009090126</v>
      </c>
      <c r="E107" s="512">
        <f t="shared" si="46"/>
        <v>2.7294952946193751</v>
      </c>
      <c r="F107" s="512">
        <f t="shared" si="46"/>
        <v>2.816811264548968</v>
      </c>
      <c r="G107" s="512">
        <f t="shared" si="46"/>
        <v>2.8403394046270196</v>
      </c>
      <c r="H107" s="512">
        <f t="shared" si="46"/>
        <v>2.8417834394108605</v>
      </c>
      <c r="I107" s="512">
        <f t="shared" si="46"/>
        <v>2.8695089072606099</v>
      </c>
      <c r="J107" s="512">
        <f t="shared" si="46"/>
        <v>2.9360692838971274</v>
      </c>
      <c r="K107" s="512">
        <f t="shared" si="46"/>
        <v>2.9828752646906973</v>
      </c>
      <c r="L107" s="512">
        <f t="shared" si="46"/>
        <v>2.9977969574570555</v>
      </c>
      <c r="M107" s="512">
        <f t="shared" si="46"/>
        <v>3.0064611661601024</v>
      </c>
      <c r="N107" s="512">
        <f t="shared" si="46"/>
        <v>3.0245019740595569</v>
      </c>
      <c r="O107" s="512">
        <f t="shared" si="46"/>
        <v>3.0448724914102763</v>
      </c>
      <c r="P107" s="512">
        <f t="shared" si="46"/>
        <v>3.0489542963992675</v>
      </c>
      <c r="Q107" s="512">
        <f t="shared" si="46"/>
        <v>3.0489542963992675</v>
      </c>
      <c r="R107" s="512">
        <f t="shared" si="46"/>
        <v>3.0652622625581127</v>
      </c>
      <c r="S107" s="512">
        <f t="shared" si="46"/>
        <v>3.0856520337059492</v>
      </c>
      <c r="T107" s="512">
        <f t="shared" si="46"/>
        <v>3.0897338386949404</v>
      </c>
      <c r="U107" s="512">
        <f t="shared" si="46"/>
        <v>3.0897338386949404</v>
      </c>
      <c r="V107" s="512">
        <f t="shared" si="46"/>
        <v>3.1060418048537866</v>
      </c>
      <c r="W107" s="512">
        <f t="shared" si="46"/>
        <v>3.126431576001623</v>
      </c>
      <c r="X107" s="512">
        <f t="shared" si="46"/>
        <v>3.1304941271934963</v>
      </c>
      <c r="Y107" s="512">
        <f t="shared" si="46"/>
        <v>3.1304941271934963</v>
      </c>
      <c r="Z107" s="512">
        <f t="shared" si="46"/>
        <v>3.1304941271934963</v>
      </c>
      <c r="AA107" s="512">
        <f t="shared" si="46"/>
        <v>3.1304941271934963</v>
      </c>
      <c r="AB107" s="512">
        <f t="shared" ref="AB107:AK107" si="50">AB81*$I63</f>
        <v>3.1371561336273768</v>
      </c>
      <c r="AC107" s="512">
        <f t="shared" si="50"/>
        <v>3.1438323174811544</v>
      </c>
      <c r="AD107" s="512">
        <f t="shared" si="50"/>
        <v>3.1678433081013853</v>
      </c>
      <c r="AE107" s="512">
        <f t="shared" si="50"/>
        <v>3.1920376824432473</v>
      </c>
      <c r="AF107" s="512">
        <f t="shared" si="50"/>
        <v>3.2164168410982397</v>
      </c>
      <c r="AG107" s="512">
        <f t="shared" si="50"/>
        <v>3.2409821953548681</v>
      </c>
      <c r="AH107" s="512">
        <f t="shared" si="50"/>
        <v>3.2657351672803392</v>
      </c>
      <c r="AI107" s="512">
        <f t="shared" si="50"/>
        <v>3.2906771898028859</v>
      </c>
      <c r="AJ107" s="512">
        <f t="shared" si="50"/>
        <v>3.3158097067947172</v>
      </c>
      <c r="AK107" s="512">
        <f t="shared" si="50"/>
        <v>3.341134173155603</v>
      </c>
    </row>
    <row r="108" spans="1:37" s="512" customFormat="1">
      <c r="A108" s="530" t="s">
        <v>322</v>
      </c>
      <c r="B108" s="512">
        <f t="shared" si="48"/>
        <v>0.12130211970833829</v>
      </c>
      <c r="C108" s="512">
        <f t="shared" si="46"/>
        <v>0.13277299720777591</v>
      </c>
      <c r="D108" s="512">
        <f t="shared" si="46"/>
        <v>0.14619979514867598</v>
      </c>
      <c r="E108" s="512">
        <f t="shared" si="46"/>
        <v>0.15189930525229267</v>
      </c>
      <c r="F108" s="512">
        <f t="shared" si="46"/>
        <v>0.15559557425860493</v>
      </c>
      <c r="G108" s="512">
        <f t="shared" si="46"/>
        <v>0.16051341723238979</v>
      </c>
      <c r="H108" s="512">
        <f t="shared" si="46"/>
        <v>0.16570028689771993</v>
      </c>
      <c r="I108" s="512">
        <f t="shared" si="46"/>
        <v>0.17299818359866082</v>
      </c>
      <c r="J108" s="512">
        <f t="shared" si="46"/>
        <v>0.18395203911760427</v>
      </c>
      <c r="K108" s="512">
        <f t="shared" si="46"/>
        <v>0.19299992377625155</v>
      </c>
      <c r="L108" s="512">
        <f t="shared" si="46"/>
        <v>0.20014534280836874</v>
      </c>
      <c r="M108" s="512">
        <f t="shared" si="46"/>
        <v>0.20803211878200803</v>
      </c>
      <c r="N108" s="512">
        <f t="shared" si="46"/>
        <v>0.21536682043749256</v>
      </c>
      <c r="O108" s="512">
        <f t="shared" si="46"/>
        <v>0.22218800534624902</v>
      </c>
      <c r="P108" s="512">
        <f t="shared" si="46"/>
        <v>0.22853160215437957</v>
      </c>
      <c r="Q108" s="512">
        <f t="shared" si="46"/>
        <v>0.23443091058266177</v>
      </c>
      <c r="R108" s="512">
        <f t="shared" si="46"/>
        <v>0.23991835404343165</v>
      </c>
      <c r="S108" s="512">
        <f t="shared" si="46"/>
        <v>0.2450210980983763</v>
      </c>
      <c r="T108" s="512">
        <f t="shared" si="46"/>
        <v>0.24976630830918259</v>
      </c>
      <c r="U108" s="512">
        <f t="shared" si="46"/>
        <v>0.25417939762065456</v>
      </c>
      <c r="V108" s="512">
        <f t="shared" si="46"/>
        <v>0.25828402636071301</v>
      </c>
      <c r="W108" s="512">
        <f t="shared" si="46"/>
        <v>0.2621012259319544</v>
      </c>
      <c r="X108" s="512">
        <f t="shared" si="46"/>
        <v>0.26565115142853363</v>
      </c>
      <c r="Y108" s="512">
        <f t="shared" si="46"/>
        <v>0.2689522053277224</v>
      </c>
      <c r="Z108" s="512">
        <f t="shared" si="46"/>
        <v>0.2720227901067927</v>
      </c>
      <c r="AA108" s="512">
        <f t="shared" si="46"/>
        <v>0.27498558894755648</v>
      </c>
      <c r="AB108" s="512">
        <f t="shared" ref="AB108:AK108" si="51">AB82*$I64</f>
        <v>0.27900486637271232</v>
      </c>
      <c r="AC108" s="512">
        <f t="shared" si="51"/>
        <v>0.28308289084378496</v>
      </c>
      <c r="AD108" s="512">
        <f t="shared" si="51"/>
        <v>0.2852449338379367</v>
      </c>
      <c r="AE108" s="512">
        <f t="shared" si="51"/>
        <v>0.28742348941571583</v>
      </c>
      <c r="AF108" s="512">
        <f t="shared" si="51"/>
        <v>0.28961868369182919</v>
      </c>
      <c r="AG108" s="512">
        <f t="shared" si="51"/>
        <v>0.29183064374418322</v>
      </c>
      <c r="AH108" s="512">
        <f t="shared" si="51"/>
        <v>0.29405949762124101</v>
      </c>
      <c r="AI108" s="512">
        <f t="shared" si="51"/>
        <v>0.29630537434943444</v>
      </c>
      <c r="AJ108" s="512">
        <f t="shared" si="51"/>
        <v>0.29856840394063366</v>
      </c>
      <c r="AK108" s="512">
        <f t="shared" si="51"/>
        <v>0.30084871739967323</v>
      </c>
    </row>
    <row r="109" spans="1:37" s="512" customFormat="1">
      <c r="A109" s="530" t="s">
        <v>1165</v>
      </c>
      <c r="B109" s="512">
        <f t="shared" si="48"/>
        <v>1.0784516211056023</v>
      </c>
      <c r="C109" s="512">
        <f t="shared" si="46"/>
        <v>1.0999981889356911</v>
      </c>
      <c r="D109" s="512">
        <f t="shared" si="46"/>
        <v>1.1413092776324778</v>
      </c>
      <c r="E109" s="512">
        <f t="shared" si="46"/>
        <v>1.2010888530407688</v>
      </c>
      <c r="F109" s="512">
        <f t="shared" si="46"/>
        <v>1.247584078358329</v>
      </c>
      <c r="G109" s="512">
        <f t="shared" si="46"/>
        <v>1.2588055740853776</v>
      </c>
      <c r="H109" s="512">
        <f t="shared" si="46"/>
        <v>1.2594967923014808</v>
      </c>
      <c r="I109" s="512">
        <f t="shared" si="46"/>
        <v>1.2594967923014808</v>
      </c>
      <c r="J109" s="512">
        <f t="shared" si="46"/>
        <v>1.2672729972326404</v>
      </c>
      <c r="K109" s="512">
        <f t="shared" si="46"/>
        <v>1.2769932533965902</v>
      </c>
      <c r="L109" s="512">
        <f t="shared" si="46"/>
        <v>1.2789373046293804</v>
      </c>
      <c r="M109" s="512">
        <f t="shared" si="46"/>
        <v>1.2789373046293804</v>
      </c>
      <c r="N109" s="512">
        <f t="shared" si="46"/>
        <v>1.28671350956054</v>
      </c>
      <c r="O109" s="512">
        <f t="shared" si="46"/>
        <v>1.2964337657244898</v>
      </c>
      <c r="P109" s="512">
        <f t="shared" si="46"/>
        <v>1.2983778169572799</v>
      </c>
      <c r="Q109" s="512">
        <f t="shared" si="46"/>
        <v>1.2983778169572799</v>
      </c>
      <c r="R109" s="512">
        <f t="shared" si="46"/>
        <v>1.3061540218884395</v>
      </c>
      <c r="S109" s="512">
        <f t="shared" si="46"/>
        <v>1.3158742780523893</v>
      </c>
      <c r="T109" s="512">
        <f t="shared" si="46"/>
        <v>1.3178183292851795</v>
      </c>
      <c r="U109" s="512">
        <f t="shared" si="46"/>
        <v>1.3178183292851795</v>
      </c>
      <c r="V109" s="512">
        <f t="shared" si="46"/>
        <v>1.3255945342163391</v>
      </c>
      <c r="W109" s="512">
        <f t="shared" si="46"/>
        <v>1.3353147903802889</v>
      </c>
      <c r="X109" s="512">
        <f t="shared" si="46"/>
        <v>1.3372588416130791</v>
      </c>
      <c r="Y109" s="512">
        <f t="shared" si="46"/>
        <v>1.3372588416130791</v>
      </c>
      <c r="Z109" s="512">
        <f t="shared" si="46"/>
        <v>1.3372588416130791</v>
      </c>
      <c r="AA109" s="512">
        <f t="shared" si="46"/>
        <v>1.3372588416130791</v>
      </c>
      <c r="AB109" s="512">
        <f t="shared" ref="AB109:AK109" si="52">AB83*$I65</f>
        <v>1.3404433967648075</v>
      </c>
      <c r="AC109" s="512">
        <f t="shared" si="52"/>
        <v>1.3436355356327161</v>
      </c>
      <c r="AD109" s="512">
        <f t="shared" si="52"/>
        <v>1.3538975397681448</v>
      </c>
      <c r="AE109" s="512">
        <f t="shared" si="52"/>
        <v>1.3642379198664611</v>
      </c>
      <c r="AF109" s="512">
        <f t="shared" si="52"/>
        <v>1.3746572745233663</v>
      </c>
      <c r="AG109" s="512">
        <f t="shared" si="52"/>
        <v>1.3851562069063303</v>
      </c>
      <c r="AH109" s="512">
        <f t="shared" si="52"/>
        <v>1.3957353247895097</v>
      </c>
      <c r="AI109" s="512">
        <f t="shared" si="52"/>
        <v>1.40639524058893</v>
      </c>
      <c r="AJ109" s="512">
        <f t="shared" si="52"/>
        <v>1.4171365713979387</v>
      </c>
      <c r="AK109" s="512">
        <f t="shared" si="52"/>
        <v>1.4279599390229283</v>
      </c>
    </row>
    <row r="110" spans="1:37" s="512" customFormat="1">
      <c r="A110" s="531" t="s">
        <v>37</v>
      </c>
      <c r="B110" s="512">
        <f t="shared" si="48"/>
        <v>0.41976064760244997</v>
      </c>
      <c r="C110" s="512">
        <f t="shared" si="46"/>
        <v>0.42134154243842747</v>
      </c>
      <c r="D110" s="512">
        <f t="shared" si="46"/>
        <v>0.42520950780634553</v>
      </c>
      <c r="E110" s="512">
        <f t="shared" si="46"/>
        <v>0.42476788131370397</v>
      </c>
      <c r="F110" s="512">
        <f t="shared" si="46"/>
        <v>0.42752644679672552</v>
      </c>
      <c r="G110" s="512">
        <f t="shared" si="46"/>
        <v>0.42535885009854313</v>
      </c>
      <c r="H110" s="512">
        <f t="shared" si="46"/>
        <v>0.42594128503811374</v>
      </c>
      <c r="I110" s="512">
        <f t="shared" si="46"/>
        <v>0.42474227977789863</v>
      </c>
      <c r="J110" s="512">
        <f t="shared" si="46"/>
        <v>0.42413851022515692</v>
      </c>
      <c r="K110" s="512">
        <f t="shared" si="46"/>
        <v>0.42226959811136977</v>
      </c>
      <c r="L110" s="512">
        <f t="shared" si="46"/>
        <v>0.42293097111967337</v>
      </c>
      <c r="M110" s="512">
        <f t="shared" si="46"/>
        <v>0.42195597929775475</v>
      </c>
      <c r="N110" s="512">
        <f t="shared" si="46"/>
        <v>0.42252348000810569</v>
      </c>
      <c r="O110" s="512">
        <f t="shared" si="46"/>
        <v>0.42080391018651608</v>
      </c>
      <c r="P110" s="512">
        <f t="shared" si="46"/>
        <v>0.42280936382459822</v>
      </c>
      <c r="Q110" s="512">
        <f t="shared" si="46"/>
        <v>0.42353047374978103</v>
      </c>
      <c r="R110" s="512">
        <f t="shared" si="46"/>
        <v>0.42434758943423362</v>
      </c>
      <c r="S110" s="512">
        <f t="shared" si="46"/>
        <v>0.42341740029997421</v>
      </c>
      <c r="T110" s="512">
        <f t="shared" si="46"/>
        <v>0.42553166046522894</v>
      </c>
      <c r="U110" s="512">
        <f t="shared" si="46"/>
        <v>0.42616103155377599</v>
      </c>
      <c r="V110" s="512">
        <f t="shared" si="46"/>
        <v>0.42680533687154276</v>
      </c>
      <c r="W110" s="512">
        <f t="shared" si="46"/>
        <v>0.42802354328361186</v>
      </c>
      <c r="X110" s="512">
        <f t="shared" si="46"/>
        <v>0.43186590711572459</v>
      </c>
      <c r="Y110" s="512">
        <f t="shared" si="46"/>
        <v>0.43444312838679183</v>
      </c>
      <c r="Z110" s="512">
        <f t="shared" si="46"/>
        <v>0.43702461658049335</v>
      </c>
      <c r="AA110" s="512">
        <f t="shared" si="46"/>
        <v>0.43866738179466708</v>
      </c>
      <c r="AB110" s="512">
        <f t="shared" ref="AB110:AK110" si="53">AB84*$I66</f>
        <v>0.44014768378742014</v>
      </c>
      <c r="AC110" s="512">
        <f t="shared" si="53"/>
        <v>0.44163298112307009</v>
      </c>
      <c r="AD110" s="512">
        <f t="shared" si="53"/>
        <v>0.44500594898409979</v>
      </c>
      <c r="AE110" s="512">
        <f t="shared" si="53"/>
        <v>0.44840467785637145</v>
      </c>
      <c r="AF110" s="512">
        <f t="shared" si="53"/>
        <v>0.45182936448937322</v>
      </c>
      <c r="AG110" s="512">
        <f t="shared" si="53"/>
        <v>0.45528020713526574</v>
      </c>
      <c r="AH110" s="512">
        <f t="shared" si="53"/>
        <v>0.45875740556035854</v>
      </c>
      <c r="AI110" s="512">
        <f t="shared" si="53"/>
        <v>0.4622611610566747</v>
      </c>
      <c r="AJ110" s="512">
        <f t="shared" si="53"/>
        <v>0.46579167645360325</v>
      </c>
      <c r="AK110" s="512">
        <f t="shared" si="53"/>
        <v>0.46934915612964068</v>
      </c>
    </row>
    <row r="112" spans="1:37">
      <c r="A112" s="9" t="s">
        <v>40</v>
      </c>
      <c r="B112" s="9">
        <v>2015</v>
      </c>
      <c r="C112" s="9">
        <v>2016</v>
      </c>
      <c r="D112" s="9">
        <v>2017</v>
      </c>
      <c r="E112" s="9">
        <v>2018</v>
      </c>
      <c r="F112" s="9">
        <v>2019</v>
      </c>
      <c r="G112" s="9">
        <v>2020</v>
      </c>
      <c r="H112" s="9">
        <v>2021</v>
      </c>
      <c r="I112" s="9">
        <v>2022</v>
      </c>
      <c r="J112" s="9">
        <v>2023</v>
      </c>
      <c r="K112" s="9">
        <v>2024</v>
      </c>
      <c r="L112" s="9">
        <v>2025</v>
      </c>
      <c r="M112" s="9">
        <v>2026</v>
      </c>
      <c r="N112" s="9">
        <v>2027</v>
      </c>
      <c r="O112" s="9">
        <v>2028</v>
      </c>
      <c r="P112" s="9">
        <v>2029</v>
      </c>
      <c r="Q112" s="9">
        <v>2030</v>
      </c>
      <c r="R112" s="9">
        <v>2031</v>
      </c>
      <c r="S112" s="9">
        <v>2032</v>
      </c>
      <c r="T112" s="9">
        <v>2033</v>
      </c>
      <c r="U112" s="9">
        <v>2034</v>
      </c>
      <c r="V112" s="9">
        <v>2035</v>
      </c>
      <c r="W112" s="9">
        <v>2036</v>
      </c>
      <c r="X112" s="9">
        <v>2037</v>
      </c>
      <c r="Y112" s="9">
        <v>2038</v>
      </c>
      <c r="Z112" s="9">
        <v>2039</v>
      </c>
      <c r="AA112" s="9">
        <v>2040</v>
      </c>
      <c r="AB112" s="9">
        <v>2041</v>
      </c>
      <c r="AC112" s="9">
        <v>2042</v>
      </c>
      <c r="AD112" s="9">
        <v>2043</v>
      </c>
      <c r="AE112" s="9">
        <v>2044</v>
      </c>
      <c r="AF112" s="9">
        <v>2045</v>
      </c>
      <c r="AG112" s="9">
        <v>2046</v>
      </c>
      <c r="AH112" s="9">
        <v>2047</v>
      </c>
      <c r="AI112" s="9">
        <v>2048</v>
      </c>
      <c r="AJ112" s="9">
        <v>2049</v>
      </c>
      <c r="AK112" s="9">
        <v>2050</v>
      </c>
    </row>
    <row r="113" spans="1:37">
      <c r="A113" s="9" t="s">
        <v>51</v>
      </c>
      <c r="B113" s="512">
        <f>SUM(B97:B102)*1000</f>
        <v>686.94280171317155</v>
      </c>
      <c r="C113" s="512">
        <f t="shared" ref="C113:AK113" si="54">SUM(C97:C102)*1000</f>
        <v>687.02464938805861</v>
      </c>
      <c r="D113" s="512">
        <f t="shared" si="54"/>
        <v>690.03285753058321</v>
      </c>
      <c r="E113" s="512">
        <f t="shared" si="54"/>
        <v>690.36913459308801</v>
      </c>
      <c r="F113" s="512">
        <f t="shared" si="54"/>
        <v>691.21175801436311</v>
      </c>
      <c r="G113" s="512">
        <f t="shared" si="54"/>
        <v>688.17652032803971</v>
      </c>
      <c r="H113" s="512">
        <f t="shared" si="54"/>
        <v>685.20568356515378</v>
      </c>
      <c r="I113" s="512">
        <f t="shared" si="54"/>
        <v>684.83716721216229</v>
      </c>
      <c r="J113" s="512">
        <f t="shared" si="54"/>
        <v>688.62054266037774</v>
      </c>
      <c r="K113" s="512">
        <f t="shared" si="54"/>
        <v>692.66205666768747</v>
      </c>
      <c r="L113" s="512">
        <f t="shared" si="54"/>
        <v>696.05155884679641</v>
      </c>
      <c r="M113" s="512">
        <f t="shared" si="54"/>
        <v>699.66574688702838</v>
      </c>
      <c r="N113" s="512">
        <f t="shared" si="54"/>
        <v>704.58981694312615</v>
      </c>
      <c r="O113" s="512">
        <f t="shared" si="54"/>
        <v>708.97181087868137</v>
      </c>
      <c r="P113" s="512">
        <f t="shared" si="54"/>
        <v>711.4821779690219</v>
      </c>
      <c r="Q113" s="512">
        <f t="shared" si="54"/>
        <v>712.40001936294368</v>
      </c>
      <c r="R113" s="512">
        <f t="shared" si="54"/>
        <v>713.43928247431427</v>
      </c>
      <c r="S113" s="512">
        <f t="shared" si="54"/>
        <v>713.40375966930037</v>
      </c>
      <c r="T113" s="512">
        <f t="shared" si="54"/>
        <v>711.1160000921617</v>
      </c>
      <c r="U113" s="512">
        <f t="shared" si="54"/>
        <v>707.94027052415549</v>
      </c>
      <c r="V113" s="512">
        <f t="shared" si="54"/>
        <v>704.63498972538503</v>
      </c>
      <c r="W113" s="512">
        <f t="shared" si="54"/>
        <v>702.09432923033648</v>
      </c>
      <c r="X113" s="512">
        <f t="shared" si="54"/>
        <v>698.31981743259053</v>
      </c>
      <c r="Y113" s="512">
        <f t="shared" si="54"/>
        <v>694.13049526320424</v>
      </c>
      <c r="Z113" s="512">
        <f t="shared" si="54"/>
        <v>689.35287255645471</v>
      </c>
      <c r="AA113" s="512">
        <f t="shared" si="54"/>
        <v>684.14769263612482</v>
      </c>
      <c r="AB113" s="512">
        <f t="shared" si="54"/>
        <v>681.74077880751338</v>
      </c>
      <c r="AC113" s="512">
        <f t="shared" si="54"/>
        <v>679.38171972994371</v>
      </c>
      <c r="AD113" s="512">
        <f t="shared" si="54"/>
        <v>684.57049141133575</v>
      </c>
      <c r="AE113" s="512">
        <f t="shared" si="54"/>
        <v>689.79889228906893</v>
      </c>
      <c r="AF113" s="512">
        <f t="shared" si="54"/>
        <v>695.06722503076821</v>
      </c>
      <c r="AG113" s="512">
        <f t="shared" si="54"/>
        <v>700.37579461567987</v>
      </c>
      <c r="AH113" s="512">
        <f t="shared" si="54"/>
        <v>705.72490835232691</v>
      </c>
      <c r="AI113" s="512">
        <f t="shared" si="54"/>
        <v>711.11487589629803</v>
      </c>
      <c r="AJ113" s="512">
        <f t="shared" si="54"/>
        <v>716.54600926817363</v>
      </c>
      <c r="AK113" s="512">
        <f t="shared" si="54"/>
        <v>722.01862287158815</v>
      </c>
    </row>
    <row r="114" spans="1:37">
      <c r="A114" s="9" t="s">
        <v>52</v>
      </c>
      <c r="B114" s="512">
        <f>SUM(B105:B110)</f>
        <v>4.9231504437540057</v>
      </c>
      <c r="C114" s="512">
        <f t="shared" ref="C114:AK114" si="55">SUM(C105:C110)</f>
        <v>5.172407971814013</v>
      </c>
      <c r="D114" s="512">
        <f t="shared" si="55"/>
        <v>5.4141596389444553</v>
      </c>
      <c r="E114" s="512">
        <f t="shared" si="55"/>
        <v>5.56396725359917</v>
      </c>
      <c r="F114" s="512">
        <f t="shared" si="55"/>
        <v>5.6925567281083707</v>
      </c>
      <c r="G114" s="512">
        <f t="shared" si="55"/>
        <v>5.7235956032135809</v>
      </c>
      <c r="H114" s="512">
        <f t="shared" si="55"/>
        <v>5.7287445099216416</v>
      </c>
      <c r="I114" s="512">
        <f t="shared" si="55"/>
        <v>5.7640284447853292</v>
      </c>
      <c r="J114" s="512">
        <f t="shared" si="55"/>
        <v>5.8544735790970801</v>
      </c>
      <c r="K114" s="512">
        <f t="shared" si="55"/>
        <v>5.9272275023712861</v>
      </c>
      <c r="L114" s="512">
        <f t="shared" si="55"/>
        <v>5.9639325221132706</v>
      </c>
      <c r="M114" s="512">
        <f t="shared" si="55"/>
        <v>5.9932626863775758</v>
      </c>
      <c r="N114" s="512">
        <f t="shared" si="55"/>
        <v>6.0408529173224554</v>
      </c>
      <c r="O114" s="512">
        <f t="shared" si="55"/>
        <v>6.0881944137428077</v>
      </c>
      <c r="P114" s="512">
        <f t="shared" si="55"/>
        <v>6.1115533480031639</v>
      </c>
      <c r="Q114" s="512">
        <f t="shared" si="55"/>
        <v>6.1237809979660076</v>
      </c>
      <c r="R114" s="512">
        <f t="shared" si="55"/>
        <v>6.1564475444808995</v>
      </c>
      <c r="S114" s="512">
        <f t="shared" si="55"/>
        <v>6.1894751343353978</v>
      </c>
      <c r="T114" s="512">
        <f t="shared" si="55"/>
        <v>6.1971826282109994</v>
      </c>
      <c r="U114" s="512">
        <f t="shared" si="55"/>
        <v>6.1959439604829321</v>
      </c>
      <c r="V114" s="512">
        <f t="shared" si="55"/>
        <v>6.2148769101902053</v>
      </c>
      <c r="W114" s="512">
        <f t="shared" si="55"/>
        <v>6.2406847671524446</v>
      </c>
      <c r="X114" s="512">
        <f t="shared" si="55"/>
        <v>6.2438349738117491</v>
      </c>
      <c r="Y114" s="512">
        <f t="shared" si="55"/>
        <v>6.2394059765514109</v>
      </c>
      <c r="Z114" s="512">
        <f t="shared" si="55"/>
        <v>6.2326750114470366</v>
      </c>
      <c r="AA114" s="512">
        <f t="shared" si="55"/>
        <v>6.2237579579375897</v>
      </c>
      <c r="AB114" s="512">
        <f t="shared" si="55"/>
        <v>6.2318277849842065</v>
      </c>
      <c r="AC114" s="512">
        <f t="shared" si="55"/>
        <v>6.2400353246338485</v>
      </c>
      <c r="AD114" s="512">
        <f t="shared" si="55"/>
        <v>6.2876935374515517</v>
      </c>
      <c r="AE114" s="512">
        <f t="shared" si="55"/>
        <v>6.3357157394345114</v>
      </c>
      <c r="AF114" s="512">
        <f t="shared" si="55"/>
        <v>6.3841047105466506</v>
      </c>
      <c r="AG114" s="512">
        <f t="shared" si="55"/>
        <v>6.4328632519838491</v>
      </c>
      <c r="AH114" s="512">
        <f t="shared" si="55"/>
        <v>6.4819941863360864</v>
      </c>
      <c r="AI114" s="512">
        <f t="shared" si="55"/>
        <v>6.5315003577508524</v>
      </c>
      <c r="AJ114" s="512">
        <f t="shared" si="55"/>
        <v>6.5813846320977873</v>
      </c>
      <c r="AK114" s="512">
        <f t="shared" si="55"/>
        <v>6.6316498971345812</v>
      </c>
    </row>
    <row r="115" spans="1:37">
      <c r="A115" s="404" t="s">
        <v>1017</v>
      </c>
      <c r="B115" s="421">
        <f>B114+B113*25/1000</f>
        <v>22.096720486583294</v>
      </c>
      <c r="C115" s="421">
        <f t="shared" ref="C115:AK115" si="56">C114+C113*25/1000</f>
        <v>22.348024206515479</v>
      </c>
      <c r="D115" s="421">
        <f t="shared" si="56"/>
        <v>22.664981077209035</v>
      </c>
      <c r="E115" s="421">
        <f t="shared" si="56"/>
        <v>22.823195618426368</v>
      </c>
      <c r="F115" s="421">
        <f t="shared" si="56"/>
        <v>22.972850678467449</v>
      </c>
      <c r="G115" s="421">
        <f t="shared" si="56"/>
        <v>22.928008611414576</v>
      </c>
      <c r="H115" s="421">
        <f t="shared" si="56"/>
        <v>22.858886599050486</v>
      </c>
      <c r="I115" s="421">
        <f t="shared" si="56"/>
        <v>22.884957625089385</v>
      </c>
      <c r="J115" s="421">
        <f t="shared" si="56"/>
        <v>23.069987145606525</v>
      </c>
      <c r="K115" s="421">
        <f t="shared" si="56"/>
        <v>23.243778919063473</v>
      </c>
      <c r="L115" s="421">
        <f t="shared" si="56"/>
        <v>23.365221493283183</v>
      </c>
      <c r="M115" s="421">
        <f t="shared" si="56"/>
        <v>23.484906358553285</v>
      </c>
      <c r="N115" s="421">
        <f t="shared" si="56"/>
        <v>23.65559834090061</v>
      </c>
      <c r="O115" s="421">
        <f t="shared" si="56"/>
        <v>23.812489685709846</v>
      </c>
      <c r="P115" s="421">
        <f t="shared" si="56"/>
        <v>23.89860779722871</v>
      </c>
      <c r="Q115" s="421">
        <f t="shared" si="56"/>
        <v>23.933781482039603</v>
      </c>
      <c r="R115" s="421">
        <f t="shared" si="56"/>
        <v>23.992429606338753</v>
      </c>
      <c r="S115" s="421">
        <f t="shared" si="56"/>
        <v>24.02456912606791</v>
      </c>
      <c r="T115" s="421">
        <f t="shared" si="56"/>
        <v>23.975082630515043</v>
      </c>
      <c r="U115" s="421">
        <f t="shared" si="56"/>
        <v>23.894450723586818</v>
      </c>
      <c r="V115" s="421">
        <f t="shared" si="56"/>
        <v>23.830751653324832</v>
      </c>
      <c r="W115" s="421">
        <f t="shared" si="56"/>
        <v>23.793042997910856</v>
      </c>
      <c r="X115" s="421">
        <f t="shared" si="56"/>
        <v>23.70183040962651</v>
      </c>
      <c r="Y115" s="421">
        <f t="shared" si="56"/>
        <v>23.592668358131515</v>
      </c>
      <c r="Z115" s="421">
        <f t="shared" si="56"/>
        <v>23.466496825358401</v>
      </c>
      <c r="AA115" s="421">
        <f t="shared" si="56"/>
        <v>23.327450273840711</v>
      </c>
      <c r="AB115" s="421">
        <f t="shared" si="56"/>
        <v>23.275347255172044</v>
      </c>
      <c r="AC115" s="421">
        <f t="shared" si="56"/>
        <v>23.22457831788244</v>
      </c>
      <c r="AD115" s="421">
        <f t="shared" si="56"/>
        <v>23.401955822734948</v>
      </c>
      <c r="AE115" s="421">
        <f t="shared" si="56"/>
        <v>23.580688046661233</v>
      </c>
      <c r="AF115" s="421">
        <f t="shared" si="56"/>
        <v>23.760785336315855</v>
      </c>
      <c r="AG115" s="421">
        <f t="shared" si="56"/>
        <v>23.942258117375847</v>
      </c>
      <c r="AH115" s="421">
        <f t="shared" si="56"/>
        <v>24.125116895144259</v>
      </c>
      <c r="AI115" s="421">
        <f t="shared" si="56"/>
        <v>24.309372255158301</v>
      </c>
      <c r="AJ115" s="421">
        <f t="shared" si="56"/>
        <v>24.495034863802129</v>
      </c>
      <c r="AK115" s="421">
        <f t="shared" si="56"/>
        <v>24.682115468924287</v>
      </c>
    </row>
    <row r="116" spans="1:37">
      <c r="C116" s="422"/>
    </row>
    <row r="117" spans="1:37">
      <c r="A117" s="532" t="s">
        <v>1197</v>
      </c>
      <c r="B117" s="512">
        <f>SUM(B97:B102)*25</f>
        <v>17.17357004282929</v>
      </c>
      <c r="C117" s="512">
        <f t="shared" ref="C117:AK117" si="57">SUM(C97:C102)*25</f>
        <v>17.175616234701465</v>
      </c>
      <c r="D117" s="512">
        <f t="shared" si="57"/>
        <v>17.25082143826458</v>
      </c>
      <c r="E117" s="512">
        <f t="shared" si="57"/>
        <v>17.259228364827202</v>
      </c>
      <c r="F117" s="512">
        <f t="shared" si="57"/>
        <v>17.280293950359077</v>
      </c>
      <c r="G117" s="512">
        <f t="shared" si="57"/>
        <v>17.204413008200991</v>
      </c>
      <c r="H117" s="512">
        <f t="shared" si="57"/>
        <v>17.130142089128846</v>
      </c>
      <c r="I117" s="512">
        <f t="shared" si="57"/>
        <v>17.120929180304056</v>
      </c>
      <c r="J117" s="512">
        <f t="shared" si="57"/>
        <v>17.215513566509443</v>
      </c>
      <c r="K117" s="512">
        <f t="shared" si="57"/>
        <v>17.316551416692185</v>
      </c>
      <c r="L117" s="512">
        <f t="shared" si="57"/>
        <v>17.401288971169908</v>
      </c>
      <c r="M117" s="512">
        <f t="shared" si="57"/>
        <v>17.491643672175712</v>
      </c>
      <c r="N117" s="512">
        <f t="shared" si="57"/>
        <v>17.614745423578153</v>
      </c>
      <c r="O117" s="512">
        <f t="shared" si="57"/>
        <v>17.724295271967033</v>
      </c>
      <c r="P117" s="512">
        <f t="shared" si="57"/>
        <v>17.787054449225547</v>
      </c>
      <c r="Q117" s="512">
        <f t="shared" si="57"/>
        <v>17.810000484073594</v>
      </c>
      <c r="R117" s="512">
        <f t="shared" si="57"/>
        <v>17.835982061857859</v>
      </c>
      <c r="S117" s="512">
        <f t="shared" si="57"/>
        <v>17.83509399173251</v>
      </c>
      <c r="T117" s="512">
        <f t="shared" si="57"/>
        <v>17.777900002304044</v>
      </c>
      <c r="U117" s="512">
        <f t="shared" si="57"/>
        <v>17.698506763103889</v>
      </c>
      <c r="V117" s="512">
        <f t="shared" si="57"/>
        <v>17.615874743134626</v>
      </c>
      <c r="W117" s="512">
        <f t="shared" si="57"/>
        <v>17.552358230758411</v>
      </c>
      <c r="X117" s="512">
        <f t="shared" si="57"/>
        <v>17.457995435814762</v>
      </c>
      <c r="Y117" s="512">
        <f t="shared" si="57"/>
        <v>17.353262381580105</v>
      </c>
      <c r="Z117" s="512">
        <f t="shared" si="57"/>
        <v>17.233821813911369</v>
      </c>
      <c r="AA117" s="512">
        <f t="shared" si="57"/>
        <v>17.103692315903121</v>
      </c>
      <c r="AB117" s="512">
        <f t="shared" si="57"/>
        <v>17.043519470187835</v>
      </c>
      <c r="AC117" s="512">
        <f t="shared" si="57"/>
        <v>16.984542993248592</v>
      </c>
      <c r="AD117" s="512">
        <f t="shared" si="57"/>
        <v>17.114262285283395</v>
      </c>
      <c r="AE117" s="512">
        <f t="shared" si="57"/>
        <v>17.244972307226721</v>
      </c>
      <c r="AF117" s="512">
        <f t="shared" si="57"/>
        <v>17.376680625769207</v>
      </c>
      <c r="AG117" s="512">
        <f t="shared" si="57"/>
        <v>17.509394865391997</v>
      </c>
      <c r="AH117" s="512">
        <f t="shared" si="57"/>
        <v>17.643122708808175</v>
      </c>
      <c r="AI117" s="512">
        <f t="shared" si="57"/>
        <v>17.777871897407451</v>
      </c>
      <c r="AJ117" s="512">
        <f t="shared" si="57"/>
        <v>17.913650231704338</v>
      </c>
      <c r="AK117" s="512">
        <f t="shared" si="57"/>
        <v>18.050465571789704</v>
      </c>
    </row>
    <row r="118" spans="1:37">
      <c r="B118" s="512"/>
    </row>
    <row r="119" spans="1:37">
      <c r="B119" s="512"/>
    </row>
    <row r="120" spans="1:37">
      <c r="B120" s="512"/>
    </row>
    <row r="121" spans="1:37">
      <c r="A121" s="5" t="s">
        <v>1192</v>
      </c>
    </row>
    <row r="122" spans="1:37" ht="48">
      <c r="A122" s="460" t="s">
        <v>1164</v>
      </c>
      <c r="B122" s="460" t="s">
        <v>1158</v>
      </c>
      <c r="C122" s="460" t="s">
        <v>1159</v>
      </c>
      <c r="D122" s="460" t="s">
        <v>1160</v>
      </c>
      <c r="E122" s="460" t="s">
        <v>1161</v>
      </c>
      <c r="F122" s="460" t="s">
        <v>1175</v>
      </c>
      <c r="G122" s="460" t="s">
        <v>1156</v>
      </c>
      <c r="H122" s="460" t="s">
        <v>1157</v>
      </c>
      <c r="I122" s="460" t="s">
        <v>1162</v>
      </c>
      <c r="J122" s="460" t="s">
        <v>1163</v>
      </c>
      <c r="K122" s="460" t="s">
        <v>1181</v>
      </c>
      <c r="L122" s="512"/>
    </row>
    <row r="123" spans="1:37">
      <c r="A123" s="533" t="s">
        <v>1152</v>
      </c>
      <c r="C123" s="534">
        <v>0.31397399999999998</v>
      </c>
      <c r="D123" s="513">
        <f t="shared" ref="D123" si="58">C123*25</f>
        <v>7.8493499999999994</v>
      </c>
      <c r="F123" s="9" t="s">
        <v>316</v>
      </c>
      <c r="G123" s="9">
        <v>2011</v>
      </c>
      <c r="H123" s="508">
        <f>'Crude Oil Production'!H10*365</f>
        <v>293022</v>
      </c>
      <c r="J123" s="522">
        <f>D123/$H123</f>
        <v>2.6787579089624668E-5</v>
      </c>
    </row>
    <row r="124" spans="1:37">
      <c r="A124" s="533" t="s">
        <v>1150</v>
      </c>
      <c r="C124" s="534">
        <v>0.38890999999999998</v>
      </c>
      <c r="D124" s="513">
        <f>C124*25</f>
        <v>9.7227499999999996</v>
      </c>
      <c r="F124" s="9" t="s">
        <v>316</v>
      </c>
      <c r="G124" s="9">
        <v>2011</v>
      </c>
      <c r="H124" s="508">
        <f>'Crude Oil Production'!H11*365</f>
        <v>165381.5</v>
      </c>
      <c r="J124" s="522">
        <f>D124/$H124</f>
        <v>5.8789828366534345E-5</v>
      </c>
    </row>
    <row r="125" spans="1:37">
      <c r="A125" s="533" t="s">
        <v>1151</v>
      </c>
      <c r="C125" s="534">
        <v>1.0348E-2</v>
      </c>
      <c r="D125" s="513">
        <f>C125*25</f>
        <v>0.25869999999999999</v>
      </c>
      <c r="F125" s="9" t="s">
        <v>316</v>
      </c>
      <c r="G125" s="9">
        <v>2011</v>
      </c>
      <c r="H125" s="508">
        <f>'Crude Oil Production'!H15*365</f>
        <v>310958.10000000003</v>
      </c>
      <c r="J125" s="522">
        <f>D125/$H125</f>
        <v>8.3194488260637034E-7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1"/>
  <sheetViews>
    <sheetView workbookViewId="0">
      <selection activeCell="A27" sqref="A27"/>
    </sheetView>
  </sheetViews>
  <sheetFormatPr baseColWidth="10" defaultColWidth="9.1640625" defaultRowHeight="12"/>
  <cols>
    <col min="1" max="1" width="32.33203125" style="113" customWidth="1"/>
    <col min="2" max="2" width="24.5" style="113" customWidth="1"/>
    <col min="3" max="3" width="8.83203125" style="113" customWidth="1"/>
    <col min="4" max="4" width="13.83203125" style="113" customWidth="1"/>
    <col min="5" max="10" width="18" style="113" customWidth="1"/>
    <col min="11" max="11" width="19.5" style="113" customWidth="1"/>
    <col min="12" max="12" width="1.33203125" style="113" customWidth="1"/>
    <col min="13" max="16384" width="9.1640625" style="113"/>
  </cols>
  <sheetData>
    <row r="1" spans="1:12">
      <c r="A1" s="113" t="s">
        <v>1141</v>
      </c>
    </row>
    <row r="2" spans="1:12" ht="13" thickBot="1"/>
    <row r="3" spans="1:12" ht="16">
      <c r="A3" s="574" t="s">
        <v>1140</v>
      </c>
      <c r="B3" s="575"/>
      <c r="C3" s="575"/>
      <c r="D3" s="575"/>
      <c r="E3" s="459"/>
      <c r="F3" s="459"/>
      <c r="G3" s="459"/>
      <c r="H3" s="459"/>
      <c r="I3" s="459"/>
      <c r="J3" s="459"/>
      <c r="K3" s="458" t="s">
        <v>506</v>
      </c>
      <c r="L3" s="101"/>
    </row>
    <row r="4" spans="1:12" ht="16">
      <c r="A4" s="576" t="s">
        <v>1139</v>
      </c>
      <c r="B4" s="577"/>
      <c r="C4" s="454"/>
      <c r="D4" s="454"/>
      <c r="E4" s="454"/>
      <c r="F4" s="454"/>
      <c r="G4" s="454"/>
      <c r="H4" s="454"/>
      <c r="I4" s="454"/>
      <c r="J4" s="454"/>
      <c r="K4" s="100" t="s">
        <v>507</v>
      </c>
      <c r="L4" s="101"/>
    </row>
    <row r="5" spans="1:12" ht="16">
      <c r="A5" s="457" t="s">
        <v>568</v>
      </c>
      <c r="B5" s="456"/>
      <c r="C5" s="454"/>
      <c r="D5" s="454"/>
      <c r="E5" s="454"/>
      <c r="F5" s="454"/>
      <c r="G5" s="454"/>
      <c r="H5" s="454"/>
      <c r="I5" s="454"/>
      <c r="J5" s="100"/>
      <c r="K5" s="100" t="s">
        <v>508</v>
      </c>
      <c r="L5" s="101"/>
    </row>
    <row r="6" spans="1:12">
      <c r="A6" s="455"/>
      <c r="B6" s="454"/>
      <c r="C6" s="454"/>
      <c r="D6" s="454"/>
      <c r="E6" s="454"/>
      <c r="F6" s="454"/>
      <c r="G6" s="454"/>
      <c r="H6" s="454"/>
      <c r="I6" s="454"/>
      <c r="J6" s="454"/>
      <c r="K6" s="454"/>
      <c r="L6" s="101"/>
    </row>
    <row r="7" spans="1:12" ht="13">
      <c r="A7" s="453" t="s">
        <v>530</v>
      </c>
      <c r="B7" s="569" t="s">
        <v>1138</v>
      </c>
      <c r="C7" s="570"/>
      <c r="D7" s="571"/>
      <c r="E7" s="569" t="s">
        <v>1137</v>
      </c>
      <c r="F7" s="570"/>
      <c r="G7" s="571"/>
      <c r="H7" s="569" t="s">
        <v>571</v>
      </c>
      <c r="I7" s="570"/>
      <c r="J7" s="570"/>
      <c r="K7" s="571"/>
      <c r="L7" s="101"/>
    </row>
    <row r="8" spans="1:12" ht="13">
      <c r="A8" s="450" t="s">
        <v>531</v>
      </c>
      <c r="B8" s="452" t="s">
        <v>1136</v>
      </c>
      <c r="C8" s="452" t="s">
        <v>1135</v>
      </c>
      <c r="D8" s="452" t="s">
        <v>378</v>
      </c>
      <c r="E8" s="452" t="s">
        <v>1134</v>
      </c>
      <c r="F8" s="451" t="s">
        <v>513</v>
      </c>
      <c r="G8" s="451" t="s">
        <v>514</v>
      </c>
      <c r="H8" s="572" t="s">
        <v>512</v>
      </c>
      <c r="I8" s="573"/>
      <c r="J8" s="451" t="s">
        <v>1133</v>
      </c>
      <c r="K8" s="451" t="s">
        <v>514</v>
      </c>
      <c r="L8" s="101"/>
    </row>
    <row r="9" spans="1:12" ht="13">
      <c r="A9" s="450"/>
      <c r="B9" s="449"/>
      <c r="C9" s="449"/>
      <c r="D9" s="449"/>
      <c r="E9" s="448"/>
      <c r="F9" s="445"/>
      <c r="G9" s="445"/>
      <c r="H9" s="447" t="s">
        <v>1132</v>
      </c>
      <c r="I9" s="446" t="s">
        <v>1131</v>
      </c>
      <c r="J9" s="445"/>
      <c r="K9" s="445"/>
      <c r="L9" s="101"/>
    </row>
    <row r="10" spans="1:12" ht="14" thickBot="1">
      <c r="A10" s="444"/>
      <c r="B10" s="443"/>
      <c r="C10" s="443"/>
      <c r="D10" s="443"/>
      <c r="E10" s="578" t="s">
        <v>1130</v>
      </c>
      <c r="F10" s="579"/>
      <c r="G10" s="580"/>
      <c r="H10" s="581" t="s">
        <v>518</v>
      </c>
      <c r="I10" s="582"/>
      <c r="J10" s="582"/>
      <c r="K10" s="583"/>
      <c r="L10" s="101"/>
    </row>
    <row r="11" spans="1:12" ht="14" thickTop="1">
      <c r="A11" s="442" t="s">
        <v>1129</v>
      </c>
      <c r="B11" s="106" t="s">
        <v>1</v>
      </c>
      <c r="C11" s="106" t="s">
        <v>1</v>
      </c>
      <c r="D11" s="106" t="s">
        <v>1</v>
      </c>
      <c r="E11" s="106" t="s">
        <v>1</v>
      </c>
      <c r="F11" s="106" t="s">
        <v>1</v>
      </c>
      <c r="G11" s="106" t="s">
        <v>1</v>
      </c>
      <c r="H11" s="68">
        <v>210.03836665114827</v>
      </c>
      <c r="I11" s="68" t="s">
        <v>509</v>
      </c>
      <c r="J11" s="68">
        <v>295.11851494805114</v>
      </c>
      <c r="K11" s="68">
        <v>0.113135547877</v>
      </c>
      <c r="L11" s="101"/>
    </row>
    <row r="12" spans="1:12">
      <c r="A12" s="440" t="s">
        <v>1001</v>
      </c>
      <c r="B12" s="412" t="s">
        <v>520</v>
      </c>
      <c r="C12" s="412" t="s">
        <v>520</v>
      </c>
      <c r="D12" s="412" t="s">
        <v>520</v>
      </c>
      <c r="E12" s="68" t="s">
        <v>621</v>
      </c>
      <c r="F12" s="68" t="s">
        <v>510</v>
      </c>
      <c r="G12" s="68" t="s">
        <v>520</v>
      </c>
      <c r="H12" s="412" t="s">
        <v>510</v>
      </c>
      <c r="I12" s="412" t="s">
        <v>509</v>
      </c>
      <c r="J12" s="412" t="s">
        <v>510</v>
      </c>
      <c r="K12" s="412" t="s">
        <v>520</v>
      </c>
      <c r="L12" s="101"/>
    </row>
    <row r="13" spans="1:12" ht="12" customHeight="1">
      <c r="A13" s="441" t="s">
        <v>1124</v>
      </c>
      <c r="B13" s="412" t="s">
        <v>1128</v>
      </c>
      <c r="C13" s="412" t="s">
        <v>1113</v>
      </c>
      <c r="D13" s="412">
        <v>156339.2929</v>
      </c>
      <c r="E13" s="68">
        <v>1338.1298928339309</v>
      </c>
      <c r="F13" s="68">
        <v>1865.227672048582</v>
      </c>
      <c r="G13" s="106" t="s">
        <v>1</v>
      </c>
      <c r="H13" s="412">
        <v>209.20228125400951</v>
      </c>
      <c r="I13" s="412" t="s">
        <v>509</v>
      </c>
      <c r="J13" s="412">
        <v>291.6083753455884</v>
      </c>
      <c r="K13" s="106" t="s">
        <v>1</v>
      </c>
      <c r="L13" s="101"/>
    </row>
    <row r="14" spans="1:12">
      <c r="A14" s="440" t="s">
        <v>1003</v>
      </c>
      <c r="B14" s="412" t="s">
        <v>1114</v>
      </c>
      <c r="C14" s="412" t="s">
        <v>1113</v>
      </c>
      <c r="D14" s="412">
        <v>156339.2929</v>
      </c>
      <c r="E14" s="68">
        <v>0.11730398663847</v>
      </c>
      <c r="F14" s="68">
        <v>8.0957651460059996E-2</v>
      </c>
      <c r="G14" s="106" t="s">
        <v>1</v>
      </c>
      <c r="H14" s="412">
        <v>1.833922232541E-2</v>
      </c>
      <c r="I14" s="412" t="s">
        <v>509</v>
      </c>
      <c r="J14" s="412">
        <v>1.265686198411E-2</v>
      </c>
      <c r="K14" s="106" t="s">
        <v>1</v>
      </c>
      <c r="L14" s="101"/>
    </row>
    <row r="15" spans="1:12">
      <c r="A15" s="441" t="s">
        <v>1004</v>
      </c>
      <c r="B15" s="412" t="s">
        <v>1127</v>
      </c>
      <c r="C15" s="412" t="s">
        <v>1126</v>
      </c>
      <c r="D15" s="412">
        <v>114974.59999999998</v>
      </c>
      <c r="E15" s="68">
        <v>7.1124072170143702</v>
      </c>
      <c r="F15" s="68">
        <v>30.419612161978819</v>
      </c>
      <c r="G15" s="68">
        <v>0.98400470953584995</v>
      </c>
      <c r="H15" s="412">
        <v>0.81774617481334</v>
      </c>
      <c r="I15" s="412" t="s">
        <v>509</v>
      </c>
      <c r="J15" s="412">
        <v>3.4974827404786502</v>
      </c>
      <c r="K15" s="412">
        <v>0.113135547877</v>
      </c>
      <c r="L15" s="101"/>
    </row>
    <row r="16" spans="1:12">
      <c r="A16" s="441" t="s">
        <v>1005</v>
      </c>
      <c r="B16" s="412" t="s">
        <v>520</v>
      </c>
      <c r="C16" s="412" t="s">
        <v>520</v>
      </c>
      <c r="D16" s="412" t="s">
        <v>520</v>
      </c>
      <c r="E16" s="68" t="s">
        <v>621</v>
      </c>
      <c r="F16" s="68" t="s">
        <v>510</v>
      </c>
      <c r="G16" s="106" t="s">
        <v>1</v>
      </c>
      <c r="H16" s="412" t="s">
        <v>510</v>
      </c>
      <c r="I16" s="412" t="s">
        <v>509</v>
      </c>
      <c r="J16" s="412" t="s">
        <v>510</v>
      </c>
      <c r="K16" s="106" t="s">
        <v>1</v>
      </c>
      <c r="L16" s="101"/>
    </row>
    <row r="17" spans="1:12">
      <c r="A17" s="441" t="s">
        <v>1006</v>
      </c>
      <c r="B17" s="412" t="s">
        <v>520</v>
      </c>
      <c r="C17" s="412" t="s">
        <v>520</v>
      </c>
      <c r="D17" s="412" t="s">
        <v>520</v>
      </c>
      <c r="E17" s="68" t="s">
        <v>509</v>
      </c>
      <c r="F17" s="68" t="s">
        <v>509</v>
      </c>
      <c r="G17" s="106" t="s">
        <v>1</v>
      </c>
      <c r="H17" s="412" t="s">
        <v>509</v>
      </c>
      <c r="I17" s="412" t="s">
        <v>509</v>
      </c>
      <c r="J17" s="412" t="s">
        <v>509</v>
      </c>
      <c r="K17" s="106" t="s">
        <v>1</v>
      </c>
      <c r="L17" s="101"/>
    </row>
    <row r="18" spans="1:12">
      <c r="A18" s="435" t="s">
        <v>1125</v>
      </c>
      <c r="B18" s="106" t="s">
        <v>1</v>
      </c>
      <c r="C18" s="106" t="s">
        <v>1</v>
      </c>
      <c r="D18" s="106" t="s">
        <v>1</v>
      </c>
      <c r="E18" s="106" t="s">
        <v>1</v>
      </c>
      <c r="F18" s="106" t="s">
        <v>1</v>
      </c>
      <c r="G18" s="106" t="s">
        <v>1</v>
      </c>
      <c r="H18" s="68">
        <v>108.00091597738206</v>
      </c>
      <c r="I18" s="68" t="s">
        <v>509</v>
      </c>
      <c r="J18" s="68">
        <v>483.54658651406737</v>
      </c>
      <c r="K18" s="106" t="s">
        <v>1</v>
      </c>
      <c r="L18" s="101"/>
    </row>
    <row r="19" spans="1:12">
      <c r="A19" s="440" t="s">
        <v>1001</v>
      </c>
      <c r="B19" s="412" t="s">
        <v>520</v>
      </c>
      <c r="C19" s="412" t="s">
        <v>520</v>
      </c>
      <c r="D19" s="412" t="s">
        <v>520</v>
      </c>
      <c r="E19" s="68" t="s">
        <v>621</v>
      </c>
      <c r="F19" s="68" t="s">
        <v>510</v>
      </c>
      <c r="G19" s="106" t="s">
        <v>1</v>
      </c>
      <c r="H19" s="412" t="s">
        <v>510</v>
      </c>
      <c r="I19" s="412" t="s">
        <v>509</v>
      </c>
      <c r="J19" s="412" t="s">
        <v>510</v>
      </c>
      <c r="K19" s="106" t="s">
        <v>1</v>
      </c>
      <c r="L19" s="101"/>
    </row>
    <row r="20" spans="1:12" ht="12" customHeight="1">
      <c r="A20" s="441" t="s">
        <v>1124</v>
      </c>
      <c r="B20" s="412" t="s">
        <v>1112</v>
      </c>
      <c r="C20" s="412" t="s">
        <v>1107</v>
      </c>
      <c r="D20" s="412">
        <v>191227.3</v>
      </c>
      <c r="E20" s="68">
        <v>13.4793671670342</v>
      </c>
      <c r="F20" s="68">
        <v>489.02626681132557</v>
      </c>
      <c r="G20" s="106" t="s">
        <v>1</v>
      </c>
      <c r="H20" s="412">
        <v>2.5776229890605999</v>
      </c>
      <c r="I20" s="412" t="s">
        <v>509</v>
      </c>
      <c r="J20" s="412">
        <v>93.515172631409399</v>
      </c>
      <c r="K20" s="106" t="s">
        <v>1</v>
      </c>
      <c r="L20" s="101"/>
    </row>
    <row r="21" spans="1:12">
      <c r="A21" s="441" t="s">
        <v>1123</v>
      </c>
      <c r="B21" s="412" t="s">
        <v>1112</v>
      </c>
      <c r="C21" s="412" t="s">
        <v>1107</v>
      </c>
      <c r="D21" s="412">
        <v>191227.3</v>
      </c>
      <c r="E21" s="68">
        <v>40.038459265723411</v>
      </c>
      <c r="F21" s="68">
        <v>57.24136945951723</v>
      </c>
      <c r="G21" s="106" t="s">
        <v>1</v>
      </c>
      <c r="H21" s="412">
        <v>7.6564464615442702</v>
      </c>
      <c r="I21" s="412" t="s">
        <v>509</v>
      </c>
      <c r="J21" s="412">
        <v>10.946112530045941</v>
      </c>
      <c r="K21" s="106" t="s">
        <v>1</v>
      </c>
      <c r="L21" s="101"/>
    </row>
    <row r="22" spans="1:12">
      <c r="A22" s="441" t="s">
        <v>1122</v>
      </c>
      <c r="B22" s="412" t="s">
        <v>1121</v>
      </c>
      <c r="C22" s="412" t="s">
        <v>1118</v>
      </c>
      <c r="D22" s="412">
        <v>82804.63</v>
      </c>
      <c r="E22" s="68">
        <v>465.3968688323647</v>
      </c>
      <c r="F22" s="68">
        <v>554.40823108993379</v>
      </c>
      <c r="G22" s="106" t="s">
        <v>1</v>
      </c>
      <c r="H22" s="412">
        <v>38.537015526822493</v>
      </c>
      <c r="I22" s="412" t="s">
        <v>509</v>
      </c>
      <c r="J22" s="412">
        <v>45.907568444356457</v>
      </c>
      <c r="K22" s="106" t="s">
        <v>1</v>
      </c>
      <c r="L22" s="101"/>
    </row>
    <row r="23" spans="1:12">
      <c r="A23" s="441" t="s">
        <v>1120</v>
      </c>
      <c r="B23" s="412" t="s">
        <v>1119</v>
      </c>
      <c r="C23" s="412" t="s">
        <v>1118</v>
      </c>
      <c r="D23" s="412">
        <v>268896.32999999996</v>
      </c>
      <c r="E23" s="68">
        <v>7.3115245302255696</v>
      </c>
      <c r="F23" s="68">
        <v>142.41060951140298</v>
      </c>
      <c r="G23" s="106" t="s">
        <v>1</v>
      </c>
      <c r="H23" s="412">
        <v>1.96604211288263</v>
      </c>
      <c r="I23" s="412" t="s">
        <v>509</v>
      </c>
      <c r="J23" s="412">
        <v>38.293690250679347</v>
      </c>
      <c r="K23" s="106" t="s">
        <v>1</v>
      </c>
      <c r="L23" s="101"/>
    </row>
    <row r="24" spans="1:12">
      <c r="A24" s="440" t="s">
        <v>1117</v>
      </c>
      <c r="B24" s="412" t="s">
        <v>1116</v>
      </c>
      <c r="C24" s="412" t="s">
        <v>1104</v>
      </c>
      <c r="D24" s="412">
        <v>219187</v>
      </c>
      <c r="E24" s="68">
        <v>261.25540696789528</v>
      </c>
      <c r="F24" s="68">
        <v>1345.3537055462971</v>
      </c>
      <c r="G24" s="106" t="s">
        <v>1</v>
      </c>
      <c r="H24" s="412">
        <v>57.263788887072067</v>
      </c>
      <c r="I24" s="412" t="s">
        <v>509</v>
      </c>
      <c r="J24" s="412">
        <v>294.88404265757623</v>
      </c>
      <c r="K24" s="106" t="s">
        <v>1</v>
      </c>
      <c r="L24" s="101"/>
    </row>
    <row r="25" spans="1:12" ht="12" customHeight="1">
      <c r="A25" s="435" t="s">
        <v>1115</v>
      </c>
      <c r="B25" s="106" t="s">
        <v>1</v>
      </c>
      <c r="C25" s="106" t="s">
        <v>1</v>
      </c>
      <c r="D25" s="106" t="s">
        <v>1</v>
      </c>
      <c r="E25" s="106" t="s">
        <v>1</v>
      </c>
      <c r="F25" s="106" t="s">
        <v>1</v>
      </c>
      <c r="G25" s="106" t="s">
        <v>1</v>
      </c>
      <c r="H25" s="68">
        <v>12333.627379268704</v>
      </c>
      <c r="I25" s="68" t="s">
        <v>509</v>
      </c>
      <c r="J25" s="68">
        <v>943.49996603794102</v>
      </c>
      <c r="K25" s="106" t="s">
        <v>1</v>
      </c>
      <c r="L25" s="101"/>
    </row>
    <row r="26" spans="1:12">
      <c r="A26" s="439" t="s">
        <v>333</v>
      </c>
      <c r="B26" s="106" t="s">
        <v>1</v>
      </c>
      <c r="C26" s="106" t="s">
        <v>1</v>
      </c>
      <c r="D26" s="106" t="s">
        <v>1</v>
      </c>
      <c r="E26" s="106" t="s">
        <v>1</v>
      </c>
      <c r="F26" s="106" t="s">
        <v>1</v>
      </c>
      <c r="G26" s="106" t="s">
        <v>1</v>
      </c>
      <c r="H26" s="68">
        <v>7703.8926369876463</v>
      </c>
      <c r="I26" s="68" t="s">
        <v>509</v>
      </c>
      <c r="J26" s="68">
        <v>925.43678450108166</v>
      </c>
      <c r="K26" s="106" t="s">
        <v>1</v>
      </c>
      <c r="L26" s="101"/>
    </row>
    <row r="27" spans="1:12">
      <c r="A27" s="438" t="s">
        <v>1110</v>
      </c>
      <c r="B27" s="412" t="s">
        <v>1114</v>
      </c>
      <c r="C27" s="412" t="s">
        <v>1113</v>
      </c>
      <c r="D27" s="412">
        <v>156339.2929</v>
      </c>
      <c r="E27" s="68">
        <v>21878.600587905956</v>
      </c>
      <c r="F27" s="68">
        <v>3983.7869794165695</v>
      </c>
      <c r="G27" s="106" t="s">
        <v>1</v>
      </c>
      <c r="H27" s="412">
        <v>3420.4849455547414</v>
      </c>
      <c r="I27" s="412" t="s">
        <v>509</v>
      </c>
      <c r="J27" s="412">
        <v>622.82243942621335</v>
      </c>
      <c r="K27" s="106" t="s">
        <v>1</v>
      </c>
      <c r="L27" s="101"/>
    </row>
    <row r="28" spans="1:12">
      <c r="A28" s="436" t="s">
        <v>1109</v>
      </c>
      <c r="B28" s="412" t="s">
        <v>1112</v>
      </c>
      <c r="C28" s="412" t="s">
        <v>1107</v>
      </c>
      <c r="D28" s="412">
        <v>191227.3</v>
      </c>
      <c r="E28" s="68">
        <v>22399.513523728692</v>
      </c>
      <c r="F28" s="68">
        <v>1580.5041183004898</v>
      </c>
      <c r="G28" s="106" t="s">
        <v>1</v>
      </c>
      <c r="H28" s="412">
        <v>4283.3984924561237</v>
      </c>
      <c r="I28" s="412" t="s">
        <v>509</v>
      </c>
      <c r="J28" s="412">
        <v>302.23553518148327</v>
      </c>
      <c r="K28" s="106" t="s">
        <v>1</v>
      </c>
      <c r="L28" s="101"/>
    </row>
    <row r="29" spans="1:12">
      <c r="A29" s="436" t="s">
        <v>1106</v>
      </c>
      <c r="B29" s="412" t="s">
        <v>1105</v>
      </c>
      <c r="C29" s="412" t="s">
        <v>1104</v>
      </c>
      <c r="D29" s="412">
        <v>6356</v>
      </c>
      <c r="E29" s="68">
        <v>1.4472902425236001</v>
      </c>
      <c r="F29" s="68">
        <v>59.598787505520768</v>
      </c>
      <c r="G29" s="106" t="s">
        <v>1</v>
      </c>
      <c r="H29" s="412">
        <v>9.1989767814799998E-3</v>
      </c>
      <c r="I29" s="412" t="s">
        <v>509</v>
      </c>
      <c r="J29" s="412">
        <v>0.37880989338509002</v>
      </c>
      <c r="K29" s="106" t="s">
        <v>1</v>
      </c>
      <c r="L29" s="101"/>
    </row>
    <row r="30" spans="1:12" ht="13">
      <c r="A30" s="437" t="s">
        <v>1111</v>
      </c>
      <c r="B30" s="106" t="s">
        <v>1</v>
      </c>
      <c r="C30" s="106" t="s">
        <v>1</v>
      </c>
      <c r="D30" s="106" t="s">
        <v>1</v>
      </c>
      <c r="E30" s="106" t="s">
        <v>1</v>
      </c>
      <c r="F30" s="106" t="s">
        <v>1</v>
      </c>
      <c r="G30" s="106" t="s">
        <v>1</v>
      </c>
      <c r="H30" s="68">
        <v>4629.7347422810581</v>
      </c>
      <c r="I30" s="68" t="s">
        <v>509</v>
      </c>
      <c r="J30" s="68">
        <v>18.06318153685929</v>
      </c>
      <c r="K30" s="68">
        <v>2.3022059637329999E-2</v>
      </c>
      <c r="L30" s="101"/>
    </row>
    <row r="31" spans="1:12">
      <c r="A31" s="436" t="s">
        <v>1110</v>
      </c>
      <c r="B31" s="412" t="s">
        <v>1108</v>
      </c>
      <c r="C31" s="412" t="s">
        <v>1107</v>
      </c>
      <c r="D31" s="412">
        <v>1916.9</v>
      </c>
      <c r="E31" s="68">
        <v>1872897.2135987766</v>
      </c>
      <c r="F31" s="68">
        <v>6162.1862955389743</v>
      </c>
      <c r="G31" s="68">
        <v>10.968351848594081</v>
      </c>
      <c r="H31" s="412">
        <v>3590.1566687474947</v>
      </c>
      <c r="I31" s="412" t="s">
        <v>509</v>
      </c>
      <c r="J31" s="412">
        <v>11.812294909918659</v>
      </c>
      <c r="K31" s="412">
        <v>2.1025233658570001E-2</v>
      </c>
      <c r="L31" s="101"/>
    </row>
    <row r="32" spans="1:12">
      <c r="A32" s="436" t="s">
        <v>1109</v>
      </c>
      <c r="B32" s="412" t="s">
        <v>1108</v>
      </c>
      <c r="C32" s="412" t="s">
        <v>1107</v>
      </c>
      <c r="D32" s="412">
        <v>1765.9</v>
      </c>
      <c r="E32" s="68">
        <v>467275.0346609921</v>
      </c>
      <c r="F32" s="68">
        <v>2820.2139011567701</v>
      </c>
      <c r="G32" s="68">
        <v>0.90266532104309005</v>
      </c>
      <c r="H32" s="412">
        <v>825.16098370784596</v>
      </c>
      <c r="I32" s="412" t="s">
        <v>509</v>
      </c>
      <c r="J32" s="412">
        <v>4.9802157280527402</v>
      </c>
      <c r="K32" s="412">
        <v>1.59401669043E-3</v>
      </c>
      <c r="L32" s="101"/>
    </row>
    <row r="33" spans="1:12">
      <c r="A33" s="436" t="s">
        <v>1106</v>
      </c>
      <c r="B33" s="412" t="s">
        <v>1105</v>
      </c>
      <c r="C33" s="412" t="s">
        <v>1104</v>
      </c>
      <c r="D33" s="412">
        <v>6356</v>
      </c>
      <c r="E33" s="68">
        <v>33734.595630226206</v>
      </c>
      <c r="F33" s="68">
        <v>199.91675564630114</v>
      </c>
      <c r="G33" s="68">
        <v>6.3374652034299997E-2</v>
      </c>
      <c r="H33" s="412">
        <v>214.41708982571777</v>
      </c>
      <c r="I33" s="412" t="s">
        <v>509</v>
      </c>
      <c r="J33" s="412">
        <v>1.2706708988878901</v>
      </c>
      <c r="K33" s="412">
        <v>4.0280928833000002E-4</v>
      </c>
      <c r="L33" s="101"/>
    </row>
    <row r="34" spans="1:12" ht="13">
      <c r="A34" s="435" t="s">
        <v>1103</v>
      </c>
      <c r="B34" s="106" t="s">
        <v>1</v>
      </c>
      <c r="C34" s="106" t="s">
        <v>1</v>
      </c>
      <c r="D34" s="106" t="s">
        <v>1</v>
      </c>
      <c r="E34" s="106" t="s">
        <v>1</v>
      </c>
      <c r="F34" s="106" t="s">
        <v>1</v>
      </c>
      <c r="G34" s="106" t="s">
        <v>1</v>
      </c>
      <c r="H34" s="68" t="s">
        <v>520</v>
      </c>
      <c r="I34" s="68" t="s">
        <v>509</v>
      </c>
      <c r="J34" s="68" t="s">
        <v>520</v>
      </c>
      <c r="K34" s="68" t="s">
        <v>520</v>
      </c>
      <c r="L34" s="101"/>
    </row>
    <row r="35" spans="1:12">
      <c r="A35" s="434" t="s">
        <v>1102</v>
      </c>
      <c r="B35" s="111"/>
      <c r="C35" s="111"/>
      <c r="D35" s="111"/>
      <c r="E35" s="111"/>
      <c r="F35" s="111"/>
      <c r="G35" s="111"/>
      <c r="H35" s="111"/>
      <c r="I35" s="111"/>
      <c r="J35" s="111"/>
      <c r="K35" s="111"/>
      <c r="L35" s="101"/>
    </row>
    <row r="36" spans="1:12" ht="13" customHeight="1">
      <c r="A36" s="584" t="s">
        <v>1101</v>
      </c>
      <c r="B36" s="584"/>
      <c r="C36" s="584"/>
      <c r="D36" s="584"/>
      <c r="E36" s="584"/>
      <c r="F36" s="584"/>
      <c r="G36" s="584"/>
      <c r="H36" s="584"/>
      <c r="I36" s="584"/>
      <c r="J36" s="584"/>
      <c r="K36" s="584"/>
      <c r="L36" s="101"/>
    </row>
    <row r="37" spans="1:12" ht="13" customHeight="1">
      <c r="A37" s="585" t="s">
        <v>1100</v>
      </c>
      <c r="B37" s="585"/>
      <c r="C37" s="585"/>
      <c r="D37" s="586"/>
      <c r="E37" s="586"/>
      <c r="F37" s="586"/>
      <c r="G37" s="586"/>
      <c r="H37" s="101"/>
      <c r="I37" s="101"/>
      <c r="J37" s="101"/>
      <c r="K37" s="101"/>
      <c r="L37" s="101"/>
    </row>
    <row r="38" spans="1:12" ht="13">
      <c r="A38" s="559" t="s">
        <v>1099</v>
      </c>
      <c r="B38" s="559"/>
      <c r="C38" s="101"/>
      <c r="D38" s="101"/>
      <c r="E38" s="101" t="s">
        <v>1098</v>
      </c>
      <c r="F38" s="101"/>
      <c r="G38" s="101"/>
      <c r="H38" s="101"/>
      <c r="I38" s="101"/>
      <c r="J38" s="101"/>
      <c r="K38" s="101"/>
      <c r="L38" s="101"/>
    </row>
    <row r="39" spans="1:12" s="429" customFormat="1" ht="13">
      <c r="A39" s="433" t="s">
        <v>1097</v>
      </c>
      <c r="B39" s="432"/>
      <c r="C39" s="101"/>
      <c r="D39" s="101"/>
      <c r="E39" s="101"/>
      <c r="F39" s="101"/>
      <c r="G39" s="101"/>
      <c r="H39" s="101"/>
      <c r="I39" s="101"/>
      <c r="J39" s="101"/>
      <c r="K39" s="101"/>
      <c r="L39" s="101"/>
    </row>
    <row r="40" spans="1:12" ht="13">
      <c r="A40" s="559" t="s">
        <v>1096</v>
      </c>
      <c r="B40" s="559"/>
      <c r="C40" s="559"/>
      <c r="D40" s="559"/>
      <c r="E40" s="101"/>
      <c r="F40" s="101"/>
      <c r="G40" s="101"/>
      <c r="H40" s="101"/>
      <c r="I40" s="101"/>
      <c r="J40" s="101"/>
      <c r="K40" s="101"/>
      <c r="L40" s="101"/>
    </row>
    <row r="41" spans="1:12" ht="13">
      <c r="A41" s="559" t="s">
        <v>1095</v>
      </c>
      <c r="B41" s="559"/>
      <c r="C41" s="559"/>
      <c r="D41" s="559"/>
      <c r="E41" s="559"/>
      <c r="F41" s="559"/>
      <c r="G41" s="559"/>
      <c r="H41" s="559"/>
      <c r="I41" s="101"/>
      <c r="J41" s="101"/>
      <c r="K41" s="101"/>
      <c r="L41" s="101"/>
    </row>
    <row r="42" spans="1:12" ht="13">
      <c r="A42" s="559" t="s">
        <v>1094</v>
      </c>
      <c r="B42" s="559"/>
      <c r="C42" s="559"/>
      <c r="D42" s="559"/>
      <c r="E42" s="101"/>
      <c r="F42" s="101"/>
      <c r="G42" s="101"/>
      <c r="H42" s="101"/>
      <c r="I42" s="101"/>
      <c r="J42" s="101"/>
      <c r="K42" s="101"/>
      <c r="L42" s="101"/>
    </row>
    <row r="43" spans="1:12" s="429" customFormat="1" ht="13">
      <c r="A43" s="431" t="s">
        <v>1093</v>
      </c>
      <c r="B43" s="430"/>
      <c r="C43" s="430"/>
      <c r="D43" s="430"/>
      <c r="E43" s="101"/>
      <c r="F43" s="101"/>
      <c r="G43" s="101"/>
      <c r="H43" s="101"/>
      <c r="I43" s="101"/>
      <c r="J43" s="101"/>
      <c r="K43" s="101"/>
      <c r="L43" s="101"/>
    </row>
    <row r="44" spans="1:12" ht="12" customHeight="1">
      <c r="A44" s="559" t="s">
        <v>1092</v>
      </c>
      <c r="B44" s="559"/>
      <c r="C44" s="559"/>
      <c r="D44" s="101"/>
      <c r="E44" s="101"/>
      <c r="F44" s="101"/>
      <c r="G44" s="101"/>
      <c r="H44" s="101"/>
      <c r="I44" s="101"/>
      <c r="J44" s="101"/>
      <c r="K44" s="101"/>
      <c r="L44" s="101"/>
    </row>
    <row r="45" spans="1:12">
      <c r="A45" s="101"/>
      <c r="B45" s="101"/>
      <c r="C45" s="101"/>
      <c r="D45" s="101"/>
      <c r="E45" s="101"/>
      <c r="F45" s="101"/>
      <c r="G45" s="101"/>
      <c r="H45" s="101"/>
      <c r="I45" s="101"/>
      <c r="J45" s="101"/>
      <c r="K45" s="101"/>
      <c r="L45" s="101"/>
    </row>
    <row r="46" spans="1:12">
      <c r="A46" s="560" t="s">
        <v>522</v>
      </c>
      <c r="B46" s="561"/>
      <c r="C46" s="561"/>
      <c r="D46" s="561"/>
      <c r="E46" s="561"/>
      <c r="F46" s="561"/>
      <c r="G46" s="561"/>
      <c r="H46" s="561"/>
      <c r="I46" s="561"/>
      <c r="J46" s="561"/>
      <c r="K46" s="562"/>
      <c r="L46" s="101"/>
    </row>
    <row r="47" spans="1:12" ht="12" customHeight="1">
      <c r="A47" s="563" t="s">
        <v>1091</v>
      </c>
      <c r="B47" s="564"/>
      <c r="C47" s="564"/>
      <c r="D47" s="564"/>
      <c r="E47" s="564"/>
      <c r="F47" s="564"/>
      <c r="G47" s="564"/>
      <c r="H47" s="564"/>
      <c r="I47" s="564"/>
      <c r="J47" s="564"/>
      <c r="K47" s="565"/>
      <c r="L47" s="101"/>
    </row>
    <row r="48" spans="1:12" ht="12" customHeight="1">
      <c r="A48" s="563" t="s">
        <v>1090</v>
      </c>
      <c r="B48" s="564"/>
      <c r="C48" s="564"/>
      <c r="D48" s="564"/>
      <c r="E48" s="564"/>
      <c r="F48" s="564"/>
      <c r="G48" s="564"/>
      <c r="H48" s="564"/>
      <c r="I48" s="564"/>
      <c r="J48" s="564"/>
      <c r="K48" s="565"/>
      <c r="L48" s="101"/>
    </row>
    <row r="49" spans="1:12" ht="12" customHeight="1">
      <c r="A49" s="563" t="s">
        <v>1089</v>
      </c>
      <c r="B49" s="564"/>
      <c r="C49" s="564"/>
      <c r="D49" s="564"/>
      <c r="E49" s="564"/>
      <c r="F49" s="564"/>
      <c r="G49" s="564"/>
      <c r="H49" s="564"/>
      <c r="I49" s="564"/>
      <c r="J49" s="564"/>
      <c r="K49" s="565"/>
      <c r="L49" s="101"/>
    </row>
    <row r="50" spans="1:12">
      <c r="A50" s="566" t="s">
        <v>1088</v>
      </c>
      <c r="B50" s="567"/>
      <c r="C50" s="567"/>
      <c r="D50" s="567"/>
      <c r="E50" s="567"/>
      <c r="F50" s="567"/>
      <c r="G50" s="567"/>
      <c r="H50" s="567"/>
      <c r="I50" s="567"/>
      <c r="J50" s="567"/>
      <c r="K50" s="568"/>
      <c r="L50" s="101"/>
    </row>
    <row r="51" spans="1:12">
      <c r="A51" s="428" t="s">
        <v>609</v>
      </c>
      <c r="B51" s="557" t="s">
        <v>1</v>
      </c>
      <c r="C51" s="558"/>
      <c r="D51" s="558"/>
      <c r="E51" s="558"/>
      <c r="F51" s="558"/>
      <c r="G51" s="558"/>
      <c r="H51" s="558"/>
      <c r="I51" s="558"/>
      <c r="J51" s="558"/>
      <c r="K51" s="558"/>
      <c r="L51" s="101"/>
    </row>
  </sheetData>
  <mergeCells count="21">
    <mergeCell ref="H7:K7"/>
    <mergeCell ref="H8:I8"/>
    <mergeCell ref="A40:D40"/>
    <mergeCell ref="A3:D3"/>
    <mergeCell ref="A4:B4"/>
    <mergeCell ref="B7:D7"/>
    <mergeCell ref="E7:G7"/>
    <mergeCell ref="E10:G10"/>
    <mergeCell ref="H10:K10"/>
    <mergeCell ref="A36:K36"/>
    <mergeCell ref="A37:G37"/>
    <mergeCell ref="A38:B38"/>
    <mergeCell ref="B51:K51"/>
    <mergeCell ref="A41:H41"/>
    <mergeCell ref="A42:D42"/>
    <mergeCell ref="A44:C44"/>
    <mergeCell ref="A46:K46"/>
    <mergeCell ref="A47:K47"/>
    <mergeCell ref="A48:K48"/>
    <mergeCell ref="A49:K49"/>
    <mergeCell ref="A50:K50"/>
  </mergeCells>
  <dataValidations count="1">
    <dataValidation allowBlank="1" showInputMessage="1" showErrorMessage="1" sqref="I65503:I65537" xr:uid="{00000000-0002-0000-0900-000000000000}"/>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79998168889431442"/>
  </sheetPr>
  <dimension ref="A1:AK66"/>
  <sheetViews>
    <sheetView workbookViewId="0">
      <selection activeCell="K46" sqref="K46"/>
    </sheetView>
  </sheetViews>
  <sheetFormatPr baseColWidth="10" defaultColWidth="8.83203125" defaultRowHeight="15"/>
  <cols>
    <col min="1" max="16384" width="8.83203125" style="64"/>
  </cols>
  <sheetData>
    <row r="1" spans="1:37" ht="21">
      <c r="A1" s="66" t="s">
        <v>312</v>
      </c>
    </row>
    <row r="2" spans="1:37" ht="21">
      <c r="A2" s="66" t="s">
        <v>314</v>
      </c>
    </row>
    <row r="3" spans="1:37" ht="21">
      <c r="A3" s="66" t="s">
        <v>310</v>
      </c>
    </row>
    <row r="4" spans="1:37" ht="21">
      <c r="A4" s="66" t="s">
        <v>315</v>
      </c>
    </row>
    <row r="7" spans="1:37" ht="19">
      <c r="A7" s="65" t="s">
        <v>316</v>
      </c>
    </row>
    <row r="8" spans="1:37">
      <c r="A8" s="64" t="s">
        <v>306</v>
      </c>
      <c r="B8" s="64" t="s">
        <v>305</v>
      </c>
      <c r="C8" s="64" t="s">
        <v>304</v>
      </c>
      <c r="D8" s="64" t="s">
        <v>303</v>
      </c>
      <c r="E8" s="64" t="s">
        <v>302</v>
      </c>
      <c r="F8" s="64" t="s">
        <v>301</v>
      </c>
      <c r="G8" s="64" t="s">
        <v>300</v>
      </c>
      <c r="H8" s="64" t="s">
        <v>299</v>
      </c>
      <c r="I8" s="64" t="s">
        <v>298</v>
      </c>
      <c r="J8" s="64" t="s">
        <v>297</v>
      </c>
      <c r="K8" s="64" t="s">
        <v>296</v>
      </c>
      <c r="L8" s="64" t="s">
        <v>295</v>
      </c>
      <c r="M8" s="64" t="s">
        <v>294</v>
      </c>
      <c r="N8" s="64" t="s">
        <v>293</v>
      </c>
      <c r="O8" s="64" t="s">
        <v>292</v>
      </c>
      <c r="P8" s="64" t="s">
        <v>291</v>
      </c>
      <c r="Q8" s="64" t="s">
        <v>290</v>
      </c>
      <c r="R8" s="64" t="s">
        <v>289</v>
      </c>
      <c r="S8" s="64" t="s">
        <v>288</v>
      </c>
      <c r="T8" s="64" t="s">
        <v>287</v>
      </c>
      <c r="U8" s="64" t="s">
        <v>286</v>
      </c>
      <c r="V8" s="64" t="s">
        <v>285</v>
      </c>
      <c r="W8" s="64" t="s">
        <v>284</v>
      </c>
      <c r="X8" s="64" t="s">
        <v>283</v>
      </c>
      <c r="Y8" s="64" t="s">
        <v>282</v>
      </c>
      <c r="Z8" s="64" t="s">
        <v>281</v>
      </c>
      <c r="AA8" s="64" t="s">
        <v>280</v>
      </c>
      <c r="AB8" s="64" t="s">
        <v>279</v>
      </c>
      <c r="AC8" s="64" t="s">
        <v>278</v>
      </c>
      <c r="AD8" s="64" t="s">
        <v>277</v>
      </c>
      <c r="AE8" s="64" t="s">
        <v>276</v>
      </c>
      <c r="AF8" s="64" t="s">
        <v>275</v>
      </c>
      <c r="AG8" s="64" t="s">
        <v>274</v>
      </c>
      <c r="AH8" s="64" t="s">
        <v>273</v>
      </c>
      <c r="AI8" s="64" t="s">
        <v>272</v>
      </c>
      <c r="AJ8" s="64" t="s">
        <v>271</v>
      </c>
      <c r="AK8" s="64" t="s">
        <v>270</v>
      </c>
    </row>
    <row r="9" spans="1:37">
      <c r="A9" s="64" t="s">
        <v>40</v>
      </c>
      <c r="B9" s="64">
        <v>2594.33</v>
      </c>
      <c r="C9" s="64">
        <v>2769.83</v>
      </c>
      <c r="D9" s="64">
        <v>2881.46</v>
      </c>
      <c r="E9" s="64">
        <v>2820.25</v>
      </c>
      <c r="F9" s="64">
        <v>2860.22</v>
      </c>
      <c r="G9" s="64">
        <v>2985.17</v>
      </c>
      <c r="H9" s="64">
        <v>3147.12</v>
      </c>
      <c r="I9" s="64">
        <v>3376.8</v>
      </c>
      <c r="J9" s="64">
        <v>3628.69</v>
      </c>
      <c r="K9" s="64">
        <v>3887.44</v>
      </c>
      <c r="L9" s="64">
        <v>4093.06</v>
      </c>
      <c r="M9" s="64">
        <v>4372.55</v>
      </c>
      <c r="N9" s="64">
        <v>4607.18</v>
      </c>
      <c r="O9" s="64">
        <v>4778.3900000000003</v>
      </c>
      <c r="P9" s="64">
        <v>4863.3</v>
      </c>
      <c r="Q9" s="64">
        <v>4882.74</v>
      </c>
      <c r="R9" s="64">
        <v>4931.21</v>
      </c>
      <c r="S9" s="64">
        <v>5035.91</v>
      </c>
      <c r="T9" s="64">
        <v>5164.4799999999996</v>
      </c>
      <c r="U9" s="64">
        <v>5295.2</v>
      </c>
      <c r="V9" s="64">
        <v>5475.82</v>
      </c>
      <c r="W9" s="64">
        <v>5538.84</v>
      </c>
      <c r="X9" s="64">
        <v>5602.98</v>
      </c>
      <c r="Y9" s="64">
        <v>5672.09</v>
      </c>
      <c r="Z9" s="64">
        <v>5732.34</v>
      </c>
      <c r="AA9" s="64">
        <v>5786.41</v>
      </c>
      <c r="AB9" s="64">
        <v>5833.89</v>
      </c>
      <c r="AC9" s="64">
        <v>5873.86</v>
      </c>
      <c r="AD9" s="64">
        <v>5905.49</v>
      </c>
      <c r="AE9" s="64">
        <v>5941.19</v>
      </c>
      <c r="AF9" s="64">
        <v>5968.02</v>
      </c>
      <c r="AG9" s="64">
        <v>6000.2</v>
      </c>
      <c r="AH9" s="64">
        <v>6019.81</v>
      </c>
      <c r="AI9" s="64">
        <v>6032.39</v>
      </c>
      <c r="AJ9" s="64">
        <v>6042.02</v>
      </c>
      <c r="AK9" s="64">
        <v>6056.13</v>
      </c>
    </row>
    <row r="10" spans="1:37">
      <c r="A10" s="64" t="s">
        <v>317</v>
      </c>
      <c r="B10" s="64">
        <v>807.19</v>
      </c>
      <c r="C10" s="64">
        <v>794.96</v>
      </c>
      <c r="D10" s="64">
        <v>855.33</v>
      </c>
      <c r="E10" s="64">
        <v>853.34</v>
      </c>
      <c r="F10" s="64">
        <v>756.67</v>
      </c>
      <c r="G10" s="64">
        <v>769.54</v>
      </c>
      <c r="H10" s="64">
        <v>802.8</v>
      </c>
      <c r="I10" s="64">
        <v>825.05</v>
      </c>
      <c r="J10" s="64">
        <v>897.64</v>
      </c>
      <c r="K10" s="64">
        <v>891.3</v>
      </c>
      <c r="L10" s="64">
        <v>879.56</v>
      </c>
      <c r="M10" s="64">
        <v>910.02</v>
      </c>
      <c r="N10" s="64">
        <v>894.33</v>
      </c>
      <c r="O10" s="64">
        <v>955.55</v>
      </c>
      <c r="P10" s="64">
        <v>960.04</v>
      </c>
      <c r="Q10" s="64">
        <v>916.83</v>
      </c>
      <c r="R10" s="64">
        <v>909.11</v>
      </c>
      <c r="S10" s="64">
        <v>918.13</v>
      </c>
      <c r="T10" s="64">
        <v>888.56</v>
      </c>
      <c r="U10" s="64">
        <v>892.75</v>
      </c>
      <c r="V10" s="64">
        <v>984.85</v>
      </c>
      <c r="W10" s="64">
        <v>954.03</v>
      </c>
      <c r="X10" s="64">
        <v>925.9</v>
      </c>
      <c r="Y10" s="64">
        <v>908.16</v>
      </c>
      <c r="Z10" s="64">
        <v>896.71</v>
      </c>
      <c r="AA10" s="64">
        <v>887.05</v>
      </c>
      <c r="AB10" s="64">
        <v>867.63</v>
      </c>
      <c r="AC10" s="64">
        <v>843.74</v>
      </c>
      <c r="AD10" s="64">
        <v>825.34</v>
      </c>
      <c r="AE10" s="64">
        <v>817.52</v>
      </c>
      <c r="AF10" s="64">
        <v>796.56</v>
      </c>
      <c r="AG10" s="64">
        <v>781.78</v>
      </c>
      <c r="AH10" s="64">
        <v>766.76</v>
      </c>
      <c r="AI10" s="64">
        <v>749.42</v>
      </c>
      <c r="AJ10" s="64">
        <v>731.86</v>
      </c>
      <c r="AK10" s="64">
        <v>720.14</v>
      </c>
    </row>
    <row r="11" spans="1:37">
      <c r="A11" s="64" t="s">
        <v>318</v>
      </c>
      <c r="B11" s="64">
        <v>556.85</v>
      </c>
      <c r="C11" s="64">
        <v>549.35</v>
      </c>
      <c r="D11" s="64">
        <v>533.80999999999995</v>
      </c>
      <c r="E11" s="64">
        <v>496.85</v>
      </c>
      <c r="F11" s="64">
        <v>461.43</v>
      </c>
      <c r="G11" s="64">
        <v>453.82</v>
      </c>
      <c r="H11" s="64">
        <v>453.1</v>
      </c>
      <c r="I11" s="64">
        <v>484.83</v>
      </c>
      <c r="J11" s="64">
        <v>490.5</v>
      </c>
      <c r="K11" s="64">
        <v>502.56</v>
      </c>
      <c r="L11" s="64">
        <v>497</v>
      </c>
      <c r="M11" s="64">
        <v>487.19</v>
      </c>
      <c r="N11" s="64">
        <v>476.8</v>
      </c>
      <c r="O11" s="64">
        <v>467.13</v>
      </c>
      <c r="P11" s="64">
        <v>458.34</v>
      </c>
      <c r="Q11" s="64">
        <v>450.57</v>
      </c>
      <c r="R11" s="64">
        <v>443.8</v>
      </c>
      <c r="S11" s="64">
        <v>438.39</v>
      </c>
      <c r="T11" s="64">
        <v>434.03</v>
      </c>
      <c r="U11" s="64">
        <v>430.76</v>
      </c>
      <c r="V11" s="64">
        <v>428.37</v>
      </c>
      <c r="W11" s="64">
        <v>426.49</v>
      </c>
      <c r="X11" s="64">
        <v>424.79</v>
      </c>
      <c r="Y11" s="64">
        <v>422.66</v>
      </c>
      <c r="Z11" s="64">
        <v>419.36</v>
      </c>
      <c r="AA11" s="64">
        <v>415.05</v>
      </c>
      <c r="AB11" s="64">
        <v>410.13</v>
      </c>
      <c r="AC11" s="64">
        <v>404.41</v>
      </c>
      <c r="AD11" s="64">
        <v>397.97</v>
      </c>
      <c r="AE11" s="64">
        <v>391.27</v>
      </c>
      <c r="AF11" s="64">
        <v>384.17</v>
      </c>
      <c r="AG11" s="64">
        <v>377.45</v>
      </c>
      <c r="AH11" s="64">
        <v>369.93</v>
      </c>
      <c r="AI11" s="64">
        <v>362.76</v>
      </c>
      <c r="AJ11" s="64">
        <v>355.48</v>
      </c>
      <c r="AK11" s="64">
        <v>348.06</v>
      </c>
    </row>
    <row r="12" spans="1:37">
      <c r="A12" s="64" t="s">
        <v>319</v>
      </c>
      <c r="B12" s="64">
        <v>151.88</v>
      </c>
      <c r="C12" s="64">
        <v>156.09</v>
      </c>
      <c r="D12" s="64">
        <v>154.36000000000001</v>
      </c>
      <c r="E12" s="64">
        <v>145.41999999999999</v>
      </c>
      <c r="F12" s="64">
        <v>134.59</v>
      </c>
      <c r="G12" s="64">
        <v>132.12</v>
      </c>
      <c r="H12" s="64">
        <v>129.35</v>
      </c>
      <c r="I12" s="64">
        <v>126.44</v>
      </c>
      <c r="J12" s="64">
        <v>133.04</v>
      </c>
      <c r="K12" s="64">
        <v>156.65</v>
      </c>
      <c r="L12" s="64">
        <v>165.19</v>
      </c>
      <c r="M12" s="64">
        <v>165.82</v>
      </c>
      <c r="N12" s="64">
        <v>167.7</v>
      </c>
      <c r="O12" s="64">
        <v>169.36</v>
      </c>
      <c r="P12" s="64">
        <v>171.57</v>
      </c>
      <c r="Q12" s="64">
        <v>174.21</v>
      </c>
      <c r="R12" s="64">
        <v>177.2</v>
      </c>
      <c r="S12" s="64">
        <v>180.01</v>
      </c>
      <c r="T12" s="64">
        <v>182.28</v>
      </c>
      <c r="U12" s="64">
        <v>183.89</v>
      </c>
      <c r="V12" s="64">
        <v>184.73</v>
      </c>
      <c r="W12" s="64">
        <v>185.16</v>
      </c>
      <c r="X12" s="64">
        <v>185.26</v>
      </c>
      <c r="Y12" s="64">
        <v>185.09</v>
      </c>
      <c r="Z12" s="64">
        <v>185.02</v>
      </c>
      <c r="AA12" s="64">
        <v>185.32</v>
      </c>
      <c r="AB12" s="64">
        <v>185.79</v>
      </c>
      <c r="AC12" s="64">
        <v>186.46</v>
      </c>
      <c r="AD12" s="64">
        <v>186.71</v>
      </c>
      <c r="AE12" s="64">
        <v>186.69</v>
      </c>
      <c r="AF12" s="64">
        <v>186.57</v>
      </c>
      <c r="AG12" s="64">
        <v>186.4</v>
      </c>
      <c r="AH12" s="64">
        <v>186.26</v>
      </c>
      <c r="AI12" s="64">
        <v>186.02</v>
      </c>
      <c r="AJ12" s="64">
        <v>185.87</v>
      </c>
      <c r="AK12" s="64">
        <v>185.77</v>
      </c>
    </row>
    <row r="13" spans="1:37">
      <c r="A13" s="64" t="s">
        <v>320</v>
      </c>
      <c r="B13" s="64">
        <v>13.17</v>
      </c>
      <c r="C13" s="64">
        <v>14.81</v>
      </c>
      <c r="D13" s="64">
        <v>17.27</v>
      </c>
      <c r="E13" s="64">
        <v>19.68</v>
      </c>
      <c r="F13" s="64">
        <v>18.21</v>
      </c>
      <c r="G13" s="64">
        <v>17.04</v>
      </c>
      <c r="H13" s="64">
        <v>17.72</v>
      </c>
      <c r="I13" s="64">
        <v>18.260000000000002</v>
      </c>
      <c r="J13" s="64">
        <v>22.35</v>
      </c>
      <c r="K13" s="64">
        <v>32.799999999999997</v>
      </c>
      <c r="L13" s="64">
        <v>35.64</v>
      </c>
      <c r="M13" s="64">
        <v>35.51</v>
      </c>
      <c r="N13" s="64">
        <v>35.4</v>
      </c>
      <c r="O13" s="64">
        <v>35.32</v>
      </c>
      <c r="P13" s="64">
        <v>34.78</v>
      </c>
      <c r="Q13" s="64">
        <v>34.22</v>
      </c>
      <c r="R13" s="64">
        <v>34.25</v>
      </c>
      <c r="S13" s="64">
        <v>34.86</v>
      </c>
      <c r="T13" s="64">
        <v>35.51</v>
      </c>
      <c r="U13" s="64">
        <v>36.14</v>
      </c>
      <c r="V13" s="64">
        <v>36.93</v>
      </c>
      <c r="W13" s="64">
        <v>37.729999999999997</v>
      </c>
      <c r="X13" s="64">
        <v>38.520000000000003</v>
      </c>
      <c r="Y13" s="64">
        <v>39.24</v>
      </c>
      <c r="Z13" s="64">
        <v>39.81</v>
      </c>
      <c r="AA13" s="64">
        <v>40.22</v>
      </c>
      <c r="AB13" s="64">
        <v>40.479999999999997</v>
      </c>
      <c r="AC13" s="64">
        <v>40.58</v>
      </c>
      <c r="AD13" s="64">
        <v>40.520000000000003</v>
      </c>
      <c r="AE13" s="64">
        <v>40.4</v>
      </c>
      <c r="AF13" s="64">
        <v>40.11</v>
      </c>
      <c r="AG13" s="64">
        <v>39.81</v>
      </c>
      <c r="AH13" s="64">
        <v>39.47</v>
      </c>
      <c r="AI13" s="64">
        <v>39.130000000000003</v>
      </c>
      <c r="AJ13" s="64">
        <v>38.71</v>
      </c>
      <c r="AK13" s="64">
        <v>38.25</v>
      </c>
    </row>
    <row r="14" spans="1:37">
      <c r="A14" s="64" t="s">
        <v>321</v>
      </c>
      <c r="B14" s="64">
        <v>626.67999999999995</v>
      </c>
      <c r="C14" s="64">
        <v>760.7</v>
      </c>
      <c r="D14" s="64">
        <v>784.61</v>
      </c>
      <c r="E14" s="64">
        <v>721.69</v>
      </c>
      <c r="F14" s="64">
        <v>825.51</v>
      </c>
      <c r="G14" s="64">
        <v>856.97</v>
      </c>
      <c r="H14" s="64">
        <v>892.21</v>
      </c>
      <c r="I14" s="64">
        <v>929.96</v>
      </c>
      <c r="J14" s="64">
        <v>976.52</v>
      </c>
      <c r="K14" s="64">
        <v>1038.18</v>
      </c>
      <c r="L14" s="64">
        <v>1131.44</v>
      </c>
      <c r="M14" s="64">
        <v>1258.8599999999999</v>
      </c>
      <c r="N14" s="64">
        <v>1364.59</v>
      </c>
      <c r="O14" s="64">
        <v>1417.64</v>
      </c>
      <c r="P14" s="64">
        <v>1462.99</v>
      </c>
      <c r="Q14" s="64">
        <v>1475.21</v>
      </c>
      <c r="R14" s="64">
        <v>1475.96</v>
      </c>
      <c r="S14" s="64">
        <v>1490.36</v>
      </c>
      <c r="T14" s="64">
        <v>1524.93</v>
      </c>
      <c r="U14" s="64">
        <v>1549.24</v>
      </c>
      <c r="V14" s="64">
        <v>1556.99</v>
      </c>
      <c r="W14" s="64">
        <v>1561.49</v>
      </c>
      <c r="X14" s="64">
        <v>1570.86</v>
      </c>
      <c r="Y14" s="64">
        <v>1581.44</v>
      </c>
      <c r="Z14" s="64">
        <v>1583.56</v>
      </c>
      <c r="AA14" s="64">
        <v>1583.56</v>
      </c>
      <c r="AB14" s="64">
        <v>1592.03</v>
      </c>
      <c r="AC14" s="64">
        <v>1602.62</v>
      </c>
      <c r="AD14" s="64">
        <v>1604.74</v>
      </c>
      <c r="AE14" s="64">
        <v>1604.74</v>
      </c>
      <c r="AF14" s="64">
        <v>1613.21</v>
      </c>
      <c r="AG14" s="64">
        <v>1623.8</v>
      </c>
      <c r="AH14" s="64">
        <v>1625.91</v>
      </c>
      <c r="AI14" s="64">
        <v>1625.91</v>
      </c>
      <c r="AJ14" s="64">
        <v>1625.91</v>
      </c>
      <c r="AK14" s="64">
        <v>1625.91</v>
      </c>
    </row>
    <row r="15" spans="1:37">
      <c r="A15" s="64" t="s">
        <v>322</v>
      </c>
      <c r="B15" s="64">
        <v>438.55</v>
      </c>
      <c r="C15" s="64">
        <v>493.92</v>
      </c>
      <c r="D15" s="64">
        <v>536.08000000000004</v>
      </c>
      <c r="E15" s="64">
        <v>583.27</v>
      </c>
      <c r="F15" s="64">
        <v>663.81</v>
      </c>
      <c r="G15" s="64">
        <v>755.67</v>
      </c>
      <c r="H15" s="64">
        <v>851.94</v>
      </c>
      <c r="I15" s="64">
        <v>992.25</v>
      </c>
      <c r="J15" s="64">
        <v>1108.6500000000001</v>
      </c>
      <c r="K15" s="64">
        <v>1265.95</v>
      </c>
      <c r="L15" s="64">
        <v>1384.24</v>
      </c>
      <c r="M15" s="64">
        <v>1515.14</v>
      </c>
      <c r="N15" s="64">
        <v>1668.36</v>
      </c>
      <c r="O15" s="64">
        <v>1733.4</v>
      </c>
      <c r="P15" s="64">
        <v>1775.58</v>
      </c>
      <c r="Q15" s="64">
        <v>1831.7</v>
      </c>
      <c r="R15" s="64">
        <v>1890.89</v>
      </c>
      <c r="S15" s="64">
        <v>1974.17</v>
      </c>
      <c r="T15" s="64">
        <v>2099.17</v>
      </c>
      <c r="U15" s="64">
        <v>2202.42</v>
      </c>
      <c r="V15" s="64">
        <v>2283.96</v>
      </c>
      <c r="W15" s="64">
        <v>2373.96</v>
      </c>
      <c r="X15" s="64">
        <v>2457.66</v>
      </c>
      <c r="Y15" s="64">
        <v>2535.5</v>
      </c>
      <c r="Z15" s="64">
        <v>2607.89</v>
      </c>
      <c r="AA15" s="64">
        <v>2675.21</v>
      </c>
      <c r="AB15" s="64">
        <v>2737.83</v>
      </c>
      <c r="AC15" s="64">
        <v>2796.06</v>
      </c>
      <c r="AD15" s="64">
        <v>2850.21</v>
      </c>
      <c r="AE15" s="64">
        <v>2900.57</v>
      </c>
      <c r="AF15" s="64">
        <v>2947.41</v>
      </c>
      <c r="AG15" s="64">
        <v>2990.97</v>
      </c>
      <c r="AH15" s="64">
        <v>3031.48</v>
      </c>
      <c r="AI15" s="64">
        <v>3069.15</v>
      </c>
      <c r="AJ15" s="64">
        <v>3104.19</v>
      </c>
      <c r="AK15" s="64">
        <v>3138</v>
      </c>
    </row>
    <row r="16" spans="1:37">
      <c r="A16" s="64" t="s">
        <v>323</v>
      </c>
      <c r="B16" s="64">
        <v>546.77</v>
      </c>
      <c r="C16" s="64">
        <v>658.14</v>
      </c>
      <c r="D16" s="64">
        <v>687.72</v>
      </c>
      <c r="E16" s="64">
        <v>653.74</v>
      </c>
      <c r="F16" s="64">
        <v>765.74</v>
      </c>
      <c r="G16" s="64">
        <v>794.68</v>
      </c>
      <c r="H16" s="64">
        <v>862.63</v>
      </c>
      <c r="I16" s="64">
        <v>913.6</v>
      </c>
      <c r="J16" s="64">
        <v>936.25</v>
      </c>
      <c r="K16" s="64">
        <v>954.5</v>
      </c>
      <c r="L16" s="64">
        <v>998.54</v>
      </c>
      <c r="M16" s="64">
        <v>1018.49</v>
      </c>
      <c r="N16" s="64">
        <v>1056.74</v>
      </c>
      <c r="O16" s="64">
        <v>1112.0899999999999</v>
      </c>
      <c r="P16" s="64">
        <v>1155.1400000000001</v>
      </c>
      <c r="Q16" s="64">
        <v>1165.53</v>
      </c>
      <c r="R16" s="64">
        <v>1166.17</v>
      </c>
      <c r="S16" s="64">
        <v>1166.17</v>
      </c>
      <c r="T16" s="64">
        <v>1173.3699999999999</v>
      </c>
      <c r="U16" s="64">
        <v>1182.3699999999999</v>
      </c>
      <c r="V16" s="64">
        <v>1184.17</v>
      </c>
      <c r="W16" s="64">
        <v>1184.17</v>
      </c>
      <c r="X16" s="64">
        <v>1191.3699999999999</v>
      </c>
      <c r="Y16" s="64">
        <v>1200.3699999999999</v>
      </c>
      <c r="Z16" s="64">
        <v>1202.17</v>
      </c>
      <c r="AA16" s="64">
        <v>1202.17</v>
      </c>
      <c r="AB16" s="64">
        <v>1209.3699999999999</v>
      </c>
      <c r="AC16" s="64">
        <v>1218.3699999999999</v>
      </c>
      <c r="AD16" s="64">
        <v>1220.17</v>
      </c>
      <c r="AE16" s="64">
        <v>1220.17</v>
      </c>
      <c r="AF16" s="64">
        <v>1227.3699999999999</v>
      </c>
      <c r="AG16" s="64">
        <v>1236.3699999999999</v>
      </c>
      <c r="AH16" s="64">
        <v>1238.17</v>
      </c>
      <c r="AI16" s="64">
        <v>1238.17</v>
      </c>
      <c r="AJ16" s="64">
        <v>1238.17</v>
      </c>
      <c r="AK16" s="64">
        <v>1238.17</v>
      </c>
    </row>
    <row r="18" spans="1:37" ht="19">
      <c r="A18" s="65" t="s">
        <v>324</v>
      </c>
    </row>
    <row r="19" spans="1:37">
      <c r="A19" s="64" t="s">
        <v>306</v>
      </c>
      <c r="B19" s="64" t="s">
        <v>305</v>
      </c>
      <c r="C19" s="64" t="s">
        <v>304</v>
      </c>
      <c r="D19" s="64" t="s">
        <v>303</v>
      </c>
      <c r="E19" s="64" t="s">
        <v>302</v>
      </c>
      <c r="F19" s="64" t="s">
        <v>301</v>
      </c>
      <c r="G19" s="64" t="s">
        <v>300</v>
      </c>
      <c r="H19" s="64" t="s">
        <v>299</v>
      </c>
      <c r="I19" s="64" t="s">
        <v>298</v>
      </c>
      <c r="J19" s="64" t="s">
        <v>297</v>
      </c>
      <c r="K19" s="64" t="s">
        <v>296</v>
      </c>
      <c r="L19" s="64" t="s">
        <v>295</v>
      </c>
      <c r="M19" s="64" t="s">
        <v>294</v>
      </c>
      <c r="N19" s="64" t="s">
        <v>293</v>
      </c>
      <c r="O19" s="64" t="s">
        <v>292</v>
      </c>
      <c r="P19" s="64" t="s">
        <v>291</v>
      </c>
      <c r="Q19" s="64" t="s">
        <v>290</v>
      </c>
      <c r="R19" s="64" t="s">
        <v>289</v>
      </c>
      <c r="S19" s="64" t="s">
        <v>288</v>
      </c>
      <c r="T19" s="64" t="s">
        <v>287</v>
      </c>
      <c r="U19" s="64" t="s">
        <v>286</v>
      </c>
      <c r="V19" s="64" t="s">
        <v>285</v>
      </c>
      <c r="W19" s="64" t="s">
        <v>284</v>
      </c>
      <c r="X19" s="64" t="s">
        <v>283</v>
      </c>
      <c r="Y19" s="64" t="s">
        <v>282</v>
      </c>
      <c r="Z19" s="64" t="s">
        <v>281</v>
      </c>
      <c r="AA19" s="64" t="s">
        <v>280</v>
      </c>
      <c r="AB19" s="64" t="s">
        <v>279</v>
      </c>
      <c r="AC19" s="64" t="s">
        <v>278</v>
      </c>
      <c r="AD19" s="64" t="s">
        <v>277</v>
      </c>
      <c r="AE19" s="64" t="s">
        <v>276</v>
      </c>
      <c r="AF19" s="64" t="s">
        <v>275</v>
      </c>
      <c r="AG19" s="64" t="s">
        <v>274</v>
      </c>
      <c r="AH19" s="64" t="s">
        <v>273</v>
      </c>
      <c r="AI19" s="64" t="s">
        <v>272</v>
      </c>
      <c r="AJ19" s="64" t="s">
        <v>271</v>
      </c>
      <c r="AK19" s="64" t="s">
        <v>270</v>
      </c>
    </row>
    <row r="20" spans="1:37">
      <c r="A20" s="64" t="s">
        <v>40</v>
      </c>
      <c r="B20" s="64">
        <v>304.95</v>
      </c>
      <c r="C20" s="64">
        <v>303.76</v>
      </c>
      <c r="D20" s="64">
        <v>368.57</v>
      </c>
      <c r="E20" s="64">
        <v>343.26</v>
      </c>
      <c r="F20" s="64">
        <v>267.73</v>
      </c>
      <c r="G20" s="64">
        <v>275.92</v>
      </c>
      <c r="H20" s="64">
        <v>265.14</v>
      </c>
      <c r="I20" s="64">
        <v>197.75</v>
      </c>
      <c r="J20" s="64">
        <v>232</v>
      </c>
      <c r="K20" s="64">
        <v>216.1</v>
      </c>
      <c r="L20" s="64">
        <v>213.6</v>
      </c>
      <c r="M20" s="64">
        <v>257.3</v>
      </c>
      <c r="N20" s="64">
        <v>248.85</v>
      </c>
      <c r="O20" s="64">
        <v>315.87</v>
      </c>
      <c r="P20" s="64">
        <v>325.58999999999997</v>
      </c>
      <c r="Q20" s="64">
        <v>285.33</v>
      </c>
      <c r="R20" s="64">
        <v>277.76</v>
      </c>
      <c r="S20" s="64">
        <v>283.47000000000003</v>
      </c>
      <c r="T20" s="64">
        <v>248.58</v>
      </c>
      <c r="U20" s="64">
        <v>245.93</v>
      </c>
      <c r="V20" s="64">
        <v>329.3</v>
      </c>
      <c r="W20" s="64">
        <v>289.06</v>
      </c>
      <c r="X20" s="64">
        <v>251.58</v>
      </c>
      <c r="Y20" s="64">
        <v>225.91</v>
      </c>
      <c r="Z20" s="64">
        <v>208.75</v>
      </c>
      <c r="AA20" s="64">
        <v>195.43</v>
      </c>
      <c r="AB20" s="64">
        <v>174.49</v>
      </c>
      <c r="AC20" s="64">
        <v>151.28</v>
      </c>
      <c r="AD20" s="64">
        <v>135.86000000000001</v>
      </c>
      <c r="AE20" s="64">
        <v>132.66</v>
      </c>
      <c r="AF20" s="64">
        <v>119.97</v>
      </c>
      <c r="AG20" s="64">
        <v>112.28</v>
      </c>
      <c r="AH20" s="64">
        <v>104.99</v>
      </c>
      <c r="AI20" s="64">
        <v>95.17</v>
      </c>
      <c r="AJ20" s="64">
        <v>86.59</v>
      </c>
      <c r="AK20" s="64">
        <v>84.34</v>
      </c>
    </row>
    <row r="21" spans="1:37">
      <c r="A21" s="64" t="s">
        <v>317</v>
      </c>
      <c r="B21" s="64">
        <v>304.95</v>
      </c>
      <c r="C21" s="64">
        <v>303.76</v>
      </c>
      <c r="D21" s="64">
        <v>368.57</v>
      </c>
      <c r="E21" s="64">
        <v>343.26</v>
      </c>
      <c r="F21" s="64">
        <v>267.73</v>
      </c>
      <c r="G21" s="64">
        <v>275.92</v>
      </c>
      <c r="H21" s="64">
        <v>265.14</v>
      </c>
      <c r="I21" s="64">
        <v>197.75</v>
      </c>
      <c r="J21" s="64">
        <v>232</v>
      </c>
      <c r="K21" s="64">
        <v>216.1</v>
      </c>
      <c r="L21" s="64">
        <v>213.6</v>
      </c>
      <c r="M21" s="64">
        <v>257.3</v>
      </c>
      <c r="N21" s="64">
        <v>248.85</v>
      </c>
      <c r="O21" s="64">
        <v>315.87</v>
      </c>
      <c r="P21" s="64">
        <v>325.58999999999997</v>
      </c>
      <c r="Q21" s="64">
        <v>285.33</v>
      </c>
      <c r="R21" s="64">
        <v>277.76</v>
      </c>
      <c r="S21" s="64">
        <v>283.47000000000003</v>
      </c>
      <c r="T21" s="64">
        <v>248.58</v>
      </c>
      <c r="U21" s="64">
        <v>245.93</v>
      </c>
      <c r="V21" s="64">
        <v>329.3</v>
      </c>
      <c r="W21" s="64">
        <v>289.06</v>
      </c>
      <c r="X21" s="64">
        <v>251.58</v>
      </c>
      <c r="Y21" s="64">
        <v>225.91</v>
      </c>
      <c r="Z21" s="64">
        <v>208.75</v>
      </c>
      <c r="AA21" s="64">
        <v>195.43</v>
      </c>
      <c r="AB21" s="64">
        <v>174.49</v>
      </c>
      <c r="AC21" s="64">
        <v>151.28</v>
      </c>
      <c r="AD21" s="64">
        <v>135.86000000000001</v>
      </c>
      <c r="AE21" s="64">
        <v>132.66</v>
      </c>
      <c r="AF21" s="64">
        <v>119.97</v>
      </c>
      <c r="AG21" s="64">
        <v>112.28</v>
      </c>
      <c r="AH21" s="64">
        <v>104.99</v>
      </c>
      <c r="AI21" s="64">
        <v>95.17</v>
      </c>
      <c r="AJ21" s="64">
        <v>86.59</v>
      </c>
      <c r="AK21" s="64">
        <v>84.34</v>
      </c>
    </row>
    <row r="23" spans="1:37" ht="19">
      <c r="A23" s="65" t="s">
        <v>325</v>
      </c>
    </row>
    <row r="24" spans="1:37">
      <c r="A24" s="64" t="s">
        <v>306</v>
      </c>
      <c r="B24" s="64" t="s">
        <v>305</v>
      </c>
      <c r="C24" s="64" t="s">
        <v>304</v>
      </c>
      <c r="D24" s="64" t="s">
        <v>303</v>
      </c>
      <c r="E24" s="64" t="s">
        <v>302</v>
      </c>
      <c r="F24" s="64" t="s">
        <v>301</v>
      </c>
      <c r="G24" s="64" t="s">
        <v>300</v>
      </c>
      <c r="H24" s="64" t="s">
        <v>299</v>
      </c>
      <c r="I24" s="64" t="s">
        <v>298</v>
      </c>
      <c r="J24" s="64" t="s">
        <v>297</v>
      </c>
      <c r="K24" s="64" t="s">
        <v>296</v>
      </c>
      <c r="L24" s="64" t="s">
        <v>295</v>
      </c>
      <c r="M24" s="64" t="s">
        <v>294</v>
      </c>
      <c r="N24" s="64" t="s">
        <v>293</v>
      </c>
      <c r="O24" s="64" t="s">
        <v>292</v>
      </c>
      <c r="P24" s="64" t="s">
        <v>291</v>
      </c>
      <c r="Q24" s="64" t="s">
        <v>290</v>
      </c>
      <c r="R24" s="64" t="s">
        <v>289</v>
      </c>
      <c r="S24" s="64" t="s">
        <v>288</v>
      </c>
      <c r="T24" s="64" t="s">
        <v>287</v>
      </c>
      <c r="U24" s="64" t="s">
        <v>286</v>
      </c>
      <c r="V24" s="64" t="s">
        <v>285</v>
      </c>
      <c r="W24" s="64" t="s">
        <v>284</v>
      </c>
      <c r="X24" s="64" t="s">
        <v>283</v>
      </c>
      <c r="Y24" s="64" t="s">
        <v>282</v>
      </c>
      <c r="Z24" s="64" t="s">
        <v>281</v>
      </c>
      <c r="AA24" s="64" t="s">
        <v>280</v>
      </c>
      <c r="AB24" s="64" t="s">
        <v>279</v>
      </c>
      <c r="AC24" s="64" t="s">
        <v>278</v>
      </c>
      <c r="AD24" s="64" t="s">
        <v>277</v>
      </c>
      <c r="AE24" s="64" t="s">
        <v>276</v>
      </c>
      <c r="AF24" s="64" t="s">
        <v>275</v>
      </c>
      <c r="AG24" s="64" t="s">
        <v>274</v>
      </c>
      <c r="AH24" s="64" t="s">
        <v>273</v>
      </c>
      <c r="AI24" s="64" t="s">
        <v>272</v>
      </c>
      <c r="AJ24" s="64" t="s">
        <v>271</v>
      </c>
      <c r="AK24" s="64" t="s">
        <v>270</v>
      </c>
    </row>
    <row r="25" spans="1:37">
      <c r="A25" s="64" t="s">
        <v>40</v>
      </c>
      <c r="B25" s="64">
        <v>12.93</v>
      </c>
      <c r="C25" s="64">
        <v>12.03</v>
      </c>
      <c r="D25" s="64">
        <v>11.86</v>
      </c>
      <c r="E25" s="64">
        <v>11.03</v>
      </c>
      <c r="F25" s="64">
        <v>7.08</v>
      </c>
      <c r="G25" s="64">
        <v>6.71</v>
      </c>
      <c r="H25" s="64">
        <v>5.41</v>
      </c>
      <c r="I25" s="64">
        <v>3.68</v>
      </c>
      <c r="J25" s="64">
        <v>2.06</v>
      </c>
      <c r="K25" s="64">
        <v>2.88</v>
      </c>
      <c r="L25" s="64">
        <v>2.72</v>
      </c>
      <c r="M25" s="64">
        <v>2.56</v>
      </c>
      <c r="N25" s="64">
        <v>2.4300000000000002</v>
      </c>
      <c r="O25" s="64">
        <v>2.29</v>
      </c>
      <c r="P25" s="64">
        <v>2.16</v>
      </c>
      <c r="Q25" s="64">
        <v>2.04</v>
      </c>
      <c r="R25" s="64">
        <v>1.93</v>
      </c>
      <c r="S25" s="64">
        <v>1.82</v>
      </c>
      <c r="T25" s="64">
        <v>1.72</v>
      </c>
      <c r="U25" s="64">
        <v>1.62</v>
      </c>
      <c r="V25" s="64">
        <v>1.53</v>
      </c>
      <c r="W25" s="64">
        <v>1.44</v>
      </c>
      <c r="X25" s="64">
        <v>1.36</v>
      </c>
      <c r="Y25" s="64">
        <v>1.28</v>
      </c>
      <c r="Z25" s="64">
        <v>1.22</v>
      </c>
      <c r="AA25" s="64">
        <v>1.1499999999999999</v>
      </c>
      <c r="AB25" s="64">
        <v>1.08</v>
      </c>
      <c r="AC25" s="64">
        <v>1.02</v>
      </c>
      <c r="AD25" s="64">
        <v>0.96</v>
      </c>
      <c r="AE25" s="64">
        <v>0.91</v>
      </c>
      <c r="AF25" s="64">
        <v>0.86</v>
      </c>
      <c r="AG25" s="64">
        <v>0.81</v>
      </c>
      <c r="AH25" s="64">
        <v>0.77</v>
      </c>
      <c r="AI25" s="64">
        <v>0.72</v>
      </c>
      <c r="AJ25" s="64">
        <v>0.68</v>
      </c>
      <c r="AK25" s="64">
        <v>0.64</v>
      </c>
    </row>
    <row r="26" spans="1:37">
      <c r="A26" s="64" t="s">
        <v>319</v>
      </c>
      <c r="B26" s="64">
        <v>12.93</v>
      </c>
      <c r="C26" s="64">
        <v>12.03</v>
      </c>
      <c r="D26" s="64">
        <v>11.86</v>
      </c>
      <c r="E26" s="64">
        <v>11.03</v>
      </c>
      <c r="F26" s="64">
        <v>7.08</v>
      </c>
      <c r="G26" s="64">
        <v>6.71</v>
      </c>
      <c r="H26" s="64">
        <v>5.41</v>
      </c>
      <c r="I26" s="64">
        <v>3.68</v>
      </c>
      <c r="J26" s="64">
        <v>2.06</v>
      </c>
      <c r="K26" s="64">
        <v>2.88</v>
      </c>
      <c r="L26" s="64">
        <v>2.72</v>
      </c>
      <c r="M26" s="64">
        <v>2.56</v>
      </c>
      <c r="N26" s="64">
        <v>2.4300000000000002</v>
      </c>
      <c r="O26" s="64">
        <v>2.29</v>
      </c>
      <c r="P26" s="64">
        <v>2.16</v>
      </c>
      <c r="Q26" s="64">
        <v>2.04</v>
      </c>
      <c r="R26" s="64">
        <v>1.93</v>
      </c>
      <c r="S26" s="64">
        <v>1.82</v>
      </c>
      <c r="T26" s="64">
        <v>1.72</v>
      </c>
      <c r="U26" s="64">
        <v>1.62</v>
      </c>
      <c r="V26" s="64">
        <v>1.53</v>
      </c>
      <c r="W26" s="64">
        <v>1.44</v>
      </c>
      <c r="X26" s="64">
        <v>1.36</v>
      </c>
      <c r="Y26" s="64">
        <v>1.28</v>
      </c>
      <c r="Z26" s="64">
        <v>1.22</v>
      </c>
      <c r="AA26" s="64">
        <v>1.1499999999999999</v>
      </c>
      <c r="AB26" s="64">
        <v>1.08</v>
      </c>
      <c r="AC26" s="64">
        <v>1.02</v>
      </c>
      <c r="AD26" s="64">
        <v>0.96</v>
      </c>
      <c r="AE26" s="64">
        <v>0.91</v>
      </c>
      <c r="AF26" s="64">
        <v>0.86</v>
      </c>
      <c r="AG26" s="64">
        <v>0.81</v>
      </c>
      <c r="AH26" s="64">
        <v>0.77</v>
      </c>
      <c r="AI26" s="64">
        <v>0.72</v>
      </c>
      <c r="AJ26" s="64">
        <v>0.68</v>
      </c>
      <c r="AK26" s="64">
        <v>0.64</v>
      </c>
    </row>
    <row r="28" spans="1:37" ht="19">
      <c r="A28" s="65" t="s">
        <v>326</v>
      </c>
    </row>
    <row r="29" spans="1:37">
      <c r="A29" s="64" t="s">
        <v>306</v>
      </c>
      <c r="B29" s="64" t="s">
        <v>305</v>
      </c>
      <c r="C29" s="64" t="s">
        <v>304</v>
      </c>
      <c r="D29" s="64" t="s">
        <v>303</v>
      </c>
      <c r="E29" s="64" t="s">
        <v>302</v>
      </c>
      <c r="F29" s="64" t="s">
        <v>301</v>
      </c>
      <c r="G29" s="64" t="s">
        <v>300</v>
      </c>
      <c r="H29" s="64" t="s">
        <v>299</v>
      </c>
      <c r="I29" s="64" t="s">
        <v>298</v>
      </c>
      <c r="J29" s="64" t="s">
        <v>297</v>
      </c>
      <c r="K29" s="64" t="s">
        <v>296</v>
      </c>
      <c r="L29" s="64" t="s">
        <v>295</v>
      </c>
      <c r="M29" s="64" t="s">
        <v>294</v>
      </c>
      <c r="N29" s="64" t="s">
        <v>293</v>
      </c>
      <c r="O29" s="64" t="s">
        <v>292</v>
      </c>
      <c r="P29" s="64" t="s">
        <v>291</v>
      </c>
      <c r="Q29" s="64" t="s">
        <v>290</v>
      </c>
      <c r="R29" s="64" t="s">
        <v>289</v>
      </c>
      <c r="S29" s="64" t="s">
        <v>288</v>
      </c>
      <c r="T29" s="64" t="s">
        <v>287</v>
      </c>
      <c r="U29" s="64" t="s">
        <v>286</v>
      </c>
      <c r="V29" s="64" t="s">
        <v>285</v>
      </c>
      <c r="W29" s="64" t="s">
        <v>284</v>
      </c>
      <c r="X29" s="64" t="s">
        <v>283</v>
      </c>
      <c r="Y29" s="64" t="s">
        <v>282</v>
      </c>
      <c r="Z29" s="64" t="s">
        <v>281</v>
      </c>
      <c r="AA29" s="64" t="s">
        <v>280</v>
      </c>
      <c r="AB29" s="64" t="s">
        <v>279</v>
      </c>
      <c r="AC29" s="64" t="s">
        <v>278</v>
      </c>
      <c r="AD29" s="64" t="s">
        <v>277</v>
      </c>
      <c r="AE29" s="64" t="s">
        <v>276</v>
      </c>
      <c r="AF29" s="64" t="s">
        <v>275</v>
      </c>
      <c r="AG29" s="64" t="s">
        <v>274</v>
      </c>
      <c r="AH29" s="64" t="s">
        <v>273</v>
      </c>
      <c r="AI29" s="64" t="s">
        <v>272</v>
      </c>
      <c r="AJ29" s="64" t="s">
        <v>271</v>
      </c>
      <c r="AK29" s="64" t="s">
        <v>270</v>
      </c>
    </row>
    <row r="30" spans="1:37">
      <c r="A30" s="64" t="s">
        <v>40</v>
      </c>
      <c r="B30" s="64">
        <v>2.42</v>
      </c>
      <c r="C30" s="64">
        <v>2.23</v>
      </c>
      <c r="D30" s="64">
        <v>2.12</v>
      </c>
      <c r="E30" s="64">
        <v>1.7</v>
      </c>
      <c r="F30" s="64">
        <v>1.57</v>
      </c>
      <c r="G30" s="64">
        <v>1.51</v>
      </c>
      <c r="H30" s="64">
        <v>1.4</v>
      </c>
      <c r="I30" s="64">
        <v>1.38</v>
      </c>
      <c r="J30" s="64">
        <v>1.29</v>
      </c>
      <c r="K30" s="64">
        <v>1.2</v>
      </c>
      <c r="L30" s="64">
        <v>1.1100000000000001</v>
      </c>
      <c r="M30" s="64">
        <v>1.04</v>
      </c>
      <c r="N30" s="64">
        <v>0.96</v>
      </c>
      <c r="O30" s="64">
        <v>0.9</v>
      </c>
      <c r="P30" s="64">
        <v>0.83</v>
      </c>
      <c r="Q30" s="64">
        <v>0.77</v>
      </c>
      <c r="R30" s="64">
        <v>0.72</v>
      </c>
      <c r="S30" s="64">
        <v>0.67</v>
      </c>
      <c r="T30" s="64">
        <v>0.62</v>
      </c>
      <c r="U30" s="64">
        <v>0.56999999999999995</v>
      </c>
      <c r="V30" s="64">
        <v>0.53</v>
      </c>
      <c r="W30" s="64">
        <v>0.49</v>
      </c>
      <c r="X30" s="64">
        <v>0.44</v>
      </c>
      <c r="Y30" s="64">
        <v>0.4</v>
      </c>
      <c r="Z30" s="64">
        <v>0.36</v>
      </c>
      <c r="AA30" s="64">
        <v>0.32</v>
      </c>
      <c r="AB30" s="64">
        <v>0.28999999999999998</v>
      </c>
      <c r="AC30" s="64">
        <v>0.25</v>
      </c>
      <c r="AD30" s="64">
        <v>0.22</v>
      </c>
      <c r="AE30" s="64">
        <v>0.19</v>
      </c>
      <c r="AF30" s="64">
        <v>0.16</v>
      </c>
      <c r="AG30" s="64">
        <v>0.12</v>
      </c>
      <c r="AH30" s="64">
        <v>0.1</v>
      </c>
      <c r="AI30" s="64">
        <v>7.0000000000000007E-2</v>
      </c>
      <c r="AJ30" s="64">
        <v>0.04</v>
      </c>
      <c r="AK30" s="64">
        <v>0.02</v>
      </c>
    </row>
    <row r="31" spans="1:37">
      <c r="A31" s="64" t="s">
        <v>317</v>
      </c>
      <c r="B31" s="64">
        <v>2.37</v>
      </c>
      <c r="C31" s="64">
        <v>2.15</v>
      </c>
      <c r="D31" s="64">
        <v>1.89</v>
      </c>
      <c r="E31" s="64">
        <v>1.7</v>
      </c>
      <c r="F31" s="64">
        <v>1.57</v>
      </c>
      <c r="G31" s="64">
        <v>1.51</v>
      </c>
      <c r="H31" s="64">
        <v>1.4</v>
      </c>
      <c r="I31" s="64">
        <v>1.38</v>
      </c>
      <c r="J31" s="64">
        <v>1.29</v>
      </c>
      <c r="K31" s="64">
        <v>1.2</v>
      </c>
      <c r="L31" s="64">
        <v>1.1100000000000001</v>
      </c>
      <c r="M31" s="64">
        <v>1.04</v>
      </c>
      <c r="N31" s="64">
        <v>0.96</v>
      </c>
      <c r="O31" s="64">
        <v>0.9</v>
      </c>
      <c r="P31" s="64">
        <v>0.83</v>
      </c>
      <c r="Q31" s="64">
        <v>0.77</v>
      </c>
      <c r="R31" s="64">
        <v>0.72</v>
      </c>
      <c r="S31" s="64">
        <v>0.67</v>
      </c>
      <c r="T31" s="64">
        <v>0.62</v>
      </c>
      <c r="U31" s="64">
        <v>0.56999999999999995</v>
      </c>
      <c r="V31" s="64">
        <v>0.53</v>
      </c>
      <c r="W31" s="64">
        <v>0.49</v>
      </c>
      <c r="X31" s="64">
        <v>0.44</v>
      </c>
      <c r="Y31" s="64">
        <v>0.4</v>
      </c>
      <c r="Z31" s="64">
        <v>0.36</v>
      </c>
      <c r="AA31" s="64">
        <v>0.32</v>
      </c>
      <c r="AB31" s="64">
        <v>0.28999999999999998</v>
      </c>
      <c r="AC31" s="64">
        <v>0.25</v>
      </c>
      <c r="AD31" s="64">
        <v>0.22</v>
      </c>
      <c r="AE31" s="64">
        <v>0.19</v>
      </c>
      <c r="AF31" s="64">
        <v>0.16</v>
      </c>
      <c r="AG31" s="64">
        <v>0.12</v>
      </c>
      <c r="AH31" s="64">
        <v>0.1</v>
      </c>
      <c r="AI31" s="64">
        <v>7.0000000000000007E-2</v>
      </c>
      <c r="AJ31" s="64">
        <v>0.04</v>
      </c>
      <c r="AK31" s="64">
        <v>0.02</v>
      </c>
    </row>
    <row r="33" spans="1:37" ht="19">
      <c r="A33" s="65" t="s">
        <v>327</v>
      </c>
    </row>
    <row r="34" spans="1:37">
      <c r="A34" s="64" t="s">
        <v>306</v>
      </c>
      <c r="B34" s="64" t="s">
        <v>305</v>
      </c>
      <c r="C34" s="64" t="s">
        <v>304</v>
      </c>
      <c r="D34" s="64" t="s">
        <v>303</v>
      </c>
      <c r="E34" s="64" t="s">
        <v>302</v>
      </c>
      <c r="F34" s="64" t="s">
        <v>301</v>
      </c>
      <c r="G34" s="64" t="s">
        <v>300</v>
      </c>
      <c r="H34" s="64" t="s">
        <v>299</v>
      </c>
      <c r="I34" s="64" t="s">
        <v>298</v>
      </c>
      <c r="J34" s="64" t="s">
        <v>297</v>
      </c>
      <c r="K34" s="64" t="s">
        <v>296</v>
      </c>
      <c r="L34" s="64" t="s">
        <v>295</v>
      </c>
      <c r="M34" s="64" t="s">
        <v>294</v>
      </c>
      <c r="N34" s="64" t="s">
        <v>293</v>
      </c>
      <c r="O34" s="64" t="s">
        <v>292</v>
      </c>
      <c r="P34" s="64" t="s">
        <v>291</v>
      </c>
      <c r="Q34" s="64" t="s">
        <v>290</v>
      </c>
      <c r="R34" s="64" t="s">
        <v>289</v>
      </c>
      <c r="S34" s="64" t="s">
        <v>288</v>
      </c>
      <c r="T34" s="64" t="s">
        <v>287</v>
      </c>
      <c r="U34" s="64" t="s">
        <v>286</v>
      </c>
      <c r="V34" s="64" t="s">
        <v>285</v>
      </c>
      <c r="W34" s="64" t="s">
        <v>284</v>
      </c>
      <c r="X34" s="64" t="s">
        <v>283</v>
      </c>
      <c r="Y34" s="64" t="s">
        <v>282</v>
      </c>
      <c r="Z34" s="64" t="s">
        <v>281</v>
      </c>
      <c r="AA34" s="64" t="s">
        <v>280</v>
      </c>
      <c r="AB34" s="64" t="s">
        <v>279</v>
      </c>
      <c r="AC34" s="64" t="s">
        <v>278</v>
      </c>
      <c r="AD34" s="64" t="s">
        <v>277</v>
      </c>
      <c r="AE34" s="64" t="s">
        <v>276</v>
      </c>
      <c r="AF34" s="64" t="s">
        <v>275</v>
      </c>
      <c r="AG34" s="64" t="s">
        <v>274</v>
      </c>
      <c r="AH34" s="64" t="s">
        <v>273</v>
      </c>
      <c r="AI34" s="64" t="s">
        <v>272</v>
      </c>
      <c r="AJ34" s="64" t="s">
        <v>271</v>
      </c>
      <c r="AK34" s="64" t="s">
        <v>270</v>
      </c>
    </row>
    <row r="35" spans="1:37">
      <c r="A35" s="64" t="s">
        <v>40</v>
      </c>
      <c r="B35" s="64">
        <v>13.9</v>
      </c>
      <c r="C35" s="64">
        <v>18.98</v>
      </c>
      <c r="D35" s="64">
        <v>22.22</v>
      </c>
      <c r="E35" s="64">
        <v>23.53</v>
      </c>
      <c r="F35" s="64">
        <v>25.65</v>
      </c>
      <c r="G35" s="64">
        <v>27.81</v>
      </c>
      <c r="H35" s="64">
        <v>40.65</v>
      </c>
      <c r="I35" s="64">
        <v>51.09</v>
      </c>
      <c r="J35" s="64">
        <v>55.5</v>
      </c>
      <c r="K35" s="64">
        <v>45.96</v>
      </c>
      <c r="L35" s="64">
        <v>38.11</v>
      </c>
      <c r="M35" s="64">
        <v>33.71</v>
      </c>
      <c r="N35" s="64">
        <v>30.58</v>
      </c>
      <c r="O35" s="64">
        <v>28.04</v>
      </c>
      <c r="P35" s="64">
        <v>26.08</v>
      </c>
      <c r="Q35" s="64">
        <v>24.47</v>
      </c>
      <c r="R35" s="64">
        <v>23.1</v>
      </c>
      <c r="S35" s="64">
        <v>21.97</v>
      </c>
      <c r="T35" s="64">
        <v>21.06</v>
      </c>
      <c r="U35" s="64">
        <v>20.329999999999998</v>
      </c>
      <c r="V35" s="64">
        <v>19.78</v>
      </c>
      <c r="W35" s="64">
        <v>19.37</v>
      </c>
      <c r="X35" s="64">
        <v>19.059999999999999</v>
      </c>
      <c r="Y35" s="64">
        <v>18.760000000000002</v>
      </c>
      <c r="Z35" s="64">
        <v>18.45</v>
      </c>
      <c r="AA35" s="64">
        <v>18.100000000000001</v>
      </c>
      <c r="AB35" s="64">
        <v>17.72</v>
      </c>
      <c r="AC35" s="64">
        <v>17.37</v>
      </c>
      <c r="AD35" s="64">
        <v>16.989999999999998</v>
      </c>
      <c r="AE35" s="64">
        <v>16.489999999999998</v>
      </c>
      <c r="AF35" s="64">
        <v>15.97</v>
      </c>
      <c r="AG35" s="64">
        <v>15.48</v>
      </c>
      <c r="AH35" s="64">
        <v>14.96</v>
      </c>
      <c r="AI35" s="64">
        <v>14.64</v>
      </c>
      <c r="AJ35" s="64">
        <v>14.35</v>
      </c>
      <c r="AK35" s="64">
        <v>14.08</v>
      </c>
    </row>
    <row r="36" spans="1:37">
      <c r="A36" s="64" t="s">
        <v>317</v>
      </c>
      <c r="B36" s="64">
        <v>13.9</v>
      </c>
      <c r="C36" s="64">
        <v>18.98</v>
      </c>
      <c r="D36" s="64">
        <v>22.22</v>
      </c>
      <c r="E36" s="64">
        <v>23.53</v>
      </c>
      <c r="F36" s="64">
        <v>25.65</v>
      </c>
      <c r="G36" s="64">
        <v>27.81</v>
      </c>
      <c r="H36" s="64">
        <v>40.65</v>
      </c>
      <c r="I36" s="64">
        <v>51.09</v>
      </c>
      <c r="J36" s="64">
        <v>55.5</v>
      </c>
      <c r="K36" s="64">
        <v>45.96</v>
      </c>
      <c r="L36" s="64">
        <v>38.11</v>
      </c>
      <c r="M36" s="64">
        <v>33.71</v>
      </c>
      <c r="N36" s="64">
        <v>30.58</v>
      </c>
      <c r="O36" s="64">
        <v>28.04</v>
      </c>
      <c r="P36" s="64">
        <v>26.08</v>
      </c>
      <c r="Q36" s="64">
        <v>24.47</v>
      </c>
      <c r="R36" s="64">
        <v>23.1</v>
      </c>
      <c r="S36" s="64">
        <v>21.97</v>
      </c>
      <c r="T36" s="64">
        <v>21.06</v>
      </c>
      <c r="U36" s="64">
        <v>20.329999999999998</v>
      </c>
      <c r="V36" s="64">
        <v>19.78</v>
      </c>
      <c r="W36" s="64">
        <v>19.37</v>
      </c>
      <c r="X36" s="64">
        <v>19.059999999999999</v>
      </c>
      <c r="Y36" s="64">
        <v>18.760000000000002</v>
      </c>
      <c r="Z36" s="64">
        <v>18.45</v>
      </c>
      <c r="AA36" s="64">
        <v>18.100000000000001</v>
      </c>
      <c r="AB36" s="64">
        <v>17.72</v>
      </c>
      <c r="AC36" s="64">
        <v>17.37</v>
      </c>
      <c r="AD36" s="64">
        <v>16.989999999999998</v>
      </c>
      <c r="AE36" s="64">
        <v>16.489999999999998</v>
      </c>
      <c r="AF36" s="64">
        <v>15.97</v>
      </c>
      <c r="AG36" s="64">
        <v>15.48</v>
      </c>
      <c r="AH36" s="64">
        <v>14.96</v>
      </c>
      <c r="AI36" s="64">
        <v>14.64</v>
      </c>
      <c r="AJ36" s="64">
        <v>14.35</v>
      </c>
      <c r="AK36" s="64">
        <v>14.08</v>
      </c>
    </row>
    <row r="38" spans="1:37" ht="19">
      <c r="A38" s="65" t="s">
        <v>328</v>
      </c>
    </row>
    <row r="39" spans="1:37">
      <c r="A39" s="64" t="s">
        <v>306</v>
      </c>
      <c r="B39" s="64" t="s">
        <v>305</v>
      </c>
      <c r="C39" s="64" t="s">
        <v>304</v>
      </c>
      <c r="D39" s="64" t="s">
        <v>303</v>
      </c>
      <c r="E39" s="64" t="s">
        <v>302</v>
      </c>
      <c r="F39" s="64" t="s">
        <v>301</v>
      </c>
      <c r="G39" s="64" t="s">
        <v>300</v>
      </c>
      <c r="H39" s="64" t="s">
        <v>299</v>
      </c>
      <c r="I39" s="64" t="s">
        <v>298</v>
      </c>
      <c r="J39" s="64" t="s">
        <v>297</v>
      </c>
      <c r="K39" s="64" t="s">
        <v>296</v>
      </c>
      <c r="L39" s="64" t="s">
        <v>295</v>
      </c>
      <c r="M39" s="64" t="s">
        <v>294</v>
      </c>
      <c r="N39" s="64" t="s">
        <v>293</v>
      </c>
      <c r="O39" s="64" t="s">
        <v>292</v>
      </c>
      <c r="P39" s="64" t="s">
        <v>291</v>
      </c>
      <c r="Q39" s="64" t="s">
        <v>290</v>
      </c>
      <c r="R39" s="64" t="s">
        <v>289</v>
      </c>
      <c r="S39" s="64" t="s">
        <v>288</v>
      </c>
      <c r="T39" s="64" t="s">
        <v>287</v>
      </c>
      <c r="U39" s="64" t="s">
        <v>286</v>
      </c>
      <c r="V39" s="64" t="s">
        <v>285</v>
      </c>
      <c r="W39" s="64" t="s">
        <v>284</v>
      </c>
      <c r="X39" s="64" t="s">
        <v>283</v>
      </c>
      <c r="Y39" s="64" t="s">
        <v>282</v>
      </c>
      <c r="Z39" s="64" t="s">
        <v>281</v>
      </c>
      <c r="AA39" s="64" t="s">
        <v>280</v>
      </c>
      <c r="AB39" s="64" t="s">
        <v>279</v>
      </c>
      <c r="AC39" s="64" t="s">
        <v>278</v>
      </c>
      <c r="AD39" s="64" t="s">
        <v>277</v>
      </c>
      <c r="AE39" s="64" t="s">
        <v>276</v>
      </c>
      <c r="AF39" s="64" t="s">
        <v>275</v>
      </c>
      <c r="AG39" s="64" t="s">
        <v>274</v>
      </c>
      <c r="AH39" s="64" t="s">
        <v>273</v>
      </c>
      <c r="AI39" s="64" t="s">
        <v>272</v>
      </c>
      <c r="AJ39" s="64" t="s">
        <v>271</v>
      </c>
      <c r="AK39" s="64" t="s">
        <v>270</v>
      </c>
    </row>
    <row r="40" spans="1:37">
      <c r="A40" s="64" t="s">
        <v>40</v>
      </c>
      <c r="B40" s="64">
        <v>1775.66</v>
      </c>
      <c r="C40" s="64">
        <v>1943.63</v>
      </c>
      <c r="D40" s="64">
        <v>1992.32</v>
      </c>
      <c r="E40" s="64">
        <v>1949.15</v>
      </c>
      <c r="F40" s="64">
        <v>2082.75</v>
      </c>
      <c r="G40" s="64">
        <v>2199.41</v>
      </c>
      <c r="H40" s="64">
        <v>2357.98</v>
      </c>
      <c r="I40" s="64">
        <v>2599.1799999999998</v>
      </c>
      <c r="J40" s="64">
        <v>2798.39</v>
      </c>
      <c r="K40" s="64">
        <v>3051.73</v>
      </c>
      <c r="L40" s="64">
        <v>3264.25</v>
      </c>
      <c r="M40" s="64">
        <v>3503.22</v>
      </c>
      <c r="N40" s="64">
        <v>3750.36</v>
      </c>
      <c r="O40" s="64">
        <v>3858.24</v>
      </c>
      <c r="P40" s="64">
        <v>3938.65</v>
      </c>
      <c r="Q40" s="64">
        <v>4002.3</v>
      </c>
      <c r="R40" s="64">
        <v>4059.62</v>
      </c>
      <c r="S40" s="64">
        <v>4156.8500000000004</v>
      </c>
      <c r="T40" s="64">
        <v>4317.99</v>
      </c>
      <c r="U40" s="64">
        <v>4448.7</v>
      </c>
      <c r="V40" s="64">
        <v>4542.43</v>
      </c>
      <c r="W40" s="64">
        <v>4642.1099999999997</v>
      </c>
      <c r="X40" s="64">
        <v>4740.53</v>
      </c>
      <c r="Y40" s="64">
        <v>4833.55</v>
      </c>
      <c r="Z40" s="64">
        <v>4911.24</v>
      </c>
      <c r="AA40" s="64">
        <v>4980.37</v>
      </c>
      <c r="AB40" s="64">
        <v>5051.79</v>
      </c>
      <c r="AC40" s="64">
        <v>5119.3900000000003</v>
      </c>
      <c r="AD40" s="64">
        <v>5172.08</v>
      </c>
      <c r="AE40" s="64">
        <v>5218.13</v>
      </c>
      <c r="AF40" s="64">
        <v>5267.2</v>
      </c>
      <c r="AG40" s="64">
        <v>5315.51</v>
      </c>
      <c r="AH40" s="64">
        <v>5351.93</v>
      </c>
      <c r="AI40" s="64">
        <v>5383.37</v>
      </c>
      <c r="AJ40" s="64">
        <v>5411.34</v>
      </c>
      <c r="AK40" s="64">
        <v>5437.62</v>
      </c>
    </row>
    <row r="41" spans="1:37">
      <c r="A41" s="64" t="s">
        <v>317</v>
      </c>
      <c r="B41" s="64">
        <v>373.74</v>
      </c>
      <c r="C41" s="64">
        <v>359.9</v>
      </c>
      <c r="D41" s="64">
        <v>346.69</v>
      </c>
      <c r="E41" s="64">
        <v>346.69</v>
      </c>
      <c r="F41" s="64">
        <v>318.38</v>
      </c>
      <c r="G41" s="64">
        <v>319</v>
      </c>
      <c r="H41" s="64">
        <v>350.46</v>
      </c>
      <c r="I41" s="64">
        <v>408.98</v>
      </c>
      <c r="J41" s="64">
        <v>429.74</v>
      </c>
      <c r="K41" s="64">
        <v>437.17</v>
      </c>
      <c r="L41" s="64">
        <v>432.11</v>
      </c>
      <c r="M41" s="64">
        <v>420.36</v>
      </c>
      <c r="N41" s="64">
        <v>412.68</v>
      </c>
      <c r="O41" s="64">
        <v>406.17</v>
      </c>
      <c r="P41" s="64">
        <v>401.87</v>
      </c>
      <c r="Q41" s="64">
        <v>399.6</v>
      </c>
      <c r="R41" s="64">
        <v>398.76</v>
      </c>
      <c r="S41" s="64">
        <v>399.55</v>
      </c>
      <c r="T41" s="64">
        <v>402.01</v>
      </c>
      <c r="U41" s="64">
        <v>405.74</v>
      </c>
      <c r="V41" s="64">
        <v>410.62</v>
      </c>
      <c r="W41" s="64">
        <v>416.16</v>
      </c>
      <c r="X41" s="64">
        <v>421.73</v>
      </c>
      <c r="Y41" s="64">
        <v>426.62</v>
      </c>
      <c r="Z41" s="64">
        <v>430.27</v>
      </c>
      <c r="AA41" s="64">
        <v>432.6</v>
      </c>
      <c r="AB41" s="64">
        <v>433.63</v>
      </c>
      <c r="AC41" s="64">
        <v>433.28</v>
      </c>
      <c r="AD41" s="64">
        <v>431.4</v>
      </c>
      <c r="AE41" s="64">
        <v>429.09</v>
      </c>
      <c r="AF41" s="64">
        <v>425.38</v>
      </c>
      <c r="AG41" s="64">
        <v>421.87</v>
      </c>
      <c r="AH41" s="64">
        <v>418</v>
      </c>
      <c r="AI41" s="64">
        <v>414.1</v>
      </c>
      <c r="AJ41" s="64">
        <v>409.38</v>
      </c>
      <c r="AK41" s="64">
        <v>404.21</v>
      </c>
    </row>
    <row r="42" spans="1:37">
      <c r="A42" s="64" t="s">
        <v>318</v>
      </c>
      <c r="B42" s="64">
        <v>197.57</v>
      </c>
      <c r="C42" s="64">
        <v>183.73</v>
      </c>
      <c r="D42" s="64">
        <v>178.06</v>
      </c>
      <c r="E42" s="64">
        <v>156.04</v>
      </c>
      <c r="F42" s="64">
        <v>142.83000000000001</v>
      </c>
      <c r="G42" s="64">
        <v>140.31</v>
      </c>
      <c r="H42" s="64">
        <v>139.68</v>
      </c>
      <c r="I42" s="64">
        <v>146.6</v>
      </c>
      <c r="J42" s="64">
        <v>152.9</v>
      </c>
      <c r="K42" s="64">
        <v>153.22</v>
      </c>
      <c r="L42" s="64">
        <v>149.83000000000001</v>
      </c>
      <c r="M42" s="64">
        <v>145.47999999999999</v>
      </c>
      <c r="N42" s="64">
        <v>141.28</v>
      </c>
      <c r="O42" s="64">
        <v>137.51</v>
      </c>
      <c r="P42" s="64">
        <v>134.29</v>
      </c>
      <c r="Q42" s="64">
        <v>131.52000000000001</v>
      </c>
      <c r="R42" s="64">
        <v>129.18</v>
      </c>
      <c r="S42" s="64">
        <v>127.3</v>
      </c>
      <c r="T42" s="64">
        <v>125.82</v>
      </c>
      <c r="U42" s="64">
        <v>124.72</v>
      </c>
      <c r="V42" s="64">
        <v>123.98</v>
      </c>
      <c r="W42" s="64">
        <v>123.48</v>
      </c>
      <c r="X42" s="64">
        <v>123.13</v>
      </c>
      <c r="Y42" s="64">
        <v>122.72</v>
      </c>
      <c r="Z42" s="64">
        <v>122.11</v>
      </c>
      <c r="AA42" s="64">
        <v>121.26</v>
      </c>
      <c r="AB42" s="64">
        <v>120.16</v>
      </c>
      <c r="AC42" s="64">
        <v>118.8</v>
      </c>
      <c r="AD42" s="64">
        <v>117.13</v>
      </c>
      <c r="AE42" s="64">
        <v>115.37</v>
      </c>
      <c r="AF42" s="64">
        <v>113.22</v>
      </c>
      <c r="AG42" s="64">
        <v>111.29</v>
      </c>
      <c r="AH42" s="64">
        <v>109.33</v>
      </c>
      <c r="AI42" s="64">
        <v>107.43</v>
      </c>
      <c r="AJ42" s="64">
        <v>105.46</v>
      </c>
      <c r="AK42" s="64">
        <v>103.45</v>
      </c>
    </row>
    <row r="43" spans="1:37">
      <c r="A43" s="64" t="s">
        <v>319</v>
      </c>
      <c r="B43" s="64">
        <v>129.4</v>
      </c>
      <c r="C43" s="64">
        <v>134.34</v>
      </c>
      <c r="D43" s="64">
        <v>133.74</v>
      </c>
      <c r="E43" s="64">
        <v>126.29</v>
      </c>
      <c r="F43" s="64">
        <v>118.52</v>
      </c>
      <c r="G43" s="64">
        <v>115.36</v>
      </c>
      <c r="H43" s="64">
        <v>111.5</v>
      </c>
      <c r="I43" s="64">
        <v>108.8</v>
      </c>
      <c r="J43" s="64">
        <v>114.26</v>
      </c>
      <c r="K43" s="64">
        <v>133.6</v>
      </c>
      <c r="L43" s="64">
        <v>143.30000000000001</v>
      </c>
      <c r="M43" s="64">
        <v>140.68</v>
      </c>
      <c r="N43" s="64">
        <v>141.16</v>
      </c>
      <c r="O43" s="64">
        <v>141.6</v>
      </c>
      <c r="P43" s="64">
        <v>142.22</v>
      </c>
      <c r="Q43" s="64">
        <v>142.69999999999999</v>
      </c>
      <c r="R43" s="64">
        <v>143.29</v>
      </c>
      <c r="S43" s="64">
        <v>143.9</v>
      </c>
      <c r="T43" s="64">
        <v>144.35</v>
      </c>
      <c r="U43" s="64">
        <v>144.66999999999999</v>
      </c>
      <c r="V43" s="64">
        <v>144.72</v>
      </c>
      <c r="W43" s="64">
        <v>144.56</v>
      </c>
      <c r="X43" s="64">
        <v>144.38</v>
      </c>
      <c r="Y43" s="64">
        <v>144.24</v>
      </c>
      <c r="Z43" s="64">
        <v>144.16999999999999</v>
      </c>
      <c r="AA43" s="64">
        <v>144.38</v>
      </c>
      <c r="AB43" s="64">
        <v>144.72</v>
      </c>
      <c r="AC43" s="64">
        <v>145.22999999999999</v>
      </c>
      <c r="AD43" s="64">
        <v>145.31</v>
      </c>
      <c r="AE43" s="64">
        <v>145.19999999999999</v>
      </c>
      <c r="AF43" s="64">
        <v>145.01</v>
      </c>
      <c r="AG43" s="64">
        <v>144.80000000000001</v>
      </c>
      <c r="AH43" s="64">
        <v>144.63</v>
      </c>
      <c r="AI43" s="64">
        <v>144.41</v>
      </c>
      <c r="AJ43" s="64">
        <v>144.28</v>
      </c>
      <c r="AK43" s="64">
        <v>144.22</v>
      </c>
    </row>
    <row r="44" spans="1:37">
      <c r="A44" s="64" t="s">
        <v>320</v>
      </c>
      <c r="B44" s="64">
        <v>9.7100000000000009</v>
      </c>
      <c r="C44" s="64">
        <v>11.03</v>
      </c>
      <c r="D44" s="64">
        <v>13.14</v>
      </c>
      <c r="E44" s="64">
        <v>15.17</v>
      </c>
      <c r="F44" s="64">
        <v>13.7</v>
      </c>
      <c r="G44" s="64">
        <v>12.09</v>
      </c>
      <c r="H44" s="64">
        <v>12.19</v>
      </c>
      <c r="I44" s="64">
        <v>12.59</v>
      </c>
      <c r="J44" s="64">
        <v>16.32</v>
      </c>
      <c r="K44" s="64">
        <v>23.8</v>
      </c>
      <c r="L44" s="64">
        <v>23.33</v>
      </c>
      <c r="M44" s="64">
        <v>22.7</v>
      </c>
      <c r="N44" s="64">
        <v>22.28</v>
      </c>
      <c r="O44" s="64">
        <v>21.93</v>
      </c>
      <c r="P44" s="64">
        <v>21.7</v>
      </c>
      <c r="Q44" s="64">
        <v>21.58</v>
      </c>
      <c r="R44" s="64">
        <v>21.53</v>
      </c>
      <c r="S44" s="64">
        <v>21.58</v>
      </c>
      <c r="T44" s="64">
        <v>21.71</v>
      </c>
      <c r="U44" s="64">
        <v>21.91</v>
      </c>
      <c r="V44" s="64">
        <v>22.17</v>
      </c>
      <c r="W44" s="64">
        <v>22.47</v>
      </c>
      <c r="X44" s="64">
        <v>22.77</v>
      </c>
      <c r="Y44" s="64">
        <v>23.04</v>
      </c>
      <c r="Z44" s="64">
        <v>23.23</v>
      </c>
      <c r="AA44" s="64">
        <v>23.36</v>
      </c>
      <c r="AB44" s="64">
        <v>23.42</v>
      </c>
      <c r="AC44" s="64">
        <v>23.4</v>
      </c>
      <c r="AD44" s="64">
        <v>23.3</v>
      </c>
      <c r="AE44" s="64">
        <v>23.17</v>
      </c>
      <c r="AF44" s="64">
        <v>22.97</v>
      </c>
      <c r="AG44" s="64">
        <v>22.78</v>
      </c>
      <c r="AH44" s="64">
        <v>22.57</v>
      </c>
      <c r="AI44" s="64">
        <v>22.36</v>
      </c>
      <c r="AJ44" s="64">
        <v>22.11</v>
      </c>
      <c r="AK44" s="64">
        <v>21.83</v>
      </c>
    </row>
    <row r="45" spans="1:37">
      <c r="A45" s="64" t="s">
        <v>321</v>
      </c>
      <c r="B45" s="64">
        <v>626.67999999999995</v>
      </c>
      <c r="C45" s="64">
        <v>760.7</v>
      </c>
      <c r="D45" s="64">
        <v>784.61</v>
      </c>
      <c r="E45" s="64">
        <v>721.69</v>
      </c>
      <c r="F45" s="64">
        <v>825.51</v>
      </c>
      <c r="G45" s="64">
        <v>856.97</v>
      </c>
      <c r="H45" s="64">
        <v>892.21</v>
      </c>
      <c r="I45" s="64">
        <v>929.96</v>
      </c>
      <c r="J45" s="64">
        <v>976.52</v>
      </c>
      <c r="K45" s="64">
        <v>1038.18</v>
      </c>
      <c r="L45" s="64">
        <v>1131.44</v>
      </c>
      <c r="M45" s="64">
        <v>1258.8599999999999</v>
      </c>
      <c r="N45" s="64">
        <v>1364.59</v>
      </c>
      <c r="O45" s="64">
        <v>1417.64</v>
      </c>
      <c r="P45" s="64">
        <v>1462.99</v>
      </c>
      <c r="Q45" s="64">
        <v>1475.21</v>
      </c>
      <c r="R45" s="64">
        <v>1475.96</v>
      </c>
      <c r="S45" s="64">
        <v>1490.36</v>
      </c>
      <c r="T45" s="64">
        <v>1524.93</v>
      </c>
      <c r="U45" s="64">
        <v>1549.24</v>
      </c>
      <c r="V45" s="64">
        <v>1556.99</v>
      </c>
      <c r="W45" s="64">
        <v>1561.49</v>
      </c>
      <c r="X45" s="64">
        <v>1570.86</v>
      </c>
      <c r="Y45" s="64">
        <v>1581.44</v>
      </c>
      <c r="Z45" s="64">
        <v>1583.56</v>
      </c>
      <c r="AA45" s="64">
        <v>1583.56</v>
      </c>
      <c r="AB45" s="64">
        <v>1592.03</v>
      </c>
      <c r="AC45" s="64">
        <v>1602.62</v>
      </c>
      <c r="AD45" s="64">
        <v>1604.74</v>
      </c>
      <c r="AE45" s="64">
        <v>1604.74</v>
      </c>
      <c r="AF45" s="64">
        <v>1613.21</v>
      </c>
      <c r="AG45" s="64">
        <v>1623.8</v>
      </c>
      <c r="AH45" s="64">
        <v>1625.91</v>
      </c>
      <c r="AI45" s="64">
        <v>1625.91</v>
      </c>
      <c r="AJ45" s="64">
        <v>1625.91</v>
      </c>
      <c r="AK45" s="64">
        <v>1625.91</v>
      </c>
    </row>
    <row r="46" spans="1:37">
      <c r="A46" s="64" t="s">
        <v>322</v>
      </c>
      <c r="B46" s="64">
        <v>438.55</v>
      </c>
      <c r="C46" s="64">
        <v>493.92</v>
      </c>
      <c r="D46" s="64">
        <v>536.08000000000004</v>
      </c>
      <c r="E46" s="64">
        <v>583.27</v>
      </c>
      <c r="F46" s="64">
        <v>663.81</v>
      </c>
      <c r="G46" s="64">
        <v>755.67</v>
      </c>
      <c r="H46" s="64">
        <v>851.94</v>
      </c>
      <c r="I46" s="64">
        <v>992.25</v>
      </c>
      <c r="J46" s="64">
        <v>1108.6500000000001</v>
      </c>
      <c r="K46" s="64">
        <v>1265.95</v>
      </c>
      <c r="L46" s="64">
        <v>1384.24</v>
      </c>
      <c r="M46" s="64">
        <v>1515.14</v>
      </c>
      <c r="N46" s="64">
        <v>1668.36</v>
      </c>
      <c r="O46" s="64">
        <v>1733.4</v>
      </c>
      <c r="P46" s="64">
        <v>1775.58</v>
      </c>
      <c r="Q46" s="64">
        <v>1831.7</v>
      </c>
      <c r="R46" s="64">
        <v>1890.89</v>
      </c>
      <c r="S46" s="64">
        <v>1974.17</v>
      </c>
      <c r="T46" s="64">
        <v>2099.17</v>
      </c>
      <c r="U46" s="64">
        <v>2202.42</v>
      </c>
      <c r="V46" s="64">
        <v>2283.96</v>
      </c>
      <c r="W46" s="64">
        <v>2373.96</v>
      </c>
      <c r="X46" s="64">
        <v>2457.66</v>
      </c>
      <c r="Y46" s="64">
        <v>2535.5</v>
      </c>
      <c r="Z46" s="64">
        <v>2607.89</v>
      </c>
      <c r="AA46" s="64">
        <v>2675.21</v>
      </c>
      <c r="AB46" s="64">
        <v>2737.83</v>
      </c>
      <c r="AC46" s="64">
        <v>2796.06</v>
      </c>
      <c r="AD46" s="64">
        <v>2850.21</v>
      </c>
      <c r="AE46" s="64">
        <v>2900.57</v>
      </c>
      <c r="AF46" s="64">
        <v>2947.41</v>
      </c>
      <c r="AG46" s="64">
        <v>2990.97</v>
      </c>
      <c r="AH46" s="64">
        <v>3031.48</v>
      </c>
      <c r="AI46" s="64">
        <v>3069.15</v>
      </c>
      <c r="AJ46" s="64">
        <v>3104.19</v>
      </c>
      <c r="AK46" s="64">
        <v>3138</v>
      </c>
    </row>
    <row r="47" spans="1:37">
      <c r="A47" s="64" t="s">
        <v>323</v>
      </c>
      <c r="B47" s="64">
        <v>546.77</v>
      </c>
      <c r="C47" s="64">
        <v>658.14</v>
      </c>
      <c r="D47" s="64">
        <v>687.72</v>
      </c>
      <c r="E47" s="64">
        <v>653.74</v>
      </c>
      <c r="F47" s="64">
        <v>765.74</v>
      </c>
      <c r="G47" s="64">
        <v>794.68</v>
      </c>
      <c r="H47" s="64">
        <v>862.63</v>
      </c>
      <c r="I47" s="64">
        <v>913.6</v>
      </c>
      <c r="J47" s="64">
        <v>936.25</v>
      </c>
      <c r="K47" s="64">
        <v>954.5</v>
      </c>
      <c r="L47" s="64">
        <v>998.54</v>
      </c>
      <c r="M47" s="64">
        <v>1018.49</v>
      </c>
      <c r="N47" s="64">
        <v>1056.74</v>
      </c>
      <c r="O47" s="64">
        <v>1112.0899999999999</v>
      </c>
      <c r="P47" s="64">
        <v>1155.1400000000001</v>
      </c>
      <c r="Q47" s="64">
        <v>1165.53</v>
      </c>
      <c r="R47" s="64">
        <v>1166.17</v>
      </c>
      <c r="S47" s="64">
        <v>1166.17</v>
      </c>
      <c r="T47" s="64">
        <v>1173.3699999999999</v>
      </c>
      <c r="U47" s="64">
        <v>1182.3699999999999</v>
      </c>
      <c r="V47" s="64">
        <v>1184.17</v>
      </c>
      <c r="W47" s="64">
        <v>1184.17</v>
      </c>
      <c r="X47" s="64">
        <v>1191.3699999999999</v>
      </c>
      <c r="Y47" s="64">
        <v>1200.3699999999999</v>
      </c>
      <c r="Z47" s="64">
        <v>1202.17</v>
      </c>
      <c r="AA47" s="64">
        <v>1202.17</v>
      </c>
      <c r="AB47" s="64">
        <v>1209.3699999999999</v>
      </c>
      <c r="AC47" s="64">
        <v>1218.3699999999999</v>
      </c>
      <c r="AD47" s="64">
        <v>1220.17</v>
      </c>
      <c r="AE47" s="64">
        <v>1220.17</v>
      </c>
      <c r="AF47" s="64">
        <v>1227.3699999999999</v>
      </c>
      <c r="AG47" s="64">
        <v>1236.3699999999999</v>
      </c>
      <c r="AH47" s="64">
        <v>1238.17</v>
      </c>
      <c r="AI47" s="64">
        <v>1238.17</v>
      </c>
      <c r="AJ47" s="64">
        <v>1238.17</v>
      </c>
      <c r="AK47" s="64">
        <v>1238.17</v>
      </c>
    </row>
    <row r="49" spans="1:37" ht="19">
      <c r="A49" s="65" t="s">
        <v>329</v>
      </c>
    </row>
    <row r="50" spans="1:37">
      <c r="A50" s="64" t="s">
        <v>306</v>
      </c>
      <c r="B50" s="64" t="s">
        <v>305</v>
      </c>
      <c r="C50" s="64" t="s">
        <v>304</v>
      </c>
      <c r="D50" s="64" t="s">
        <v>303</v>
      </c>
      <c r="E50" s="64" t="s">
        <v>302</v>
      </c>
      <c r="F50" s="64" t="s">
        <v>301</v>
      </c>
      <c r="G50" s="64" t="s">
        <v>300</v>
      </c>
      <c r="H50" s="64" t="s">
        <v>299</v>
      </c>
      <c r="I50" s="64" t="s">
        <v>298</v>
      </c>
      <c r="J50" s="64" t="s">
        <v>297</v>
      </c>
      <c r="K50" s="64" t="s">
        <v>296</v>
      </c>
      <c r="L50" s="64" t="s">
        <v>295</v>
      </c>
      <c r="M50" s="64" t="s">
        <v>294</v>
      </c>
      <c r="N50" s="64" t="s">
        <v>293</v>
      </c>
      <c r="O50" s="64" t="s">
        <v>292</v>
      </c>
      <c r="P50" s="64" t="s">
        <v>291</v>
      </c>
      <c r="Q50" s="64" t="s">
        <v>290</v>
      </c>
      <c r="R50" s="64" t="s">
        <v>289</v>
      </c>
      <c r="S50" s="64" t="s">
        <v>288</v>
      </c>
      <c r="T50" s="64" t="s">
        <v>287</v>
      </c>
      <c r="U50" s="64" t="s">
        <v>286</v>
      </c>
      <c r="V50" s="64" t="s">
        <v>285</v>
      </c>
      <c r="W50" s="64" t="s">
        <v>284</v>
      </c>
      <c r="X50" s="64" t="s">
        <v>283</v>
      </c>
      <c r="Y50" s="64" t="s">
        <v>282</v>
      </c>
      <c r="Z50" s="64" t="s">
        <v>281</v>
      </c>
      <c r="AA50" s="64" t="s">
        <v>280</v>
      </c>
      <c r="AB50" s="64" t="s">
        <v>279</v>
      </c>
      <c r="AC50" s="64" t="s">
        <v>278</v>
      </c>
      <c r="AD50" s="64" t="s">
        <v>277</v>
      </c>
      <c r="AE50" s="64" t="s">
        <v>276</v>
      </c>
      <c r="AF50" s="64" t="s">
        <v>275</v>
      </c>
      <c r="AG50" s="64" t="s">
        <v>274</v>
      </c>
      <c r="AH50" s="64" t="s">
        <v>273</v>
      </c>
      <c r="AI50" s="64" t="s">
        <v>272</v>
      </c>
      <c r="AJ50" s="64" t="s">
        <v>271</v>
      </c>
      <c r="AK50" s="64" t="s">
        <v>270</v>
      </c>
    </row>
    <row r="51" spans="1:37">
      <c r="A51" s="64" t="s">
        <v>40</v>
      </c>
      <c r="B51" s="64">
        <v>45.85</v>
      </c>
      <c r="C51" s="64">
        <v>41.67</v>
      </c>
      <c r="D51" s="64">
        <v>38.6</v>
      </c>
      <c r="E51" s="64">
        <v>34.99</v>
      </c>
      <c r="F51" s="64">
        <v>34.35</v>
      </c>
      <c r="G51" s="64">
        <v>34.94</v>
      </c>
      <c r="H51" s="64">
        <v>37.14</v>
      </c>
      <c r="I51" s="64">
        <v>39.69</v>
      </c>
      <c r="J51" s="64">
        <v>41.31</v>
      </c>
      <c r="K51" s="64">
        <v>49.54</v>
      </c>
      <c r="L51" s="64">
        <v>54.86</v>
      </c>
      <c r="M51" s="64">
        <v>57.7</v>
      </c>
      <c r="N51" s="64">
        <v>60.15</v>
      </c>
      <c r="O51" s="64">
        <v>62.32</v>
      </c>
      <c r="P51" s="64">
        <v>63.04</v>
      </c>
      <c r="Q51" s="64">
        <v>63.8</v>
      </c>
      <c r="R51" s="64">
        <v>66.39</v>
      </c>
      <c r="S51" s="64">
        <v>70.3</v>
      </c>
      <c r="T51" s="64">
        <v>73.7</v>
      </c>
      <c r="U51" s="64">
        <v>76.33</v>
      </c>
      <c r="V51" s="64">
        <v>78.75</v>
      </c>
      <c r="W51" s="64">
        <v>80.900000000000006</v>
      </c>
      <c r="X51" s="64">
        <v>82.76</v>
      </c>
      <c r="Y51" s="64">
        <v>84.24</v>
      </c>
      <c r="Z51" s="64">
        <v>85.48</v>
      </c>
      <c r="AA51" s="64">
        <v>86.57</v>
      </c>
      <c r="AB51" s="64">
        <v>87.46</v>
      </c>
      <c r="AC51" s="64">
        <v>88.14</v>
      </c>
      <c r="AD51" s="64">
        <v>88.57</v>
      </c>
      <c r="AE51" s="64">
        <v>88.84</v>
      </c>
      <c r="AF51" s="64">
        <v>88.79</v>
      </c>
      <c r="AG51" s="64">
        <v>88.66</v>
      </c>
      <c r="AH51" s="64">
        <v>88.44</v>
      </c>
      <c r="AI51" s="64">
        <v>88.18</v>
      </c>
      <c r="AJ51" s="64">
        <v>87.82</v>
      </c>
      <c r="AK51" s="64">
        <v>87.37</v>
      </c>
    </row>
    <row r="52" spans="1:37">
      <c r="A52" s="64" t="s">
        <v>317</v>
      </c>
      <c r="B52" s="64">
        <v>33.42</v>
      </c>
      <c r="C52" s="64">
        <v>28.8</v>
      </c>
      <c r="D52" s="64">
        <v>26.36</v>
      </c>
      <c r="E52" s="64">
        <v>23.13</v>
      </c>
      <c r="F52" s="64">
        <v>21.94</v>
      </c>
      <c r="G52" s="64">
        <v>21.08</v>
      </c>
      <c r="H52" s="64">
        <v>20.39</v>
      </c>
      <c r="I52" s="64">
        <v>21.27</v>
      </c>
      <c r="J52" s="64">
        <v>19.78</v>
      </c>
      <c r="K52" s="64">
        <v>21.58</v>
      </c>
      <c r="L52" s="64">
        <v>24.6</v>
      </c>
      <c r="M52" s="64">
        <v>25.62</v>
      </c>
      <c r="N52" s="64">
        <v>26.22</v>
      </c>
      <c r="O52" s="64">
        <v>26.77</v>
      </c>
      <c r="P52" s="64">
        <v>26.15</v>
      </c>
      <c r="Q52" s="64">
        <v>25.28</v>
      </c>
      <c r="R52" s="64">
        <v>25.43</v>
      </c>
      <c r="S52" s="64">
        <v>26.57</v>
      </c>
      <c r="T52" s="64">
        <v>27.6</v>
      </c>
      <c r="U52" s="64">
        <v>28.46</v>
      </c>
      <c r="V52" s="64">
        <v>29.51</v>
      </c>
      <c r="W52" s="64">
        <v>30.51</v>
      </c>
      <c r="X52" s="64">
        <v>31.49</v>
      </c>
      <c r="Y52" s="64">
        <v>32.4</v>
      </c>
      <c r="Z52" s="64">
        <v>33.14</v>
      </c>
      <c r="AA52" s="64">
        <v>33.71</v>
      </c>
      <c r="AB52" s="64">
        <v>34.119999999999997</v>
      </c>
      <c r="AC52" s="64">
        <v>34.369999999999997</v>
      </c>
      <c r="AD52" s="64">
        <v>34.44</v>
      </c>
      <c r="AE52" s="64">
        <v>34.450000000000003</v>
      </c>
      <c r="AF52" s="64">
        <v>34.270000000000003</v>
      </c>
      <c r="AG52" s="64">
        <v>34.049999999999997</v>
      </c>
      <c r="AH52" s="64">
        <v>33.799999999999997</v>
      </c>
      <c r="AI52" s="64">
        <v>33.54</v>
      </c>
      <c r="AJ52" s="64">
        <v>33.22</v>
      </c>
      <c r="AK52" s="64">
        <v>32.840000000000003</v>
      </c>
    </row>
    <row r="53" spans="1:37">
      <c r="A53" s="64" t="s">
        <v>319</v>
      </c>
      <c r="B53" s="64">
        <v>8.9700000000000006</v>
      </c>
      <c r="C53" s="64">
        <v>9.09</v>
      </c>
      <c r="D53" s="64">
        <v>8.11</v>
      </c>
      <c r="E53" s="64">
        <v>7.35</v>
      </c>
      <c r="F53" s="64">
        <v>7.91</v>
      </c>
      <c r="G53" s="64">
        <v>8.92</v>
      </c>
      <c r="H53" s="64">
        <v>11.22</v>
      </c>
      <c r="I53" s="64">
        <v>12.75</v>
      </c>
      <c r="J53" s="64">
        <v>15.5</v>
      </c>
      <c r="K53" s="64">
        <v>18.95</v>
      </c>
      <c r="L53" s="64">
        <v>17.95</v>
      </c>
      <c r="M53" s="64">
        <v>19.27</v>
      </c>
      <c r="N53" s="64">
        <v>20.81</v>
      </c>
      <c r="O53" s="64">
        <v>22.16</v>
      </c>
      <c r="P53" s="64">
        <v>23.81</v>
      </c>
      <c r="Q53" s="64">
        <v>25.88</v>
      </c>
      <c r="R53" s="64">
        <v>28.24</v>
      </c>
      <c r="S53" s="64">
        <v>30.45</v>
      </c>
      <c r="T53" s="64">
        <v>32.29</v>
      </c>
      <c r="U53" s="64">
        <v>33.630000000000003</v>
      </c>
      <c r="V53" s="64">
        <v>34.479999999999997</v>
      </c>
      <c r="W53" s="64">
        <v>35.130000000000003</v>
      </c>
      <c r="X53" s="64">
        <v>35.520000000000003</v>
      </c>
      <c r="Y53" s="64">
        <v>35.630000000000003</v>
      </c>
      <c r="Z53" s="64">
        <v>35.770000000000003</v>
      </c>
      <c r="AA53" s="64">
        <v>36</v>
      </c>
      <c r="AB53" s="64">
        <v>36.270000000000003</v>
      </c>
      <c r="AC53" s="64">
        <v>36.590000000000003</v>
      </c>
      <c r="AD53" s="64">
        <v>36.909999999999997</v>
      </c>
      <c r="AE53" s="64">
        <v>37.159999999999997</v>
      </c>
      <c r="AF53" s="64">
        <v>37.39</v>
      </c>
      <c r="AG53" s="64">
        <v>37.58</v>
      </c>
      <c r="AH53" s="64">
        <v>37.74</v>
      </c>
      <c r="AI53" s="64">
        <v>37.880000000000003</v>
      </c>
      <c r="AJ53" s="64">
        <v>38</v>
      </c>
      <c r="AK53" s="64">
        <v>38.11</v>
      </c>
    </row>
    <row r="54" spans="1:37">
      <c r="A54" s="64" t="s">
        <v>330</v>
      </c>
      <c r="B54" s="64">
        <v>3.46</v>
      </c>
      <c r="C54" s="64">
        <v>3.78</v>
      </c>
      <c r="D54" s="64">
        <v>4.13</v>
      </c>
      <c r="E54" s="64">
        <v>4.51</v>
      </c>
      <c r="F54" s="64">
        <v>4.51</v>
      </c>
      <c r="G54" s="64">
        <v>4.95</v>
      </c>
      <c r="H54" s="64">
        <v>5.53</v>
      </c>
      <c r="I54" s="64">
        <v>5.67</v>
      </c>
      <c r="J54" s="64">
        <v>6.03</v>
      </c>
      <c r="K54" s="64">
        <v>9</v>
      </c>
      <c r="L54" s="64">
        <v>12.3</v>
      </c>
      <c r="M54" s="64">
        <v>12.81</v>
      </c>
      <c r="N54" s="64">
        <v>13.11</v>
      </c>
      <c r="O54" s="64">
        <v>13.39</v>
      </c>
      <c r="P54" s="64">
        <v>13.08</v>
      </c>
      <c r="Q54" s="64">
        <v>12.64</v>
      </c>
      <c r="R54" s="64">
        <v>12.71</v>
      </c>
      <c r="S54" s="64">
        <v>13.28</v>
      </c>
      <c r="T54" s="64">
        <v>13.8</v>
      </c>
      <c r="U54" s="64">
        <v>14.23</v>
      </c>
      <c r="V54" s="64">
        <v>14.76</v>
      </c>
      <c r="W54" s="64">
        <v>15.25</v>
      </c>
      <c r="X54" s="64">
        <v>15.75</v>
      </c>
      <c r="Y54" s="64">
        <v>16.2</v>
      </c>
      <c r="Z54" s="64">
        <v>16.57</v>
      </c>
      <c r="AA54" s="64">
        <v>16.86</v>
      </c>
      <c r="AB54" s="64">
        <v>17.059999999999999</v>
      </c>
      <c r="AC54" s="64">
        <v>17.18</v>
      </c>
      <c r="AD54" s="64">
        <v>17.22</v>
      </c>
      <c r="AE54" s="64">
        <v>17.23</v>
      </c>
      <c r="AF54" s="64">
        <v>17.13</v>
      </c>
      <c r="AG54" s="64">
        <v>17.03</v>
      </c>
      <c r="AH54" s="64">
        <v>16.899999999999999</v>
      </c>
      <c r="AI54" s="64">
        <v>16.77</v>
      </c>
      <c r="AJ54" s="64">
        <v>16.61</v>
      </c>
      <c r="AK54" s="64">
        <v>16.420000000000002</v>
      </c>
    </row>
    <row r="56" spans="1:37" ht="19">
      <c r="A56" s="65" t="s">
        <v>331</v>
      </c>
    </row>
    <row r="57" spans="1:37">
      <c r="A57" s="64" t="s">
        <v>306</v>
      </c>
      <c r="B57" s="64" t="s">
        <v>305</v>
      </c>
      <c r="C57" s="64" t="s">
        <v>304</v>
      </c>
      <c r="D57" s="64" t="s">
        <v>303</v>
      </c>
      <c r="E57" s="64" t="s">
        <v>302</v>
      </c>
      <c r="F57" s="64" t="s">
        <v>301</v>
      </c>
      <c r="G57" s="64" t="s">
        <v>300</v>
      </c>
      <c r="H57" s="64" t="s">
        <v>299</v>
      </c>
      <c r="I57" s="64" t="s">
        <v>298</v>
      </c>
      <c r="J57" s="64" t="s">
        <v>297</v>
      </c>
      <c r="K57" s="64" t="s">
        <v>296</v>
      </c>
      <c r="L57" s="64" t="s">
        <v>295</v>
      </c>
      <c r="M57" s="64" t="s">
        <v>294</v>
      </c>
      <c r="N57" s="64" t="s">
        <v>293</v>
      </c>
      <c r="O57" s="64" t="s">
        <v>292</v>
      </c>
      <c r="P57" s="64" t="s">
        <v>291</v>
      </c>
      <c r="Q57" s="64" t="s">
        <v>290</v>
      </c>
      <c r="R57" s="64" t="s">
        <v>289</v>
      </c>
      <c r="S57" s="64" t="s">
        <v>288</v>
      </c>
      <c r="T57" s="64" t="s">
        <v>287</v>
      </c>
      <c r="U57" s="64" t="s">
        <v>286</v>
      </c>
      <c r="V57" s="64" t="s">
        <v>285</v>
      </c>
      <c r="W57" s="64" t="s">
        <v>284</v>
      </c>
      <c r="X57" s="64" t="s">
        <v>283</v>
      </c>
      <c r="Y57" s="64" t="s">
        <v>282</v>
      </c>
      <c r="Z57" s="64" t="s">
        <v>281</v>
      </c>
      <c r="AA57" s="64" t="s">
        <v>280</v>
      </c>
      <c r="AB57" s="64" t="s">
        <v>279</v>
      </c>
      <c r="AC57" s="64" t="s">
        <v>278</v>
      </c>
      <c r="AD57" s="64" t="s">
        <v>277</v>
      </c>
      <c r="AE57" s="64" t="s">
        <v>276</v>
      </c>
      <c r="AF57" s="64" t="s">
        <v>275</v>
      </c>
      <c r="AG57" s="64" t="s">
        <v>274</v>
      </c>
      <c r="AH57" s="64" t="s">
        <v>273</v>
      </c>
      <c r="AI57" s="64" t="s">
        <v>272</v>
      </c>
      <c r="AJ57" s="64" t="s">
        <v>271</v>
      </c>
      <c r="AK57" s="64" t="s">
        <v>270</v>
      </c>
    </row>
    <row r="58" spans="1:37">
      <c r="A58" s="64" t="s">
        <v>40</v>
      </c>
      <c r="B58" s="64">
        <v>419.88</v>
      </c>
      <c r="C58" s="64">
        <v>428.95</v>
      </c>
      <c r="D58" s="64">
        <v>428.48</v>
      </c>
      <c r="E58" s="64">
        <v>440.36</v>
      </c>
      <c r="F58" s="64">
        <v>425.55</v>
      </c>
      <c r="G58" s="64">
        <v>423.82</v>
      </c>
      <c r="H58" s="64">
        <v>428.89</v>
      </c>
      <c r="I58" s="64">
        <v>471.01</v>
      </c>
      <c r="J58" s="64">
        <v>485.79</v>
      </c>
      <c r="K58" s="64">
        <v>509.2</v>
      </c>
      <c r="L58" s="64">
        <v>508.27</v>
      </c>
      <c r="M58" s="64">
        <v>507.39</v>
      </c>
      <c r="N58" s="64">
        <v>504.7</v>
      </c>
      <c r="O58" s="64">
        <v>502.05</v>
      </c>
      <c r="P58" s="64">
        <v>498.69</v>
      </c>
      <c r="Q58" s="64">
        <v>496.19</v>
      </c>
      <c r="R58" s="64">
        <v>494.26</v>
      </c>
      <c r="S58" s="64">
        <v>493.75</v>
      </c>
      <c r="T58" s="64">
        <v>494.09</v>
      </c>
      <c r="U58" s="64">
        <v>495.33</v>
      </c>
      <c r="V58" s="64">
        <v>497.43</v>
      </c>
      <c r="W58" s="64">
        <v>499.7</v>
      </c>
      <c r="X58" s="64">
        <v>501.78</v>
      </c>
      <c r="Y58" s="64">
        <v>502.73</v>
      </c>
      <c r="Z58" s="64">
        <v>501.9</v>
      </c>
      <c r="AA58" s="64">
        <v>499.77</v>
      </c>
      <c r="AB58" s="64">
        <v>496.59</v>
      </c>
      <c r="AC58" s="64">
        <v>492.17</v>
      </c>
      <c r="AD58" s="64">
        <v>486.78</v>
      </c>
      <c r="AE58" s="64">
        <v>480.14</v>
      </c>
      <c r="AF58" s="64">
        <v>471.44</v>
      </c>
      <c r="AG58" s="64">
        <v>463.9</v>
      </c>
      <c r="AH58" s="64">
        <v>455.36</v>
      </c>
      <c r="AI58" s="64">
        <v>447.12</v>
      </c>
      <c r="AJ58" s="64">
        <v>438.24</v>
      </c>
      <c r="AK58" s="64">
        <v>429.25</v>
      </c>
    </row>
    <row r="59" spans="1:37">
      <c r="A59" s="64" t="s">
        <v>317</v>
      </c>
      <c r="B59" s="64">
        <v>60.02</v>
      </c>
      <c r="C59" s="64">
        <v>62.71</v>
      </c>
      <c r="D59" s="64">
        <v>72.069999999999993</v>
      </c>
      <c r="E59" s="64">
        <v>98.81</v>
      </c>
      <c r="F59" s="64">
        <v>105.87</v>
      </c>
      <c r="G59" s="64">
        <v>109.18</v>
      </c>
      <c r="H59" s="64">
        <v>114.25</v>
      </c>
      <c r="I59" s="64">
        <v>131.57</v>
      </c>
      <c r="J59" s="64">
        <v>146.97</v>
      </c>
      <c r="K59" s="64">
        <v>158.65</v>
      </c>
      <c r="L59" s="64">
        <v>159.88999999999999</v>
      </c>
      <c r="M59" s="64">
        <v>162.37</v>
      </c>
      <c r="N59" s="64">
        <v>165.89</v>
      </c>
      <c r="O59" s="64">
        <v>169.12</v>
      </c>
      <c r="P59" s="64">
        <v>171.26</v>
      </c>
      <c r="Q59" s="64">
        <v>173.54</v>
      </c>
      <c r="R59" s="64">
        <v>175.9</v>
      </c>
      <c r="S59" s="64">
        <v>178.82</v>
      </c>
      <c r="T59" s="64">
        <v>181.97</v>
      </c>
      <c r="U59" s="64">
        <v>185.32</v>
      </c>
      <c r="V59" s="64">
        <v>189.03</v>
      </c>
      <c r="W59" s="64">
        <v>192.68</v>
      </c>
      <c r="X59" s="64">
        <v>196.12</v>
      </c>
      <c r="Y59" s="64">
        <v>198.86</v>
      </c>
      <c r="Z59" s="64">
        <v>200.79</v>
      </c>
      <c r="AA59" s="64">
        <v>202.19</v>
      </c>
      <c r="AB59" s="64">
        <v>202.91</v>
      </c>
      <c r="AC59" s="64">
        <v>202.94</v>
      </c>
      <c r="AD59" s="64">
        <v>202.41</v>
      </c>
      <c r="AE59" s="64">
        <v>200.82</v>
      </c>
      <c r="AF59" s="64">
        <v>197.18</v>
      </c>
      <c r="AG59" s="64">
        <v>194.53</v>
      </c>
      <c r="AH59" s="64">
        <v>191.64</v>
      </c>
      <c r="AI59" s="64">
        <v>188.78</v>
      </c>
      <c r="AJ59" s="64">
        <v>185.32</v>
      </c>
      <c r="AK59" s="64">
        <v>181.84</v>
      </c>
    </row>
    <row r="60" spans="1:37">
      <c r="A60" s="64" t="s">
        <v>318</v>
      </c>
      <c r="B60" s="64">
        <v>359.29</v>
      </c>
      <c r="C60" s="64">
        <v>365.63</v>
      </c>
      <c r="D60" s="64">
        <v>355.75</v>
      </c>
      <c r="E60" s="64">
        <v>340.81</v>
      </c>
      <c r="F60" s="64">
        <v>318.60000000000002</v>
      </c>
      <c r="G60" s="64">
        <v>313.51</v>
      </c>
      <c r="H60" s="64">
        <v>313.42</v>
      </c>
      <c r="I60" s="64">
        <v>338.23</v>
      </c>
      <c r="J60" s="64">
        <v>337.6</v>
      </c>
      <c r="K60" s="64">
        <v>349.33</v>
      </c>
      <c r="L60" s="64">
        <v>347.17</v>
      </c>
      <c r="M60" s="64">
        <v>341.71</v>
      </c>
      <c r="N60" s="64">
        <v>335.51</v>
      </c>
      <c r="O60" s="64">
        <v>329.62</v>
      </c>
      <c r="P60" s="64">
        <v>324.05</v>
      </c>
      <c r="Q60" s="64">
        <v>319.05</v>
      </c>
      <c r="R60" s="64">
        <v>314.62</v>
      </c>
      <c r="S60" s="64">
        <v>311.08999999999997</v>
      </c>
      <c r="T60" s="64">
        <v>308.2</v>
      </c>
      <c r="U60" s="64">
        <v>306.04000000000002</v>
      </c>
      <c r="V60" s="64">
        <v>304.39</v>
      </c>
      <c r="W60" s="64">
        <v>303</v>
      </c>
      <c r="X60" s="64">
        <v>301.67</v>
      </c>
      <c r="Y60" s="64">
        <v>299.94</v>
      </c>
      <c r="Z60" s="64">
        <v>297.25</v>
      </c>
      <c r="AA60" s="64">
        <v>293.79000000000002</v>
      </c>
      <c r="AB60" s="64">
        <v>289.97000000000003</v>
      </c>
      <c r="AC60" s="64">
        <v>285.61</v>
      </c>
      <c r="AD60" s="64">
        <v>280.83999999999997</v>
      </c>
      <c r="AE60" s="64">
        <v>275.91000000000003</v>
      </c>
      <c r="AF60" s="64">
        <v>270.95</v>
      </c>
      <c r="AG60" s="64">
        <v>266.16000000000003</v>
      </c>
      <c r="AH60" s="64">
        <v>260.60000000000002</v>
      </c>
      <c r="AI60" s="64">
        <v>255.33</v>
      </c>
      <c r="AJ60" s="64">
        <v>250.01</v>
      </c>
      <c r="AK60" s="64">
        <v>244.61</v>
      </c>
    </row>
    <row r="61" spans="1:37">
      <c r="A61" s="64" t="s">
        <v>319</v>
      </c>
      <c r="B61" s="64">
        <v>0.57999999999999996</v>
      </c>
      <c r="C61" s="64">
        <v>0.62</v>
      </c>
      <c r="D61" s="64">
        <v>0.65</v>
      </c>
      <c r="E61" s="64">
        <v>0.74</v>
      </c>
      <c r="F61" s="64">
        <v>1.08</v>
      </c>
      <c r="G61" s="64">
        <v>1.1299999999999999</v>
      </c>
      <c r="H61" s="64">
        <v>1.21</v>
      </c>
      <c r="I61" s="64">
        <v>1.21</v>
      </c>
      <c r="J61" s="64">
        <v>1.21</v>
      </c>
      <c r="K61" s="64">
        <v>1.21</v>
      </c>
      <c r="L61" s="64">
        <v>1.21</v>
      </c>
      <c r="M61" s="64">
        <v>3.3</v>
      </c>
      <c r="N61" s="64">
        <v>3.3</v>
      </c>
      <c r="O61" s="64">
        <v>3.31</v>
      </c>
      <c r="P61" s="64">
        <v>3.38</v>
      </c>
      <c r="Q61" s="64">
        <v>3.6</v>
      </c>
      <c r="R61" s="64">
        <v>3.74</v>
      </c>
      <c r="S61" s="64">
        <v>3.84</v>
      </c>
      <c r="T61" s="64">
        <v>3.92</v>
      </c>
      <c r="U61" s="64">
        <v>3.97</v>
      </c>
      <c r="V61" s="64">
        <v>4.01</v>
      </c>
      <c r="W61" s="64">
        <v>4.0199999999999996</v>
      </c>
      <c r="X61" s="64">
        <v>3.99</v>
      </c>
      <c r="Y61" s="64">
        <v>3.93</v>
      </c>
      <c r="Z61" s="64">
        <v>3.86</v>
      </c>
      <c r="AA61" s="64">
        <v>3.79</v>
      </c>
      <c r="AB61" s="64">
        <v>3.71</v>
      </c>
      <c r="AC61" s="64">
        <v>3.63</v>
      </c>
      <c r="AD61" s="64">
        <v>3.53</v>
      </c>
      <c r="AE61" s="64">
        <v>3.42</v>
      </c>
      <c r="AF61" s="64">
        <v>3.31</v>
      </c>
      <c r="AG61" s="64">
        <v>3.21</v>
      </c>
      <c r="AH61" s="64">
        <v>3.12</v>
      </c>
      <c r="AI61" s="64">
        <v>3.01</v>
      </c>
      <c r="AJ61" s="64">
        <v>2.9</v>
      </c>
      <c r="AK61" s="64">
        <v>2.8</v>
      </c>
    </row>
    <row r="63" spans="1:37" ht="19">
      <c r="A63" s="65" t="s">
        <v>332</v>
      </c>
    </row>
    <row r="64" spans="1:37">
      <c r="A64" s="64" t="s">
        <v>306</v>
      </c>
      <c r="B64" s="64" t="s">
        <v>305</v>
      </c>
      <c r="C64" s="64" t="s">
        <v>304</v>
      </c>
      <c r="D64" s="64" t="s">
        <v>303</v>
      </c>
      <c r="E64" s="64" t="s">
        <v>302</v>
      </c>
      <c r="F64" s="64" t="s">
        <v>301</v>
      </c>
      <c r="G64" s="64" t="s">
        <v>300</v>
      </c>
      <c r="H64" s="64" t="s">
        <v>299</v>
      </c>
      <c r="I64" s="64" t="s">
        <v>298</v>
      </c>
      <c r="J64" s="64" t="s">
        <v>297</v>
      </c>
      <c r="K64" s="64" t="s">
        <v>296</v>
      </c>
      <c r="L64" s="64" t="s">
        <v>295</v>
      </c>
      <c r="M64" s="64" t="s">
        <v>294</v>
      </c>
      <c r="N64" s="64" t="s">
        <v>293</v>
      </c>
      <c r="O64" s="64" t="s">
        <v>292</v>
      </c>
      <c r="P64" s="64" t="s">
        <v>291</v>
      </c>
      <c r="Q64" s="64" t="s">
        <v>290</v>
      </c>
      <c r="R64" s="64" t="s">
        <v>289</v>
      </c>
      <c r="S64" s="64" t="s">
        <v>288</v>
      </c>
      <c r="T64" s="64" t="s">
        <v>287</v>
      </c>
      <c r="U64" s="64" t="s">
        <v>286</v>
      </c>
      <c r="V64" s="64" t="s">
        <v>285</v>
      </c>
      <c r="W64" s="64" t="s">
        <v>284</v>
      </c>
      <c r="X64" s="64" t="s">
        <v>283</v>
      </c>
      <c r="Y64" s="64" t="s">
        <v>282</v>
      </c>
      <c r="Z64" s="64" t="s">
        <v>281</v>
      </c>
      <c r="AA64" s="64" t="s">
        <v>280</v>
      </c>
      <c r="AB64" s="64" t="s">
        <v>279</v>
      </c>
      <c r="AC64" s="64" t="s">
        <v>278</v>
      </c>
      <c r="AD64" s="64" t="s">
        <v>277</v>
      </c>
      <c r="AE64" s="64" t="s">
        <v>276</v>
      </c>
      <c r="AF64" s="64" t="s">
        <v>275</v>
      </c>
      <c r="AG64" s="64" t="s">
        <v>274</v>
      </c>
      <c r="AH64" s="64" t="s">
        <v>273</v>
      </c>
      <c r="AI64" s="64" t="s">
        <v>272</v>
      </c>
      <c r="AJ64" s="64" t="s">
        <v>271</v>
      </c>
      <c r="AK64" s="64" t="s">
        <v>270</v>
      </c>
    </row>
    <row r="65" spans="1:37">
      <c r="A65" s="64" t="s">
        <v>40</v>
      </c>
      <c r="B65" s="64">
        <v>18.79</v>
      </c>
      <c r="C65" s="64">
        <v>18.66</v>
      </c>
      <c r="D65" s="64">
        <v>17.53</v>
      </c>
      <c r="E65" s="64">
        <v>16.23</v>
      </c>
      <c r="F65" s="64">
        <v>15.54</v>
      </c>
      <c r="G65" s="64">
        <v>15.04</v>
      </c>
      <c r="H65" s="64">
        <v>10.51</v>
      </c>
      <c r="I65" s="64">
        <v>13.01</v>
      </c>
      <c r="J65" s="64">
        <v>12.36</v>
      </c>
      <c r="K65" s="64">
        <v>10.63</v>
      </c>
      <c r="L65" s="64">
        <v>10.130000000000001</v>
      </c>
      <c r="M65" s="64">
        <v>9.6199999999999992</v>
      </c>
      <c r="N65" s="64">
        <v>9.14</v>
      </c>
      <c r="O65" s="64">
        <v>8.69</v>
      </c>
      <c r="P65" s="64">
        <v>8.25</v>
      </c>
      <c r="Q65" s="64">
        <v>7.84</v>
      </c>
      <c r="R65" s="64">
        <v>7.45</v>
      </c>
      <c r="S65" s="64">
        <v>7.07</v>
      </c>
      <c r="T65" s="64">
        <v>6.72</v>
      </c>
      <c r="U65" s="64">
        <v>6.38</v>
      </c>
      <c r="V65" s="64">
        <v>6.07</v>
      </c>
      <c r="W65" s="64">
        <v>5.76</v>
      </c>
      <c r="X65" s="64">
        <v>5.47</v>
      </c>
      <c r="Y65" s="64">
        <v>5.2</v>
      </c>
      <c r="Z65" s="64">
        <v>4.9400000000000004</v>
      </c>
      <c r="AA65" s="64">
        <v>4.6900000000000004</v>
      </c>
      <c r="AB65" s="64">
        <v>4.46</v>
      </c>
      <c r="AC65" s="64">
        <v>4.24</v>
      </c>
      <c r="AD65" s="64">
        <v>4.0199999999999996</v>
      </c>
      <c r="AE65" s="64">
        <v>3.82</v>
      </c>
      <c r="AF65" s="64">
        <v>3.63</v>
      </c>
      <c r="AG65" s="64">
        <v>3.45</v>
      </c>
      <c r="AH65" s="64">
        <v>3.28</v>
      </c>
      <c r="AI65" s="64">
        <v>3.11</v>
      </c>
      <c r="AJ65" s="64">
        <v>2.96</v>
      </c>
      <c r="AK65" s="64">
        <v>2.81</v>
      </c>
    </row>
    <row r="66" spans="1:37">
      <c r="A66" s="64" t="s">
        <v>317</v>
      </c>
      <c r="B66" s="64">
        <v>18.79</v>
      </c>
      <c r="C66" s="64">
        <v>18.66</v>
      </c>
      <c r="D66" s="64">
        <v>17.53</v>
      </c>
      <c r="E66" s="64">
        <v>16.23</v>
      </c>
      <c r="F66" s="64">
        <v>15.54</v>
      </c>
      <c r="G66" s="64">
        <v>15.04</v>
      </c>
      <c r="H66" s="64">
        <v>10.51</v>
      </c>
      <c r="I66" s="64">
        <v>13.01</v>
      </c>
      <c r="J66" s="64">
        <v>12.36</v>
      </c>
      <c r="K66" s="64">
        <v>10.63</v>
      </c>
      <c r="L66" s="64">
        <v>10.130000000000001</v>
      </c>
      <c r="M66" s="64">
        <v>9.6199999999999992</v>
      </c>
      <c r="N66" s="64">
        <v>9.14</v>
      </c>
      <c r="O66" s="64">
        <v>8.69</v>
      </c>
      <c r="P66" s="64">
        <v>8.25</v>
      </c>
      <c r="Q66" s="64">
        <v>7.84</v>
      </c>
      <c r="R66" s="64">
        <v>7.45</v>
      </c>
      <c r="S66" s="64">
        <v>7.07</v>
      </c>
      <c r="T66" s="64">
        <v>6.72</v>
      </c>
      <c r="U66" s="64">
        <v>6.38</v>
      </c>
      <c r="V66" s="64">
        <v>6.07</v>
      </c>
      <c r="W66" s="64">
        <v>5.76</v>
      </c>
      <c r="X66" s="64">
        <v>5.47</v>
      </c>
      <c r="Y66" s="64">
        <v>5.2</v>
      </c>
      <c r="Z66" s="64">
        <v>4.9400000000000004</v>
      </c>
      <c r="AA66" s="64">
        <v>4.6900000000000004</v>
      </c>
      <c r="AB66" s="64">
        <v>4.46</v>
      </c>
      <c r="AC66" s="64">
        <v>4.24</v>
      </c>
      <c r="AD66" s="64">
        <v>4.0199999999999996</v>
      </c>
      <c r="AE66" s="64">
        <v>3.82</v>
      </c>
      <c r="AF66" s="64">
        <v>3.63</v>
      </c>
      <c r="AG66" s="64">
        <v>3.45</v>
      </c>
      <c r="AH66" s="64">
        <v>3.28</v>
      </c>
      <c r="AI66" s="64">
        <v>3.11</v>
      </c>
      <c r="AJ66" s="64">
        <v>2.96</v>
      </c>
      <c r="AK66" s="64">
        <v>2.81</v>
      </c>
    </row>
  </sheetData>
  <pageMargins left="0.75" right="0.75" top="0.75" bottom="0.5" header="0.5" footer="0.75"/>
  <pageSetup orientation="portrait"/>
  <tableParts count="9">
    <tablePart r:id="rId1"/>
    <tablePart r:id="rId2"/>
    <tablePart r:id="rId3"/>
    <tablePart r:id="rId4"/>
    <tablePart r:id="rId5"/>
    <tablePart r:id="rId6"/>
    <tablePart r:id="rId7"/>
    <tablePart r:id="rId8"/>
    <tablePart r:id="rId9"/>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79998168889431442"/>
  </sheetPr>
  <dimension ref="A3:BV35"/>
  <sheetViews>
    <sheetView workbookViewId="0">
      <selection activeCell="I35" sqref="I35"/>
    </sheetView>
  </sheetViews>
  <sheetFormatPr baseColWidth="10" defaultColWidth="11.5" defaultRowHeight="15"/>
  <cols>
    <col min="3" max="3" width="11.1640625" bestFit="1" customWidth="1"/>
    <col min="5" max="5" width="11.1640625" bestFit="1" customWidth="1"/>
  </cols>
  <sheetData>
    <row r="3" spans="1:74">
      <c r="A3" t="s">
        <v>1085</v>
      </c>
    </row>
    <row r="5" spans="1:74">
      <c r="A5" s="411" t="s">
        <v>1069</v>
      </c>
      <c r="B5" s="411"/>
      <c r="C5" s="411"/>
      <c r="D5" s="411"/>
      <c r="E5" s="411"/>
      <c r="F5" s="411"/>
      <c r="G5" s="411"/>
      <c r="H5" s="411"/>
      <c r="I5" s="411"/>
      <c r="J5" s="411"/>
      <c r="K5" s="411"/>
      <c r="L5" s="411"/>
      <c r="M5" s="411"/>
      <c r="N5" s="411"/>
      <c r="O5" s="411"/>
      <c r="P5" s="411"/>
      <c r="Q5" s="411"/>
      <c r="R5" s="411"/>
      <c r="S5" s="411"/>
      <c r="T5" s="411"/>
      <c r="U5" s="411"/>
      <c r="V5" s="411"/>
      <c r="W5" s="411"/>
      <c r="X5" s="411"/>
      <c r="Y5" s="411"/>
      <c r="Z5" s="411"/>
      <c r="AA5" s="411"/>
      <c r="AB5" s="411"/>
      <c r="AC5" s="411"/>
      <c r="AD5" s="411"/>
      <c r="AE5" s="411"/>
      <c r="AF5" s="411"/>
      <c r="AG5" s="411"/>
      <c r="AH5" s="411"/>
      <c r="AI5" s="411"/>
      <c r="AJ5" s="411"/>
      <c r="AK5" s="411"/>
      <c r="AL5" s="411"/>
      <c r="AM5" s="411"/>
      <c r="AN5" s="411"/>
      <c r="AO5" s="411"/>
      <c r="AP5" s="411"/>
      <c r="AQ5" s="411"/>
      <c r="AR5" s="411"/>
      <c r="AS5" s="411"/>
      <c r="AT5" s="411"/>
      <c r="AU5" s="411"/>
      <c r="AV5" s="411"/>
      <c r="AW5" s="411"/>
      <c r="AX5" s="411"/>
      <c r="AY5" s="411"/>
      <c r="AZ5" s="411"/>
      <c r="BA5" s="411"/>
      <c r="BB5" s="411"/>
      <c r="BC5" s="411"/>
      <c r="BD5" s="411"/>
      <c r="BE5" s="411"/>
      <c r="BF5" s="411"/>
      <c r="BG5" s="411"/>
      <c r="BH5" s="411"/>
      <c r="BI5" s="411"/>
      <c r="BJ5" s="411"/>
      <c r="BK5" s="411"/>
      <c r="BL5" s="411"/>
      <c r="BM5" s="411"/>
      <c r="BN5" s="411"/>
      <c r="BO5" s="411"/>
      <c r="BP5" s="411"/>
      <c r="BQ5" s="411"/>
      <c r="BR5" s="411"/>
      <c r="BS5" s="411"/>
      <c r="BT5" s="411"/>
      <c r="BU5" s="411"/>
      <c r="BV5" s="411"/>
    </row>
    <row r="6" spans="1:74">
      <c r="A6" s="411" t="s">
        <v>1070</v>
      </c>
      <c r="B6" s="411"/>
      <c r="C6" s="411"/>
      <c r="D6" s="411"/>
      <c r="E6" s="411"/>
      <c r="F6" s="411"/>
      <c r="G6" s="411"/>
      <c r="H6" s="411"/>
      <c r="I6" s="411"/>
      <c r="J6" s="411"/>
      <c r="K6" s="411"/>
      <c r="L6" s="411"/>
      <c r="M6" s="411"/>
      <c r="N6" s="411"/>
      <c r="O6" s="411"/>
      <c r="P6" s="411"/>
      <c r="Q6" s="411"/>
      <c r="R6" s="411"/>
      <c r="S6" s="411"/>
      <c r="T6" s="411"/>
      <c r="U6" s="411"/>
      <c r="V6" s="411"/>
      <c r="W6" s="411"/>
      <c r="X6" s="411"/>
      <c r="Y6" s="411"/>
      <c r="Z6" s="411"/>
      <c r="AA6" s="411"/>
      <c r="AB6" s="411"/>
      <c r="AC6" s="411"/>
      <c r="AD6" s="411"/>
      <c r="AE6" s="411"/>
      <c r="AF6" s="411"/>
      <c r="AG6" s="411"/>
      <c r="AH6" s="411"/>
      <c r="AI6" s="411"/>
      <c r="AJ6" s="411"/>
      <c r="AK6" s="411"/>
      <c r="AL6" s="411"/>
      <c r="AM6" s="411"/>
      <c r="AN6" s="411"/>
      <c r="AO6" s="411"/>
      <c r="AP6" s="411"/>
      <c r="AQ6" s="411"/>
      <c r="AR6" s="411"/>
      <c r="AS6" s="411"/>
      <c r="AT6" s="411"/>
      <c r="AU6" s="411"/>
      <c r="AV6" s="411"/>
      <c r="AW6" s="411"/>
      <c r="AX6" s="411"/>
      <c r="AY6" s="411"/>
      <c r="AZ6" s="411"/>
      <c r="BA6" s="411"/>
      <c r="BB6" s="411"/>
      <c r="BC6" s="411"/>
      <c r="BD6" s="411"/>
      <c r="BE6" s="411"/>
      <c r="BF6" s="411"/>
      <c r="BG6" s="411"/>
      <c r="BH6" s="411"/>
      <c r="BI6" s="411"/>
      <c r="BJ6" s="411"/>
      <c r="BK6" s="411"/>
      <c r="BL6" s="411"/>
      <c r="BM6" s="411"/>
      <c r="BN6" s="411"/>
      <c r="BO6" s="411"/>
      <c r="BP6" s="411"/>
      <c r="BQ6" s="411"/>
      <c r="BR6" s="411"/>
      <c r="BS6" s="411"/>
      <c r="BT6" s="411"/>
      <c r="BU6" s="411"/>
      <c r="BV6" s="411"/>
    </row>
    <row r="7" spans="1:74">
      <c r="A7" s="411" t="s">
        <v>1071</v>
      </c>
      <c r="B7" s="411"/>
      <c r="C7" s="411"/>
      <c r="D7" s="411"/>
      <c r="E7" s="411"/>
      <c r="F7" s="411"/>
      <c r="G7" s="411"/>
      <c r="H7" s="411"/>
      <c r="I7" s="411"/>
      <c r="J7" s="411"/>
      <c r="K7" s="411"/>
      <c r="L7" s="411"/>
      <c r="M7" s="411"/>
      <c r="N7" s="411"/>
      <c r="O7" s="411"/>
      <c r="P7" s="411"/>
      <c r="Q7" s="411"/>
      <c r="R7" s="411"/>
      <c r="S7" s="411"/>
      <c r="T7" s="411"/>
      <c r="U7" s="411"/>
      <c r="V7" s="411"/>
      <c r="W7" s="411"/>
      <c r="X7" s="411"/>
      <c r="Y7" s="411"/>
      <c r="Z7" s="411"/>
      <c r="AA7" s="411"/>
      <c r="AB7" s="411"/>
      <c r="AC7" s="411"/>
      <c r="AD7" s="411"/>
      <c r="AE7" s="411"/>
      <c r="AF7" s="411"/>
      <c r="AG7" s="411"/>
      <c r="AH7" s="411"/>
      <c r="AI7" s="411"/>
      <c r="AJ7" s="411"/>
      <c r="AK7" s="411"/>
      <c r="AL7" s="411"/>
      <c r="AM7" s="411"/>
      <c r="AN7" s="411"/>
      <c r="AO7" s="411"/>
      <c r="AP7" s="411"/>
      <c r="AQ7" s="411"/>
      <c r="AR7" s="411"/>
      <c r="AS7" s="411"/>
      <c r="AT7" s="411"/>
      <c r="AU7" s="411"/>
      <c r="AV7" s="411"/>
      <c r="AW7" s="411"/>
      <c r="AX7" s="411"/>
      <c r="AY7" s="411"/>
      <c r="AZ7" s="411"/>
      <c r="BA7" s="411"/>
      <c r="BB7" s="411"/>
      <c r="BC7" s="411"/>
      <c r="BD7" s="411"/>
      <c r="BE7" s="411"/>
      <c r="BF7" s="411"/>
      <c r="BG7" s="411"/>
      <c r="BH7" s="411"/>
      <c r="BI7" s="411"/>
      <c r="BJ7" s="411"/>
      <c r="BK7" s="411"/>
      <c r="BL7" s="411"/>
      <c r="BM7" s="411"/>
      <c r="BN7" s="411"/>
      <c r="BO7" s="411"/>
      <c r="BP7" s="411"/>
      <c r="BQ7" s="411"/>
      <c r="BR7" s="411"/>
      <c r="BS7" s="411"/>
      <c r="BT7" s="411"/>
      <c r="BU7" s="411"/>
      <c r="BV7" s="411"/>
    </row>
    <row r="8" spans="1:74">
      <c r="A8" s="411" t="s">
        <v>1072</v>
      </c>
      <c r="B8" s="411"/>
      <c r="C8" s="411"/>
      <c r="D8" s="411"/>
      <c r="E8" s="411"/>
      <c r="F8" s="411"/>
      <c r="G8" s="411"/>
      <c r="H8" s="411"/>
      <c r="I8" s="411"/>
      <c r="J8" s="411"/>
      <c r="K8" s="411"/>
      <c r="L8" s="411"/>
      <c r="M8" s="411"/>
      <c r="N8" s="411"/>
      <c r="O8" s="411"/>
      <c r="P8" s="411"/>
      <c r="Q8" s="411"/>
      <c r="R8" s="411"/>
      <c r="S8" s="411"/>
      <c r="T8" s="411"/>
      <c r="U8" s="411"/>
      <c r="V8" s="411"/>
      <c r="W8" s="411"/>
      <c r="X8" s="411"/>
      <c r="Y8" s="411"/>
      <c r="Z8" s="411"/>
      <c r="AA8" s="411"/>
      <c r="AB8" s="411"/>
      <c r="AC8" s="411"/>
      <c r="AD8" s="411"/>
      <c r="AE8" s="411"/>
      <c r="AF8" s="411"/>
      <c r="AG8" s="411"/>
      <c r="AH8" s="411"/>
      <c r="AI8" s="411"/>
      <c r="AJ8" s="411"/>
      <c r="AK8" s="411"/>
      <c r="AL8" s="411"/>
      <c r="AM8" s="411"/>
      <c r="AN8" s="411"/>
      <c r="AO8" s="411"/>
      <c r="AP8" s="411"/>
      <c r="AQ8" s="411"/>
      <c r="AR8" s="411"/>
      <c r="AS8" s="411"/>
      <c r="AT8" s="411"/>
      <c r="AU8" s="411"/>
      <c r="AV8" s="411"/>
      <c r="AW8" s="411"/>
      <c r="AX8" s="411"/>
      <c r="AY8" s="411"/>
      <c r="AZ8" s="411"/>
      <c r="BA8" s="411"/>
      <c r="BB8" s="411"/>
      <c r="BC8" s="411"/>
      <c r="BD8" s="411"/>
      <c r="BE8" s="411"/>
      <c r="BF8" s="411"/>
      <c r="BG8" s="411"/>
      <c r="BH8" s="411"/>
      <c r="BI8" s="411"/>
      <c r="BJ8" s="411"/>
      <c r="BK8" s="411"/>
      <c r="BL8" s="411"/>
      <c r="BM8" s="411"/>
      <c r="BN8" s="411"/>
      <c r="BO8" s="411"/>
      <c r="BP8" s="411"/>
      <c r="BQ8" s="411"/>
      <c r="BR8" s="411"/>
      <c r="BS8" s="411"/>
      <c r="BT8" s="411"/>
      <c r="BU8" s="411"/>
      <c r="BV8" s="411"/>
    </row>
    <row r="9" spans="1:74">
      <c r="A9" s="411"/>
      <c r="B9" s="411"/>
      <c r="C9" s="411"/>
      <c r="D9" s="411"/>
      <c r="E9" s="411"/>
      <c r="F9" s="411"/>
      <c r="G9" s="411"/>
      <c r="H9" s="411"/>
      <c r="I9" s="411"/>
      <c r="J9" s="411"/>
      <c r="K9" s="411"/>
      <c r="L9" s="411"/>
      <c r="M9" s="411"/>
      <c r="N9" s="411"/>
      <c r="O9" s="411"/>
      <c r="P9" s="411"/>
      <c r="Q9" s="411"/>
      <c r="R9" s="411"/>
      <c r="S9" s="411"/>
      <c r="T9" s="411"/>
      <c r="U9" s="411"/>
      <c r="V9" s="411"/>
      <c r="W9" s="411"/>
      <c r="X9" s="411"/>
      <c r="Y9" s="411"/>
      <c r="Z9" s="411"/>
      <c r="AA9" s="411"/>
      <c r="AB9" s="411"/>
      <c r="AC9" s="411"/>
      <c r="AD9" s="411"/>
      <c r="AE9" s="411"/>
      <c r="AF9" s="411"/>
      <c r="AG9" s="411"/>
      <c r="AH9" s="411"/>
      <c r="AI9" s="411"/>
      <c r="AJ9" s="411"/>
      <c r="AK9" s="411"/>
      <c r="AL9" s="411"/>
      <c r="AM9" s="411"/>
      <c r="AN9" s="411"/>
      <c r="AO9" s="411"/>
      <c r="AP9" s="411"/>
      <c r="AQ9" s="411"/>
      <c r="AR9" s="411"/>
      <c r="AS9" s="411"/>
      <c r="AT9" s="411"/>
      <c r="AU9" s="411"/>
      <c r="AV9" s="411"/>
      <c r="AW9" s="411"/>
      <c r="AX9" s="411"/>
      <c r="AY9" s="411"/>
      <c r="AZ9" s="411"/>
      <c r="BA9" s="411"/>
      <c r="BB9" s="411"/>
      <c r="BC9" s="411"/>
      <c r="BD9" s="411"/>
      <c r="BE9" s="411"/>
      <c r="BF9" s="411"/>
      <c r="BG9" s="411"/>
      <c r="BH9" s="411"/>
      <c r="BI9" s="411"/>
      <c r="BJ9" s="411"/>
      <c r="BK9" s="411"/>
      <c r="BL9" s="411"/>
      <c r="BM9" s="411"/>
      <c r="BN9" s="411"/>
      <c r="BO9" s="411"/>
      <c r="BP9" s="411"/>
      <c r="BQ9" s="411"/>
      <c r="BR9" s="411"/>
      <c r="BS9" s="411"/>
      <c r="BT9" s="411"/>
      <c r="BU9" s="411"/>
      <c r="BV9" s="411"/>
    </row>
    <row r="10" spans="1:74">
      <c r="A10" s="411" t="s">
        <v>1073</v>
      </c>
      <c r="B10" s="411" t="s">
        <v>1074</v>
      </c>
      <c r="C10" s="425">
        <v>40179</v>
      </c>
      <c r="D10" s="425">
        <v>40210</v>
      </c>
      <c r="E10" s="425">
        <v>40238</v>
      </c>
      <c r="F10" s="425">
        <v>40269</v>
      </c>
      <c r="G10" s="425">
        <v>40299</v>
      </c>
      <c r="H10" s="425">
        <v>40330</v>
      </c>
      <c r="I10" s="425">
        <v>40360</v>
      </c>
      <c r="J10" s="425">
        <v>40391</v>
      </c>
      <c r="K10" s="425">
        <v>40422</v>
      </c>
      <c r="L10" s="425">
        <v>40452</v>
      </c>
      <c r="M10" s="425">
        <v>40483</v>
      </c>
      <c r="N10" s="425">
        <v>40513</v>
      </c>
      <c r="O10" s="425">
        <v>40544</v>
      </c>
      <c r="P10" s="425">
        <v>40575</v>
      </c>
      <c r="Q10" s="425">
        <v>40603</v>
      </c>
      <c r="R10" s="425">
        <v>40634</v>
      </c>
      <c r="S10" s="425">
        <v>40664</v>
      </c>
      <c r="T10" s="425">
        <v>40695</v>
      </c>
      <c r="U10" s="425">
        <v>40725</v>
      </c>
      <c r="V10" s="425">
        <v>40756</v>
      </c>
      <c r="W10" s="425">
        <v>40787</v>
      </c>
      <c r="X10" s="425">
        <v>40817</v>
      </c>
      <c r="Y10" s="425">
        <v>40848</v>
      </c>
      <c r="Z10" s="425">
        <v>40878</v>
      </c>
      <c r="AA10" s="425">
        <v>40909</v>
      </c>
      <c r="AB10" s="425">
        <v>40940</v>
      </c>
      <c r="AC10" s="425">
        <v>40969</v>
      </c>
      <c r="AD10" s="425">
        <v>41000</v>
      </c>
      <c r="AE10" s="425">
        <v>41030</v>
      </c>
      <c r="AF10" s="425">
        <v>41061</v>
      </c>
      <c r="AG10" s="425">
        <v>41091</v>
      </c>
      <c r="AH10" s="425">
        <v>41122</v>
      </c>
      <c r="AI10" s="425">
        <v>41153</v>
      </c>
      <c r="AJ10" s="425">
        <v>41183</v>
      </c>
      <c r="AK10" s="425">
        <v>41214</v>
      </c>
      <c r="AL10" s="425">
        <v>41244</v>
      </c>
      <c r="AM10" s="425">
        <v>41275</v>
      </c>
      <c r="AN10" s="425">
        <v>41306</v>
      </c>
      <c r="AO10" s="425">
        <v>41334</v>
      </c>
      <c r="AP10" s="425">
        <v>41365</v>
      </c>
      <c r="AQ10" s="425">
        <v>41395</v>
      </c>
      <c r="AR10" s="425">
        <v>41426</v>
      </c>
      <c r="AS10" s="425">
        <v>41456</v>
      </c>
      <c r="AT10" s="425">
        <v>41487</v>
      </c>
      <c r="AU10" s="425">
        <v>41518</v>
      </c>
      <c r="AV10" s="425">
        <v>41548</v>
      </c>
      <c r="AW10" s="425">
        <v>41579</v>
      </c>
      <c r="AX10" s="425">
        <v>41609</v>
      </c>
      <c r="AY10" s="425">
        <v>41640</v>
      </c>
      <c r="AZ10" s="425">
        <v>41671</v>
      </c>
      <c r="BA10" s="425">
        <v>41699</v>
      </c>
      <c r="BB10" s="425">
        <v>41730</v>
      </c>
      <c r="BC10" s="425">
        <v>41760</v>
      </c>
      <c r="BD10" s="425">
        <v>41791</v>
      </c>
      <c r="BE10" s="425">
        <v>41821</v>
      </c>
      <c r="BF10" s="425">
        <v>41852</v>
      </c>
      <c r="BG10" s="425">
        <v>41883</v>
      </c>
      <c r="BH10" s="425">
        <v>41913</v>
      </c>
      <c r="BI10" s="425">
        <v>41944</v>
      </c>
      <c r="BJ10" s="425">
        <v>41974</v>
      </c>
      <c r="BK10" s="425">
        <v>42005</v>
      </c>
      <c r="BL10" s="425">
        <v>42036</v>
      </c>
      <c r="BM10" s="425">
        <v>42064</v>
      </c>
      <c r="BN10" s="425">
        <v>42095</v>
      </c>
      <c r="BO10" s="425">
        <v>42125</v>
      </c>
      <c r="BP10" s="425">
        <v>42156</v>
      </c>
      <c r="BQ10" s="425">
        <v>42186</v>
      </c>
      <c r="BR10" s="425">
        <v>42217</v>
      </c>
      <c r="BS10" s="425">
        <v>42248</v>
      </c>
      <c r="BT10" s="425">
        <v>42278</v>
      </c>
      <c r="BU10" s="425">
        <v>42309</v>
      </c>
      <c r="BV10" s="425">
        <v>42339</v>
      </c>
    </row>
    <row r="11" spans="1:74">
      <c r="A11" s="411" t="s">
        <v>316</v>
      </c>
      <c r="B11" s="411"/>
      <c r="C11" s="411" t="s">
        <v>1075</v>
      </c>
      <c r="D11" s="411"/>
      <c r="E11" s="411"/>
      <c r="F11" s="411"/>
      <c r="G11" s="411"/>
      <c r="H11" s="411"/>
      <c r="I11" s="411"/>
      <c r="J11" s="411"/>
      <c r="K11" s="411"/>
      <c r="L11" s="411"/>
      <c r="M11" s="411"/>
      <c r="N11" s="411"/>
      <c r="O11" s="411"/>
      <c r="P11" s="411"/>
      <c r="Q11" s="411"/>
      <c r="R11" s="411"/>
      <c r="S11" s="411"/>
      <c r="T11" s="411"/>
      <c r="U11" s="411"/>
      <c r="V11" s="411"/>
      <c r="W11" s="411"/>
      <c r="X11" s="411"/>
      <c r="Y11" s="411"/>
      <c r="Z11" s="411"/>
      <c r="AA11" s="411"/>
      <c r="AB11" s="411"/>
      <c r="AC11" s="411"/>
      <c r="AD11" s="411"/>
      <c r="AE11" s="411"/>
      <c r="AF11" s="411"/>
      <c r="AG11" s="411"/>
      <c r="AH11" s="411"/>
      <c r="AI11" s="411"/>
      <c r="AJ11" s="411"/>
      <c r="AK11" s="411"/>
      <c r="AL11" s="411"/>
      <c r="AM11" s="411"/>
      <c r="AN11" s="411"/>
      <c r="AO11" s="411"/>
      <c r="AP11" s="411"/>
      <c r="AQ11" s="411"/>
      <c r="AR11" s="411"/>
      <c r="AS11" s="411"/>
      <c r="AT11" s="411"/>
      <c r="AU11" s="411"/>
      <c r="AV11" s="411"/>
      <c r="AW11" s="411"/>
      <c r="AX11" s="411"/>
      <c r="AY11" s="411"/>
      <c r="AZ11" s="411"/>
      <c r="BA11" s="411"/>
      <c r="BB11" s="411"/>
      <c r="BC11" s="411"/>
      <c r="BD11" s="411"/>
      <c r="BE11" s="411"/>
      <c r="BF11" s="411"/>
      <c r="BG11" s="411"/>
      <c r="BH11" s="411"/>
      <c r="BI11" s="411"/>
      <c r="BJ11" s="411"/>
      <c r="BK11" s="411"/>
      <c r="BL11" s="411"/>
      <c r="BM11" s="411"/>
      <c r="BN11" s="411"/>
      <c r="BO11" s="411"/>
      <c r="BP11" s="411"/>
      <c r="BQ11" s="411"/>
      <c r="BR11" s="411"/>
      <c r="BS11" s="411"/>
      <c r="BT11" s="411"/>
      <c r="BU11" s="411"/>
      <c r="BV11" s="411"/>
    </row>
    <row r="12" spans="1:74">
      <c r="A12" s="411"/>
      <c r="B12" s="411" t="s">
        <v>1076</v>
      </c>
      <c r="C12" s="10">
        <v>8941525</v>
      </c>
      <c r="D12" s="10">
        <v>7926246</v>
      </c>
      <c r="E12" s="10">
        <v>8909415</v>
      </c>
      <c r="F12" s="10">
        <v>7806361</v>
      </c>
      <c r="G12" s="10">
        <v>8316416</v>
      </c>
      <c r="H12" s="10">
        <v>8616930</v>
      </c>
      <c r="I12" s="10">
        <v>9430647</v>
      </c>
      <c r="J12" s="10">
        <v>9402631</v>
      </c>
      <c r="K12" s="10">
        <v>8136061</v>
      </c>
      <c r="L12" s="10">
        <v>8066506</v>
      </c>
      <c r="M12" s="10">
        <v>8274701</v>
      </c>
      <c r="N12" s="10">
        <v>9074286</v>
      </c>
      <c r="O12" s="10">
        <v>8197874</v>
      </c>
      <c r="P12" s="10">
        <v>7945699</v>
      </c>
      <c r="Q12" s="10">
        <v>9416133</v>
      </c>
      <c r="R12" s="10">
        <v>7784994</v>
      </c>
      <c r="S12" s="10">
        <v>7884651</v>
      </c>
      <c r="T12" s="10">
        <v>7376708</v>
      </c>
      <c r="U12" s="10">
        <v>7342845</v>
      </c>
      <c r="V12" s="10">
        <v>8250547</v>
      </c>
      <c r="W12" s="10">
        <v>8159320</v>
      </c>
      <c r="X12" s="10">
        <v>8476353</v>
      </c>
      <c r="Y12" s="10">
        <v>8082420</v>
      </c>
      <c r="Z12" s="10">
        <v>7993727</v>
      </c>
      <c r="AA12" s="10">
        <v>8390003</v>
      </c>
      <c r="AB12" s="10">
        <v>8550760</v>
      </c>
      <c r="AC12" s="10">
        <v>8075230</v>
      </c>
      <c r="AD12" s="10">
        <v>7700954</v>
      </c>
      <c r="AE12" s="10">
        <v>8667755</v>
      </c>
      <c r="AF12" s="10">
        <v>7813803</v>
      </c>
      <c r="AG12" s="10">
        <v>8850068</v>
      </c>
      <c r="AH12" s="10">
        <v>9358528</v>
      </c>
      <c r="AI12" s="10">
        <v>8139348</v>
      </c>
      <c r="AJ12" s="10">
        <v>8503118</v>
      </c>
      <c r="AK12" s="10">
        <v>9207229</v>
      </c>
      <c r="AL12" s="10">
        <v>9025672</v>
      </c>
      <c r="AM12" s="10">
        <v>9080168</v>
      </c>
      <c r="AN12" s="10">
        <v>8339520</v>
      </c>
      <c r="AO12" s="10">
        <v>8587951</v>
      </c>
      <c r="AP12" s="10">
        <v>7349369</v>
      </c>
      <c r="AQ12" s="10">
        <v>7621263</v>
      </c>
      <c r="AR12" s="10">
        <v>8465089</v>
      </c>
      <c r="AS12" s="10">
        <v>8321155</v>
      </c>
      <c r="AT12" s="10">
        <v>9189131</v>
      </c>
      <c r="AU12" s="10">
        <v>8200664</v>
      </c>
      <c r="AV12" s="10">
        <v>7959260</v>
      </c>
      <c r="AW12" s="10">
        <v>8043966</v>
      </c>
      <c r="AX12" s="10">
        <v>8625459</v>
      </c>
      <c r="AY12" s="10">
        <v>7626268</v>
      </c>
      <c r="AZ12" s="10">
        <v>7909126</v>
      </c>
      <c r="BA12" s="10">
        <v>7889597</v>
      </c>
      <c r="BB12" s="10">
        <v>6959731</v>
      </c>
      <c r="BC12" s="10">
        <v>7782576</v>
      </c>
      <c r="BD12" s="10">
        <v>8170953</v>
      </c>
      <c r="BE12" s="10">
        <v>8315781</v>
      </c>
      <c r="BF12" s="10">
        <v>8045661</v>
      </c>
      <c r="BG12" s="10">
        <v>7245214</v>
      </c>
      <c r="BH12" s="10">
        <v>7219269</v>
      </c>
      <c r="BI12" s="10">
        <v>7902258</v>
      </c>
      <c r="BJ12" s="10">
        <v>8479539</v>
      </c>
      <c r="BK12" s="10">
        <v>8373459</v>
      </c>
      <c r="BL12" s="10">
        <v>7407979</v>
      </c>
      <c r="BM12" s="10">
        <v>7888171</v>
      </c>
      <c r="BN12" s="10">
        <v>7629084</v>
      </c>
      <c r="BO12" s="10">
        <v>7625790</v>
      </c>
      <c r="BP12" s="10">
        <v>7945402</v>
      </c>
      <c r="BQ12" s="10">
        <v>8688733</v>
      </c>
      <c r="BR12" s="10">
        <v>8597494</v>
      </c>
      <c r="BS12" s="10">
        <v>7405588</v>
      </c>
      <c r="BT12" s="10">
        <v>7263386</v>
      </c>
      <c r="BU12" s="10">
        <v>8244719</v>
      </c>
      <c r="BV12" s="10">
        <v>7990419</v>
      </c>
    </row>
    <row r="13" spans="1:74">
      <c r="A13" s="411"/>
      <c r="B13" s="411" t="s">
        <v>1077</v>
      </c>
      <c r="C13" s="10">
        <v>9039719</v>
      </c>
      <c r="D13" s="10">
        <v>7889103</v>
      </c>
      <c r="E13" s="10">
        <v>8672264</v>
      </c>
      <c r="F13" s="10">
        <v>8006591</v>
      </c>
      <c r="G13" s="10">
        <v>8580699</v>
      </c>
      <c r="H13" s="10">
        <v>8702007</v>
      </c>
      <c r="I13" s="10">
        <v>9215360</v>
      </c>
      <c r="J13" s="10">
        <v>9324725</v>
      </c>
      <c r="K13" s="10">
        <v>8636024</v>
      </c>
      <c r="L13" s="10">
        <v>7680047</v>
      </c>
      <c r="M13" s="10">
        <v>8187145</v>
      </c>
      <c r="N13" s="10">
        <v>8998059</v>
      </c>
      <c r="O13" s="10">
        <v>8883077</v>
      </c>
      <c r="P13" s="10">
        <v>7955897</v>
      </c>
      <c r="Q13" s="10">
        <v>8974066</v>
      </c>
      <c r="R13" s="10">
        <v>7569456</v>
      </c>
      <c r="S13" s="10">
        <v>7425916</v>
      </c>
      <c r="T13" s="10">
        <v>7604355</v>
      </c>
      <c r="U13" s="10">
        <v>7998747</v>
      </c>
      <c r="V13" s="10">
        <v>8368548</v>
      </c>
      <c r="W13" s="10">
        <v>8333590</v>
      </c>
      <c r="X13" s="10">
        <v>8070977</v>
      </c>
      <c r="Y13" s="10">
        <v>7860175</v>
      </c>
      <c r="Z13" s="10">
        <v>8424155</v>
      </c>
      <c r="AA13" s="10">
        <v>8306925</v>
      </c>
      <c r="AB13" s="10">
        <v>8173371</v>
      </c>
      <c r="AC13" s="10">
        <v>8369914</v>
      </c>
      <c r="AD13" s="10">
        <v>7980558</v>
      </c>
      <c r="AE13" s="10">
        <v>8010620</v>
      </c>
      <c r="AF13" s="10">
        <v>8128847</v>
      </c>
      <c r="AG13" s="10">
        <v>8916535</v>
      </c>
      <c r="AH13" s="10">
        <v>9009509</v>
      </c>
      <c r="AI13" s="10">
        <v>8378700</v>
      </c>
      <c r="AJ13" s="10">
        <v>8489429</v>
      </c>
      <c r="AK13" s="10">
        <v>8809879</v>
      </c>
      <c r="AL13" s="10">
        <v>9312879</v>
      </c>
      <c r="AM13" s="10">
        <v>9113425</v>
      </c>
      <c r="AN13" s="10">
        <v>8160953</v>
      </c>
      <c r="AO13" s="10">
        <v>8794372</v>
      </c>
      <c r="AP13" s="411" t="s">
        <v>1078</v>
      </c>
      <c r="AQ13" s="426">
        <f>AVERAGE(AE13:AP13)</f>
        <v>8647740.7272727266</v>
      </c>
      <c r="AR13" s="426">
        <f>AVERAGE(AF13:AQ13)</f>
        <v>8705660.7933884282</v>
      </c>
      <c r="AS13" s="10">
        <v>8453339</v>
      </c>
      <c r="AT13" s="10">
        <v>9089531</v>
      </c>
      <c r="AU13" s="10">
        <v>8269769</v>
      </c>
      <c r="AV13" s="10">
        <v>7796212</v>
      </c>
      <c r="AW13" s="10">
        <v>8150455</v>
      </c>
      <c r="AX13" s="10">
        <v>8583060</v>
      </c>
      <c r="AY13" s="10">
        <v>8177664</v>
      </c>
      <c r="AZ13" s="426">
        <f>AVERAGE(AN13:AY13)</f>
        <v>8438977.8655146491</v>
      </c>
      <c r="BA13" s="426">
        <f>AVERAGE(AO13:AZ13)</f>
        <v>8464252.8532887083</v>
      </c>
      <c r="BB13" s="426">
        <f>AVERAGE(AP13:BA13)</f>
        <v>8434242.0217695013</v>
      </c>
      <c r="BC13" s="10">
        <v>7577793</v>
      </c>
      <c r="BD13" s="10">
        <v>8067267</v>
      </c>
      <c r="BE13" s="10">
        <v>8370860</v>
      </c>
      <c r="BF13" s="10">
        <v>8444786</v>
      </c>
      <c r="BG13" s="10">
        <v>7051531</v>
      </c>
      <c r="BH13" s="10">
        <v>7483654</v>
      </c>
      <c r="BI13" s="10">
        <v>7729682</v>
      </c>
      <c r="BJ13" s="10">
        <v>8267291</v>
      </c>
      <c r="BK13" s="10">
        <v>8639021</v>
      </c>
      <c r="BL13" s="10">
        <v>7350306</v>
      </c>
      <c r="BM13" s="10">
        <v>7926987</v>
      </c>
      <c r="BN13" s="10">
        <v>7262558</v>
      </c>
      <c r="BO13" s="10">
        <v>7796797</v>
      </c>
      <c r="BP13" s="10">
        <v>7737548</v>
      </c>
      <c r="BQ13" s="10">
        <v>8406628</v>
      </c>
      <c r="BR13" s="10">
        <v>8945727</v>
      </c>
      <c r="BS13" s="10">
        <v>7447254</v>
      </c>
      <c r="BT13" s="10">
        <v>7476887</v>
      </c>
      <c r="BU13" s="10">
        <v>7610667</v>
      </c>
      <c r="BV13" s="10">
        <v>8271045</v>
      </c>
    </row>
    <row r="14" spans="1:74">
      <c r="A14" s="411" t="s">
        <v>328</v>
      </c>
      <c r="B14" s="411" t="s">
        <v>1076</v>
      </c>
      <c r="C14" s="10">
        <v>2109941</v>
      </c>
      <c r="D14" s="10">
        <v>2051693</v>
      </c>
      <c r="E14" s="10">
        <v>2167424</v>
      </c>
      <c r="F14" s="10">
        <v>1775032</v>
      </c>
      <c r="G14" s="10">
        <v>1903519</v>
      </c>
      <c r="H14" s="10">
        <v>2058455</v>
      </c>
      <c r="I14" s="10">
        <v>2257125</v>
      </c>
      <c r="J14" s="10">
        <v>2439369</v>
      </c>
      <c r="K14" s="10">
        <v>2066788</v>
      </c>
      <c r="L14" s="10">
        <v>2258058</v>
      </c>
      <c r="M14" s="10">
        <v>2094109</v>
      </c>
      <c r="N14" s="10">
        <v>2196587</v>
      </c>
      <c r="O14" s="10">
        <v>2100082</v>
      </c>
      <c r="P14" s="10">
        <v>1977857</v>
      </c>
      <c r="Q14" s="10">
        <v>2323932</v>
      </c>
      <c r="R14" s="10">
        <v>1996594</v>
      </c>
      <c r="S14" s="10">
        <v>1538471</v>
      </c>
      <c r="T14" s="10">
        <v>1961666</v>
      </c>
      <c r="U14" s="10">
        <v>2080382</v>
      </c>
      <c r="V14" s="10">
        <v>2149830</v>
      </c>
      <c r="W14" s="10">
        <v>2278280</v>
      </c>
      <c r="X14" s="10">
        <v>1942414</v>
      </c>
      <c r="Y14" s="10">
        <v>2030393</v>
      </c>
      <c r="Z14" s="10">
        <v>2225891</v>
      </c>
      <c r="AA14" s="10">
        <v>2026049</v>
      </c>
      <c r="AB14" s="10">
        <v>2238830</v>
      </c>
      <c r="AC14" s="10">
        <v>1996121</v>
      </c>
      <c r="AD14" s="10">
        <v>1886651</v>
      </c>
      <c r="AE14" s="10">
        <v>1933117</v>
      </c>
      <c r="AF14" s="10">
        <v>1728139</v>
      </c>
      <c r="AG14" s="10">
        <v>2091216</v>
      </c>
      <c r="AH14" s="10">
        <v>2243774</v>
      </c>
      <c r="AI14" s="10">
        <v>2047386</v>
      </c>
      <c r="AJ14" s="10">
        <v>2258854</v>
      </c>
      <c r="AK14" s="10">
        <v>2168050</v>
      </c>
      <c r="AL14" s="10">
        <v>2416872</v>
      </c>
      <c r="AM14" s="10">
        <v>2389075</v>
      </c>
      <c r="AN14" s="10">
        <v>1914248</v>
      </c>
      <c r="AO14" s="10">
        <v>2498361</v>
      </c>
      <c r="AP14" s="10">
        <v>1835841</v>
      </c>
      <c r="AQ14" s="10">
        <v>1630491</v>
      </c>
      <c r="AR14" s="10">
        <v>2127424</v>
      </c>
      <c r="AS14" s="10">
        <v>2358074</v>
      </c>
      <c r="AT14" s="10">
        <v>2331518</v>
      </c>
      <c r="AU14" s="10">
        <v>1856248</v>
      </c>
      <c r="AV14" s="10">
        <v>1895086</v>
      </c>
      <c r="AW14" s="10">
        <v>2287091</v>
      </c>
      <c r="AX14" s="10">
        <v>2376002</v>
      </c>
      <c r="AY14" s="10">
        <v>2095147</v>
      </c>
      <c r="AZ14" s="10">
        <v>1967167</v>
      </c>
      <c r="BA14" s="10">
        <v>1974648</v>
      </c>
      <c r="BB14" s="10">
        <v>1688736</v>
      </c>
      <c r="BC14" s="10">
        <v>1837978</v>
      </c>
      <c r="BD14" s="10">
        <v>1976637</v>
      </c>
      <c r="BE14" s="10">
        <v>2082308</v>
      </c>
      <c r="BF14" s="10">
        <v>2124791</v>
      </c>
      <c r="BG14" s="10">
        <v>1816008</v>
      </c>
      <c r="BH14" s="426">
        <f>AVERAGE(AV14:BG14)</f>
        <v>2010133.25</v>
      </c>
      <c r="BI14" s="10">
        <v>2057090</v>
      </c>
      <c r="BJ14" s="10">
        <v>2017670</v>
      </c>
      <c r="BK14" s="10">
        <v>2079934</v>
      </c>
      <c r="BL14" s="10">
        <v>1871202</v>
      </c>
      <c r="BM14" s="10">
        <v>1896296</v>
      </c>
      <c r="BN14" s="10">
        <v>1445863</v>
      </c>
      <c r="BO14" s="10">
        <v>1907374</v>
      </c>
      <c r="BP14" s="10">
        <v>1979826</v>
      </c>
      <c r="BQ14" s="10">
        <v>2096303</v>
      </c>
      <c r="BR14" s="10">
        <v>2212598</v>
      </c>
      <c r="BS14" s="10">
        <v>1866568</v>
      </c>
      <c r="BT14" s="10">
        <v>1971974</v>
      </c>
      <c r="BU14" s="426">
        <f>AVERAGE(BI14:BT14)</f>
        <v>1950224.8333333333</v>
      </c>
      <c r="BV14" s="10">
        <v>1893410</v>
      </c>
    </row>
    <row r="15" spans="1:74">
      <c r="A15" s="411"/>
      <c r="B15" s="411" t="s">
        <v>1077</v>
      </c>
      <c r="C15" s="10">
        <v>2114185</v>
      </c>
      <c r="D15" s="10">
        <v>2059337</v>
      </c>
      <c r="E15" s="10">
        <v>2131240</v>
      </c>
      <c r="F15" s="10">
        <v>1782987</v>
      </c>
      <c r="G15" s="10">
        <v>1883012</v>
      </c>
      <c r="H15" s="10">
        <v>2088689</v>
      </c>
      <c r="I15" s="10">
        <v>2285508</v>
      </c>
      <c r="J15" s="10">
        <v>2402456</v>
      </c>
      <c r="K15" s="10">
        <v>2109942</v>
      </c>
      <c r="L15" s="10">
        <v>2231154</v>
      </c>
      <c r="M15" s="10">
        <v>2087041</v>
      </c>
      <c r="N15" s="10">
        <v>2191368</v>
      </c>
      <c r="O15" s="10">
        <v>2118645</v>
      </c>
      <c r="P15" s="10">
        <v>1977081</v>
      </c>
      <c r="Q15" s="10">
        <v>2309419</v>
      </c>
      <c r="R15" s="10">
        <v>2007838</v>
      </c>
      <c r="S15" s="10">
        <v>1532556</v>
      </c>
      <c r="T15" s="10">
        <v>1954475</v>
      </c>
      <c r="U15" s="10">
        <v>2103526</v>
      </c>
      <c r="V15" s="10">
        <v>2146144</v>
      </c>
      <c r="W15" s="10">
        <v>2264676</v>
      </c>
      <c r="X15" s="10">
        <v>1939350</v>
      </c>
      <c r="Y15" s="10">
        <v>1985845</v>
      </c>
      <c r="Z15" s="10">
        <v>2193441</v>
      </c>
      <c r="AA15" s="10">
        <v>2064859</v>
      </c>
      <c r="AB15" s="10">
        <v>2017769</v>
      </c>
      <c r="AC15" s="10">
        <v>1948096</v>
      </c>
      <c r="AD15" s="10">
        <v>1881455</v>
      </c>
      <c r="AE15" s="10">
        <v>1944055</v>
      </c>
      <c r="AF15" s="10">
        <v>1697016</v>
      </c>
      <c r="AG15" s="10">
        <v>2105532</v>
      </c>
      <c r="AH15" s="10">
        <v>2242892</v>
      </c>
      <c r="AI15" s="10">
        <v>2012860</v>
      </c>
      <c r="AJ15" s="10">
        <v>2229742</v>
      </c>
      <c r="AK15" s="10">
        <v>2186896</v>
      </c>
      <c r="AL15" s="10">
        <v>2368120</v>
      </c>
      <c r="AM15" s="10">
        <v>2435432</v>
      </c>
      <c r="AN15" s="10">
        <v>2011528</v>
      </c>
      <c r="AO15" s="10">
        <v>2405506</v>
      </c>
      <c r="AP15" s="10">
        <v>1798607</v>
      </c>
      <c r="AQ15" s="10">
        <v>1666070</v>
      </c>
      <c r="AR15" s="10">
        <v>2249184</v>
      </c>
      <c r="AS15" s="10">
        <v>2293667</v>
      </c>
      <c r="AT15" s="10">
        <v>2369629</v>
      </c>
      <c r="AU15" s="10">
        <v>1841942</v>
      </c>
      <c r="AV15" s="10">
        <v>1887772</v>
      </c>
      <c r="AW15" s="10">
        <v>2302282</v>
      </c>
      <c r="AX15" s="10">
        <v>2346581</v>
      </c>
      <c r="AY15" s="10">
        <v>2105660</v>
      </c>
      <c r="AZ15" s="10">
        <v>1940622</v>
      </c>
      <c r="BA15" s="10">
        <v>2009658</v>
      </c>
      <c r="BB15" s="10">
        <v>1704734</v>
      </c>
      <c r="BC15" s="10">
        <v>1786419</v>
      </c>
      <c r="BD15" s="10">
        <v>2011126</v>
      </c>
      <c r="BE15" s="10">
        <v>2032571</v>
      </c>
      <c r="BF15" s="10">
        <v>2122058</v>
      </c>
      <c r="BG15" s="10">
        <v>1861173</v>
      </c>
      <c r="BH15" s="10">
        <v>2157308</v>
      </c>
      <c r="BI15" s="10">
        <v>2044725</v>
      </c>
      <c r="BJ15" s="10">
        <v>1998482</v>
      </c>
      <c r="BK15" s="10">
        <v>2099236</v>
      </c>
      <c r="BL15" s="426">
        <f>AVERAGE(AZ15:BK15)</f>
        <v>1980676</v>
      </c>
      <c r="BM15" s="10">
        <v>1888244</v>
      </c>
      <c r="BN15" s="10">
        <v>1410740</v>
      </c>
      <c r="BO15" s="10">
        <v>1921466</v>
      </c>
      <c r="BP15" s="10">
        <v>1965991</v>
      </c>
      <c r="BQ15" s="10">
        <v>2097935</v>
      </c>
      <c r="BR15" s="10">
        <v>2262588</v>
      </c>
      <c r="BS15" s="10">
        <v>1828522</v>
      </c>
      <c r="BT15" s="426">
        <f>AVERAGE(BH15:BS15)</f>
        <v>1971326.0833333333</v>
      </c>
      <c r="BU15" s="426">
        <f>AVERAGE(BI15:BT15)</f>
        <v>1955827.5902777778</v>
      </c>
      <c r="BV15" s="10">
        <v>1891043</v>
      </c>
    </row>
    <row r="16" spans="1:74">
      <c r="A16" s="411"/>
      <c r="B16" s="411"/>
      <c r="C16" s="411"/>
      <c r="D16" s="411"/>
      <c r="E16" s="411"/>
      <c r="F16" s="411"/>
      <c r="G16" s="411"/>
      <c r="H16" s="411"/>
      <c r="I16" s="411"/>
      <c r="J16" s="411"/>
      <c r="K16" s="411"/>
      <c r="L16" s="411"/>
      <c r="M16" s="411"/>
      <c r="N16" s="411"/>
      <c r="O16" s="411"/>
      <c r="P16" s="411"/>
      <c r="Q16" s="411"/>
      <c r="R16" s="411"/>
      <c r="S16" s="411"/>
      <c r="T16" s="411"/>
      <c r="U16" s="411"/>
      <c r="V16" s="411"/>
      <c r="W16" s="411"/>
      <c r="X16" s="411"/>
      <c r="Y16" s="411"/>
      <c r="Z16" s="411"/>
      <c r="AA16" s="411"/>
      <c r="AB16" s="411"/>
      <c r="AC16" s="411"/>
      <c r="AD16" s="411"/>
      <c r="AE16" s="411"/>
      <c r="AF16" s="411"/>
      <c r="AG16" s="411"/>
      <c r="AH16" s="411"/>
      <c r="AI16" s="411"/>
      <c r="AJ16" s="411"/>
      <c r="AK16" s="411"/>
      <c r="AL16" s="411"/>
      <c r="AM16" s="411"/>
      <c r="AN16" s="411"/>
      <c r="AO16" s="411"/>
      <c r="AP16" s="411"/>
      <c r="AQ16" s="411"/>
      <c r="AR16" s="411"/>
      <c r="AS16" s="411"/>
      <c r="AT16" s="411"/>
      <c r="AU16" s="411"/>
      <c r="AV16" s="411"/>
      <c r="AW16" s="411"/>
      <c r="AX16" s="411"/>
      <c r="AY16" s="411"/>
      <c r="AZ16" s="411"/>
      <c r="BA16" s="411"/>
      <c r="BB16" s="411"/>
      <c r="BC16" s="411"/>
      <c r="BD16" s="411"/>
      <c r="BE16" s="411"/>
      <c r="BF16" s="411"/>
      <c r="BG16" s="411"/>
      <c r="BH16" s="411"/>
      <c r="BI16" s="411"/>
      <c r="BJ16" s="411"/>
      <c r="BK16" s="411"/>
      <c r="BL16" s="411"/>
      <c r="BM16" s="411"/>
      <c r="BN16" s="411"/>
      <c r="BO16" s="411"/>
      <c r="BP16" s="411"/>
      <c r="BQ16" s="411"/>
      <c r="BR16" s="411"/>
      <c r="BS16" s="411"/>
      <c r="BT16" s="411"/>
      <c r="BU16" s="411"/>
      <c r="BV16" s="411"/>
    </row>
    <row r="17" spans="1:74">
      <c r="A17" s="411" t="s">
        <v>1079</v>
      </c>
      <c r="B17" s="411"/>
      <c r="C17" s="411"/>
      <c r="D17" s="411"/>
      <c r="E17" s="411"/>
      <c r="F17" s="411"/>
      <c r="G17" s="411"/>
      <c r="H17" s="411"/>
      <c r="I17" s="411"/>
      <c r="J17" s="411"/>
      <c r="K17" s="411"/>
      <c r="L17" s="411"/>
      <c r="M17" s="411"/>
      <c r="N17" s="411"/>
      <c r="O17" s="411"/>
      <c r="P17" s="411"/>
      <c r="Q17" s="411"/>
      <c r="R17" s="411"/>
      <c r="S17" s="411"/>
      <c r="T17" s="411"/>
      <c r="U17" s="411"/>
      <c r="V17" s="411"/>
      <c r="W17" s="411"/>
      <c r="X17" s="411"/>
      <c r="Y17" s="411"/>
      <c r="Z17" s="411"/>
      <c r="AA17" s="411"/>
      <c r="AB17" s="411"/>
      <c r="AC17" s="411"/>
      <c r="AD17" s="411"/>
      <c r="AE17" s="411"/>
      <c r="AF17" s="411"/>
      <c r="AG17" s="411"/>
      <c r="AH17" s="411"/>
      <c r="AI17" s="411"/>
      <c r="AJ17" s="411"/>
      <c r="AK17" s="411"/>
      <c r="AL17" s="411"/>
      <c r="AM17" s="411"/>
      <c r="AN17" s="411"/>
      <c r="AO17" s="411"/>
      <c r="AP17" s="411"/>
      <c r="AQ17" s="411"/>
      <c r="AR17" s="411"/>
      <c r="AS17" s="411"/>
      <c r="AT17" s="411"/>
      <c r="AU17" s="411"/>
      <c r="AV17" s="411"/>
      <c r="AW17" s="411"/>
      <c r="AX17" s="411"/>
      <c r="AY17" s="411"/>
      <c r="AZ17" s="411"/>
      <c r="BA17" s="411"/>
      <c r="BB17" s="411"/>
      <c r="BC17" s="411"/>
      <c r="BD17" s="411"/>
      <c r="BE17" s="411"/>
      <c r="BF17" s="411"/>
      <c r="BG17" s="411"/>
      <c r="BH17" s="411"/>
      <c r="BI17" s="411"/>
      <c r="BJ17" s="411"/>
      <c r="BK17" s="411"/>
      <c r="BL17" s="411"/>
      <c r="BM17" s="411"/>
      <c r="BN17" s="411"/>
      <c r="BO17" s="411"/>
      <c r="BP17" s="411"/>
      <c r="BQ17" s="411"/>
      <c r="BR17" s="411"/>
      <c r="BS17" s="411"/>
      <c r="BT17" s="411"/>
      <c r="BU17" s="411"/>
      <c r="BV17" s="411"/>
    </row>
    <row r="18" spans="1:74">
      <c r="A18" s="411" t="s">
        <v>1080</v>
      </c>
      <c r="B18" s="411"/>
      <c r="C18" s="411"/>
      <c r="D18" s="411"/>
      <c r="E18" s="411"/>
      <c r="F18" s="411"/>
      <c r="G18" s="411"/>
      <c r="H18" s="411"/>
      <c r="I18" s="411"/>
      <c r="J18" s="411"/>
      <c r="K18" s="411"/>
      <c r="L18" s="411"/>
      <c r="M18" s="411"/>
      <c r="N18" s="411"/>
      <c r="O18" s="411"/>
      <c r="P18" s="411"/>
      <c r="Q18" s="411"/>
      <c r="R18" s="411"/>
      <c r="S18" s="411"/>
      <c r="T18" s="411"/>
      <c r="U18" s="411"/>
      <c r="V18" s="411"/>
      <c r="W18" s="411"/>
      <c r="X18" s="411"/>
      <c r="Y18" s="411"/>
      <c r="Z18" s="411"/>
      <c r="AA18" s="411"/>
      <c r="AB18" s="411"/>
      <c r="AC18" s="411"/>
      <c r="AD18" s="411"/>
      <c r="AE18" s="411"/>
      <c r="AF18" s="411"/>
      <c r="AG18" s="411"/>
      <c r="AH18" s="411"/>
      <c r="AI18" s="411"/>
      <c r="AJ18" s="411"/>
      <c r="AK18" s="411"/>
      <c r="AL18" s="411"/>
      <c r="AM18" s="411"/>
      <c r="AN18" s="411"/>
      <c r="AO18" s="411"/>
      <c r="AP18" s="411"/>
      <c r="AQ18" s="411"/>
      <c r="AR18" s="411"/>
      <c r="AS18" s="411"/>
      <c r="AT18" s="411"/>
      <c r="AU18" s="411"/>
      <c r="AV18" s="411"/>
      <c r="AW18" s="411"/>
      <c r="AX18" s="411"/>
      <c r="AY18" s="411"/>
      <c r="AZ18" s="411"/>
      <c r="BA18" s="411"/>
      <c r="BB18" s="411"/>
      <c r="BC18" s="411"/>
      <c r="BD18" s="411"/>
      <c r="BE18" s="411"/>
      <c r="BF18" s="411"/>
      <c r="BG18" s="411"/>
      <c r="BH18" s="411"/>
      <c r="BI18" s="411"/>
      <c r="BJ18" s="411"/>
      <c r="BK18" s="411"/>
      <c r="BL18" s="411"/>
      <c r="BM18" s="411"/>
      <c r="BN18" s="411"/>
      <c r="BO18" s="411"/>
      <c r="BP18" s="411"/>
      <c r="BQ18" s="411"/>
      <c r="BR18" s="411"/>
      <c r="BS18" s="411"/>
      <c r="BT18" s="411"/>
      <c r="BU18" s="411"/>
      <c r="BV18" s="411"/>
    </row>
    <row r="19" spans="1:74">
      <c r="A19" s="411"/>
      <c r="B19" s="411"/>
      <c r="C19" s="411"/>
      <c r="D19" s="411"/>
      <c r="E19" s="411"/>
      <c r="F19" s="411"/>
      <c r="G19" s="411"/>
      <c r="H19" s="411"/>
      <c r="I19" s="411"/>
      <c r="J19" s="411"/>
      <c r="K19" s="411"/>
      <c r="L19" s="411"/>
      <c r="M19" s="411"/>
      <c r="N19" s="411"/>
      <c r="O19" s="411"/>
      <c r="P19" s="411"/>
      <c r="Q19" s="411"/>
      <c r="R19" s="411"/>
      <c r="S19" s="411"/>
      <c r="T19" s="411"/>
      <c r="U19" s="411"/>
      <c r="V19" s="411"/>
      <c r="W19" s="411"/>
      <c r="X19" s="411"/>
      <c r="Y19" s="411"/>
      <c r="Z19" s="411"/>
      <c r="AA19" s="411"/>
      <c r="AB19" s="411"/>
      <c r="AC19" s="411"/>
      <c r="AD19" s="411"/>
      <c r="AE19" s="411"/>
      <c r="AF19" s="411"/>
      <c r="AG19" s="411"/>
      <c r="AH19" s="411"/>
      <c r="AI19" s="411"/>
      <c r="AJ19" s="411"/>
      <c r="AK19" s="411"/>
      <c r="AL19" s="411"/>
      <c r="AM19" s="411"/>
      <c r="AN19" s="411"/>
      <c r="AO19" s="411"/>
      <c r="AP19" s="411"/>
      <c r="AQ19" s="411"/>
      <c r="AR19" s="411"/>
      <c r="AS19" s="411"/>
      <c r="AT19" s="411"/>
      <c r="AU19" s="411"/>
      <c r="AV19" s="411"/>
      <c r="AW19" s="411"/>
      <c r="AX19" s="411"/>
      <c r="AY19" s="411"/>
      <c r="AZ19" s="411"/>
      <c r="BA19" s="411"/>
      <c r="BB19" s="411"/>
      <c r="BC19" s="411"/>
      <c r="BD19" s="411"/>
      <c r="BE19" s="411"/>
      <c r="BF19" s="411"/>
      <c r="BG19" s="411"/>
      <c r="BH19" s="411"/>
      <c r="BI19" s="411"/>
      <c r="BJ19" s="411"/>
      <c r="BK19" s="411"/>
      <c r="BL19" s="411"/>
      <c r="BM19" s="411"/>
      <c r="BN19" s="411"/>
      <c r="BO19" s="411"/>
      <c r="BP19" s="411"/>
      <c r="BQ19" s="411"/>
      <c r="BR19" s="411"/>
      <c r="BS19" s="411"/>
      <c r="BT19" s="411"/>
      <c r="BU19" s="411"/>
      <c r="BV19" s="411"/>
    </row>
    <row r="20" spans="1:74">
      <c r="A20" s="411" t="s">
        <v>1081</v>
      </c>
      <c r="B20" s="411"/>
      <c r="C20" s="411"/>
      <c r="D20" s="411"/>
      <c r="E20" s="411"/>
      <c r="F20" s="411"/>
      <c r="G20" s="411"/>
      <c r="H20" s="411"/>
      <c r="I20" s="411"/>
      <c r="J20" s="411"/>
      <c r="K20" s="411"/>
      <c r="L20" s="411"/>
      <c r="M20" s="411"/>
      <c r="N20" s="411"/>
      <c r="O20" s="411"/>
      <c r="P20" s="411"/>
      <c r="Q20" s="411"/>
      <c r="R20" s="411"/>
      <c r="S20" s="411"/>
      <c r="T20" s="411"/>
      <c r="U20" s="411"/>
      <c r="V20" s="411"/>
      <c r="W20" s="411"/>
      <c r="X20" s="411"/>
      <c r="Y20" s="411"/>
      <c r="Z20" s="411"/>
      <c r="AA20" s="411"/>
      <c r="AB20" s="411"/>
      <c r="AC20" s="411"/>
      <c r="AD20" s="411"/>
      <c r="AE20" s="411"/>
      <c r="AF20" s="411"/>
      <c r="AG20" s="411"/>
      <c r="AH20" s="411"/>
      <c r="AI20" s="411"/>
      <c r="AJ20" s="411"/>
      <c r="AK20" s="411"/>
      <c r="AL20" s="411"/>
      <c r="AM20" s="411"/>
      <c r="AN20" s="411"/>
      <c r="AO20" s="411"/>
      <c r="AP20" s="411"/>
      <c r="AQ20" s="411"/>
      <c r="AR20" s="411"/>
      <c r="AS20" s="411"/>
      <c r="AT20" s="411"/>
      <c r="AU20" s="411"/>
      <c r="AV20" s="411"/>
      <c r="AW20" s="411"/>
      <c r="AX20" s="411"/>
      <c r="AY20" s="411"/>
      <c r="AZ20" s="411"/>
      <c r="BA20" s="411"/>
      <c r="BB20" s="411"/>
      <c r="BC20" s="411"/>
      <c r="BD20" s="411"/>
      <c r="BE20" s="411"/>
      <c r="BF20" s="411"/>
      <c r="BG20" s="411"/>
      <c r="BH20" s="411"/>
      <c r="BI20" s="411"/>
      <c r="BJ20" s="411"/>
      <c r="BK20" s="411"/>
      <c r="BL20" s="411"/>
      <c r="BM20" s="411"/>
      <c r="BN20" s="411"/>
      <c r="BO20" s="411"/>
      <c r="BP20" s="411"/>
      <c r="BQ20" s="411"/>
      <c r="BR20" s="411"/>
      <c r="BS20" s="411"/>
      <c r="BT20" s="411"/>
      <c r="BU20" s="411"/>
      <c r="BV20" s="411"/>
    </row>
    <row r="21" spans="1:74">
      <c r="A21" s="411">
        <v>1</v>
      </c>
      <c r="B21" s="411" t="s">
        <v>1082</v>
      </c>
      <c r="C21" s="411"/>
      <c r="D21" s="411"/>
      <c r="E21" s="411"/>
      <c r="F21" s="411"/>
      <c r="G21" s="411"/>
      <c r="H21" s="411"/>
      <c r="I21" s="411"/>
      <c r="J21" s="411"/>
      <c r="K21" s="411"/>
      <c r="L21" s="411"/>
      <c r="M21" s="411"/>
      <c r="N21" s="411"/>
      <c r="O21" s="411"/>
      <c r="P21" s="411"/>
      <c r="Q21" s="411"/>
      <c r="R21" s="411"/>
      <c r="S21" s="411"/>
      <c r="T21" s="411"/>
      <c r="U21" s="411"/>
      <c r="V21" s="411"/>
      <c r="W21" s="411"/>
      <c r="X21" s="411"/>
      <c r="Y21" s="411"/>
      <c r="Z21" s="411"/>
      <c r="AA21" s="411"/>
      <c r="AB21" s="411"/>
      <c r="AC21" s="411"/>
      <c r="AD21" s="411"/>
      <c r="AE21" s="411"/>
      <c r="AF21" s="411"/>
      <c r="AG21" s="411"/>
      <c r="AH21" s="411"/>
      <c r="AI21" s="411"/>
      <c r="AJ21" s="411"/>
      <c r="AK21" s="411"/>
      <c r="AL21" s="411"/>
      <c r="AM21" s="411"/>
      <c r="AN21" s="411"/>
      <c r="AO21" s="411"/>
      <c r="AP21" s="411"/>
      <c r="AQ21" s="411"/>
      <c r="AR21" s="411"/>
      <c r="AS21" s="411"/>
      <c r="AT21" s="411"/>
      <c r="AU21" s="411"/>
      <c r="AV21" s="411"/>
      <c r="AW21" s="411"/>
      <c r="AX21" s="411"/>
      <c r="AY21" s="411"/>
      <c r="AZ21" s="411"/>
      <c r="BA21" s="411"/>
      <c r="BB21" s="411"/>
      <c r="BC21" s="411"/>
      <c r="BD21" s="411"/>
      <c r="BE21" s="411"/>
      <c r="BF21" s="411"/>
      <c r="BG21" s="411"/>
      <c r="BH21" s="411"/>
      <c r="BI21" s="411"/>
      <c r="BJ21" s="411"/>
      <c r="BK21" s="411"/>
      <c r="BL21" s="411"/>
      <c r="BM21" s="411"/>
      <c r="BN21" s="411"/>
      <c r="BO21" s="411"/>
      <c r="BP21" s="411"/>
      <c r="BQ21" s="411"/>
      <c r="BR21" s="411"/>
      <c r="BS21" s="411"/>
      <c r="BT21" s="411"/>
      <c r="BU21" s="411"/>
      <c r="BV21" s="411"/>
    </row>
    <row r="22" spans="1:74">
      <c r="A22" s="411"/>
      <c r="B22" s="411"/>
      <c r="C22" s="411"/>
      <c r="D22" s="411"/>
      <c r="E22" s="411"/>
      <c r="F22" s="411"/>
      <c r="G22" s="411"/>
      <c r="H22" s="411"/>
      <c r="I22" s="411"/>
      <c r="J22" s="411"/>
      <c r="K22" s="411"/>
      <c r="L22" s="411"/>
      <c r="M22" s="411"/>
      <c r="N22" s="411"/>
      <c r="O22" s="411"/>
      <c r="P22" s="411"/>
      <c r="Q22" s="411"/>
      <c r="R22" s="411"/>
      <c r="S22" s="411"/>
      <c r="T22" s="411"/>
      <c r="U22" s="411"/>
      <c r="V22" s="411"/>
      <c r="W22" s="411"/>
      <c r="X22" s="411"/>
      <c r="Y22" s="411"/>
      <c r="Z22" s="411"/>
      <c r="AA22" s="411"/>
      <c r="AB22" s="411"/>
      <c r="AC22" s="411"/>
      <c r="AD22" s="411"/>
      <c r="AE22" s="411"/>
      <c r="AF22" s="411"/>
      <c r="AG22" s="411"/>
      <c r="AH22" s="411"/>
      <c r="AI22" s="411"/>
      <c r="AJ22" s="411"/>
      <c r="AK22" s="411"/>
      <c r="AL22" s="411"/>
      <c r="AM22" s="411"/>
      <c r="AN22" s="411"/>
      <c r="AO22" s="411"/>
      <c r="AP22" s="411"/>
      <c r="AQ22" s="411"/>
      <c r="AR22" s="411"/>
      <c r="AS22" s="411"/>
      <c r="AT22" s="411"/>
      <c r="AU22" s="411"/>
      <c r="AV22" s="411"/>
      <c r="AW22" s="411"/>
      <c r="AX22" s="411"/>
      <c r="AY22" s="411"/>
      <c r="AZ22" s="411"/>
      <c r="BA22" s="411"/>
      <c r="BB22" s="411"/>
      <c r="BC22" s="411"/>
      <c r="BD22" s="411"/>
      <c r="BE22" s="411"/>
      <c r="BF22" s="411"/>
      <c r="BG22" s="411"/>
      <c r="BH22" s="411"/>
      <c r="BI22" s="411"/>
      <c r="BJ22" s="411"/>
      <c r="BK22" s="411"/>
      <c r="BL22" s="411"/>
      <c r="BM22" s="411"/>
      <c r="BN22" s="411"/>
      <c r="BO22" s="411"/>
      <c r="BP22" s="411"/>
      <c r="BQ22" s="411"/>
      <c r="BR22" s="411"/>
      <c r="BS22" s="411"/>
      <c r="BT22" s="411"/>
      <c r="BU22" s="411"/>
      <c r="BV22" s="411"/>
    </row>
    <row r="23" spans="1:74">
      <c r="A23" s="411" t="s">
        <v>1083</v>
      </c>
      <c r="B23" s="411"/>
      <c r="C23" s="411"/>
      <c r="D23" s="411"/>
      <c r="E23" s="411"/>
      <c r="F23" s="411"/>
      <c r="G23" s="411"/>
      <c r="H23" s="411"/>
      <c r="I23" s="411"/>
      <c r="J23" s="411"/>
      <c r="K23" s="411"/>
      <c r="L23" s="411"/>
      <c r="M23" s="411"/>
      <c r="N23" s="411"/>
      <c r="O23" s="411"/>
      <c r="P23" s="411"/>
      <c r="Q23" s="411"/>
      <c r="R23" s="411"/>
      <c r="S23" s="411"/>
      <c r="T23" s="411"/>
      <c r="U23" s="411"/>
      <c r="V23" s="411"/>
      <c r="W23" s="411"/>
      <c r="X23" s="411"/>
      <c r="Y23" s="411"/>
      <c r="Z23" s="411"/>
      <c r="AA23" s="411"/>
      <c r="AB23" s="411"/>
      <c r="AC23" s="411"/>
      <c r="AD23" s="411"/>
      <c r="AE23" s="411"/>
      <c r="AF23" s="411"/>
      <c r="AG23" s="411"/>
      <c r="AH23" s="411"/>
      <c r="AI23" s="411"/>
      <c r="AJ23" s="411"/>
      <c r="AK23" s="411"/>
      <c r="AL23" s="411"/>
      <c r="AM23" s="411"/>
      <c r="AN23" s="411"/>
      <c r="AO23" s="411"/>
      <c r="AP23" s="411"/>
      <c r="AQ23" s="411"/>
      <c r="AR23" s="411"/>
      <c r="AS23" s="411"/>
      <c r="AT23" s="411"/>
      <c r="AU23" s="411"/>
      <c r="AV23" s="411"/>
      <c r="AW23" s="411"/>
      <c r="AX23" s="411"/>
      <c r="AY23" s="411"/>
      <c r="AZ23" s="411"/>
      <c r="BA23" s="411"/>
      <c r="BB23" s="411"/>
      <c r="BC23" s="411"/>
      <c r="BD23" s="411"/>
      <c r="BE23" s="411"/>
      <c r="BF23" s="411"/>
      <c r="BG23" s="411"/>
      <c r="BH23" s="411"/>
      <c r="BI23" s="411"/>
      <c r="BJ23" s="411"/>
      <c r="BK23" s="411"/>
      <c r="BL23" s="411"/>
      <c r="BM23" s="411"/>
      <c r="BN23" s="411"/>
      <c r="BO23" s="411"/>
      <c r="BP23" s="411"/>
      <c r="BQ23" s="411"/>
      <c r="BR23" s="411"/>
      <c r="BS23" s="411"/>
      <c r="BT23" s="411"/>
      <c r="BU23" s="411"/>
      <c r="BV23" s="411"/>
    </row>
    <row r="24" spans="1:74">
      <c r="A24" s="411" t="s">
        <v>1084</v>
      </c>
      <c r="B24" s="411"/>
      <c r="C24" s="411"/>
      <c r="D24" s="411"/>
      <c r="E24" s="411"/>
      <c r="F24" s="411"/>
      <c r="G24" s="411"/>
      <c r="H24" s="411"/>
      <c r="I24" s="411"/>
      <c r="J24" s="411"/>
      <c r="K24" s="411"/>
      <c r="L24" s="411"/>
      <c r="M24" s="411"/>
      <c r="N24" s="411"/>
      <c r="O24" s="411"/>
      <c r="P24" s="411"/>
      <c r="Q24" s="411"/>
      <c r="R24" s="411"/>
      <c r="S24" s="411"/>
      <c r="T24" s="411"/>
      <c r="U24" s="411"/>
      <c r="V24" s="411"/>
      <c r="W24" s="411"/>
      <c r="X24" s="411"/>
      <c r="Y24" s="411"/>
      <c r="Z24" s="411"/>
      <c r="AA24" s="411"/>
      <c r="AB24" s="411"/>
      <c r="AC24" s="411"/>
      <c r="AD24" s="411"/>
      <c r="AE24" s="411"/>
      <c r="AF24" s="411"/>
      <c r="AG24" s="411"/>
      <c r="AH24" s="411"/>
      <c r="AI24" s="411"/>
      <c r="AJ24" s="411"/>
      <c r="AK24" s="411"/>
      <c r="AL24" s="411"/>
      <c r="AM24" s="411"/>
      <c r="AN24" s="411"/>
      <c r="AO24" s="411"/>
      <c r="AP24" s="411"/>
      <c r="AQ24" s="411"/>
      <c r="AR24" s="411"/>
      <c r="AS24" s="411"/>
      <c r="AT24" s="411"/>
      <c r="AU24" s="411"/>
      <c r="AV24" s="411"/>
      <c r="AW24" s="411"/>
      <c r="AX24" s="411"/>
      <c r="AY24" s="411"/>
      <c r="AZ24" s="411"/>
      <c r="BA24" s="411"/>
      <c r="BB24" s="411"/>
      <c r="BC24" s="411"/>
      <c r="BD24" s="411"/>
      <c r="BE24" s="411"/>
      <c r="BF24" s="411"/>
      <c r="BG24" s="411"/>
      <c r="BH24" s="411"/>
      <c r="BI24" s="411"/>
      <c r="BJ24" s="411"/>
      <c r="BK24" s="411"/>
      <c r="BL24" s="411"/>
      <c r="BM24" s="411"/>
      <c r="BN24" s="411"/>
      <c r="BO24" s="411"/>
      <c r="BP24" s="411"/>
      <c r="BQ24" s="411"/>
      <c r="BR24" s="411"/>
      <c r="BS24" s="411"/>
      <c r="BT24" s="411"/>
      <c r="BU24" s="411"/>
      <c r="BV24" s="411"/>
    </row>
    <row r="25" spans="1:74">
      <c r="A25" s="411"/>
      <c r="B25" s="411"/>
      <c r="C25" s="411"/>
      <c r="D25" s="411"/>
      <c r="E25" s="411"/>
      <c r="F25" s="411"/>
      <c r="G25" s="411"/>
      <c r="H25" s="411"/>
      <c r="I25" s="411"/>
      <c r="J25" s="411"/>
      <c r="K25" s="411"/>
      <c r="L25" s="411"/>
      <c r="M25" s="411"/>
      <c r="N25" s="411"/>
      <c r="O25" s="411"/>
      <c r="P25" s="411"/>
      <c r="Q25" s="411"/>
      <c r="R25" s="411"/>
      <c r="S25" s="411"/>
      <c r="T25" s="411"/>
      <c r="U25" s="411"/>
      <c r="V25" s="411"/>
      <c r="W25" s="411"/>
      <c r="X25" s="411"/>
      <c r="Y25" s="411"/>
      <c r="Z25" s="411"/>
      <c r="AA25" s="411"/>
      <c r="AB25" s="411"/>
      <c r="AC25" s="411"/>
      <c r="AD25" s="411"/>
      <c r="AE25" s="411"/>
      <c r="AF25" s="411"/>
      <c r="AG25" s="411"/>
      <c r="AH25" s="411"/>
      <c r="AI25" s="411"/>
      <c r="AJ25" s="411"/>
      <c r="AK25" s="411"/>
      <c r="AL25" s="411"/>
      <c r="AM25" s="411"/>
      <c r="AN25" s="411"/>
      <c r="AO25" s="411"/>
      <c r="AP25" s="411"/>
      <c r="AQ25" s="411"/>
      <c r="AR25" s="411"/>
      <c r="AS25" s="411"/>
      <c r="AT25" s="411"/>
      <c r="AU25" s="411"/>
      <c r="AV25" s="411"/>
      <c r="AW25" s="411"/>
      <c r="AX25" s="411"/>
      <c r="AY25" s="411"/>
      <c r="AZ25" s="411"/>
      <c r="BA25" s="411"/>
      <c r="BB25" s="411"/>
      <c r="BC25" s="411"/>
      <c r="BD25" s="411"/>
      <c r="BE25" s="411"/>
      <c r="BF25" s="411"/>
      <c r="BG25" s="411"/>
      <c r="BH25" s="411"/>
      <c r="BI25" s="411"/>
      <c r="BJ25" s="411"/>
      <c r="BK25" s="411"/>
      <c r="BL25" s="411"/>
      <c r="BM25" s="411"/>
      <c r="BN25" s="411"/>
      <c r="BO25" s="411"/>
      <c r="BP25" s="411"/>
      <c r="BQ25" s="411"/>
      <c r="BR25" s="411"/>
      <c r="BS25" s="411"/>
      <c r="BT25" s="411"/>
      <c r="BU25" s="411"/>
      <c r="BV25" s="411"/>
    </row>
    <row r="27" spans="1:74">
      <c r="C27">
        <v>2010</v>
      </c>
      <c r="D27">
        <v>2011</v>
      </c>
      <c r="E27">
        <v>2012</v>
      </c>
      <c r="F27">
        <v>2013</v>
      </c>
      <c r="G27">
        <v>2014</v>
      </c>
      <c r="H27">
        <v>2015</v>
      </c>
      <c r="I27" t="s">
        <v>1087</v>
      </c>
    </row>
    <row r="28" spans="1:74">
      <c r="A28" t="str">
        <f>B12</f>
        <v>Grand total receipts of crude oil and equivalent 1</v>
      </c>
    </row>
    <row r="29" spans="1:74">
      <c r="B29" t="s">
        <v>316</v>
      </c>
      <c r="C29" s="10">
        <f>SUM(C12:N12)</f>
        <v>102901725</v>
      </c>
      <c r="D29" s="10">
        <f>SUM(O12:Z12)</f>
        <v>96911271</v>
      </c>
      <c r="E29" s="10">
        <f>SUM(AA12:AL12)</f>
        <v>102282468</v>
      </c>
      <c r="F29" s="10">
        <f>SUM(AM12:AX12)</f>
        <v>99782995</v>
      </c>
      <c r="G29" s="10">
        <f>SUM(AY12:BJ12)</f>
        <v>93545973</v>
      </c>
      <c r="H29" s="10">
        <f>SUM(BK12:BV12)</f>
        <v>95060224</v>
      </c>
      <c r="I29" s="10">
        <f>AVERAGE(C29:H29)</f>
        <v>98414109.333333328</v>
      </c>
    </row>
    <row r="30" spans="1:74">
      <c r="B30" t="s">
        <v>328</v>
      </c>
      <c r="C30" s="10">
        <f>SUM(C14:N14)</f>
        <v>25378100</v>
      </c>
      <c r="D30" s="10">
        <f>SUM(O14:Z14)</f>
        <v>24605792</v>
      </c>
      <c r="E30" s="10">
        <f>SUM(AA14:AL14)</f>
        <v>25035059</v>
      </c>
      <c r="F30" s="10">
        <f>SUM(AM14:AX14)</f>
        <v>25499459</v>
      </c>
      <c r="G30" s="10">
        <f>SUM(AY14:BJ14)</f>
        <v>23648313.25</v>
      </c>
      <c r="H30" s="10">
        <f>SUM(BK14:BV14)</f>
        <v>23171572.833333332</v>
      </c>
      <c r="I30" s="10">
        <f>AVERAGE(C30:H30)</f>
        <v>24556382.680555556</v>
      </c>
    </row>
    <row r="31" spans="1:74" s="411" customFormat="1">
      <c r="B31" s="411" t="s">
        <v>1086</v>
      </c>
      <c r="C31" s="419">
        <f>C30/C29</f>
        <v>0.24662463141409924</v>
      </c>
      <c r="D31" s="419">
        <f t="shared" ref="D31:I31" si="0">D30/D29</f>
        <v>0.25390020939876023</v>
      </c>
      <c r="E31" s="419">
        <f t="shared" si="0"/>
        <v>0.24476393158600748</v>
      </c>
      <c r="F31" s="419">
        <f t="shared" si="0"/>
        <v>0.25554914442085047</v>
      </c>
      <c r="G31" s="419">
        <f t="shared" si="0"/>
        <v>0.25279883774366213</v>
      </c>
      <c r="H31" s="419">
        <f t="shared" si="0"/>
        <v>0.24375676658760378</v>
      </c>
      <c r="I31" s="419">
        <f t="shared" si="0"/>
        <v>0.2495209563639082</v>
      </c>
    </row>
    <row r="32" spans="1:74">
      <c r="A32" s="411" t="s">
        <v>1077</v>
      </c>
    </row>
    <row r="33" spans="2:9">
      <c r="B33" s="411" t="s">
        <v>316</v>
      </c>
      <c r="C33" s="10">
        <f>SUM(C13:N13)</f>
        <v>102931743</v>
      </c>
      <c r="D33" s="10">
        <f>SUM(O13:Z13)</f>
        <v>97468959</v>
      </c>
      <c r="E33" s="10">
        <f>SUM(AA13:AL13)</f>
        <v>101887166</v>
      </c>
      <c r="F33" s="10">
        <f>SUM(AM13:AX13)</f>
        <v>93764517.520661145</v>
      </c>
      <c r="G33" s="10">
        <f>SUM(AY13:BJ13)</f>
        <v>96508000.740572855</v>
      </c>
      <c r="H33" s="10">
        <f>SUM(BK13:BV13)</f>
        <v>94871425</v>
      </c>
      <c r="I33" s="10">
        <f>AVERAGE(C33:H33)</f>
        <v>97905301.876872346</v>
      </c>
    </row>
    <row r="34" spans="2:9">
      <c r="B34" s="411" t="s">
        <v>328</v>
      </c>
      <c r="C34" s="10">
        <f>SUM(C15:N15)</f>
        <v>25366919</v>
      </c>
      <c r="D34" s="10">
        <f>SUM(O15:Z15)</f>
        <v>24532996</v>
      </c>
      <c r="E34" s="10">
        <f>SUM(AA15:AL15)</f>
        <v>24699292</v>
      </c>
      <c r="F34" s="10">
        <f>SUM(AM15:AX15)</f>
        <v>25608200</v>
      </c>
      <c r="G34" s="10">
        <f>SUM(AY15:BJ15)</f>
        <v>23774536</v>
      </c>
      <c r="H34" s="10">
        <f>SUM(BK15:BV15)</f>
        <v>23273594.673611108</v>
      </c>
      <c r="I34" s="10">
        <f>AVERAGE(C34:H34)</f>
        <v>24542589.612268519</v>
      </c>
    </row>
    <row r="35" spans="2:9">
      <c r="B35" s="411" t="s">
        <v>1086</v>
      </c>
      <c r="C35" s="419">
        <f>C34/C33</f>
        <v>0.24644408285207023</v>
      </c>
      <c r="D35" s="419">
        <f t="shared" ref="D35:I35" si="1">D34/D33</f>
        <v>0.2517006055230363</v>
      </c>
      <c r="E35" s="419">
        <f t="shared" si="1"/>
        <v>0.2424180882604979</v>
      </c>
      <c r="F35" s="419">
        <f t="shared" si="1"/>
        <v>0.27311184099419267</v>
      </c>
      <c r="G35" s="419">
        <f t="shared" si="1"/>
        <v>0.24634782419655871</v>
      </c>
      <c r="H35" s="419">
        <f t="shared" si="1"/>
        <v>0.24531722458697242</v>
      </c>
      <c r="I35" s="419">
        <f t="shared" si="1"/>
        <v>0.25067681873994696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79998168889431442"/>
  </sheetPr>
  <dimension ref="A1:AK29"/>
  <sheetViews>
    <sheetView workbookViewId="0">
      <selection activeCell="L9" sqref="L9"/>
    </sheetView>
  </sheetViews>
  <sheetFormatPr baseColWidth="10" defaultColWidth="8.83203125" defaultRowHeight="15"/>
  <cols>
    <col min="1" max="1" width="32.83203125" style="64" customWidth="1"/>
    <col min="2" max="16384" width="8.83203125" style="64"/>
  </cols>
  <sheetData>
    <row r="1" spans="1:37" ht="21">
      <c r="A1" s="66" t="s">
        <v>312</v>
      </c>
    </row>
    <row r="2" spans="1:37" ht="21">
      <c r="A2" s="66" t="s">
        <v>1038</v>
      </c>
    </row>
    <row r="3" spans="1:37" ht="21">
      <c r="A3" s="66" t="s">
        <v>310</v>
      </c>
    </row>
    <row r="4" spans="1:37" ht="21">
      <c r="A4" s="66" t="s">
        <v>315</v>
      </c>
    </row>
    <row r="7" spans="1:37" ht="19">
      <c r="A7" s="65" t="s">
        <v>1037</v>
      </c>
    </row>
    <row r="8" spans="1:37">
      <c r="A8" s="64" t="s">
        <v>306</v>
      </c>
      <c r="B8" s="64" t="s">
        <v>305</v>
      </c>
      <c r="C8" s="64" t="s">
        <v>304</v>
      </c>
      <c r="D8" s="64" t="s">
        <v>303</v>
      </c>
      <c r="E8" s="64" t="s">
        <v>302</v>
      </c>
      <c r="F8" s="64" t="s">
        <v>301</v>
      </c>
      <c r="G8" s="64" t="s">
        <v>300</v>
      </c>
      <c r="H8" s="64" t="s">
        <v>299</v>
      </c>
      <c r="I8" s="64" t="s">
        <v>298</v>
      </c>
      <c r="J8" s="64" t="s">
        <v>297</v>
      </c>
      <c r="K8" s="64" t="s">
        <v>296</v>
      </c>
      <c r="L8" s="64" t="s">
        <v>295</v>
      </c>
      <c r="M8" s="64" t="s">
        <v>294</v>
      </c>
      <c r="N8" s="64" t="s">
        <v>293</v>
      </c>
      <c r="O8" s="64" t="s">
        <v>292</v>
      </c>
      <c r="P8" s="64" t="s">
        <v>291</v>
      </c>
      <c r="Q8" s="64" t="s">
        <v>290</v>
      </c>
      <c r="R8" s="64" t="s">
        <v>289</v>
      </c>
      <c r="S8" s="64" t="s">
        <v>288</v>
      </c>
      <c r="T8" s="64" t="s">
        <v>287</v>
      </c>
      <c r="U8" s="64" t="s">
        <v>286</v>
      </c>
      <c r="V8" s="64" t="s">
        <v>285</v>
      </c>
      <c r="W8" s="64" t="s">
        <v>284</v>
      </c>
      <c r="X8" s="64" t="s">
        <v>283</v>
      </c>
      <c r="Y8" s="64" t="s">
        <v>282</v>
      </c>
      <c r="Z8" s="64" t="s">
        <v>281</v>
      </c>
      <c r="AA8" s="64" t="s">
        <v>280</v>
      </c>
      <c r="AB8" s="64" t="s">
        <v>279</v>
      </c>
      <c r="AC8" s="64" t="s">
        <v>278</v>
      </c>
      <c r="AD8" s="64" t="s">
        <v>277</v>
      </c>
      <c r="AE8" s="64" t="s">
        <v>276</v>
      </c>
      <c r="AF8" s="64" t="s">
        <v>275</v>
      </c>
      <c r="AG8" s="64" t="s">
        <v>274</v>
      </c>
      <c r="AH8" s="64" t="s">
        <v>273</v>
      </c>
      <c r="AI8" s="64" t="s">
        <v>272</v>
      </c>
      <c r="AJ8" s="64" t="s">
        <v>271</v>
      </c>
      <c r="AK8" s="64" t="s">
        <v>270</v>
      </c>
    </row>
    <row r="9" spans="1:37">
      <c r="A9" s="64" t="s">
        <v>1036</v>
      </c>
      <c r="B9" s="64">
        <v>1760.98</v>
      </c>
      <c r="C9" s="64">
        <v>1771.41</v>
      </c>
      <c r="D9" s="64">
        <v>1789.54</v>
      </c>
      <c r="E9" s="64">
        <v>1778.57</v>
      </c>
      <c r="F9" s="64">
        <v>1658.2</v>
      </c>
      <c r="G9" s="64">
        <v>1807.99</v>
      </c>
      <c r="H9" s="64">
        <v>1865.52</v>
      </c>
      <c r="I9" s="64">
        <v>1821.77</v>
      </c>
      <c r="J9" s="64">
        <v>1841.86</v>
      </c>
      <c r="K9" s="64">
        <v>1870.19</v>
      </c>
      <c r="L9" s="64">
        <v>1987.16</v>
      </c>
      <c r="M9" s="64">
        <v>2007.93</v>
      </c>
      <c r="N9" s="64">
        <v>2031.84</v>
      </c>
      <c r="O9" s="64">
        <v>2032.35</v>
      </c>
      <c r="P9" s="64">
        <v>2038.91</v>
      </c>
      <c r="Q9" s="64">
        <v>2033.8</v>
      </c>
      <c r="R9" s="64">
        <v>2041.64</v>
      </c>
      <c r="S9" s="64">
        <v>2037.04</v>
      </c>
      <c r="T9" s="64">
        <v>2034.88</v>
      </c>
      <c r="U9" s="64">
        <v>2027.87</v>
      </c>
      <c r="V9" s="64">
        <v>2032.82</v>
      </c>
      <c r="W9" s="64">
        <v>2029.09</v>
      </c>
      <c r="X9" s="64">
        <v>2032.6</v>
      </c>
      <c r="Y9" s="64">
        <v>2025.75</v>
      </c>
      <c r="Z9" s="64">
        <v>2034.75</v>
      </c>
      <c r="AA9" s="64">
        <v>2037.59</v>
      </c>
      <c r="AB9" s="64">
        <v>2040.88</v>
      </c>
      <c r="AC9" s="64">
        <v>2034.1</v>
      </c>
      <c r="AD9" s="64">
        <v>2041.87</v>
      </c>
      <c r="AE9" s="64">
        <v>2042.55</v>
      </c>
      <c r="AF9" s="64">
        <v>2041.58</v>
      </c>
      <c r="AG9" s="64">
        <v>2043.18</v>
      </c>
      <c r="AH9" s="64">
        <v>2059</v>
      </c>
      <c r="AI9" s="64">
        <v>2068.8000000000002</v>
      </c>
      <c r="AJ9" s="64">
        <v>2078.62</v>
      </c>
      <c r="AK9" s="64">
        <v>2083.94</v>
      </c>
    </row>
    <row r="10" spans="1:37">
      <c r="A10" s="64" t="s">
        <v>1035</v>
      </c>
      <c r="B10" s="64">
        <v>-279.83</v>
      </c>
      <c r="C10" s="64">
        <v>-290.22000000000003</v>
      </c>
      <c r="D10" s="64">
        <v>-264.2</v>
      </c>
      <c r="E10" s="64">
        <v>-314.88</v>
      </c>
      <c r="F10" s="64">
        <v>-237.66</v>
      </c>
      <c r="G10" s="64">
        <v>-222.72</v>
      </c>
      <c r="H10" s="64">
        <v>-306.01</v>
      </c>
      <c r="I10" s="64">
        <v>-213.63</v>
      </c>
      <c r="J10" s="64">
        <v>-219.72</v>
      </c>
      <c r="K10" s="64">
        <v>-242.2</v>
      </c>
      <c r="L10" s="64">
        <v>-264.08999999999997</v>
      </c>
      <c r="M10" s="64">
        <v>-268.52999999999997</v>
      </c>
      <c r="N10" s="64">
        <v>-259.95</v>
      </c>
      <c r="O10" s="64">
        <v>-262.02</v>
      </c>
      <c r="P10" s="64">
        <v>-264.26</v>
      </c>
      <c r="Q10" s="64">
        <v>-267.67</v>
      </c>
      <c r="R10" s="64">
        <v>-271.33</v>
      </c>
      <c r="S10" s="64">
        <v>-273.57</v>
      </c>
      <c r="T10" s="64">
        <v>-275.81</v>
      </c>
      <c r="U10" s="64">
        <v>-277.29000000000002</v>
      </c>
      <c r="V10" s="64">
        <v>-279.77999999999997</v>
      </c>
      <c r="W10" s="64">
        <v>-281.16000000000003</v>
      </c>
      <c r="X10" s="64">
        <v>-282.88</v>
      </c>
      <c r="Y10" s="64">
        <v>-283.83</v>
      </c>
      <c r="Z10" s="64">
        <v>-284.61</v>
      </c>
      <c r="AA10" s="64">
        <v>-284.61</v>
      </c>
      <c r="AB10" s="64">
        <v>-284.61</v>
      </c>
      <c r="AC10" s="64">
        <v>-282.11</v>
      </c>
      <c r="AD10" s="64">
        <v>-281.16000000000003</v>
      </c>
      <c r="AE10" s="64">
        <v>-279.43</v>
      </c>
      <c r="AF10" s="64">
        <v>-275.99</v>
      </c>
      <c r="AG10" s="64">
        <v>-271.79000000000002</v>
      </c>
      <c r="AH10" s="64">
        <v>-270.81</v>
      </c>
      <c r="AI10" s="64">
        <v>-269.08999999999997</v>
      </c>
      <c r="AJ10" s="64">
        <v>-267.37</v>
      </c>
      <c r="AK10" s="64">
        <v>-264.92</v>
      </c>
    </row>
    <row r="11" spans="1:37">
      <c r="A11" s="64" t="s">
        <v>1034</v>
      </c>
      <c r="B11" s="64">
        <v>443.55</v>
      </c>
      <c r="C11" s="64">
        <v>422.23</v>
      </c>
      <c r="D11" s="64">
        <v>439.16</v>
      </c>
      <c r="E11" s="64">
        <v>439.74</v>
      </c>
      <c r="F11" s="64">
        <v>419.13</v>
      </c>
      <c r="G11" s="64">
        <v>412.12</v>
      </c>
      <c r="H11" s="64">
        <v>389.71</v>
      </c>
      <c r="I11" s="64">
        <v>467.45</v>
      </c>
      <c r="J11" s="64">
        <v>497.99</v>
      </c>
      <c r="K11" s="64">
        <v>459.68</v>
      </c>
      <c r="L11" s="64">
        <v>425.1</v>
      </c>
      <c r="M11" s="64">
        <v>427.72</v>
      </c>
      <c r="N11" s="64">
        <v>428.2</v>
      </c>
      <c r="O11" s="64">
        <v>421.65</v>
      </c>
      <c r="P11" s="64">
        <v>423.72</v>
      </c>
      <c r="Q11" s="64">
        <v>424.45</v>
      </c>
      <c r="R11" s="64">
        <v>424.93</v>
      </c>
      <c r="S11" s="64">
        <v>424.06</v>
      </c>
      <c r="T11" s="64">
        <v>424.58</v>
      </c>
      <c r="U11" s="64">
        <v>423.59</v>
      </c>
      <c r="V11" s="64">
        <v>424.58</v>
      </c>
      <c r="W11" s="64">
        <v>424.58</v>
      </c>
      <c r="X11" s="64">
        <v>424.75</v>
      </c>
      <c r="Y11" s="64">
        <v>423.59</v>
      </c>
      <c r="Z11" s="64">
        <v>424.75</v>
      </c>
      <c r="AA11" s="64">
        <v>424.75</v>
      </c>
      <c r="AB11" s="64">
        <v>424.75</v>
      </c>
      <c r="AC11" s="64">
        <v>423.59</v>
      </c>
      <c r="AD11" s="64">
        <v>424.75</v>
      </c>
      <c r="AE11" s="64">
        <v>424.75</v>
      </c>
      <c r="AF11" s="64">
        <v>424.75</v>
      </c>
      <c r="AG11" s="64">
        <v>423.59</v>
      </c>
      <c r="AH11" s="64">
        <v>424.75</v>
      </c>
      <c r="AI11" s="64">
        <v>424.75</v>
      </c>
      <c r="AJ11" s="64">
        <v>424.75</v>
      </c>
      <c r="AK11" s="64">
        <v>423.59</v>
      </c>
    </row>
    <row r="12" spans="1:37">
      <c r="A12" s="64" t="s">
        <v>1033</v>
      </c>
      <c r="B12" s="64">
        <v>-0.66</v>
      </c>
      <c r="C12" s="64">
        <v>12.36</v>
      </c>
      <c r="D12" s="64">
        <v>12.66</v>
      </c>
      <c r="E12" s="64">
        <v>3.32</v>
      </c>
      <c r="F12" s="64">
        <v>-12.24</v>
      </c>
      <c r="G12" s="64">
        <v>-31.69</v>
      </c>
      <c r="H12" s="64">
        <v>5.0599999999999996</v>
      </c>
      <c r="I12" s="64">
        <v>2.2000000000000002</v>
      </c>
      <c r="J12" s="64">
        <v>-7.65</v>
      </c>
      <c r="K12" s="64">
        <v>18.96</v>
      </c>
      <c r="L12" s="64">
        <v>0</v>
      </c>
      <c r="M12" s="64">
        <v>0</v>
      </c>
      <c r="N12" s="64">
        <v>0</v>
      </c>
      <c r="O12" s="64">
        <v>0</v>
      </c>
      <c r="P12" s="64">
        <v>0</v>
      </c>
      <c r="Q12" s="64">
        <v>0</v>
      </c>
      <c r="R12" s="64">
        <v>0</v>
      </c>
      <c r="S12" s="64">
        <v>0</v>
      </c>
      <c r="T12" s="64">
        <v>0</v>
      </c>
      <c r="U12" s="64">
        <v>0</v>
      </c>
      <c r="V12" s="64">
        <v>0</v>
      </c>
      <c r="W12" s="64">
        <v>0</v>
      </c>
      <c r="X12" s="64">
        <v>0</v>
      </c>
      <c r="Y12" s="64">
        <v>0</v>
      </c>
      <c r="Z12" s="64">
        <v>0</v>
      </c>
      <c r="AA12" s="64">
        <v>0</v>
      </c>
      <c r="AB12" s="64">
        <v>0</v>
      </c>
      <c r="AC12" s="64">
        <v>0</v>
      </c>
      <c r="AD12" s="64">
        <v>0</v>
      </c>
      <c r="AE12" s="64">
        <v>0</v>
      </c>
      <c r="AF12" s="64">
        <v>0</v>
      </c>
      <c r="AG12" s="64">
        <v>0</v>
      </c>
      <c r="AH12" s="64">
        <v>0</v>
      </c>
      <c r="AI12" s="64">
        <v>0</v>
      </c>
      <c r="AJ12" s="64">
        <v>0</v>
      </c>
      <c r="AK12" s="64">
        <v>0</v>
      </c>
    </row>
    <row r="13" spans="1:37">
      <c r="A13" s="64" t="s">
        <v>1032</v>
      </c>
      <c r="B13" s="64">
        <v>127.58</v>
      </c>
      <c r="C13" s="64">
        <v>125</v>
      </c>
      <c r="D13" s="64">
        <v>128.81</v>
      </c>
      <c r="E13" s="64">
        <v>121.93</v>
      </c>
      <c r="F13" s="64">
        <v>134.69999999999999</v>
      </c>
      <c r="G13" s="64">
        <v>130.4</v>
      </c>
      <c r="H13" s="64">
        <v>113.83</v>
      </c>
      <c r="I13" s="64">
        <v>114.61</v>
      </c>
      <c r="J13" s="64">
        <v>128.16</v>
      </c>
      <c r="K13" s="64">
        <v>116.43</v>
      </c>
      <c r="L13" s="64">
        <v>118.26</v>
      </c>
      <c r="M13" s="64">
        <v>117.63</v>
      </c>
      <c r="N13" s="64">
        <v>118.17</v>
      </c>
      <c r="O13" s="64">
        <v>118.74</v>
      </c>
      <c r="P13" s="64">
        <v>118.96</v>
      </c>
      <c r="Q13" s="64">
        <v>118.68</v>
      </c>
      <c r="R13" s="64">
        <v>119.23</v>
      </c>
      <c r="S13" s="64">
        <v>119.45</v>
      </c>
      <c r="T13" s="64">
        <v>119.67</v>
      </c>
      <c r="U13" s="64">
        <v>119.57</v>
      </c>
      <c r="V13" s="64">
        <v>120.12</v>
      </c>
      <c r="W13" s="64">
        <v>120.35</v>
      </c>
      <c r="X13" s="64">
        <v>120.57</v>
      </c>
      <c r="Y13" s="64">
        <v>120.47</v>
      </c>
      <c r="Z13" s="64">
        <v>121.03</v>
      </c>
      <c r="AA13" s="64">
        <v>121.26</v>
      </c>
      <c r="AB13" s="64">
        <v>121.49</v>
      </c>
      <c r="AC13" s="64">
        <v>121.39</v>
      </c>
      <c r="AD13" s="64">
        <v>121.96</v>
      </c>
      <c r="AE13" s="64">
        <v>122.19</v>
      </c>
      <c r="AF13" s="64">
        <v>122.42</v>
      </c>
      <c r="AG13" s="64">
        <v>122.32</v>
      </c>
      <c r="AH13" s="64">
        <v>122.89</v>
      </c>
      <c r="AI13" s="64">
        <v>123.13</v>
      </c>
      <c r="AJ13" s="64">
        <v>123.37</v>
      </c>
      <c r="AK13" s="64">
        <v>123.27</v>
      </c>
    </row>
    <row r="14" spans="1:37">
      <c r="A14" s="64" t="s">
        <v>1031</v>
      </c>
      <c r="B14" s="64">
        <v>139.09</v>
      </c>
      <c r="C14" s="64">
        <v>136.91999999999999</v>
      </c>
      <c r="D14" s="64">
        <v>159.5</v>
      </c>
      <c r="E14" s="64">
        <v>145.46</v>
      </c>
      <c r="F14" s="64">
        <v>151.12</v>
      </c>
      <c r="G14" s="64">
        <v>146.88</v>
      </c>
      <c r="H14" s="64">
        <v>144.19999999999999</v>
      </c>
      <c r="I14" s="64">
        <v>117.83</v>
      </c>
      <c r="J14" s="64">
        <v>105.96</v>
      </c>
      <c r="K14" s="64">
        <v>105.67</v>
      </c>
      <c r="L14" s="64">
        <v>117.57</v>
      </c>
      <c r="M14" s="64">
        <v>112.04</v>
      </c>
      <c r="N14" s="64">
        <v>110.75</v>
      </c>
      <c r="O14" s="64">
        <v>112.77</v>
      </c>
      <c r="P14" s="64">
        <v>114.1</v>
      </c>
      <c r="Q14" s="64">
        <v>113.06</v>
      </c>
      <c r="R14" s="64">
        <v>113.5</v>
      </c>
      <c r="S14" s="64">
        <v>114.32</v>
      </c>
      <c r="T14" s="64">
        <v>114.63</v>
      </c>
      <c r="U14" s="64">
        <v>114.62</v>
      </c>
      <c r="V14" s="64">
        <v>115.24</v>
      </c>
      <c r="W14" s="64">
        <v>115.55</v>
      </c>
      <c r="X14" s="64">
        <v>115.86</v>
      </c>
      <c r="Y14" s="64">
        <v>115.85</v>
      </c>
      <c r="Z14" s="64">
        <v>116.48</v>
      </c>
      <c r="AA14" s="64">
        <v>116.8</v>
      </c>
      <c r="AB14" s="64">
        <v>117.11</v>
      </c>
      <c r="AC14" s="64">
        <v>117.11</v>
      </c>
      <c r="AD14" s="64">
        <v>117.74</v>
      </c>
      <c r="AE14" s="64">
        <v>118.06</v>
      </c>
      <c r="AF14" s="64">
        <v>118.38</v>
      </c>
      <c r="AG14" s="64">
        <v>118.38</v>
      </c>
      <c r="AH14" s="64">
        <v>119.03</v>
      </c>
      <c r="AI14" s="64">
        <v>119.35</v>
      </c>
      <c r="AJ14" s="64">
        <v>119.67</v>
      </c>
      <c r="AK14" s="64">
        <v>119.67</v>
      </c>
    </row>
    <row r="15" spans="1:37">
      <c r="A15" s="64" t="s">
        <v>1030</v>
      </c>
      <c r="B15" s="64">
        <v>0.15</v>
      </c>
      <c r="C15" s="64">
        <v>0.4</v>
      </c>
      <c r="D15" s="64">
        <v>0.77</v>
      </c>
      <c r="E15" s="64">
        <v>0.28000000000000003</v>
      </c>
      <c r="F15" s="64">
        <v>-1.4</v>
      </c>
      <c r="G15" s="64">
        <v>41.61</v>
      </c>
      <c r="H15" s="64">
        <v>-0.76</v>
      </c>
      <c r="I15" s="64">
        <v>0.62</v>
      </c>
      <c r="J15" s="64">
        <v>-16.8</v>
      </c>
      <c r="K15" s="64">
        <v>-26.94</v>
      </c>
      <c r="L15" s="64">
        <v>-11.72</v>
      </c>
      <c r="M15" s="64">
        <v>-13.58</v>
      </c>
      <c r="N15" s="64">
        <v>-17.239999999999998</v>
      </c>
      <c r="O15" s="64">
        <v>-17.579999999999998</v>
      </c>
      <c r="P15" s="64">
        <v>-15.17</v>
      </c>
      <c r="Q15" s="64">
        <v>-15.82</v>
      </c>
      <c r="R15" s="64">
        <v>-16.55</v>
      </c>
      <c r="S15" s="64">
        <v>-16.2</v>
      </c>
      <c r="T15" s="64">
        <v>-16.03</v>
      </c>
      <c r="U15" s="64">
        <v>-16.16</v>
      </c>
      <c r="V15" s="64">
        <v>-16.2</v>
      </c>
      <c r="W15" s="64">
        <v>-16.2</v>
      </c>
      <c r="X15" s="64">
        <v>-16.2</v>
      </c>
      <c r="Y15" s="64">
        <v>-16.16</v>
      </c>
      <c r="Z15" s="64">
        <v>-16.2</v>
      </c>
      <c r="AA15" s="64">
        <v>-16.2</v>
      </c>
      <c r="AB15" s="64">
        <v>-16.2</v>
      </c>
      <c r="AC15" s="64">
        <v>-16.16</v>
      </c>
      <c r="AD15" s="64">
        <v>-16.2</v>
      </c>
      <c r="AE15" s="64">
        <v>-16.2</v>
      </c>
      <c r="AF15" s="64">
        <v>-16.2</v>
      </c>
      <c r="AG15" s="64">
        <v>-16.16</v>
      </c>
      <c r="AH15" s="64">
        <v>-16.2</v>
      </c>
      <c r="AI15" s="64">
        <v>-16.2</v>
      </c>
      <c r="AJ15" s="64">
        <v>-16.2</v>
      </c>
      <c r="AK15" s="64">
        <v>-16.16</v>
      </c>
    </row>
    <row r="16" spans="1:37">
      <c r="A16" s="64" t="s">
        <v>1029</v>
      </c>
      <c r="B16" s="64">
        <v>-872.28</v>
      </c>
      <c r="C16" s="64">
        <v>-849.42</v>
      </c>
      <c r="D16" s="64">
        <v>-832.61</v>
      </c>
      <c r="E16" s="64">
        <v>-743.83</v>
      </c>
      <c r="F16" s="64">
        <v>-894.85</v>
      </c>
      <c r="G16" s="64">
        <v>-1147.5899999999999</v>
      </c>
      <c r="H16" s="64">
        <v>-1149.18</v>
      </c>
      <c r="I16" s="64">
        <v>-763.64</v>
      </c>
      <c r="J16" s="64">
        <v>-720</v>
      </c>
      <c r="K16" s="64">
        <v>-706.13</v>
      </c>
      <c r="L16" s="64">
        <v>-781.93</v>
      </c>
      <c r="M16" s="64">
        <v>-741.46</v>
      </c>
      <c r="N16" s="64">
        <v>-737.8</v>
      </c>
      <c r="O16" s="64">
        <v>-742.28</v>
      </c>
      <c r="P16" s="64">
        <v>-751.59</v>
      </c>
      <c r="Q16" s="64">
        <v>-741.8</v>
      </c>
      <c r="R16" s="64">
        <v>-744.01</v>
      </c>
      <c r="S16" s="64">
        <v>-745.56</v>
      </c>
      <c r="T16" s="64">
        <v>-746.25</v>
      </c>
      <c r="U16" s="64">
        <v>-742.83</v>
      </c>
      <c r="V16" s="64">
        <v>-745.56</v>
      </c>
      <c r="W16" s="64">
        <v>-745.73</v>
      </c>
      <c r="X16" s="64">
        <v>-745.56</v>
      </c>
      <c r="Y16" s="64">
        <v>-743.52</v>
      </c>
      <c r="Z16" s="64">
        <v>-745.56</v>
      </c>
      <c r="AA16" s="64">
        <v>-745.56</v>
      </c>
      <c r="AB16" s="64">
        <v>-745.56</v>
      </c>
      <c r="AC16" s="64">
        <v>-743.52</v>
      </c>
      <c r="AD16" s="64">
        <v>-745.56</v>
      </c>
      <c r="AE16" s="64">
        <v>-745.56</v>
      </c>
      <c r="AF16" s="64">
        <v>-745.56</v>
      </c>
      <c r="AG16" s="64">
        <v>-743.52</v>
      </c>
      <c r="AH16" s="64">
        <v>-745.56</v>
      </c>
      <c r="AI16" s="64">
        <v>-745.56</v>
      </c>
      <c r="AJ16" s="64">
        <v>-745.56</v>
      </c>
      <c r="AK16" s="64">
        <v>-743.52</v>
      </c>
    </row>
    <row r="17" spans="1:37">
      <c r="A17" s="64" t="s">
        <v>1028</v>
      </c>
      <c r="B17" s="64">
        <v>864.91</v>
      </c>
      <c r="C17" s="64">
        <v>845.46</v>
      </c>
      <c r="D17" s="64">
        <v>800.91</v>
      </c>
      <c r="E17" s="64">
        <v>708</v>
      </c>
      <c r="F17" s="64">
        <v>854.52</v>
      </c>
      <c r="G17" s="64">
        <v>1001.38</v>
      </c>
      <c r="H17" s="64">
        <v>984.56</v>
      </c>
      <c r="I17" s="64">
        <v>742.75</v>
      </c>
      <c r="J17" s="64">
        <v>744.38</v>
      </c>
      <c r="K17" s="64">
        <v>735.72</v>
      </c>
      <c r="L17" s="64">
        <v>765.21</v>
      </c>
      <c r="M17" s="64">
        <v>745.58</v>
      </c>
      <c r="N17" s="64">
        <v>748.14</v>
      </c>
      <c r="O17" s="64">
        <v>749.18</v>
      </c>
      <c r="P17" s="64">
        <v>752.45</v>
      </c>
      <c r="Q17" s="64">
        <v>747.48</v>
      </c>
      <c r="R17" s="64">
        <v>750.04</v>
      </c>
      <c r="S17" s="64">
        <v>750.39</v>
      </c>
      <c r="T17" s="64">
        <v>750.56</v>
      </c>
      <c r="U17" s="64">
        <v>748.16</v>
      </c>
      <c r="V17" s="64">
        <v>750.39</v>
      </c>
      <c r="W17" s="64">
        <v>750.39</v>
      </c>
      <c r="X17" s="64">
        <v>750.39</v>
      </c>
      <c r="Y17" s="64">
        <v>748.34</v>
      </c>
      <c r="Z17" s="64">
        <v>750.39</v>
      </c>
      <c r="AA17" s="64">
        <v>750.39</v>
      </c>
      <c r="AB17" s="64">
        <v>750.39</v>
      </c>
      <c r="AC17" s="64">
        <v>748.34</v>
      </c>
      <c r="AD17" s="64">
        <v>750.39</v>
      </c>
      <c r="AE17" s="64">
        <v>750.39</v>
      </c>
      <c r="AF17" s="64">
        <v>750.39</v>
      </c>
      <c r="AG17" s="64">
        <v>748.34</v>
      </c>
      <c r="AH17" s="64">
        <v>750.39</v>
      </c>
      <c r="AI17" s="64">
        <v>750.39</v>
      </c>
      <c r="AJ17" s="64">
        <v>750.39</v>
      </c>
      <c r="AK17" s="64">
        <v>748.34</v>
      </c>
    </row>
    <row r="18" spans="1:37">
      <c r="A18" s="64" t="s">
        <v>1027</v>
      </c>
      <c r="B18" s="64">
        <v>-87.51</v>
      </c>
      <c r="C18" s="64">
        <v>-109.98</v>
      </c>
      <c r="D18" s="64">
        <v>-116.37</v>
      </c>
      <c r="E18" s="64">
        <v>-112.46</v>
      </c>
      <c r="F18" s="64">
        <v>-99.77</v>
      </c>
      <c r="G18" s="64">
        <v>-121.98</v>
      </c>
      <c r="H18" s="64">
        <v>-135.56</v>
      </c>
      <c r="I18" s="64">
        <v>-350.13</v>
      </c>
      <c r="J18" s="64">
        <v>-457.64</v>
      </c>
      <c r="K18" s="64">
        <v>-457.2</v>
      </c>
      <c r="L18" s="64">
        <v>-388.04</v>
      </c>
      <c r="M18" s="64">
        <v>-412.42</v>
      </c>
      <c r="N18" s="64">
        <v>-429.06</v>
      </c>
      <c r="O18" s="64">
        <v>-421.82</v>
      </c>
      <c r="P18" s="64">
        <v>-413.2</v>
      </c>
      <c r="Q18" s="64">
        <v>-418.44</v>
      </c>
      <c r="R18" s="64">
        <v>-420.96</v>
      </c>
      <c r="S18" s="64">
        <v>-419.06</v>
      </c>
      <c r="T18" s="64">
        <v>-418.2</v>
      </c>
      <c r="U18" s="64">
        <v>-418.26</v>
      </c>
      <c r="V18" s="64">
        <v>-419.24</v>
      </c>
      <c r="W18" s="64">
        <v>-419.06</v>
      </c>
      <c r="X18" s="64">
        <v>-419.06</v>
      </c>
      <c r="Y18" s="64">
        <v>-418.09</v>
      </c>
      <c r="Z18" s="64">
        <v>-419.24</v>
      </c>
      <c r="AA18" s="64">
        <v>-419.24</v>
      </c>
      <c r="AB18" s="64">
        <v>-419.24</v>
      </c>
      <c r="AC18" s="64">
        <v>-418.09</v>
      </c>
      <c r="AD18" s="64">
        <v>-419.24</v>
      </c>
      <c r="AE18" s="64">
        <v>-419.24</v>
      </c>
      <c r="AF18" s="64">
        <v>-419.24</v>
      </c>
      <c r="AG18" s="64">
        <v>-418.09</v>
      </c>
      <c r="AH18" s="64">
        <v>-419.24</v>
      </c>
      <c r="AI18" s="64">
        <v>-419.24</v>
      </c>
      <c r="AJ18" s="64">
        <v>-419.24</v>
      </c>
      <c r="AK18" s="64">
        <v>-418.09</v>
      </c>
    </row>
    <row r="19" spans="1:37">
      <c r="A19" s="64" t="s">
        <v>1026</v>
      </c>
      <c r="B19" s="64">
        <v>2095.98</v>
      </c>
      <c r="C19" s="64">
        <v>2064.15</v>
      </c>
      <c r="D19" s="64">
        <v>2118.1799999999998</v>
      </c>
      <c r="E19" s="64">
        <v>2026.15</v>
      </c>
      <c r="F19" s="64">
        <v>1971.75</v>
      </c>
      <c r="G19" s="64">
        <v>2016.4</v>
      </c>
      <c r="H19" s="64">
        <v>1911.36</v>
      </c>
      <c r="I19" s="64">
        <v>1939.83</v>
      </c>
      <c r="J19" s="64">
        <v>1896.54</v>
      </c>
      <c r="K19" s="64">
        <v>1874.17</v>
      </c>
      <c r="L19" s="64">
        <v>1967.51</v>
      </c>
      <c r="M19" s="64">
        <v>1974.92</v>
      </c>
      <c r="N19" s="64">
        <v>1993.05</v>
      </c>
      <c r="O19" s="64">
        <v>1990.98</v>
      </c>
      <c r="P19" s="64">
        <v>2003.91</v>
      </c>
      <c r="Q19" s="64">
        <v>1993.75</v>
      </c>
      <c r="R19" s="64">
        <v>1996.48</v>
      </c>
      <c r="S19" s="64">
        <v>1990.86</v>
      </c>
      <c r="T19" s="64">
        <v>1988.03</v>
      </c>
      <c r="U19" s="64">
        <v>1979.27</v>
      </c>
      <c r="V19" s="64">
        <v>1982.37</v>
      </c>
      <c r="W19" s="64">
        <v>1977.8</v>
      </c>
      <c r="X19" s="64">
        <v>1980.46</v>
      </c>
      <c r="Y19" s="64">
        <v>1972.4</v>
      </c>
      <c r="Z19" s="64">
        <v>1981.8</v>
      </c>
      <c r="AA19" s="64">
        <v>1985.18</v>
      </c>
      <c r="AB19" s="64">
        <v>1989.01</v>
      </c>
      <c r="AC19" s="64">
        <v>1984.65</v>
      </c>
      <c r="AD19" s="64">
        <v>1994.56</v>
      </c>
      <c r="AE19" s="64">
        <v>1997.51</v>
      </c>
      <c r="AF19" s="64">
        <v>2000.53</v>
      </c>
      <c r="AG19" s="64">
        <v>2006.24</v>
      </c>
      <c r="AH19" s="64">
        <v>2024.25</v>
      </c>
      <c r="AI19" s="64">
        <v>2036.33</v>
      </c>
      <c r="AJ19" s="64">
        <v>2048.4299999999998</v>
      </c>
      <c r="AK19" s="64">
        <v>2056.13</v>
      </c>
    </row>
    <row r="21" spans="1:37" ht="19">
      <c r="A21" s="65" t="s">
        <v>1025</v>
      </c>
    </row>
    <row r="22" spans="1:37">
      <c r="A22" s="64" t="s">
        <v>306</v>
      </c>
      <c r="B22" s="64" t="s">
        <v>305</v>
      </c>
      <c r="C22" s="64" t="s">
        <v>304</v>
      </c>
      <c r="D22" s="64" t="s">
        <v>303</v>
      </c>
      <c r="E22" s="64" t="s">
        <v>302</v>
      </c>
      <c r="F22" s="64" t="s">
        <v>301</v>
      </c>
      <c r="G22" s="64" t="s">
        <v>300</v>
      </c>
      <c r="H22" s="64" t="s">
        <v>299</v>
      </c>
      <c r="I22" s="64" t="s">
        <v>298</v>
      </c>
      <c r="J22" s="64" t="s">
        <v>297</v>
      </c>
      <c r="K22" s="64" t="s">
        <v>296</v>
      </c>
      <c r="L22" s="64" t="s">
        <v>295</v>
      </c>
      <c r="M22" s="64" t="s">
        <v>294</v>
      </c>
      <c r="N22" s="64" t="s">
        <v>293</v>
      </c>
      <c r="O22" s="64" t="s">
        <v>292</v>
      </c>
      <c r="P22" s="64" t="s">
        <v>291</v>
      </c>
      <c r="Q22" s="64" t="s">
        <v>290</v>
      </c>
      <c r="R22" s="64" t="s">
        <v>289</v>
      </c>
      <c r="S22" s="64" t="s">
        <v>288</v>
      </c>
      <c r="T22" s="64" t="s">
        <v>287</v>
      </c>
      <c r="U22" s="64" t="s">
        <v>286</v>
      </c>
      <c r="V22" s="64" t="s">
        <v>285</v>
      </c>
      <c r="W22" s="64" t="s">
        <v>284</v>
      </c>
      <c r="X22" s="64" t="s">
        <v>283</v>
      </c>
      <c r="Y22" s="64" t="s">
        <v>282</v>
      </c>
      <c r="Z22" s="64" t="s">
        <v>281</v>
      </c>
      <c r="AA22" s="64" t="s">
        <v>280</v>
      </c>
      <c r="AB22" s="64" t="s">
        <v>279</v>
      </c>
      <c r="AC22" s="64" t="s">
        <v>278</v>
      </c>
      <c r="AD22" s="64" t="s">
        <v>277</v>
      </c>
      <c r="AE22" s="64" t="s">
        <v>276</v>
      </c>
      <c r="AF22" s="64" t="s">
        <v>275</v>
      </c>
      <c r="AG22" s="64" t="s">
        <v>274</v>
      </c>
      <c r="AH22" s="64" t="s">
        <v>273</v>
      </c>
      <c r="AI22" s="64" t="s">
        <v>272</v>
      </c>
      <c r="AJ22" s="64" t="s">
        <v>271</v>
      </c>
      <c r="AK22" s="64" t="s">
        <v>270</v>
      </c>
    </row>
    <row r="23" spans="1:37">
      <c r="A23" s="64" t="s">
        <v>1024</v>
      </c>
      <c r="B23" s="64">
        <v>200.02</v>
      </c>
      <c r="C23" s="64">
        <v>218.38</v>
      </c>
      <c r="D23" s="64">
        <v>226.3</v>
      </c>
      <c r="E23" s="64">
        <v>206.23</v>
      </c>
      <c r="F23" s="64">
        <v>203.32</v>
      </c>
      <c r="G23" s="64">
        <v>208</v>
      </c>
      <c r="H23" s="64">
        <v>205.75</v>
      </c>
      <c r="I23" s="64">
        <v>198.35</v>
      </c>
      <c r="J23" s="64">
        <v>210.82</v>
      </c>
      <c r="K23" s="64">
        <v>219.55</v>
      </c>
      <c r="L23" s="64">
        <v>216.42</v>
      </c>
      <c r="M23" s="64">
        <v>232.72</v>
      </c>
      <c r="N23" s="64">
        <v>231.31</v>
      </c>
      <c r="O23" s="64">
        <v>275.97000000000003</v>
      </c>
      <c r="P23" s="64">
        <v>277.86</v>
      </c>
      <c r="Q23" s="64">
        <v>276.41000000000003</v>
      </c>
      <c r="R23" s="64">
        <v>276.64999999999998</v>
      </c>
      <c r="S23" s="64">
        <v>277</v>
      </c>
      <c r="T23" s="64">
        <v>277.17</v>
      </c>
      <c r="U23" s="64">
        <v>276.24</v>
      </c>
      <c r="V23" s="64">
        <v>277</v>
      </c>
      <c r="W23" s="64">
        <v>277</v>
      </c>
      <c r="X23" s="64">
        <v>277</v>
      </c>
      <c r="Y23" s="64">
        <v>276.24</v>
      </c>
      <c r="Z23" s="64">
        <v>277</v>
      </c>
      <c r="AA23" s="64">
        <v>277</v>
      </c>
      <c r="AB23" s="64">
        <v>277</v>
      </c>
      <c r="AC23" s="64">
        <v>276.24</v>
      </c>
      <c r="AD23" s="64">
        <v>277</v>
      </c>
      <c r="AE23" s="64">
        <v>277</v>
      </c>
      <c r="AF23" s="64">
        <v>277</v>
      </c>
      <c r="AG23" s="64">
        <v>276.24</v>
      </c>
      <c r="AH23" s="64">
        <v>277</v>
      </c>
      <c r="AI23" s="64">
        <v>277</v>
      </c>
      <c r="AJ23" s="64">
        <v>277</v>
      </c>
      <c r="AK23" s="64">
        <v>276.24</v>
      </c>
    </row>
    <row r="24" spans="1:37">
      <c r="A24" s="64" t="s">
        <v>1023</v>
      </c>
      <c r="B24" s="64">
        <v>2095.98</v>
      </c>
      <c r="C24" s="64">
        <v>2064.15</v>
      </c>
      <c r="D24" s="64">
        <v>2118.1799999999998</v>
      </c>
      <c r="E24" s="64">
        <v>2026.15</v>
      </c>
      <c r="F24" s="64">
        <v>1971.75</v>
      </c>
      <c r="G24" s="64">
        <v>2016.4</v>
      </c>
      <c r="H24" s="64">
        <v>1911.36</v>
      </c>
      <c r="I24" s="64">
        <v>1939.83</v>
      </c>
      <c r="J24" s="64">
        <v>1896.54</v>
      </c>
      <c r="K24" s="64">
        <v>1874.17</v>
      </c>
      <c r="L24" s="64">
        <v>1967.51</v>
      </c>
      <c r="M24" s="64">
        <v>1974.92</v>
      </c>
      <c r="N24" s="64">
        <v>1993.05</v>
      </c>
      <c r="O24" s="64">
        <v>1990.98</v>
      </c>
      <c r="P24" s="64">
        <v>2003.91</v>
      </c>
      <c r="Q24" s="64">
        <v>1993.75</v>
      </c>
      <c r="R24" s="64">
        <v>1996.48</v>
      </c>
      <c r="S24" s="64">
        <v>1990.86</v>
      </c>
      <c r="T24" s="64">
        <v>1988.03</v>
      </c>
      <c r="U24" s="64">
        <v>1979.27</v>
      </c>
      <c r="V24" s="64">
        <v>1982.37</v>
      </c>
      <c r="W24" s="64">
        <v>1977.8</v>
      </c>
      <c r="X24" s="64">
        <v>1980.46</v>
      </c>
      <c r="Y24" s="64">
        <v>1972.4</v>
      </c>
      <c r="Z24" s="64">
        <v>1981.8</v>
      </c>
      <c r="AA24" s="64">
        <v>1985.18</v>
      </c>
      <c r="AB24" s="64">
        <v>1989.01</v>
      </c>
      <c r="AC24" s="64">
        <v>1984.65</v>
      </c>
      <c r="AD24" s="64">
        <v>1994.56</v>
      </c>
      <c r="AE24" s="64">
        <v>1997.51</v>
      </c>
      <c r="AF24" s="64">
        <v>2000.53</v>
      </c>
      <c r="AG24" s="64">
        <v>2006.24</v>
      </c>
      <c r="AH24" s="64">
        <v>2024.25</v>
      </c>
      <c r="AI24" s="64">
        <v>2036.33</v>
      </c>
      <c r="AJ24" s="64">
        <v>2048.4299999999998</v>
      </c>
      <c r="AK24" s="64">
        <v>2056.13</v>
      </c>
    </row>
    <row r="25" spans="1:37">
      <c r="A25" s="64" t="s">
        <v>1022</v>
      </c>
      <c r="B25" s="64">
        <v>814.31</v>
      </c>
      <c r="C25" s="64">
        <v>740.34</v>
      </c>
      <c r="D25" s="64">
        <v>760.43</v>
      </c>
      <c r="E25" s="64">
        <v>772.1</v>
      </c>
      <c r="F25" s="64">
        <v>746.16</v>
      </c>
      <c r="G25" s="64">
        <v>699.54</v>
      </c>
      <c r="H25" s="64">
        <v>634.37</v>
      </c>
      <c r="I25" s="64">
        <v>691.49</v>
      </c>
      <c r="J25" s="64">
        <v>586.48</v>
      </c>
      <c r="K25" s="64">
        <v>521.23</v>
      </c>
      <c r="L25" s="64">
        <v>506.96</v>
      </c>
      <c r="M25" s="64">
        <v>489.17</v>
      </c>
      <c r="N25" s="64">
        <v>491.22</v>
      </c>
      <c r="O25" s="64">
        <v>456.67</v>
      </c>
      <c r="P25" s="64">
        <v>455.05</v>
      </c>
      <c r="Q25" s="64">
        <v>469.07</v>
      </c>
      <c r="R25" s="64">
        <v>467.32</v>
      </c>
      <c r="S25" s="64">
        <v>462.58</v>
      </c>
      <c r="T25" s="64">
        <v>475.55</v>
      </c>
      <c r="U25" s="64">
        <v>472.02</v>
      </c>
      <c r="V25" s="64">
        <v>436.64</v>
      </c>
      <c r="W25" s="64">
        <v>439.72</v>
      </c>
      <c r="X25" s="64">
        <v>448.35</v>
      </c>
      <c r="Y25" s="64">
        <v>451.67</v>
      </c>
      <c r="Z25" s="64">
        <v>454.56</v>
      </c>
      <c r="AA25" s="64">
        <v>455.57</v>
      </c>
      <c r="AB25" s="64">
        <v>460.89</v>
      </c>
      <c r="AC25" s="64">
        <v>467.41</v>
      </c>
      <c r="AD25" s="64">
        <v>473.18</v>
      </c>
      <c r="AE25" s="64">
        <v>469.57</v>
      </c>
      <c r="AF25" s="64">
        <v>472.35</v>
      </c>
      <c r="AG25" s="64">
        <v>475.07</v>
      </c>
      <c r="AH25" s="64">
        <v>481.28</v>
      </c>
      <c r="AI25" s="64">
        <v>488.51</v>
      </c>
      <c r="AJ25" s="64">
        <v>495.1</v>
      </c>
      <c r="AK25" s="64">
        <v>495.99</v>
      </c>
    </row>
    <row r="26" spans="1:37">
      <c r="A26" s="64" t="s">
        <v>1021</v>
      </c>
      <c r="B26" s="64">
        <v>99.42</v>
      </c>
      <c r="C26" s="64">
        <v>90.98</v>
      </c>
      <c r="D26" s="64">
        <v>96.62</v>
      </c>
      <c r="E26" s="64">
        <v>89.3</v>
      </c>
      <c r="F26" s="64">
        <v>89.91</v>
      </c>
      <c r="G26" s="64">
        <v>95.15</v>
      </c>
      <c r="H26" s="64">
        <v>86.95</v>
      </c>
      <c r="I26" s="64">
        <v>66.31</v>
      </c>
      <c r="J26" s="64">
        <v>79.989999999999995</v>
      </c>
      <c r="K26" s="64">
        <v>57.69</v>
      </c>
      <c r="L26" s="64">
        <v>98.38</v>
      </c>
      <c r="M26" s="64">
        <v>98.75</v>
      </c>
      <c r="N26" s="64">
        <v>99.65</v>
      </c>
      <c r="O26" s="64">
        <v>99.55</v>
      </c>
      <c r="P26" s="64">
        <v>100.2</v>
      </c>
      <c r="Q26" s="64">
        <v>99.69</v>
      </c>
      <c r="R26" s="64">
        <v>99.82</v>
      </c>
      <c r="S26" s="64">
        <v>99.54</v>
      </c>
      <c r="T26" s="64">
        <v>99.4</v>
      </c>
      <c r="U26" s="64">
        <v>98.96</v>
      </c>
      <c r="V26" s="64">
        <v>99.12</v>
      </c>
      <c r="W26" s="64">
        <v>98.89</v>
      </c>
      <c r="X26" s="64">
        <v>99.02</v>
      </c>
      <c r="Y26" s="64">
        <v>98.62</v>
      </c>
      <c r="Z26" s="64">
        <v>99.09</v>
      </c>
      <c r="AA26" s="64">
        <v>99.26</v>
      </c>
      <c r="AB26" s="64">
        <v>99.45</v>
      </c>
      <c r="AC26" s="64">
        <v>99.23</v>
      </c>
      <c r="AD26" s="64">
        <v>99.73</v>
      </c>
      <c r="AE26" s="64">
        <v>99.88</v>
      </c>
      <c r="AF26" s="64">
        <v>100.03</v>
      </c>
      <c r="AG26" s="64">
        <v>100.31</v>
      </c>
      <c r="AH26" s="64">
        <v>101.21</v>
      </c>
      <c r="AI26" s="64">
        <v>101.82</v>
      </c>
      <c r="AJ26" s="64">
        <v>102.42</v>
      </c>
      <c r="AK26" s="64">
        <v>102.81</v>
      </c>
    </row>
    <row r="27" spans="1:37">
      <c r="A27" s="64" t="s">
        <v>1020</v>
      </c>
      <c r="B27" s="64">
        <v>112.86</v>
      </c>
      <c r="C27" s="64">
        <v>109.56</v>
      </c>
      <c r="D27" s="64">
        <v>99.01</v>
      </c>
      <c r="E27" s="64">
        <v>74.45</v>
      </c>
      <c r="F27" s="64">
        <v>61.46</v>
      </c>
      <c r="G27" s="64">
        <v>71.260000000000005</v>
      </c>
      <c r="H27" s="64">
        <v>45.1</v>
      </c>
      <c r="I27" s="64">
        <v>37.270000000000003</v>
      </c>
      <c r="J27" s="64">
        <v>44.75</v>
      </c>
      <c r="K27" s="64">
        <v>20.260000000000002</v>
      </c>
      <c r="L27" s="64">
        <v>24.56</v>
      </c>
      <c r="M27" s="64">
        <v>9.2200000000000006</v>
      </c>
      <c r="N27" s="64">
        <v>9.25</v>
      </c>
      <c r="O27" s="64">
        <v>9.25</v>
      </c>
      <c r="P27" s="64">
        <v>9.25</v>
      </c>
      <c r="Q27" s="64">
        <v>9.2200000000000006</v>
      </c>
      <c r="R27" s="64">
        <v>9.25</v>
      </c>
      <c r="S27" s="64">
        <v>9.25</v>
      </c>
      <c r="T27" s="64">
        <v>9.25</v>
      </c>
      <c r="U27" s="64">
        <v>9.2200000000000006</v>
      </c>
      <c r="V27" s="64">
        <v>9.25</v>
      </c>
      <c r="W27" s="64">
        <v>9.25</v>
      </c>
      <c r="X27" s="64">
        <v>9.25</v>
      </c>
      <c r="Y27" s="64">
        <v>9.2200000000000006</v>
      </c>
      <c r="Z27" s="64">
        <v>9.25</v>
      </c>
      <c r="AA27" s="64">
        <v>9.25</v>
      </c>
      <c r="AB27" s="64">
        <v>9.25</v>
      </c>
      <c r="AC27" s="64">
        <v>9.2200000000000006</v>
      </c>
      <c r="AD27" s="64">
        <v>9.25</v>
      </c>
      <c r="AE27" s="64">
        <v>9.25</v>
      </c>
      <c r="AF27" s="64">
        <v>9.25</v>
      </c>
      <c r="AG27" s="64">
        <v>9.2200000000000006</v>
      </c>
      <c r="AH27" s="64">
        <v>9.25</v>
      </c>
      <c r="AI27" s="64">
        <v>9.25</v>
      </c>
      <c r="AJ27" s="64">
        <v>9.25</v>
      </c>
      <c r="AK27" s="64">
        <v>9.2200000000000006</v>
      </c>
    </row>
    <row r="28" spans="1:37">
      <c r="A28" s="64" t="s">
        <v>1019</v>
      </c>
      <c r="B28" s="64">
        <v>150.47</v>
      </c>
      <c r="C28" s="64">
        <v>185.07</v>
      </c>
      <c r="D28" s="64">
        <v>171.74</v>
      </c>
      <c r="E28" s="64">
        <v>155.36000000000001</v>
      </c>
      <c r="F28" s="64">
        <v>152.61000000000001</v>
      </c>
      <c r="G28" s="64">
        <v>147.26</v>
      </c>
      <c r="H28" s="64">
        <v>154.4</v>
      </c>
      <c r="I28" s="64">
        <v>118.43</v>
      </c>
      <c r="J28" s="64">
        <v>112.77</v>
      </c>
      <c r="K28" s="64">
        <v>99.19</v>
      </c>
      <c r="L28" s="64">
        <v>125.79</v>
      </c>
      <c r="M28" s="64">
        <v>121.83</v>
      </c>
      <c r="N28" s="64">
        <v>121.48</v>
      </c>
      <c r="O28" s="64">
        <v>123.72</v>
      </c>
      <c r="P28" s="64">
        <v>123.2</v>
      </c>
      <c r="Q28" s="64">
        <v>122.18</v>
      </c>
      <c r="R28" s="64">
        <v>122.69</v>
      </c>
      <c r="S28" s="64">
        <v>123.03</v>
      </c>
      <c r="T28" s="64">
        <v>122.86</v>
      </c>
      <c r="U28" s="64">
        <v>122.35</v>
      </c>
      <c r="V28" s="64">
        <v>122.69</v>
      </c>
      <c r="W28" s="64">
        <v>122.69</v>
      </c>
      <c r="X28" s="64">
        <v>122.69</v>
      </c>
      <c r="Y28" s="64">
        <v>122.35</v>
      </c>
      <c r="Z28" s="64">
        <v>122.69</v>
      </c>
      <c r="AA28" s="64">
        <v>122.69</v>
      </c>
      <c r="AB28" s="64">
        <v>122.69</v>
      </c>
      <c r="AC28" s="64">
        <v>122.35</v>
      </c>
      <c r="AD28" s="64">
        <v>122.69</v>
      </c>
      <c r="AE28" s="64">
        <v>122.69</v>
      </c>
      <c r="AF28" s="64">
        <v>122.69</v>
      </c>
      <c r="AG28" s="64">
        <v>122.35</v>
      </c>
      <c r="AH28" s="64">
        <v>122.69</v>
      </c>
      <c r="AI28" s="64">
        <v>122.69</v>
      </c>
      <c r="AJ28" s="64">
        <v>122.69</v>
      </c>
      <c r="AK28" s="64">
        <v>122.35</v>
      </c>
    </row>
    <row r="29" spans="1:37">
      <c r="A29" s="64" t="s">
        <v>1018</v>
      </c>
      <c r="B29" s="64">
        <v>718.89</v>
      </c>
      <c r="C29" s="64">
        <v>719.82</v>
      </c>
      <c r="D29" s="64">
        <v>764.08</v>
      </c>
      <c r="E29" s="64">
        <v>728.71</v>
      </c>
      <c r="F29" s="64">
        <v>718.29</v>
      </c>
      <c r="G29" s="64">
        <v>795.19</v>
      </c>
      <c r="H29" s="64">
        <v>784.78</v>
      </c>
      <c r="I29" s="64">
        <v>827.99</v>
      </c>
      <c r="J29" s="64">
        <v>861.74</v>
      </c>
      <c r="K29" s="64">
        <v>956.26</v>
      </c>
      <c r="L29" s="64">
        <v>995.4</v>
      </c>
      <c r="M29" s="64">
        <v>1023.22</v>
      </c>
      <c r="N29" s="64">
        <v>1040.1400000000001</v>
      </c>
      <c r="O29" s="64">
        <v>1025.82</v>
      </c>
      <c r="P29" s="64">
        <v>1038.3499999999999</v>
      </c>
      <c r="Q29" s="64">
        <v>1017.18</v>
      </c>
      <c r="R29" s="64">
        <v>1020.75</v>
      </c>
      <c r="S29" s="64">
        <v>1019.45</v>
      </c>
      <c r="T29" s="64">
        <v>1003.8</v>
      </c>
      <c r="U29" s="64">
        <v>1000.46</v>
      </c>
      <c r="V29" s="64">
        <v>1037.67</v>
      </c>
      <c r="W29" s="64">
        <v>1030.25</v>
      </c>
      <c r="X29" s="64">
        <v>1024.1500000000001</v>
      </c>
      <c r="Y29" s="64">
        <v>1014.29</v>
      </c>
      <c r="Z29" s="64">
        <v>1019.22</v>
      </c>
      <c r="AA29" s="64">
        <v>1021.41</v>
      </c>
      <c r="AB29" s="64">
        <v>1019.74</v>
      </c>
      <c r="AC29" s="64">
        <v>1010.18</v>
      </c>
      <c r="AD29" s="64">
        <v>1012.71</v>
      </c>
      <c r="AE29" s="64">
        <v>1019.13</v>
      </c>
      <c r="AF29" s="64">
        <v>1019.22</v>
      </c>
      <c r="AG29" s="64">
        <v>1023.05</v>
      </c>
      <c r="AH29" s="64">
        <v>1032.82</v>
      </c>
      <c r="AI29" s="64">
        <v>1037.07</v>
      </c>
      <c r="AJ29" s="64">
        <v>1041.98</v>
      </c>
      <c r="AK29" s="64">
        <v>1049.51</v>
      </c>
    </row>
  </sheetData>
  <pageMargins left="0.75" right="0.75" top="0.75" bottom="0.5" header="0.5" footer="0.75"/>
  <pageSetup orientation="portrait"/>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dimension ref="A1:AK5"/>
  <sheetViews>
    <sheetView workbookViewId="0">
      <selection activeCell="A4" sqref="A4"/>
    </sheetView>
  </sheetViews>
  <sheetFormatPr baseColWidth="10" defaultColWidth="8.6640625" defaultRowHeight="15"/>
  <cols>
    <col min="1" max="1" width="17.33203125" customWidth="1"/>
    <col min="2" max="2" width="12" bestFit="1" customWidth="1"/>
    <col min="4" max="4" width="14.5" bestFit="1" customWidth="1"/>
  </cols>
  <sheetData>
    <row r="1" spans="1:37">
      <c r="A1" s="71" t="s">
        <v>62</v>
      </c>
      <c r="B1">
        <f>0</f>
        <v>0</v>
      </c>
      <c r="C1">
        <f>0</f>
        <v>0</v>
      </c>
      <c r="D1">
        <f>0</f>
        <v>0</v>
      </c>
      <c r="E1">
        <f>0</f>
        <v>0</v>
      </c>
      <c r="F1">
        <f>0</f>
        <v>0</v>
      </c>
      <c r="G1">
        <f>0</f>
        <v>0</v>
      </c>
      <c r="H1">
        <f>0</f>
        <v>0</v>
      </c>
      <c r="I1">
        <f>0</f>
        <v>0</v>
      </c>
      <c r="J1">
        <f>0</f>
        <v>0</v>
      </c>
      <c r="K1">
        <f>0</f>
        <v>0</v>
      </c>
      <c r="L1">
        <f>0</f>
        <v>0</v>
      </c>
      <c r="M1">
        <f>0</f>
        <v>0</v>
      </c>
      <c r="N1">
        <f>0</f>
        <v>0</v>
      </c>
      <c r="O1">
        <f>0</f>
        <v>0</v>
      </c>
      <c r="P1">
        <f>0</f>
        <v>0</v>
      </c>
      <c r="Q1">
        <f>0</f>
        <v>0</v>
      </c>
      <c r="R1">
        <f>0</f>
        <v>0</v>
      </c>
      <c r="S1">
        <f>0</f>
        <v>0</v>
      </c>
      <c r="T1">
        <f>0</f>
        <v>0</v>
      </c>
      <c r="U1">
        <f>0</f>
        <v>0</v>
      </c>
      <c r="V1">
        <f>0</f>
        <v>0</v>
      </c>
      <c r="W1">
        <f>0</f>
        <v>0</v>
      </c>
      <c r="X1">
        <f>0</f>
        <v>0</v>
      </c>
      <c r="Y1">
        <f>0</f>
        <v>0</v>
      </c>
      <c r="Z1">
        <f>0</f>
        <v>0</v>
      </c>
      <c r="AA1">
        <f>0</f>
        <v>0</v>
      </c>
      <c r="AB1">
        <f>0</f>
        <v>0</v>
      </c>
      <c r="AC1">
        <f>0</f>
        <v>0</v>
      </c>
      <c r="AD1">
        <f>0</f>
        <v>0</v>
      </c>
      <c r="AE1">
        <f>0</f>
        <v>0</v>
      </c>
      <c r="AF1">
        <f>0</f>
        <v>0</v>
      </c>
      <c r="AG1">
        <f>0</f>
        <v>0</v>
      </c>
      <c r="AH1">
        <f>0</f>
        <v>0</v>
      </c>
      <c r="AI1">
        <f>0</f>
        <v>0</v>
      </c>
      <c r="AJ1">
        <f>0</f>
        <v>0</v>
      </c>
      <c r="AK1">
        <f>0</f>
        <v>0</v>
      </c>
    </row>
    <row r="2" spans="1:37">
      <c r="A2" s="71" t="s">
        <v>63</v>
      </c>
      <c r="B2">
        <f>B1*12400/1000</f>
        <v>0</v>
      </c>
      <c r="C2">
        <f t="shared" ref="C2:AK2" si="0">C1*12400/1000</f>
        <v>0</v>
      </c>
      <c r="D2">
        <f t="shared" si="0"/>
        <v>0</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c r="AG2">
        <f t="shared" si="0"/>
        <v>0</v>
      </c>
      <c r="AH2">
        <f t="shared" si="0"/>
        <v>0</v>
      </c>
      <c r="AI2">
        <f t="shared" si="0"/>
        <v>0</v>
      </c>
      <c r="AJ2">
        <f t="shared" si="0"/>
        <v>0</v>
      </c>
      <c r="AK2">
        <f t="shared" si="0"/>
        <v>0</v>
      </c>
    </row>
    <row r="4" spans="1:37">
      <c r="A4" s="5" t="s">
        <v>838</v>
      </c>
    </row>
    <row r="5" spans="1:37">
      <c r="A5" t="s">
        <v>985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dimension ref="A1:AK37"/>
  <sheetViews>
    <sheetView workbookViewId="0">
      <pane xSplit="2" topLeftCell="C1" activePane="topRight" state="frozen"/>
      <selection pane="topRight"/>
    </sheetView>
  </sheetViews>
  <sheetFormatPr baseColWidth="10" defaultColWidth="8.6640625" defaultRowHeight="15"/>
  <cols>
    <col min="1" max="1" width="38.33203125" customWidth="1"/>
    <col min="2" max="2" width="31.33203125" customWidth="1"/>
    <col min="3" max="3" width="18.6640625" customWidth="1"/>
    <col min="4" max="4" width="24.1640625" customWidth="1"/>
    <col min="5" max="5" width="21.6640625" customWidth="1"/>
    <col min="6" max="6" width="14.33203125" customWidth="1"/>
    <col min="7" max="7" width="22" customWidth="1"/>
    <col min="8" max="8" width="12" bestFit="1" customWidth="1"/>
    <col min="9" max="9" width="14.5" customWidth="1"/>
    <col min="10" max="10" width="24" customWidth="1"/>
    <col min="11" max="11" width="12" bestFit="1" customWidth="1"/>
    <col min="12" max="12" width="12.6640625" customWidth="1"/>
    <col min="13" max="13" width="22" customWidth="1"/>
    <col min="14" max="16" width="12" bestFit="1" customWidth="1"/>
    <col min="17" max="17" width="12" customWidth="1"/>
    <col min="18" max="18" width="12" bestFit="1" customWidth="1"/>
    <col min="19" max="19" width="12" customWidth="1"/>
    <col min="20" max="37" width="12" bestFit="1" customWidth="1"/>
    <col min="38" max="38" width="10.6640625" customWidth="1"/>
  </cols>
  <sheetData>
    <row r="1" spans="1:37">
      <c r="A1" s="6" t="s">
        <v>911</v>
      </c>
      <c r="B1" s="7"/>
      <c r="C1" s="6" t="s">
        <v>505</v>
      </c>
      <c r="D1" s="7"/>
      <c r="E1" s="6" t="s">
        <v>912</v>
      </c>
    </row>
    <row r="2" spans="1:37">
      <c r="A2" s="281">
        <f>'15'!K53</f>
        <v>1662.32174730305</v>
      </c>
      <c r="B2" s="71" t="s">
        <v>523</v>
      </c>
      <c r="C2" s="9">
        <v>11010.98</v>
      </c>
      <c r="D2" t="s">
        <v>523</v>
      </c>
      <c r="E2">
        <f>A2/C2</f>
        <v>0.15096946387179433</v>
      </c>
    </row>
    <row r="4" spans="1:37">
      <c r="B4">
        <v>2015</v>
      </c>
      <c r="C4">
        <v>2016</v>
      </c>
      <c r="D4">
        <v>2017</v>
      </c>
      <c r="E4">
        <v>2018</v>
      </c>
      <c r="F4">
        <v>2019</v>
      </c>
      <c r="G4">
        <v>2020</v>
      </c>
      <c r="H4">
        <v>2021</v>
      </c>
      <c r="I4">
        <v>2022</v>
      </c>
      <c r="J4">
        <v>2023</v>
      </c>
      <c r="K4">
        <v>2024</v>
      </c>
      <c r="L4">
        <v>2025</v>
      </c>
      <c r="M4">
        <v>2026</v>
      </c>
      <c r="N4">
        <v>2027</v>
      </c>
      <c r="O4">
        <v>2028</v>
      </c>
      <c r="P4">
        <v>2029</v>
      </c>
      <c r="Q4">
        <v>2030</v>
      </c>
      <c r="R4">
        <v>2031</v>
      </c>
      <c r="S4">
        <v>2032</v>
      </c>
      <c r="T4">
        <v>2033</v>
      </c>
      <c r="U4">
        <v>2034</v>
      </c>
      <c r="V4">
        <v>2035</v>
      </c>
      <c r="W4">
        <v>2036</v>
      </c>
      <c r="X4">
        <v>2037</v>
      </c>
      <c r="Y4">
        <v>2038</v>
      </c>
      <c r="Z4">
        <v>2039</v>
      </c>
      <c r="AA4">
        <v>2040</v>
      </c>
      <c r="AB4">
        <v>2041</v>
      </c>
      <c r="AC4">
        <v>2042</v>
      </c>
      <c r="AD4">
        <v>2043</v>
      </c>
      <c r="AE4">
        <v>2044</v>
      </c>
      <c r="AF4">
        <v>2045</v>
      </c>
      <c r="AG4">
        <v>2046</v>
      </c>
      <c r="AH4">
        <v>2047</v>
      </c>
      <c r="AI4">
        <v>2048</v>
      </c>
      <c r="AJ4">
        <v>2049</v>
      </c>
      <c r="AK4">
        <v>2050</v>
      </c>
    </row>
    <row r="5" spans="1:37">
      <c r="A5" s="241" t="s">
        <v>524</v>
      </c>
      <c r="B5" s="379">
        <f>A2*10^3</f>
        <v>1662321.74730305</v>
      </c>
      <c r="C5" s="379">
        <f>($E$5-$B$5)/COUNT($C$4:$E$4)+B5</f>
        <v>1863061.817561005</v>
      </c>
      <c r="D5" s="379">
        <f>($E$5-$B$5)/COUNT($C$4:$E$4)+C5</f>
        <v>2063801.88781896</v>
      </c>
      <c r="E5" s="379">
        <f>INDEX($H$14:$H$36,MATCH(E4,$G$14:$G$36,0),1)*10^6*E2</f>
        <v>2264541.9580769148</v>
      </c>
      <c r="F5" s="379">
        <f>INDEX($H$14:$H$36,MATCH(F4,$G$14:$G$36,0),1)*10^6*E2</f>
        <v>2234348.0653025559</v>
      </c>
      <c r="G5" s="379">
        <f>INDEX($H$14:$H$36,MATCH(G4,$G$14:$G$36,0),1)*10^6*E2</f>
        <v>2279638.9044640944</v>
      </c>
      <c r="H5" s="379">
        <f>INDEX($H$14:$H$36,MATCH(H4,$G$14:$G$36,0),1)*10^6*E2</f>
        <v>2279638.9044640944</v>
      </c>
      <c r="I5" s="379">
        <f>INDEX($H$14:$H$36,MATCH(I4,$G$14:$G$36,0),1)*10^6*E2</f>
        <v>2370220.582787171</v>
      </c>
      <c r="J5" s="379">
        <f>INDEX($H$14:$H$36,MATCH(J4,$G$14:$G$36,0),1)*10^6*E2</f>
        <v>2415511.4219487091</v>
      </c>
      <c r="K5" s="379">
        <f>INDEX($H$14:$H$36,MATCH(K4,$G$14:$G$36,0),1)*10^6*E2</f>
        <v>2445705.3147230679</v>
      </c>
      <c r="L5" s="379">
        <f>INDEX($H$14:$H$36,MATCH(L4,$G$14:$G$36,0),1)*10^6*E2</f>
        <v>2490996.1538846064</v>
      </c>
      <c r="M5" s="379">
        <f>INDEX($H$14:$H$36,MATCH(M4,$G$14:$G$36,0),1)*10^6*E2</f>
        <v>2475899.2074974268</v>
      </c>
      <c r="N5" s="379">
        <f>INDEX($H$14:$H$36,MATCH(N4,$G$14:$G$36,0),1)*10^6*E2</f>
        <v>2611771.7249820419</v>
      </c>
      <c r="O5" s="379">
        <f>INDEX($H$14:$H$36,MATCH(O4,$G$14:$G$36,0),1)*10^6*E2</f>
        <v>2521190.0466589653</v>
      </c>
      <c r="P5" s="379">
        <f>INDEX($H$14:$H$36,MATCH(P4,$G$14:$G$36,0),1)*10^6*E2</f>
        <v>2400414.4755615299</v>
      </c>
      <c r="Q5" s="379">
        <f>INDEX($H$14:$H$36,MATCH(Q4,$G$14:$G$36,0),1)*10^6*E2</f>
        <v>2234348.0653025559</v>
      </c>
      <c r="R5" s="379">
        <f>INDEX($H$14:$H$36,MATCH(R4,$G$14:$G$36,0),1)*10^6*E2</f>
        <v>2309832.7972384533</v>
      </c>
      <c r="S5" s="379">
        <f>INDEX($H$14:$H$36,MATCH(S4,$G$14:$G$36,0),1)*10^6*E2</f>
        <v>2385317.5291743502</v>
      </c>
      <c r="T5" s="379">
        <f>INDEX($H$14:$H$36,MATCH(T4,$G$14:$G$36,0),1)*10^6*E2</f>
        <v>2294735.8508512736</v>
      </c>
      <c r="U5" s="379">
        <f>INDEX($H$14:$H$36,MATCH(U4,$G$14:$G$36,0),1)*10^6*E2</f>
        <v>2158863.333366659</v>
      </c>
      <c r="V5" s="379">
        <f>INDEX($H$14:$H$36,MATCH(V4,$G$14:$G$36,0),1)*10^6*E2</f>
        <v>2022990.8158820439</v>
      </c>
      <c r="W5" s="379">
        <f>INDEX($H$14:$H$36,MATCH(W4,$G$14:$G$36,0),1)*10^6*E2</f>
        <v>1947506.0839461468</v>
      </c>
      <c r="X5" s="379">
        <f>INDEX($H$14:$H$36,MATCH(X4,$G$14:$G$36,0),1)*10^6*E2</f>
        <v>1917312.1911717879</v>
      </c>
      <c r="Y5" s="379">
        <f>INDEX($H$14:$H$36,MATCH(Y4,$G$14:$G$36,0),1)*10^6*E2</f>
        <v>1479500.7459435845</v>
      </c>
      <c r="Z5" s="379">
        <f>INDEX($H$14:$H$36,MATCH(Z4,$G$14:$G$36,0),1)*10^6*E2</f>
        <v>1434209.9067820462</v>
      </c>
      <c r="AA5" s="379">
        <f>INDEX($H$14:$H$36,MATCH(AA4,$G$14:$G$36,0),1)*10^6*E2</f>
        <v>1373822.1212333285</v>
      </c>
      <c r="AB5" s="379">
        <f>AA5</f>
        <v>1373822.1212333285</v>
      </c>
      <c r="AC5" s="379">
        <f t="shared" ref="AC5:AK5" si="0">AB5</f>
        <v>1373822.1212333285</v>
      </c>
      <c r="AD5" s="379">
        <f t="shared" si="0"/>
        <v>1373822.1212333285</v>
      </c>
      <c r="AE5" s="379">
        <f t="shared" si="0"/>
        <v>1373822.1212333285</v>
      </c>
      <c r="AF5" s="379">
        <f t="shared" si="0"/>
        <v>1373822.1212333285</v>
      </c>
      <c r="AG5" s="379">
        <f t="shared" si="0"/>
        <v>1373822.1212333285</v>
      </c>
      <c r="AH5" s="379">
        <f t="shared" si="0"/>
        <v>1373822.1212333285</v>
      </c>
      <c r="AI5" s="379">
        <f t="shared" si="0"/>
        <v>1373822.1212333285</v>
      </c>
      <c r="AJ5" s="379">
        <f t="shared" si="0"/>
        <v>1373822.1212333285</v>
      </c>
      <c r="AK5" s="379">
        <f t="shared" si="0"/>
        <v>1373822.1212333285</v>
      </c>
    </row>
    <row r="7" spans="1:37">
      <c r="A7" s="5" t="s">
        <v>913</v>
      </c>
      <c r="B7" t="s">
        <v>914</v>
      </c>
    </row>
    <row r="12" spans="1:37">
      <c r="G12" s="241"/>
      <c r="H12" s="241" t="s">
        <v>799</v>
      </c>
      <c r="I12" s="241" t="s">
        <v>800</v>
      </c>
    </row>
    <row r="13" spans="1:37">
      <c r="G13" s="241">
        <v>2017</v>
      </c>
      <c r="H13" s="241"/>
      <c r="I13" s="241"/>
    </row>
    <row r="14" spans="1:37">
      <c r="G14">
        <v>2018</v>
      </c>
      <c r="H14">
        <v>15</v>
      </c>
      <c r="I14">
        <v>15</v>
      </c>
    </row>
    <row r="15" spans="1:37">
      <c r="G15">
        <v>2019</v>
      </c>
      <c r="H15">
        <v>14.8</v>
      </c>
      <c r="I15">
        <v>15.6</v>
      </c>
    </row>
    <row r="16" spans="1:37">
      <c r="G16">
        <v>2020</v>
      </c>
      <c r="H16">
        <v>15.1</v>
      </c>
      <c r="I16">
        <v>16.3</v>
      </c>
    </row>
    <row r="17" spans="7:9">
      <c r="G17">
        <v>2021</v>
      </c>
      <c r="H17">
        <v>15.1</v>
      </c>
      <c r="I17">
        <v>16.8</v>
      </c>
    </row>
    <row r="18" spans="7:9">
      <c r="G18">
        <v>2022</v>
      </c>
      <c r="H18">
        <v>15.7</v>
      </c>
      <c r="I18">
        <v>17.399999999999999</v>
      </c>
    </row>
    <row r="19" spans="7:9">
      <c r="G19">
        <v>2023</v>
      </c>
      <c r="H19">
        <v>16</v>
      </c>
      <c r="I19">
        <v>18</v>
      </c>
    </row>
    <row r="20" spans="7:9">
      <c r="G20">
        <v>2024</v>
      </c>
      <c r="H20">
        <v>16.2</v>
      </c>
      <c r="I20">
        <v>18.600000000000001</v>
      </c>
    </row>
    <row r="21" spans="7:9">
      <c r="G21">
        <v>2025</v>
      </c>
      <c r="H21">
        <v>16.5</v>
      </c>
      <c r="I21">
        <v>19.399999999999999</v>
      </c>
    </row>
    <row r="22" spans="7:9">
      <c r="G22">
        <v>2026</v>
      </c>
      <c r="H22">
        <v>16.399999999999999</v>
      </c>
      <c r="I22">
        <v>19.8</v>
      </c>
    </row>
    <row r="23" spans="7:9">
      <c r="G23">
        <v>2027</v>
      </c>
      <c r="H23">
        <v>17.3</v>
      </c>
      <c r="I23">
        <v>21</v>
      </c>
    </row>
    <row r="24" spans="7:9">
      <c r="G24">
        <v>2028</v>
      </c>
      <c r="H24">
        <v>16.7</v>
      </c>
      <c r="I24">
        <v>21.1</v>
      </c>
    </row>
    <row r="25" spans="7:9">
      <c r="G25">
        <v>2029</v>
      </c>
      <c r="H25">
        <v>15.9</v>
      </c>
      <c r="I25">
        <v>21.7</v>
      </c>
    </row>
    <row r="26" spans="7:9">
      <c r="G26">
        <v>2030</v>
      </c>
      <c r="H26">
        <v>14.8</v>
      </c>
      <c r="I26">
        <v>22.2</v>
      </c>
    </row>
    <row r="27" spans="7:9">
      <c r="G27">
        <v>2031</v>
      </c>
      <c r="H27">
        <v>15.3</v>
      </c>
      <c r="I27">
        <v>23.6</v>
      </c>
    </row>
    <row r="28" spans="7:9">
      <c r="G28">
        <v>2032</v>
      </c>
      <c r="H28">
        <v>15.8</v>
      </c>
      <c r="I28">
        <v>25.2</v>
      </c>
    </row>
    <row r="29" spans="7:9">
      <c r="G29">
        <v>2033</v>
      </c>
      <c r="H29">
        <v>15.2</v>
      </c>
      <c r="I29">
        <v>25.5</v>
      </c>
    </row>
    <row r="30" spans="7:9">
      <c r="G30">
        <v>2034</v>
      </c>
      <c r="H30">
        <v>14.3</v>
      </c>
      <c r="I30">
        <v>25.9</v>
      </c>
    </row>
    <row r="31" spans="7:9">
      <c r="G31">
        <v>2035</v>
      </c>
      <c r="H31">
        <v>13.4</v>
      </c>
      <c r="I31">
        <v>26.4</v>
      </c>
    </row>
    <row r="32" spans="7:9">
      <c r="G32">
        <v>2036</v>
      </c>
      <c r="H32">
        <v>12.9</v>
      </c>
      <c r="I32">
        <v>27</v>
      </c>
    </row>
    <row r="33" spans="7:9">
      <c r="G33">
        <v>2037</v>
      </c>
      <c r="H33">
        <v>12.7</v>
      </c>
      <c r="I33">
        <v>27.7</v>
      </c>
    </row>
    <row r="34" spans="7:9">
      <c r="G34">
        <v>2038</v>
      </c>
      <c r="H34">
        <v>9.8000000000000007</v>
      </c>
      <c r="I34">
        <v>25.7</v>
      </c>
    </row>
    <row r="35" spans="7:9">
      <c r="G35">
        <v>2039</v>
      </c>
      <c r="H35">
        <v>9.5</v>
      </c>
      <c r="I35">
        <v>26.3</v>
      </c>
    </row>
    <row r="36" spans="7:9">
      <c r="G36">
        <v>2040</v>
      </c>
      <c r="H36">
        <v>9.1</v>
      </c>
      <c r="I36">
        <v>26.8</v>
      </c>
    </row>
    <row r="37" spans="7:9">
      <c r="G37">
        <v>2041</v>
      </c>
    </row>
  </sheetData>
  <pageMargins left="0.7" right="0.7" top="0.75" bottom="0.75" header="0.3" footer="0.3"/>
  <pageSetup orientation="portrait" horizontalDpi="1200" verticalDpi="1200"/>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9"/>
  <dimension ref="A1:AK8"/>
  <sheetViews>
    <sheetView workbookViewId="0">
      <selection activeCell="A9" sqref="A9"/>
    </sheetView>
  </sheetViews>
  <sheetFormatPr baseColWidth="10" defaultColWidth="8.6640625" defaultRowHeight="15"/>
  <cols>
    <col min="1" max="1" width="30" bestFit="1" customWidth="1"/>
    <col min="2" max="2" width="12.5" customWidth="1"/>
  </cols>
  <sheetData>
    <row r="1" spans="1:37">
      <c r="A1" s="6" t="s">
        <v>61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c r="A3" s="71" t="s">
        <v>108</v>
      </c>
      <c r="B3">
        <v>0</v>
      </c>
      <c r="C3">
        <f>B3*1.025</f>
        <v>0</v>
      </c>
      <c r="D3">
        <f t="shared" ref="D3:AK3" si="0">C3*1.025</f>
        <v>0</v>
      </c>
      <c r="E3">
        <f t="shared" si="0"/>
        <v>0</v>
      </c>
      <c r="F3">
        <f t="shared" si="0"/>
        <v>0</v>
      </c>
      <c r="G3">
        <f t="shared" si="0"/>
        <v>0</v>
      </c>
      <c r="H3">
        <f t="shared" si="0"/>
        <v>0</v>
      </c>
      <c r="I3">
        <f t="shared" si="0"/>
        <v>0</v>
      </c>
      <c r="J3">
        <f t="shared" si="0"/>
        <v>0</v>
      </c>
      <c r="K3">
        <f t="shared" si="0"/>
        <v>0</v>
      </c>
      <c r="L3">
        <f t="shared" si="0"/>
        <v>0</v>
      </c>
      <c r="M3">
        <f t="shared" si="0"/>
        <v>0</v>
      </c>
      <c r="N3">
        <f t="shared" si="0"/>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 t="shared" si="0"/>
        <v>0</v>
      </c>
      <c r="AG3">
        <f t="shared" si="0"/>
        <v>0</v>
      </c>
      <c r="AH3">
        <f t="shared" si="0"/>
        <v>0</v>
      </c>
      <c r="AI3">
        <f t="shared" si="0"/>
        <v>0</v>
      </c>
      <c r="AJ3">
        <f t="shared" si="0"/>
        <v>0</v>
      </c>
      <c r="AK3">
        <f t="shared" si="0"/>
        <v>0</v>
      </c>
    </row>
    <row r="4" spans="1:37">
      <c r="A4" s="71" t="s">
        <v>107</v>
      </c>
      <c r="B4">
        <v>0</v>
      </c>
      <c r="C4">
        <f>B4*1.025</f>
        <v>0</v>
      </c>
      <c r="D4">
        <f t="shared" ref="D4:AK4" si="1">C4*1.025</f>
        <v>0</v>
      </c>
      <c r="E4">
        <f t="shared" si="1"/>
        <v>0</v>
      </c>
      <c r="F4">
        <f t="shared" si="1"/>
        <v>0</v>
      </c>
      <c r="G4">
        <f t="shared" si="1"/>
        <v>0</v>
      </c>
      <c r="H4">
        <f t="shared" si="1"/>
        <v>0</v>
      </c>
      <c r="I4">
        <f t="shared" si="1"/>
        <v>0</v>
      </c>
      <c r="J4">
        <f t="shared" si="1"/>
        <v>0</v>
      </c>
      <c r="K4">
        <f t="shared" si="1"/>
        <v>0</v>
      </c>
      <c r="L4">
        <f t="shared" si="1"/>
        <v>0</v>
      </c>
      <c r="M4">
        <f t="shared" si="1"/>
        <v>0</v>
      </c>
      <c r="N4">
        <f t="shared" si="1"/>
        <v>0</v>
      </c>
      <c r="O4">
        <f t="shared" si="1"/>
        <v>0</v>
      </c>
      <c r="P4">
        <f t="shared" si="1"/>
        <v>0</v>
      </c>
      <c r="Q4">
        <f t="shared" si="1"/>
        <v>0</v>
      </c>
      <c r="R4">
        <f t="shared" si="1"/>
        <v>0</v>
      </c>
      <c r="S4">
        <f t="shared" si="1"/>
        <v>0</v>
      </c>
      <c r="T4">
        <f t="shared" si="1"/>
        <v>0</v>
      </c>
      <c r="U4">
        <f t="shared" si="1"/>
        <v>0</v>
      </c>
      <c r="V4">
        <f t="shared" si="1"/>
        <v>0</v>
      </c>
      <c r="W4">
        <f t="shared" si="1"/>
        <v>0</v>
      </c>
      <c r="X4">
        <f t="shared" si="1"/>
        <v>0</v>
      </c>
      <c r="Y4">
        <f t="shared" si="1"/>
        <v>0</v>
      </c>
      <c r="Z4">
        <f t="shared" si="1"/>
        <v>0</v>
      </c>
      <c r="AA4">
        <f t="shared" si="1"/>
        <v>0</v>
      </c>
      <c r="AB4">
        <f t="shared" si="1"/>
        <v>0</v>
      </c>
      <c r="AC4">
        <f t="shared" si="1"/>
        <v>0</v>
      </c>
      <c r="AD4">
        <f t="shared" si="1"/>
        <v>0</v>
      </c>
      <c r="AE4">
        <f t="shared" si="1"/>
        <v>0</v>
      </c>
      <c r="AF4">
        <f t="shared" si="1"/>
        <v>0</v>
      </c>
      <c r="AG4">
        <f t="shared" si="1"/>
        <v>0</v>
      </c>
      <c r="AH4">
        <f t="shared" si="1"/>
        <v>0</v>
      </c>
      <c r="AI4">
        <f t="shared" si="1"/>
        <v>0</v>
      </c>
      <c r="AJ4">
        <f t="shared" si="1"/>
        <v>0</v>
      </c>
      <c r="AK4">
        <f t="shared" si="1"/>
        <v>0</v>
      </c>
    </row>
    <row r="6" spans="1:37">
      <c r="A6" s="5" t="s">
        <v>838</v>
      </c>
    </row>
    <row r="7" spans="1:37">
      <c r="A7" t="s">
        <v>980</v>
      </c>
    </row>
    <row r="8" spans="1:37">
      <c r="A8" s="2" t="s">
        <v>981</v>
      </c>
    </row>
  </sheetData>
  <hyperlinks>
    <hyperlink ref="A8" r:id="rId1" xr:uid="{00000000-0004-0000-0F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2"/>
  <dimension ref="A1:AO8"/>
  <sheetViews>
    <sheetView workbookViewId="0">
      <selection activeCell="A9" sqref="A9"/>
    </sheetView>
  </sheetViews>
  <sheetFormatPr baseColWidth="10" defaultColWidth="8.6640625" defaultRowHeight="15"/>
  <cols>
    <col min="1" max="1" width="31.6640625" customWidth="1"/>
  </cols>
  <sheetData>
    <row r="1" spans="1:41">
      <c r="A1" s="6" t="s">
        <v>110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row>
    <row r="2" spans="1:41">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41">
      <c r="A3" s="71" t="s">
        <v>52</v>
      </c>
      <c r="B3">
        <v>0</v>
      </c>
      <c r="C3">
        <f>B3</f>
        <v>0</v>
      </c>
      <c r="D3">
        <f t="shared" ref="D3:AK3" si="0">C3</f>
        <v>0</v>
      </c>
      <c r="E3">
        <f t="shared" si="0"/>
        <v>0</v>
      </c>
      <c r="F3">
        <f t="shared" si="0"/>
        <v>0</v>
      </c>
      <c r="G3">
        <f t="shared" si="0"/>
        <v>0</v>
      </c>
      <c r="H3">
        <f t="shared" si="0"/>
        <v>0</v>
      </c>
      <c r="I3">
        <f t="shared" si="0"/>
        <v>0</v>
      </c>
      <c r="J3">
        <f t="shared" si="0"/>
        <v>0</v>
      </c>
      <c r="K3">
        <f t="shared" si="0"/>
        <v>0</v>
      </c>
      <c r="L3">
        <f t="shared" si="0"/>
        <v>0</v>
      </c>
      <c r="M3">
        <f t="shared" si="0"/>
        <v>0</v>
      </c>
      <c r="N3">
        <f t="shared" si="0"/>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 t="shared" si="0"/>
        <v>0</v>
      </c>
      <c r="AG3">
        <f t="shared" si="0"/>
        <v>0</v>
      </c>
      <c r="AH3">
        <f t="shared" si="0"/>
        <v>0</v>
      </c>
      <c r="AI3">
        <f t="shared" si="0"/>
        <v>0</v>
      </c>
      <c r="AJ3">
        <f t="shared" si="0"/>
        <v>0</v>
      </c>
      <c r="AK3">
        <f t="shared" si="0"/>
        <v>0</v>
      </c>
    </row>
    <row r="4" spans="1:41">
      <c r="A4" s="71" t="s">
        <v>109</v>
      </c>
      <c r="B4">
        <v>0</v>
      </c>
      <c r="C4">
        <f>B4</f>
        <v>0</v>
      </c>
      <c r="D4">
        <f t="shared" ref="D4:AK4" si="1">C4</f>
        <v>0</v>
      </c>
      <c r="E4">
        <f t="shared" si="1"/>
        <v>0</v>
      </c>
      <c r="F4">
        <f t="shared" si="1"/>
        <v>0</v>
      </c>
      <c r="G4">
        <f t="shared" si="1"/>
        <v>0</v>
      </c>
      <c r="H4">
        <f t="shared" si="1"/>
        <v>0</v>
      </c>
      <c r="I4">
        <f t="shared" si="1"/>
        <v>0</v>
      </c>
      <c r="J4">
        <f t="shared" si="1"/>
        <v>0</v>
      </c>
      <c r="K4">
        <f t="shared" si="1"/>
        <v>0</v>
      </c>
      <c r="L4">
        <f t="shared" si="1"/>
        <v>0</v>
      </c>
      <c r="M4">
        <f t="shared" si="1"/>
        <v>0</v>
      </c>
      <c r="N4">
        <f t="shared" si="1"/>
        <v>0</v>
      </c>
      <c r="O4">
        <f t="shared" si="1"/>
        <v>0</v>
      </c>
      <c r="P4">
        <f t="shared" si="1"/>
        <v>0</v>
      </c>
      <c r="Q4">
        <f t="shared" si="1"/>
        <v>0</v>
      </c>
      <c r="R4">
        <f t="shared" si="1"/>
        <v>0</v>
      </c>
      <c r="S4">
        <f t="shared" si="1"/>
        <v>0</v>
      </c>
      <c r="T4">
        <f t="shared" si="1"/>
        <v>0</v>
      </c>
      <c r="U4">
        <f t="shared" si="1"/>
        <v>0</v>
      </c>
      <c r="V4">
        <f t="shared" si="1"/>
        <v>0</v>
      </c>
      <c r="W4">
        <f t="shared" si="1"/>
        <v>0</v>
      </c>
      <c r="X4">
        <f t="shared" si="1"/>
        <v>0</v>
      </c>
      <c r="Y4">
        <f t="shared" si="1"/>
        <v>0</v>
      </c>
      <c r="Z4">
        <f t="shared" si="1"/>
        <v>0</v>
      </c>
      <c r="AA4">
        <f t="shared" si="1"/>
        <v>0</v>
      </c>
      <c r="AB4">
        <f t="shared" si="1"/>
        <v>0</v>
      </c>
      <c r="AC4">
        <f t="shared" si="1"/>
        <v>0</v>
      </c>
      <c r="AD4">
        <f t="shared" si="1"/>
        <v>0</v>
      </c>
      <c r="AE4">
        <f t="shared" si="1"/>
        <v>0</v>
      </c>
      <c r="AF4">
        <f t="shared" si="1"/>
        <v>0</v>
      </c>
      <c r="AG4">
        <f t="shared" si="1"/>
        <v>0</v>
      </c>
      <c r="AH4">
        <f t="shared" si="1"/>
        <v>0</v>
      </c>
      <c r="AI4">
        <f t="shared" si="1"/>
        <v>0</v>
      </c>
      <c r="AJ4">
        <f t="shared" si="1"/>
        <v>0</v>
      </c>
      <c r="AK4">
        <f t="shared" si="1"/>
        <v>0</v>
      </c>
    </row>
    <row r="6" spans="1:41">
      <c r="A6" s="5" t="s">
        <v>838</v>
      </c>
    </row>
    <row r="7" spans="1:41">
      <c r="A7" t="s">
        <v>982</v>
      </c>
    </row>
    <row r="8" spans="1:41">
      <c r="A8" s="2" t="s">
        <v>983</v>
      </c>
    </row>
  </sheetData>
  <hyperlinks>
    <hyperlink ref="A8" r:id="rId1" xr:uid="{00000000-0004-0000-1000-000000000000}"/>
  </hyperlinks>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2"/>
  <dimension ref="A1:AN11"/>
  <sheetViews>
    <sheetView workbookViewId="0">
      <selection activeCell="J28" sqref="J28"/>
    </sheetView>
  </sheetViews>
  <sheetFormatPr baseColWidth="10" defaultColWidth="8.6640625" defaultRowHeight="15"/>
  <cols>
    <col min="1" max="1" width="19.5" customWidth="1"/>
  </cols>
  <sheetData>
    <row r="1" spans="1:40">
      <c r="A1" s="6" t="s">
        <v>106</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row>
    <row r="2" spans="1:40">
      <c r="B2">
        <v>2015</v>
      </c>
    </row>
    <row r="3" spans="1:40">
      <c r="A3" s="71" t="s">
        <v>359</v>
      </c>
      <c r="B3">
        <v>0</v>
      </c>
      <c r="C3" s="5"/>
    </row>
    <row r="5" spans="1:40">
      <c r="A5" s="6" t="s">
        <v>61</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row>
    <row r="6" spans="1:40">
      <c r="B6">
        <v>2015</v>
      </c>
      <c r="C6">
        <v>2016</v>
      </c>
      <c r="D6">
        <v>2017</v>
      </c>
      <c r="E6">
        <v>2018</v>
      </c>
      <c r="F6">
        <v>2019</v>
      </c>
      <c r="G6">
        <v>2020</v>
      </c>
      <c r="H6">
        <v>2021</v>
      </c>
      <c r="I6">
        <v>2022</v>
      </c>
      <c r="J6">
        <v>2023</v>
      </c>
      <c r="K6">
        <v>2024</v>
      </c>
      <c r="L6">
        <v>2025</v>
      </c>
      <c r="M6">
        <v>2026</v>
      </c>
      <c r="N6">
        <v>2027</v>
      </c>
      <c r="O6">
        <v>2028</v>
      </c>
      <c r="P6">
        <v>2029</v>
      </c>
      <c r="Q6">
        <v>2030</v>
      </c>
      <c r="R6">
        <v>2031</v>
      </c>
      <c r="S6">
        <v>2032</v>
      </c>
      <c r="T6">
        <v>2033</v>
      </c>
      <c r="U6">
        <v>2034</v>
      </c>
      <c r="V6">
        <v>2035</v>
      </c>
      <c r="W6">
        <v>2036</v>
      </c>
      <c r="X6">
        <v>2037</v>
      </c>
      <c r="Y6">
        <v>2038</v>
      </c>
      <c r="Z6">
        <v>2039</v>
      </c>
      <c r="AA6">
        <v>2040</v>
      </c>
      <c r="AB6">
        <v>2041</v>
      </c>
      <c r="AC6">
        <v>2042</v>
      </c>
      <c r="AD6">
        <v>2043</v>
      </c>
      <c r="AE6">
        <v>2044</v>
      </c>
      <c r="AF6">
        <v>2045</v>
      </c>
      <c r="AG6">
        <v>2046</v>
      </c>
      <c r="AH6">
        <v>2047</v>
      </c>
      <c r="AI6">
        <v>2048</v>
      </c>
      <c r="AJ6">
        <v>2049</v>
      </c>
      <c r="AK6">
        <v>2050</v>
      </c>
    </row>
    <row r="7" spans="1:40">
      <c r="A7" s="71" t="s">
        <v>107</v>
      </c>
      <c r="B7">
        <f>B3/10^3</f>
        <v>0</v>
      </c>
      <c r="C7">
        <f>('Macro Indicators'!$L$9/'Macro Indicators'!$H$9)^(1/(5-1))*B7</f>
        <v>0</v>
      </c>
      <c r="D7">
        <f>('Macro Indicators'!$L$9/'Macro Indicators'!$H$9)^(1/(5-1))*C7</f>
        <v>0</v>
      </c>
      <c r="E7">
        <f>('Macro Indicators'!$L$9/'Macro Indicators'!$H$9)^(1/(5-1))*D7</f>
        <v>0</v>
      </c>
      <c r="F7">
        <f>('Macro Indicators'!$L$9/'Macro Indicators'!$H$9)^(1/(5-1))*E7</f>
        <v>0</v>
      </c>
      <c r="G7">
        <f>('Macro Indicators'!$L$9/'Macro Indicators'!$H$9)^(1/(5-1))*F7</f>
        <v>0</v>
      </c>
      <c r="H7">
        <f>('Macro Indicators'!$L$9/'Macro Indicators'!$H$9)^(1/(5-1))*G7</f>
        <v>0</v>
      </c>
      <c r="I7">
        <f>('Macro Indicators'!$L$9/'Macro Indicators'!$H$9)^(1/(5-1))*H7</f>
        <v>0</v>
      </c>
      <c r="J7">
        <f>('Macro Indicators'!$L$9/'Macro Indicators'!$H$9)^(1/(5-1))*I7</f>
        <v>0</v>
      </c>
      <c r="K7">
        <f>('Macro Indicators'!$L$9/'Macro Indicators'!$H$9)^(1/(5-1))*J7</f>
        <v>0</v>
      </c>
      <c r="L7">
        <f>('Macro Indicators'!$L$9/'Macro Indicators'!$H$9)^(1/(5-1))*K7</f>
        <v>0</v>
      </c>
      <c r="M7">
        <f>('Macro Indicators'!$L$9/'Macro Indicators'!$H$9)^(1/(5-1))*L7</f>
        <v>0</v>
      </c>
      <c r="N7">
        <f>('Macro Indicators'!$L$9/'Macro Indicators'!$H$9)^(1/(5-1))*M7</f>
        <v>0</v>
      </c>
      <c r="O7">
        <f>('Macro Indicators'!$L$9/'Macro Indicators'!$H$9)^(1/(5-1))*N7</f>
        <v>0</v>
      </c>
      <c r="P7">
        <f>('Macro Indicators'!$L$9/'Macro Indicators'!$H$9)^(1/(5-1))*O7</f>
        <v>0</v>
      </c>
      <c r="Q7">
        <f>('Macro Indicators'!$L$9/'Macro Indicators'!$H$9)^(1/(5-1))*P7</f>
        <v>0</v>
      </c>
      <c r="R7">
        <f>('Macro Indicators'!$L$9/'Macro Indicators'!$H$9)^(1/(5-1))*Q7</f>
        <v>0</v>
      </c>
      <c r="S7">
        <f>('Macro Indicators'!$L$9/'Macro Indicators'!$H$9)^(1/(5-1))*R7</f>
        <v>0</v>
      </c>
      <c r="T7">
        <f>('Macro Indicators'!$L$9/'Macro Indicators'!$H$9)^(1/(5-1))*S7</f>
        <v>0</v>
      </c>
      <c r="U7">
        <f>('Macro Indicators'!$L$9/'Macro Indicators'!$H$9)^(1/(5-1))*T7</f>
        <v>0</v>
      </c>
      <c r="V7">
        <f>('Macro Indicators'!$L$9/'Macro Indicators'!$H$9)^(1/(5-1))*U7</f>
        <v>0</v>
      </c>
      <c r="W7">
        <f>('Macro Indicators'!$L$9/'Macro Indicators'!$H$9)^(1/(5-1))*V7</f>
        <v>0</v>
      </c>
      <c r="X7">
        <f>('Macro Indicators'!$L$9/'Macro Indicators'!$H$9)^(1/(5-1))*W7</f>
        <v>0</v>
      </c>
      <c r="Y7">
        <f>('Macro Indicators'!$L$9/'Macro Indicators'!$H$9)^(1/(5-1))*X7</f>
        <v>0</v>
      </c>
      <c r="Z7">
        <f>('Macro Indicators'!$L$9/'Macro Indicators'!$H$9)^(1/(5-1))*Y7</f>
        <v>0</v>
      </c>
      <c r="AA7">
        <f>('Macro Indicators'!$L$9/'Macro Indicators'!$H$9)^(1/(5-1))*Z7</f>
        <v>0</v>
      </c>
      <c r="AB7">
        <f>('Macro Indicators'!$L$9/'Macro Indicators'!$H$9)^(1/(5-1))*AA7</f>
        <v>0</v>
      </c>
      <c r="AC7">
        <f>('Macro Indicators'!$L$9/'Macro Indicators'!$H$9)^(1/(5-1))*AB7</f>
        <v>0</v>
      </c>
      <c r="AD7">
        <f>('Macro Indicators'!$L$9/'Macro Indicators'!$H$9)^(1/(5-1))*AC7</f>
        <v>0</v>
      </c>
      <c r="AE7">
        <f>('Macro Indicators'!$L$9/'Macro Indicators'!$H$9)^(1/(5-1))*AD7</f>
        <v>0</v>
      </c>
      <c r="AF7">
        <f>('Macro Indicators'!$L$9/'Macro Indicators'!$H$9)^(1/(5-1))*AE7</f>
        <v>0</v>
      </c>
      <c r="AG7">
        <f>('Macro Indicators'!$L$9/'Macro Indicators'!$H$9)^(1/(5-1))*AF7</f>
        <v>0</v>
      </c>
      <c r="AH7">
        <f>('Macro Indicators'!$L$9/'Macro Indicators'!$H$9)^(1/(5-1))*AG7</f>
        <v>0</v>
      </c>
      <c r="AI7">
        <f>('Macro Indicators'!$L$9/'Macro Indicators'!$H$9)^(1/(5-1))*AH7</f>
        <v>0</v>
      </c>
      <c r="AJ7">
        <f>('Macro Indicators'!$L$9/'Macro Indicators'!$H$9)^(1/(5-1))*AI7</f>
        <v>0</v>
      </c>
      <c r="AK7">
        <f>('Macro Indicators'!$L$9/'Macro Indicators'!$H$9)^(1/(5-1))*AJ7</f>
        <v>0</v>
      </c>
    </row>
    <row r="9" spans="1:40">
      <c r="A9" s="5" t="s">
        <v>838</v>
      </c>
    </row>
    <row r="10" spans="1:40">
      <c r="A10" t="s">
        <v>984</v>
      </c>
    </row>
    <row r="11" spans="1:40">
      <c r="A11" s="2" t="s">
        <v>848</v>
      </c>
    </row>
  </sheetData>
  <hyperlinks>
    <hyperlink ref="A11" r:id="rId1" xr:uid="{00000000-0004-0000-1100-000000000000}"/>
  </hyperlink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7"/>
  <dimension ref="A1:AV166"/>
  <sheetViews>
    <sheetView topLeftCell="A108" zoomScaleNormal="100" workbookViewId="0">
      <selection activeCell="A120" sqref="A120"/>
    </sheetView>
  </sheetViews>
  <sheetFormatPr baseColWidth="10" defaultColWidth="8.6640625" defaultRowHeight="15"/>
  <cols>
    <col min="1" max="1" width="52.1640625" customWidth="1"/>
    <col min="2" max="2" width="11.1640625" bestFit="1" customWidth="1"/>
    <col min="3" max="48" width="11.5" bestFit="1" customWidth="1"/>
  </cols>
  <sheetData>
    <row r="1" spans="1:48">
      <c r="A1" s="226" t="s">
        <v>186</v>
      </c>
      <c r="B1" s="226" t="s">
        <v>187</v>
      </c>
      <c r="C1" s="226" t="s">
        <v>165</v>
      </c>
      <c r="D1" s="24">
        <v>2006</v>
      </c>
      <c r="E1" s="24">
        <v>2007</v>
      </c>
      <c r="F1" s="24">
        <v>2008</v>
      </c>
      <c r="G1" s="24">
        <v>2009</v>
      </c>
      <c r="H1" s="24">
        <v>2010</v>
      </c>
      <c r="I1" s="24">
        <v>2011</v>
      </c>
      <c r="J1" s="24">
        <v>2012</v>
      </c>
      <c r="K1" s="24">
        <v>2013</v>
      </c>
      <c r="L1" s="24">
        <v>2014</v>
      </c>
      <c r="M1" s="24">
        <v>2015</v>
      </c>
      <c r="N1" s="227">
        <v>2016</v>
      </c>
      <c r="O1" s="227">
        <v>2017</v>
      </c>
      <c r="P1" s="227">
        <v>2018</v>
      </c>
      <c r="Q1" s="227">
        <v>2019</v>
      </c>
      <c r="R1" s="227">
        <v>2020</v>
      </c>
      <c r="S1" s="227">
        <v>2021</v>
      </c>
      <c r="T1" s="227">
        <v>2022</v>
      </c>
      <c r="U1" s="227">
        <v>2023</v>
      </c>
      <c r="V1" s="227">
        <v>2024</v>
      </c>
      <c r="W1" s="227">
        <v>2025</v>
      </c>
      <c r="X1" s="227">
        <v>2026</v>
      </c>
      <c r="Y1" s="227">
        <v>2027</v>
      </c>
      <c r="Z1" s="227">
        <v>2028</v>
      </c>
      <c r="AA1" s="227">
        <v>2029</v>
      </c>
      <c r="AB1" s="227">
        <v>2030</v>
      </c>
      <c r="AC1" s="227">
        <v>2031</v>
      </c>
      <c r="AD1" s="227">
        <v>2032</v>
      </c>
      <c r="AE1" s="227">
        <v>2033</v>
      </c>
      <c r="AF1" s="227">
        <v>2034</v>
      </c>
      <c r="AG1" s="227">
        <v>2035</v>
      </c>
      <c r="AH1" s="227">
        <v>2036</v>
      </c>
      <c r="AI1" s="227">
        <v>2037</v>
      </c>
      <c r="AJ1" s="227">
        <v>2038</v>
      </c>
      <c r="AK1" s="227">
        <v>2039</v>
      </c>
      <c r="AL1" s="227">
        <v>2040</v>
      </c>
      <c r="AM1" s="227">
        <v>2041</v>
      </c>
      <c r="AN1" s="227">
        <v>2042</v>
      </c>
      <c r="AO1" s="227">
        <v>2043</v>
      </c>
      <c r="AP1" s="227">
        <v>2044</v>
      </c>
      <c r="AQ1" s="227">
        <v>2045</v>
      </c>
      <c r="AR1" s="227">
        <v>2046</v>
      </c>
      <c r="AS1" s="227">
        <v>2047</v>
      </c>
      <c r="AT1" s="227">
        <v>2048</v>
      </c>
      <c r="AU1" s="227">
        <v>2049</v>
      </c>
      <c r="AV1" s="227">
        <v>2050</v>
      </c>
    </row>
    <row r="2" spans="1:48">
      <c r="A2" s="389" t="s">
        <v>184</v>
      </c>
      <c r="B2" t="s">
        <v>4</v>
      </c>
      <c r="C2" s="24" t="s">
        <v>153</v>
      </c>
      <c r="D2" s="24">
        <f>D160</f>
        <v>1363.6791837920082</v>
      </c>
      <c r="E2" s="24">
        <f t="shared" ref="E2:M2" si="0">E160</f>
        <v>1212.0155667895094</v>
      </c>
      <c r="F2" s="24">
        <f t="shared" si="0"/>
        <v>1398.7494605503325</v>
      </c>
      <c r="G2" s="24">
        <f t="shared" si="0"/>
        <v>1207.4964778697649</v>
      </c>
      <c r="H2" s="24">
        <f t="shared" si="0"/>
        <v>1141.8042829292376</v>
      </c>
      <c r="I2" s="24">
        <f t="shared" si="0"/>
        <v>1297.5567517161735</v>
      </c>
      <c r="J2" s="24">
        <f t="shared" si="0"/>
        <v>1574.6639854965449</v>
      </c>
      <c r="K2" s="24">
        <f t="shared" si="0"/>
        <v>1328.7952686112255</v>
      </c>
      <c r="L2" s="24">
        <f t="shared" si="0"/>
        <v>1125.5262723950746</v>
      </c>
      <c r="M2" s="24">
        <f t="shared" si="0"/>
        <v>1569.7847036279909</v>
      </c>
      <c r="N2" s="24">
        <f t="shared" ref="N2:AV2" si="1">IFERROR(IF($M2-$D2&gt;=0,($M2-$D2)/COUNT($E$1:$M$1)+M2,$F63*$E63^N$1),0)</f>
        <v>1592.6853169431001</v>
      </c>
      <c r="O2" s="24">
        <f t="shared" si="1"/>
        <v>1615.5859302582094</v>
      </c>
      <c r="P2" s="24">
        <f t="shared" si="1"/>
        <v>1638.4865435733186</v>
      </c>
      <c r="Q2" s="24">
        <f t="shared" si="1"/>
        <v>1661.3871568884279</v>
      </c>
      <c r="R2" s="24">
        <f t="shared" si="1"/>
        <v>1684.2877702035371</v>
      </c>
      <c r="S2" s="24">
        <f t="shared" si="1"/>
        <v>1707.1883835186463</v>
      </c>
      <c r="T2" s="24">
        <f t="shared" si="1"/>
        <v>1730.0889968337556</v>
      </c>
      <c r="U2" s="24">
        <f t="shared" si="1"/>
        <v>1752.9896101488648</v>
      </c>
      <c r="V2" s="24">
        <f t="shared" si="1"/>
        <v>1775.8902234639741</v>
      </c>
      <c r="W2" s="24">
        <f t="shared" si="1"/>
        <v>1798.7908367790833</v>
      </c>
      <c r="X2" s="24">
        <f t="shared" si="1"/>
        <v>1821.6914500941925</v>
      </c>
      <c r="Y2" s="24">
        <f t="shared" si="1"/>
        <v>1844.5920634093018</v>
      </c>
      <c r="Z2" s="24">
        <f t="shared" si="1"/>
        <v>1867.492676724411</v>
      </c>
      <c r="AA2" s="24">
        <f t="shared" si="1"/>
        <v>1890.3932900395203</v>
      </c>
      <c r="AB2" s="24">
        <f t="shared" si="1"/>
        <v>1913.2939033546295</v>
      </c>
      <c r="AC2" s="24">
        <f t="shared" si="1"/>
        <v>1936.1945166697387</v>
      </c>
      <c r="AD2" s="24">
        <f t="shared" si="1"/>
        <v>1959.095129984848</v>
      </c>
      <c r="AE2" s="24">
        <f t="shared" si="1"/>
        <v>1981.9957432999572</v>
      </c>
      <c r="AF2" s="24">
        <f t="shared" si="1"/>
        <v>2004.8963566150665</v>
      </c>
      <c r="AG2" s="24">
        <f t="shared" si="1"/>
        <v>2027.7969699301757</v>
      </c>
      <c r="AH2" s="24">
        <f t="shared" si="1"/>
        <v>2050.6975832452849</v>
      </c>
      <c r="AI2" s="24">
        <f t="shared" si="1"/>
        <v>2073.5981965603942</v>
      </c>
      <c r="AJ2" s="24">
        <f t="shared" si="1"/>
        <v>2096.4988098755034</v>
      </c>
      <c r="AK2" s="24">
        <f t="shared" si="1"/>
        <v>2119.3994231906127</v>
      </c>
      <c r="AL2" s="24">
        <f t="shared" si="1"/>
        <v>2142.3000365057219</v>
      </c>
      <c r="AM2" s="24">
        <f t="shared" si="1"/>
        <v>2165.2006498208311</v>
      </c>
      <c r="AN2" s="24">
        <f t="shared" si="1"/>
        <v>2188.1012631359404</v>
      </c>
      <c r="AO2" s="24">
        <f t="shared" si="1"/>
        <v>2211.0018764510496</v>
      </c>
      <c r="AP2" s="24">
        <f t="shared" si="1"/>
        <v>2233.9024897661589</v>
      </c>
      <c r="AQ2" s="24">
        <f t="shared" si="1"/>
        <v>2256.8031030812681</v>
      </c>
      <c r="AR2" s="24">
        <f t="shared" si="1"/>
        <v>2279.7037163963773</v>
      </c>
      <c r="AS2" s="24">
        <f t="shared" si="1"/>
        <v>2302.6043297114866</v>
      </c>
      <c r="AT2" s="24">
        <f t="shared" si="1"/>
        <v>2325.5049430265958</v>
      </c>
      <c r="AU2" s="24">
        <f t="shared" si="1"/>
        <v>2348.4055563417051</v>
      </c>
      <c r="AV2" s="24">
        <f t="shared" si="1"/>
        <v>2371.3061696568143</v>
      </c>
    </row>
    <row r="3" spans="1:48">
      <c r="A3" s="389" t="s">
        <v>182</v>
      </c>
      <c r="B3" t="s">
        <v>4</v>
      </c>
      <c r="C3" s="24" t="s">
        <v>153</v>
      </c>
      <c r="D3" s="24">
        <v>0</v>
      </c>
      <c r="E3" s="24">
        <v>0</v>
      </c>
      <c r="F3" s="24">
        <v>0</v>
      </c>
      <c r="G3" s="24">
        <v>0</v>
      </c>
      <c r="H3" s="24">
        <v>0</v>
      </c>
      <c r="I3" s="24">
        <v>0</v>
      </c>
      <c r="J3" s="24">
        <v>0</v>
      </c>
      <c r="K3" s="24">
        <v>0</v>
      </c>
      <c r="L3" s="24">
        <v>0</v>
      </c>
      <c r="M3" s="24">
        <v>0</v>
      </c>
      <c r="N3" s="24">
        <f t="shared" ref="N3:AV3" si="2">IFERROR(IF($M3-$D3&gt;=0,($M3-$D3)/COUNT($E$1:$M$1)+M3,$F64*$E64^N$1),0)</f>
        <v>0</v>
      </c>
      <c r="O3" s="24">
        <f t="shared" si="2"/>
        <v>0</v>
      </c>
      <c r="P3" s="24">
        <f t="shared" si="2"/>
        <v>0</v>
      </c>
      <c r="Q3" s="24">
        <f t="shared" si="2"/>
        <v>0</v>
      </c>
      <c r="R3" s="24">
        <f t="shared" si="2"/>
        <v>0</v>
      </c>
      <c r="S3" s="24">
        <f t="shared" si="2"/>
        <v>0</v>
      </c>
      <c r="T3" s="24">
        <f t="shared" si="2"/>
        <v>0</v>
      </c>
      <c r="U3" s="24">
        <f t="shared" si="2"/>
        <v>0</v>
      </c>
      <c r="V3" s="24">
        <f t="shared" si="2"/>
        <v>0</v>
      </c>
      <c r="W3" s="24">
        <f t="shared" si="2"/>
        <v>0</v>
      </c>
      <c r="X3" s="24">
        <f t="shared" si="2"/>
        <v>0</v>
      </c>
      <c r="Y3" s="24">
        <f t="shared" si="2"/>
        <v>0</v>
      </c>
      <c r="Z3" s="24">
        <f t="shared" si="2"/>
        <v>0</v>
      </c>
      <c r="AA3" s="24">
        <f t="shared" si="2"/>
        <v>0</v>
      </c>
      <c r="AB3" s="24">
        <f t="shared" si="2"/>
        <v>0</v>
      </c>
      <c r="AC3" s="24">
        <f t="shared" si="2"/>
        <v>0</v>
      </c>
      <c r="AD3" s="24">
        <f t="shared" si="2"/>
        <v>0</v>
      </c>
      <c r="AE3" s="24">
        <f t="shared" si="2"/>
        <v>0</v>
      </c>
      <c r="AF3" s="24">
        <f t="shared" si="2"/>
        <v>0</v>
      </c>
      <c r="AG3" s="24">
        <f t="shared" si="2"/>
        <v>0</v>
      </c>
      <c r="AH3" s="24">
        <f t="shared" si="2"/>
        <v>0</v>
      </c>
      <c r="AI3" s="24">
        <f t="shared" si="2"/>
        <v>0</v>
      </c>
      <c r="AJ3" s="24">
        <f t="shared" si="2"/>
        <v>0</v>
      </c>
      <c r="AK3" s="24">
        <f t="shared" si="2"/>
        <v>0</v>
      </c>
      <c r="AL3" s="24">
        <f t="shared" si="2"/>
        <v>0</v>
      </c>
      <c r="AM3" s="24">
        <f t="shared" si="2"/>
        <v>0</v>
      </c>
      <c r="AN3" s="24">
        <f t="shared" si="2"/>
        <v>0</v>
      </c>
      <c r="AO3" s="24">
        <f t="shared" si="2"/>
        <v>0</v>
      </c>
      <c r="AP3" s="24">
        <f t="shared" si="2"/>
        <v>0</v>
      </c>
      <c r="AQ3" s="24">
        <f t="shared" si="2"/>
        <v>0</v>
      </c>
      <c r="AR3" s="24">
        <f t="shared" si="2"/>
        <v>0</v>
      </c>
      <c r="AS3" s="24">
        <f t="shared" si="2"/>
        <v>0</v>
      </c>
      <c r="AT3" s="24">
        <f t="shared" si="2"/>
        <v>0</v>
      </c>
      <c r="AU3" s="24">
        <f t="shared" si="2"/>
        <v>0</v>
      </c>
      <c r="AV3" s="24">
        <f t="shared" si="2"/>
        <v>0</v>
      </c>
    </row>
    <row r="4" spans="1:48">
      <c r="A4" s="389" t="s">
        <v>702</v>
      </c>
      <c r="B4" t="s">
        <v>4</v>
      </c>
      <c r="C4" s="24" t="s">
        <v>153</v>
      </c>
      <c r="D4" s="24">
        <f ca="1">INDEX(INDIRECT(CONCATENATE("'",RIGHT(D$1,2),"'!$F$8:$N$88")),MATCH($A4,INDIRECT(CONCATENATE("'",RIGHT(D$1,2),IF($B4="chemicals","'!$C$8:$C$88","'!$B$8:$B$88"))),0),MATCH('Other Industrial Processes'!$C4,INDIRECT(CONCATENATE("'",RIGHT(D$1,2),"'!$F$4:$N$4")),0))</f>
        <v>0</v>
      </c>
      <c r="E4" s="24">
        <f ca="1">INDEX(INDIRECT(CONCATENATE("'",RIGHT(E$1,2),"'!$F$8:$N$88")),MATCH($A4,INDIRECT(CONCATENATE("'",RIGHT(E$1,2),IF($B4="chemicals","'!$C$8:$C$88","'!$B$8:$B$88"))),0),MATCH('Other Industrial Processes'!$C4,INDIRECT(CONCATENATE("'",RIGHT(E$1,2),"'!$F$4:$N$4")),0))</f>
        <v>0</v>
      </c>
      <c r="F4" s="24">
        <f ca="1">INDEX(INDIRECT(CONCATENATE("'",RIGHT(F$1,2),"'!$F$8:$N$88")),MATCH($A4,INDIRECT(CONCATENATE("'",RIGHT(F$1,2),IF($B4="chemicals","'!$C$8:$C$88","'!$B$8:$B$88"))),0),MATCH('Other Industrial Processes'!$C4,INDIRECT(CONCATENATE("'",RIGHT(F$1,2),"'!$F$4:$N$4")),0))</f>
        <v>0</v>
      </c>
      <c r="G4" s="24">
        <f ca="1">INDEX(INDIRECT(CONCATENATE("'",RIGHT(G$1,2),"'!$F$8:$N$88")),MATCH($A4,INDIRECT(CONCATENATE("'",RIGHT(G$1,2),IF($B4="chemicals","'!$C$8:$C$88","'!$B$8:$B$88"))),0),MATCH('Other Industrial Processes'!$C4,INDIRECT(CONCATENATE("'",RIGHT(G$1,2),"'!$F$4:$N$4")),0))</f>
        <v>0</v>
      </c>
      <c r="H4" s="24">
        <f ca="1">INDEX(INDIRECT(CONCATENATE("'",RIGHT(H$1,2),"'!$F$8:$N$88")),MATCH($A4,INDIRECT(CONCATENATE("'",RIGHT(H$1,2),IF($B4="chemicals","'!$C$8:$C$88","'!$B$8:$B$88"))),0),MATCH('Other Industrial Processes'!$C4,INDIRECT(CONCATENATE("'",RIGHT(H$1,2),"'!$F$4:$N$4")),0))</f>
        <v>0</v>
      </c>
      <c r="I4" s="24">
        <f ca="1">INDEX(INDIRECT(CONCATENATE("'",RIGHT(I$1,2),"'!$F$8:$N$88")),MATCH($A4,INDIRECT(CONCATENATE("'",RIGHT(I$1,2),IF($B4="chemicals","'!$C$8:$C$88","'!$B$8:$B$88"))),0),MATCH('Other Industrial Processes'!$C4,INDIRECT(CONCATENATE("'",RIGHT(I$1,2),"'!$F$4:$N$4")),0))</f>
        <v>0</v>
      </c>
      <c r="J4" s="24">
        <f ca="1">INDEX(INDIRECT(CONCATENATE("'",RIGHT(J$1,2),"'!$F$8:$N$88")),MATCH($A4,INDIRECT(CONCATENATE("'",RIGHT(J$1,2),IF($B4="chemicals","'!$C$8:$C$88","'!$B$8:$B$88"))),0),MATCH('Other Industrial Processes'!$C4,INDIRECT(CONCATENATE("'",RIGHT(J$1,2),"'!$F$4:$N$4")),0))</f>
        <v>0</v>
      </c>
      <c r="K4" s="24">
        <f ca="1">INDEX(INDIRECT(CONCATENATE("'",RIGHT(K$1,2),"'!$F$8:$N$88")),MATCH($A4,INDIRECT(CONCATENATE("'",RIGHT(K$1,2),IF($B4="chemicals","'!$C$8:$C$88","'!$B$8:$B$88"))),0),MATCH('Other Industrial Processes'!$C4,INDIRECT(CONCATENATE("'",RIGHT(K$1,2),"'!$F$4:$N$4")),0))</f>
        <v>0</v>
      </c>
      <c r="L4" s="24">
        <f ca="1">INDEX(INDIRECT(CONCATENATE("'",RIGHT(L$1,2),"'!$F$8:$N$88")),MATCH($A4,INDIRECT(CONCATENATE("'",RIGHT(L$1,2),IF($B4="chemicals","'!$C$8:$C$88","'!$B$8:$B$88"))),0),MATCH('Other Industrial Processes'!$C4,INDIRECT(CONCATENATE("'",RIGHT(L$1,2),"'!$F$4:$N$4")),0))</f>
        <v>0</v>
      </c>
      <c r="M4" s="24">
        <v>0</v>
      </c>
      <c r="N4" s="228">
        <f t="shared" ref="N4:AV4" ca="1" si="3">IFERROR(IF($M4-$D4&gt;=0,($M4-$D4)/COUNT($E$1:$M$1)+M4,$F65*$E65^N$1),0)</f>
        <v>0</v>
      </c>
      <c r="O4" s="228">
        <f t="shared" ca="1" si="3"/>
        <v>0</v>
      </c>
      <c r="P4" s="228">
        <f t="shared" ca="1" si="3"/>
        <v>0</v>
      </c>
      <c r="Q4" s="228">
        <f t="shared" ca="1" si="3"/>
        <v>0</v>
      </c>
      <c r="R4" s="228">
        <f t="shared" ca="1" si="3"/>
        <v>0</v>
      </c>
      <c r="S4" s="228">
        <f t="shared" ca="1" si="3"/>
        <v>0</v>
      </c>
      <c r="T4" s="228">
        <f t="shared" ca="1" si="3"/>
        <v>0</v>
      </c>
      <c r="U4" s="228">
        <f t="shared" ca="1" si="3"/>
        <v>0</v>
      </c>
      <c r="V4" s="228">
        <f t="shared" ca="1" si="3"/>
        <v>0</v>
      </c>
      <c r="W4" s="228">
        <f t="shared" ca="1" si="3"/>
        <v>0</v>
      </c>
      <c r="X4" s="228">
        <f t="shared" ca="1" si="3"/>
        <v>0</v>
      </c>
      <c r="Y4" s="228">
        <f t="shared" ca="1" si="3"/>
        <v>0</v>
      </c>
      <c r="Z4" s="228">
        <f t="shared" ca="1" si="3"/>
        <v>0</v>
      </c>
      <c r="AA4" s="228">
        <f t="shared" ca="1" si="3"/>
        <v>0</v>
      </c>
      <c r="AB4" s="228">
        <f t="shared" ca="1" si="3"/>
        <v>0</v>
      </c>
      <c r="AC4" s="228">
        <f t="shared" ca="1" si="3"/>
        <v>0</v>
      </c>
      <c r="AD4" s="228">
        <f t="shared" ca="1" si="3"/>
        <v>0</v>
      </c>
      <c r="AE4" s="228">
        <f t="shared" ca="1" si="3"/>
        <v>0</v>
      </c>
      <c r="AF4" s="228">
        <f t="shared" ca="1" si="3"/>
        <v>0</v>
      </c>
      <c r="AG4" s="228">
        <f t="shared" ca="1" si="3"/>
        <v>0</v>
      </c>
      <c r="AH4" s="228">
        <f t="shared" ca="1" si="3"/>
        <v>0</v>
      </c>
      <c r="AI4" s="228">
        <f t="shared" ca="1" si="3"/>
        <v>0</v>
      </c>
      <c r="AJ4" s="228">
        <f t="shared" ca="1" si="3"/>
        <v>0</v>
      </c>
      <c r="AK4" s="228">
        <f t="shared" ca="1" si="3"/>
        <v>0</v>
      </c>
      <c r="AL4" s="228">
        <f t="shared" ca="1" si="3"/>
        <v>0</v>
      </c>
      <c r="AM4" s="228">
        <f t="shared" ca="1" si="3"/>
        <v>0</v>
      </c>
      <c r="AN4" s="228">
        <f t="shared" ca="1" si="3"/>
        <v>0</v>
      </c>
      <c r="AO4" s="228">
        <f t="shared" ca="1" si="3"/>
        <v>0</v>
      </c>
      <c r="AP4" s="228">
        <f t="shared" ca="1" si="3"/>
        <v>0</v>
      </c>
      <c r="AQ4" s="228">
        <f t="shared" ca="1" si="3"/>
        <v>0</v>
      </c>
      <c r="AR4" s="228">
        <f t="shared" ca="1" si="3"/>
        <v>0</v>
      </c>
      <c r="AS4" s="228">
        <f t="shared" ca="1" si="3"/>
        <v>0</v>
      </c>
      <c r="AT4" s="228">
        <f t="shared" ca="1" si="3"/>
        <v>0</v>
      </c>
      <c r="AU4" s="228">
        <f t="shared" ca="1" si="3"/>
        <v>0</v>
      </c>
      <c r="AV4" s="228">
        <f t="shared" ca="1" si="3"/>
        <v>0</v>
      </c>
    </row>
    <row r="5" spans="1:48">
      <c r="A5" s="389" t="s">
        <v>703</v>
      </c>
      <c r="B5" t="s">
        <v>4</v>
      </c>
      <c r="C5" s="24" t="s">
        <v>153</v>
      </c>
      <c r="D5" s="24">
        <f>D161</f>
        <v>1391.6132188315657</v>
      </c>
      <c r="E5" s="24">
        <f t="shared" ref="E5:M5" si="4">E161</f>
        <v>1093.0879965811641</v>
      </c>
      <c r="F5" s="24">
        <f t="shared" si="4"/>
        <v>988.45722029598858</v>
      </c>
      <c r="G5" s="24">
        <f t="shared" si="4"/>
        <v>830.8825145338559</v>
      </c>
      <c r="H5" s="24">
        <f t="shared" si="4"/>
        <v>843.29779958768597</v>
      </c>
      <c r="I5" s="24">
        <f t="shared" si="4"/>
        <v>906.25627329048859</v>
      </c>
      <c r="J5" s="24">
        <f t="shared" si="4"/>
        <v>1180.4775487257239</v>
      </c>
      <c r="K5" s="24">
        <f t="shared" si="4"/>
        <v>1069.5797436067051</v>
      </c>
      <c r="L5" s="24">
        <f t="shared" si="4"/>
        <v>1038.8555157189214</v>
      </c>
      <c r="M5" s="24">
        <f t="shared" si="4"/>
        <v>1354.1176002726597</v>
      </c>
      <c r="N5" s="228">
        <f t="shared" ref="N5:AV5" si="5">IFERROR(IF($M5-$D5&gt;=0,($M5-$D5)/COUNT($E$1:$M$1)+M5,$F66*$E66^N$1),0)</f>
        <v>1086.9926602769292</v>
      </c>
      <c r="O5" s="228">
        <f t="shared" si="5"/>
        <v>1093.0565248947996</v>
      </c>
      <c r="P5" s="228">
        <f t="shared" si="5"/>
        <v>1099.1542172057611</v>
      </c>
      <c r="Q5" s="228">
        <f t="shared" si="5"/>
        <v>1105.2859259199661</v>
      </c>
      <c r="R5" s="228">
        <f t="shared" si="5"/>
        <v>1111.4518408003009</v>
      </c>
      <c r="S5" s="228">
        <f t="shared" si="5"/>
        <v>1117.6521526682568</v>
      </c>
      <c r="T5" s="228">
        <f t="shared" si="5"/>
        <v>1123.887053409836</v>
      </c>
      <c r="U5" s="228">
        <f t="shared" si="5"/>
        <v>1130.1567359814903</v>
      </c>
      <c r="V5" s="228">
        <f t="shared" si="5"/>
        <v>1136.4613944160928</v>
      </c>
      <c r="W5" s="228">
        <f t="shared" si="5"/>
        <v>1142.8012238289425</v>
      </c>
      <c r="X5" s="228">
        <f t="shared" si="5"/>
        <v>1149.1764204238027</v>
      </c>
      <c r="Y5" s="228">
        <f t="shared" si="5"/>
        <v>1155.5871814989728</v>
      </c>
      <c r="Z5" s="228">
        <f t="shared" si="5"/>
        <v>1162.033705453395</v>
      </c>
      <c r="AA5" s="228">
        <f t="shared" si="5"/>
        <v>1168.5161917927935</v>
      </c>
      <c r="AB5" s="228">
        <f t="shared" si="5"/>
        <v>1175.0348411358498</v>
      </c>
      <c r="AC5" s="228">
        <f t="shared" si="5"/>
        <v>1181.5898552204096</v>
      </c>
      <c r="AD5" s="228">
        <f t="shared" si="5"/>
        <v>1188.1814369097287</v>
      </c>
      <c r="AE5" s="228">
        <f t="shared" si="5"/>
        <v>1194.8097901987492</v>
      </c>
      <c r="AF5" s="228">
        <f t="shared" si="5"/>
        <v>1201.4751202204122</v>
      </c>
      <c r="AG5" s="228">
        <f t="shared" si="5"/>
        <v>1208.1776332520092</v>
      </c>
      <c r="AH5" s="228">
        <f t="shared" si="5"/>
        <v>1214.9175367215621</v>
      </c>
      <c r="AI5" s="228">
        <f t="shared" si="5"/>
        <v>1221.695039214246</v>
      </c>
      <c r="AJ5" s="228">
        <f t="shared" si="5"/>
        <v>1228.5103504788428</v>
      </c>
      <c r="AK5" s="228">
        <f t="shared" si="5"/>
        <v>1235.3636814342315</v>
      </c>
      <c r="AL5" s="228">
        <f t="shared" si="5"/>
        <v>1242.2552441759181</v>
      </c>
      <c r="AM5" s="228">
        <f t="shared" si="5"/>
        <v>1249.1852519825975</v>
      </c>
      <c r="AN5" s="228">
        <f t="shared" si="5"/>
        <v>1256.1539193227547</v>
      </c>
      <c r="AO5" s="228">
        <f t="shared" si="5"/>
        <v>1263.1614618613032</v>
      </c>
      <c r="AP5" s="228">
        <f t="shared" si="5"/>
        <v>1270.2080964662573</v>
      </c>
      <c r="AQ5" s="228">
        <f t="shared" si="5"/>
        <v>1277.2940412154442</v>
      </c>
      <c r="AR5" s="228">
        <f t="shared" si="5"/>
        <v>1284.4195154032554</v>
      </c>
      <c r="AS5" s="228">
        <f t="shared" si="5"/>
        <v>1291.5847395474289</v>
      </c>
      <c r="AT5" s="228">
        <f t="shared" si="5"/>
        <v>1298.7899353958794</v>
      </c>
      <c r="AU5" s="228">
        <f t="shared" si="5"/>
        <v>1306.035325933555</v>
      </c>
      <c r="AV5" s="228">
        <f t="shared" si="5"/>
        <v>1313.3211353893425</v>
      </c>
    </row>
    <row r="6" spans="1:48">
      <c r="A6" s="389" t="s">
        <v>709</v>
      </c>
      <c r="B6" t="s">
        <v>2</v>
      </c>
      <c r="C6" s="24" t="s">
        <v>153</v>
      </c>
      <c r="D6" s="24">
        <f ca="1">INDEX(INDIRECT(CONCATENATE("'",RIGHT(D$1,2),"'!$F$8:$N$88")),MATCH($A6,INDIRECT(CONCATENATE("'",RIGHT(D$1,2),IF($B6="chemicals","'!$C$8:$C$88","'!$B$8:$B$88"))),0),MATCH('Other Industrial Processes'!$C6,INDIRECT(CONCATENATE("'",RIGHT(D$1,2),"'!$F$4:$N$4")),0))</f>
        <v>7607.1169952016398</v>
      </c>
      <c r="E6" s="24">
        <f ca="1">INDEX(INDIRECT(CONCATENATE("'",RIGHT(E$1,2),"'!$F$8:$N$88")),MATCH($A6,INDIRECT(CONCATENATE("'",RIGHT(E$1,2),IF($B6="chemicals","'!$C$8:$C$88","'!$B$8:$B$88"))),0),MATCH('Other Industrial Processes'!$C6,INDIRECT(CONCATENATE("'",RIGHT(E$1,2),"'!$F$4:$N$4")),0))</f>
        <v>7005.3710839701598</v>
      </c>
      <c r="F6" s="24">
        <f ca="1">INDEX(INDIRECT(CONCATENATE("'",RIGHT(F$1,2),"'!$F$8:$N$88")),MATCH($A6,INDIRECT(CONCATENATE("'",RIGHT(F$1,2),IF($B6="chemicals","'!$C$8:$C$88","'!$B$8:$B$88"))),0),MATCH('Other Industrial Processes'!$C6,INDIRECT(CONCATENATE("'",RIGHT(F$1,2),"'!$F$4:$N$4")),0))</f>
        <v>7071.8286133540196</v>
      </c>
      <c r="G6" s="24">
        <f ca="1">INDEX(INDIRECT(CONCATENATE("'",RIGHT(G$1,2),"'!$F$8:$N$88")),MATCH($A6,INDIRECT(CONCATENATE("'",RIGHT(G$1,2),IF($B6="chemicals","'!$C$8:$C$88","'!$B$8:$B$88"))),0),MATCH('Other Industrial Processes'!$C6,INDIRECT(CONCATENATE("'",RIGHT(G$1,2),"'!$F$4:$N$4")),0))</f>
        <v>6889.9285635414299</v>
      </c>
      <c r="H6" s="24">
        <f ca="1">INDEX(INDIRECT(CONCATENATE("'",RIGHT(H$1,2),"'!$F$8:$N$88")),MATCH($A6,INDIRECT(CONCATENATE("'",RIGHT(H$1,2),IF($B6="chemicals","'!$C$8:$C$88","'!$B$8:$B$88"))),0),MATCH('Other Industrial Processes'!$C6,INDIRECT(CONCATENATE("'",RIGHT(H$1,2),"'!$F$4:$N$4")),0))</f>
        <v>6918.9391177683001</v>
      </c>
      <c r="I6" s="24">
        <f ca="1">INDEX(INDIRECT(CONCATENATE("'",RIGHT(I$1,2),"'!$F$8:$N$88")),MATCH($A6,INDIRECT(CONCATENATE("'",RIGHT(I$1,2),IF($B6="chemicals","'!$C$8:$C$88","'!$B$8:$B$88"))),0),MATCH('Other Industrial Processes'!$C6,INDIRECT(CONCATENATE("'",RIGHT(I$1,2),"'!$F$4:$N$4")),0))</f>
        <v>7613.78769472761</v>
      </c>
      <c r="J6" s="24">
        <f ca="1">INDEX(INDIRECT(CONCATENATE("'",RIGHT(J$1,2),"'!$F$8:$N$88")),MATCH($A6,INDIRECT(CONCATENATE("'",RIGHT(J$1,2),IF($B6="chemicals","'!$C$8:$C$88","'!$B$8:$B$88"))),0),MATCH('Other Industrial Processes'!$C6,INDIRECT(CONCATENATE("'",RIGHT(J$1,2),"'!$F$4:$N$4")),0))</f>
        <v>10709.5346169534</v>
      </c>
      <c r="K6" s="24">
        <f ca="1">INDEX(INDIRECT(CONCATENATE("'",RIGHT(K$1,2),"'!$F$8:$N$88")),MATCH($A6,INDIRECT(CONCATENATE("'",RIGHT(K$1,2),IF($B6="chemicals","'!$C$8:$C$88","'!$B$8:$B$88"))),0),MATCH('Other Industrial Processes'!$C6,INDIRECT(CONCATENATE("'",RIGHT(K$1,2),"'!$F$4:$N$4")),0))</f>
        <v>8998.0266461133306</v>
      </c>
      <c r="L6" s="24">
        <f ca="1">INDEX(INDIRECT(CONCATENATE("'",RIGHT(L$1,2),"'!$F$8:$N$88")),MATCH($A6,INDIRECT(CONCATENATE("'",RIGHT(L$1,2),IF($B6="chemicals","'!$C$8:$C$88","'!$B$8:$B$88"))),0),MATCH('Other Industrial Processes'!$C6,INDIRECT(CONCATENATE("'",RIGHT(L$1,2),"'!$F$4:$N$4")),0))</f>
        <v>7337.6415528479101</v>
      </c>
      <c r="M6" s="24">
        <f ca="1">AVERAGE(J6:L6)</f>
        <v>9015.067605304881</v>
      </c>
      <c r="N6" s="228">
        <f t="shared" ref="N6:AV6" ca="1" si="6">IFERROR(IF($M6-$D6&gt;=0,($M6-$D6)/COUNT($E$1:$M$1)+M6,$F67*$E67^N$1),0)</f>
        <v>9171.5065619830184</v>
      </c>
      <c r="O6" s="228">
        <f t="shared" ca="1" si="6"/>
        <v>9327.9455186611558</v>
      </c>
      <c r="P6" s="228">
        <f t="shared" ca="1" si="6"/>
        <v>9484.3844753392932</v>
      </c>
      <c r="Q6" s="228">
        <f t="shared" ca="1" si="6"/>
        <v>9640.8234320174306</v>
      </c>
      <c r="R6" s="228">
        <f t="shared" ca="1" si="6"/>
        <v>9797.262388695568</v>
      </c>
      <c r="S6" s="228">
        <f t="shared" ca="1" si="6"/>
        <v>9953.7013453737054</v>
      </c>
      <c r="T6" s="228">
        <f t="shared" ca="1" si="6"/>
        <v>10110.140302051843</v>
      </c>
      <c r="U6" s="228">
        <f t="shared" ca="1" si="6"/>
        <v>10266.57925872998</v>
      </c>
      <c r="V6" s="228">
        <f t="shared" ca="1" si="6"/>
        <v>10423.018215408118</v>
      </c>
      <c r="W6" s="228">
        <f t="shared" ca="1" si="6"/>
        <v>10579.457172086255</v>
      </c>
      <c r="X6" s="228">
        <f t="shared" ca="1" si="6"/>
        <v>10735.896128764392</v>
      </c>
      <c r="Y6" s="228">
        <f t="shared" ca="1" si="6"/>
        <v>10892.33508544253</v>
      </c>
      <c r="Z6" s="228">
        <f t="shared" ca="1" si="6"/>
        <v>11048.774042120667</v>
      </c>
      <c r="AA6" s="228">
        <f t="shared" ca="1" si="6"/>
        <v>11205.212998798805</v>
      </c>
      <c r="AB6" s="228">
        <f t="shared" ca="1" si="6"/>
        <v>11361.651955476942</v>
      </c>
      <c r="AC6" s="228">
        <f t="shared" ca="1" si="6"/>
        <v>11518.090912155079</v>
      </c>
      <c r="AD6" s="228">
        <f t="shared" ca="1" si="6"/>
        <v>11674.529868833217</v>
      </c>
      <c r="AE6" s="228">
        <f t="shared" ca="1" si="6"/>
        <v>11830.968825511354</v>
      </c>
      <c r="AF6" s="228">
        <f t="shared" ca="1" si="6"/>
        <v>11987.407782189492</v>
      </c>
      <c r="AG6" s="228">
        <f t="shared" ca="1" si="6"/>
        <v>12143.846738867629</v>
      </c>
      <c r="AH6" s="228">
        <f t="shared" ca="1" si="6"/>
        <v>12300.285695545766</v>
      </c>
      <c r="AI6" s="228">
        <f t="shared" ca="1" si="6"/>
        <v>12456.724652223904</v>
      </c>
      <c r="AJ6" s="228">
        <f t="shared" ca="1" si="6"/>
        <v>12613.163608902041</v>
      </c>
      <c r="AK6" s="228">
        <f t="shared" ca="1" si="6"/>
        <v>12769.602565580179</v>
      </c>
      <c r="AL6" s="228">
        <f t="shared" ca="1" si="6"/>
        <v>12926.041522258316</v>
      </c>
      <c r="AM6" s="228">
        <f t="shared" ca="1" si="6"/>
        <v>13082.480478936453</v>
      </c>
      <c r="AN6" s="228">
        <f t="shared" ca="1" si="6"/>
        <v>13238.919435614591</v>
      </c>
      <c r="AO6" s="228">
        <f t="shared" ca="1" si="6"/>
        <v>13395.358392292728</v>
      </c>
      <c r="AP6" s="228">
        <f t="shared" ca="1" si="6"/>
        <v>13551.797348970866</v>
      </c>
      <c r="AQ6" s="228">
        <f t="shared" ca="1" si="6"/>
        <v>13708.236305649003</v>
      </c>
      <c r="AR6" s="228">
        <f t="shared" ca="1" si="6"/>
        <v>13864.67526232714</v>
      </c>
      <c r="AS6" s="228">
        <f t="shared" ca="1" si="6"/>
        <v>14021.114219005278</v>
      </c>
      <c r="AT6" s="228">
        <f t="shared" ca="1" si="6"/>
        <v>14177.553175683415</v>
      </c>
      <c r="AU6" s="228">
        <f t="shared" ca="1" si="6"/>
        <v>14333.992132361553</v>
      </c>
      <c r="AV6" s="228">
        <f t="shared" ca="1" si="6"/>
        <v>14490.43108903969</v>
      </c>
    </row>
    <row r="7" spans="1:48">
      <c r="A7" s="389" t="s">
        <v>711</v>
      </c>
      <c r="B7" t="s">
        <v>726</v>
      </c>
      <c r="C7" s="24" t="s">
        <v>153</v>
      </c>
      <c r="D7" s="24">
        <f ca="1">INDEX(INDIRECT(CONCATENATE("'",RIGHT(D$1,2),"'!$F$8:$N$88")),MATCH($A7,INDIRECT(CONCATENATE("'",RIGHT(D$1,2),IF($B7="chemicals","'!$C$8:$C$88","'!$B$8:$B$88"))),0),MATCH('Other Industrial Processes'!$C7,INDIRECT(CONCATENATE("'",RIGHT(D$1,2),"'!$F$4:$N$4")),0))</f>
        <v>0</v>
      </c>
      <c r="E7" s="24">
        <f ca="1">INDEX(INDIRECT(CONCATENATE("'",RIGHT(E$1,2),"'!$F$8:$N$88")),MATCH($A7,INDIRECT(CONCATENATE("'",RIGHT(E$1,2),IF($B7="chemicals","'!$C$8:$C$88","'!$B$8:$B$88"))),0),MATCH('Other Industrial Processes'!$C7,INDIRECT(CONCATENATE("'",RIGHT(E$1,2),"'!$F$4:$N$4")),0))</f>
        <v>0</v>
      </c>
      <c r="F7" s="24">
        <f ca="1">INDEX(INDIRECT(CONCATENATE("'",RIGHT(F$1,2),"'!$F$8:$N$88")),MATCH($A7,INDIRECT(CONCATENATE("'",RIGHT(F$1,2),IF($B7="chemicals","'!$C$8:$C$88","'!$B$8:$B$88"))),0),MATCH('Other Industrial Processes'!$C7,INDIRECT(CONCATENATE("'",RIGHT(F$1,2),"'!$F$4:$N$4")),0))</f>
        <v>2.1703429103832898E-6</v>
      </c>
      <c r="G7" s="24">
        <f ca="1">INDEX(INDIRECT(CONCATENATE("'",RIGHT(G$1,2),"'!$F$8:$N$88")),MATCH($A7,INDIRECT(CONCATENATE("'",RIGHT(G$1,2),IF($B7="chemicals","'!$C$8:$C$88","'!$B$8:$B$88"))),0),MATCH('Other Industrial Processes'!$C7,INDIRECT(CONCATENATE("'",RIGHT(G$1,2),"'!$F$4:$N$4")),0))</f>
        <v>9.0238642035116001E-2</v>
      </c>
      <c r="H7" s="24">
        <f ca="1">INDEX(INDIRECT(CONCATENATE("'",RIGHT(H$1,2),"'!$F$8:$N$88")),MATCH($A7,INDIRECT(CONCATENATE("'",RIGHT(H$1,2),IF($B7="chemicals","'!$C$8:$C$88","'!$B$8:$B$88"))),0),MATCH('Other Industrial Processes'!$C7,INDIRECT(CONCATENATE("'",RIGHT(H$1,2),"'!$F$4:$N$4")),0))</f>
        <v>0.81180264504673505</v>
      </c>
      <c r="I7" s="24">
        <f ca="1">INDEX(INDIRECT(CONCATENATE("'",RIGHT(I$1,2),"'!$F$8:$N$88")),MATCH($A7,INDIRECT(CONCATENATE("'",RIGHT(I$1,2),IF($B7="chemicals","'!$C$8:$C$88","'!$B$8:$B$88"))),0),MATCH('Other Industrial Processes'!$C7,INDIRECT(CONCATENATE("'",RIGHT(I$1,2),"'!$F$4:$N$4")),0))</f>
        <v>2.1001606752077802</v>
      </c>
      <c r="J7" s="24">
        <f ca="1">INDEX(INDIRECT(CONCATENATE("'",RIGHT(J$1,2),"'!$F$8:$N$88")),MATCH($A7,INDIRECT(CONCATENATE("'",RIGHT(J$1,2),IF($B7="chemicals","'!$C$8:$C$88","'!$B$8:$B$88"))),0),MATCH('Other Industrial Processes'!$C7,INDIRECT(CONCATENATE("'",RIGHT(J$1,2),"'!$F$4:$N$4")),0))</f>
        <v>3.5018800419326199</v>
      </c>
      <c r="K7" s="24">
        <f ca="1">INDEX(INDIRECT(CONCATENATE("'",RIGHT(K$1,2),"'!$F$8:$N$88")),MATCH($A7,INDIRECT(CONCATENATE("'",RIGHT(K$1,2),IF($B7="chemicals","'!$C$8:$C$88","'!$B$8:$B$88"))),0),MATCH('Other Industrial Processes'!$C7,INDIRECT(CONCATENATE("'",RIGHT(K$1,2),"'!$F$4:$N$4")),0))</f>
        <v>4.6287651892776598</v>
      </c>
      <c r="L7" s="24">
        <f ca="1">INDEX(INDIRECT(CONCATENATE("'",RIGHT(L$1,2),"'!$F$8:$N$88")),MATCH($A7,INDIRECT(CONCATENATE("'",RIGHT(L$1,2),IF($B7="chemicals","'!$C$8:$C$88","'!$B$8:$B$88"))),0),MATCH('Other Industrial Processes'!$C7,INDIRECT(CONCATENATE("'",RIGHT(L$1,2),"'!$F$4:$N$4")),0))</f>
        <v>5.8910666191974901</v>
      </c>
      <c r="M7" s="24">
        <f ca="1">INDEX(INDIRECT(CONCATENATE("'",RIGHT(M$1,2),"'!$F$8:$N$88")),MATCH($A7,INDIRECT(CONCATENATE("'",RIGHT(M$1,2),IF($B7="chemicals","'!$C$8:$C$88","'!$B$8:$B$88"))),0),MATCH('Other Industrial Processes'!$C7,INDIRECT(CONCATENATE("'",RIGHT(M$1,2),"'!$F$4:$N$4")),0))</f>
        <v>6.77586206035601</v>
      </c>
      <c r="N7" s="228">
        <f t="shared" ref="N7:AV7" ca="1" si="7">IFERROR(IF($M7-$D7&gt;=0,($M7-$D7)/COUNT($E$1:$M$1)+M7,$F68*$E68^N$1),0)</f>
        <v>7.5287356226177886</v>
      </c>
      <c r="O7" s="228">
        <f t="shared" ca="1" si="7"/>
        <v>8.2816091848795672</v>
      </c>
      <c r="P7" s="228">
        <f t="shared" ca="1" si="7"/>
        <v>9.0344827471413467</v>
      </c>
      <c r="Q7" s="228">
        <f t="shared" ca="1" si="7"/>
        <v>9.7873563094031262</v>
      </c>
      <c r="R7" s="228">
        <f t="shared" ca="1" si="7"/>
        <v>10.540229871664906</v>
      </c>
      <c r="S7" s="228">
        <f t="shared" ca="1" si="7"/>
        <v>11.293103433926685</v>
      </c>
      <c r="T7" s="228">
        <f t="shared" ca="1" si="7"/>
        <v>12.045976996188465</v>
      </c>
      <c r="U7" s="228">
        <f t="shared" ca="1" si="7"/>
        <v>12.798850558450244</v>
      </c>
      <c r="V7" s="228">
        <f t="shared" ca="1" si="7"/>
        <v>13.551724120712024</v>
      </c>
      <c r="W7" s="228">
        <f t="shared" ca="1" si="7"/>
        <v>14.304597682973803</v>
      </c>
      <c r="X7" s="228">
        <f t="shared" ca="1" si="7"/>
        <v>15.057471245235583</v>
      </c>
      <c r="Y7" s="228">
        <f t="shared" ca="1" si="7"/>
        <v>15.810344807497362</v>
      </c>
      <c r="Z7" s="228">
        <f t="shared" ca="1" si="7"/>
        <v>16.563218369759142</v>
      </c>
      <c r="AA7" s="228">
        <f t="shared" ca="1" si="7"/>
        <v>17.316091932020921</v>
      </c>
      <c r="AB7" s="228">
        <f t="shared" ca="1" si="7"/>
        <v>18.0689654942827</v>
      </c>
      <c r="AC7" s="228">
        <f t="shared" ca="1" si="7"/>
        <v>18.82183905654448</v>
      </c>
      <c r="AD7" s="228">
        <f t="shared" ca="1" si="7"/>
        <v>19.574712618806259</v>
      </c>
      <c r="AE7" s="228">
        <f t="shared" ca="1" si="7"/>
        <v>20.327586181068039</v>
      </c>
      <c r="AF7" s="228">
        <f t="shared" ca="1" si="7"/>
        <v>21.080459743329818</v>
      </c>
      <c r="AG7" s="228">
        <f t="shared" ca="1" si="7"/>
        <v>21.833333305591598</v>
      </c>
      <c r="AH7" s="228">
        <f t="shared" ca="1" si="7"/>
        <v>22.586206867853377</v>
      </c>
      <c r="AI7" s="228">
        <f t="shared" ca="1" si="7"/>
        <v>23.339080430115157</v>
      </c>
      <c r="AJ7" s="228">
        <f t="shared" ca="1" si="7"/>
        <v>24.091953992376936</v>
      </c>
      <c r="AK7" s="228">
        <f t="shared" ca="1" si="7"/>
        <v>24.844827554638716</v>
      </c>
      <c r="AL7" s="228">
        <f t="shared" ca="1" si="7"/>
        <v>25.597701116900495</v>
      </c>
      <c r="AM7" s="228">
        <f t="shared" ca="1" si="7"/>
        <v>26.350574679162275</v>
      </c>
      <c r="AN7" s="228">
        <f t="shared" ca="1" si="7"/>
        <v>27.103448241424054</v>
      </c>
      <c r="AO7" s="228">
        <f t="shared" ca="1" si="7"/>
        <v>27.856321803685834</v>
      </c>
      <c r="AP7" s="228">
        <f t="shared" ca="1" si="7"/>
        <v>28.609195365947613</v>
      </c>
      <c r="AQ7" s="228">
        <f t="shared" ca="1" si="7"/>
        <v>29.362068928209393</v>
      </c>
      <c r="AR7" s="228">
        <f t="shared" ca="1" si="7"/>
        <v>30.114942490471172</v>
      </c>
      <c r="AS7" s="228">
        <f t="shared" ca="1" si="7"/>
        <v>30.867816052732952</v>
      </c>
      <c r="AT7" s="228">
        <f t="shared" ca="1" si="7"/>
        <v>31.620689614994731</v>
      </c>
      <c r="AU7" s="228">
        <f t="shared" ca="1" si="7"/>
        <v>32.373563177256507</v>
      </c>
      <c r="AV7" s="228">
        <f t="shared" ca="1" si="7"/>
        <v>33.126436739518283</v>
      </c>
    </row>
    <row r="8" spans="1:48">
      <c r="A8" s="389" t="s">
        <v>185</v>
      </c>
      <c r="B8" t="s">
        <v>26</v>
      </c>
      <c r="C8" s="24" t="s">
        <v>153</v>
      </c>
      <c r="D8" s="24">
        <f ca="1">INDEX(INDIRECT(CONCATENATE("'",RIGHT(D$1,2),"'!$F$8:$N$88")),MATCH($A8,INDIRECT(CONCATENATE("'",RIGHT(D$1,2),IF($B8="chemicals","'!$C$8:$C$88","'!$B$8:$B$88"))),0),MATCH('Other Industrial Processes'!$C8,INDIRECT(CONCATENATE("'",RIGHT(D$1,2),"'!$F$4:$N$4")),0))</f>
        <v>0</v>
      </c>
      <c r="E8" s="24">
        <f ca="1">INDEX(INDIRECT(CONCATENATE("'",RIGHT(E$1,2),"'!$F$8:$N$88")),MATCH($A8,INDIRECT(CONCATENATE("'",RIGHT(E$1,2),IF($B8="chemicals","'!$C$8:$C$88","'!$B$8:$B$88"))),0),MATCH('Other Industrial Processes'!$C8,INDIRECT(CONCATENATE("'",RIGHT(E$1,2),"'!$F$4:$N$4")),0))</f>
        <v>0</v>
      </c>
      <c r="F8" s="24">
        <f ca="1">INDEX(INDIRECT(CONCATENATE("'",RIGHT(F$1,2),"'!$F$8:$N$88")),MATCH($A8,INDIRECT(CONCATENATE("'",RIGHT(F$1,2),IF($B8="chemicals","'!$C$8:$C$88","'!$B$8:$B$88"))),0),MATCH('Other Industrial Processes'!$C8,INDIRECT(CONCATENATE("'",RIGHT(F$1,2),"'!$F$4:$N$4")),0))</f>
        <v>0</v>
      </c>
      <c r="G8" s="24">
        <f ca="1">INDEX(INDIRECT(CONCATENATE("'",RIGHT(G$1,2),"'!$F$8:$N$88")),MATCH($A8,INDIRECT(CONCATENATE("'",RIGHT(G$1,2),IF($B8="chemicals","'!$C$8:$C$88","'!$B$8:$B$88"))),0),MATCH('Other Industrial Processes'!$C8,INDIRECT(CONCATENATE("'",RIGHT(G$1,2),"'!$F$4:$N$4")),0))</f>
        <v>0</v>
      </c>
      <c r="H8" s="24">
        <f ca="1">INDEX(INDIRECT(CONCATENATE("'",RIGHT(H$1,2),"'!$F$8:$N$88")),MATCH($A8,INDIRECT(CONCATENATE("'",RIGHT(H$1,2),IF($B8="chemicals","'!$C$8:$C$88","'!$B$8:$B$88"))),0),MATCH('Other Industrial Processes'!$C8,INDIRECT(CONCATENATE("'",RIGHT(H$1,2),"'!$F$4:$N$4")),0))</f>
        <v>0</v>
      </c>
      <c r="I8" s="24">
        <f ca="1">INDEX(INDIRECT(CONCATENATE("'",RIGHT(I$1,2),"'!$F$8:$N$88")),MATCH($A8,INDIRECT(CONCATENATE("'",RIGHT(I$1,2),IF($B8="chemicals","'!$C$8:$C$88","'!$B$8:$B$88"))),0),MATCH('Other Industrial Processes'!$C8,INDIRECT(CONCATENATE("'",RIGHT(I$1,2),"'!$F$4:$N$4")),0))</f>
        <v>0</v>
      </c>
      <c r="J8" s="24">
        <f ca="1">INDEX(INDIRECT(CONCATENATE("'",RIGHT(J$1,2),"'!$F$8:$N$88")),MATCH($A8,INDIRECT(CONCATENATE("'",RIGHT(J$1,2),IF($B8="chemicals","'!$C$8:$C$88","'!$B$8:$B$88"))),0),MATCH('Other Industrial Processes'!$C8,INDIRECT(CONCATENATE("'",RIGHT(J$1,2),"'!$F$4:$N$4")),0))</f>
        <v>0</v>
      </c>
      <c r="K8" s="24">
        <f ca="1">INDEX(INDIRECT(CONCATENATE("'",RIGHT(K$1,2),"'!$F$8:$N$88")),MATCH($A8,INDIRECT(CONCATENATE("'",RIGHT(K$1,2),IF($B8="chemicals","'!$C$8:$C$88","'!$B$8:$B$88"))),0),MATCH('Other Industrial Processes'!$C8,INDIRECT(CONCATENATE("'",RIGHT(K$1,2),"'!$F$4:$N$4")),0))</f>
        <v>0</v>
      </c>
      <c r="L8" s="24">
        <f ca="1">INDEX(INDIRECT(CONCATENATE("'",RIGHT(L$1,2),"'!$F$8:$N$88")),MATCH($A8,INDIRECT(CONCATENATE("'",RIGHT(L$1,2),IF($B8="chemicals","'!$C$8:$C$88","'!$B$8:$B$88"))),0),MATCH('Other Industrial Processes'!$C8,INDIRECT(CONCATENATE("'",RIGHT(L$1,2),"'!$F$4:$N$4")),0))</f>
        <v>0</v>
      </c>
      <c r="M8" s="24">
        <v>0</v>
      </c>
      <c r="N8" s="228">
        <f t="shared" ref="N8:AV8" ca="1" si="8">IFERROR(IF($M8-$D8&gt;=0,($M8-$D8)/COUNT($E$1:$M$1)+M8,$F69*$E69^N$1),0)</f>
        <v>0</v>
      </c>
      <c r="O8" s="228">
        <f t="shared" ca="1" si="8"/>
        <v>0</v>
      </c>
      <c r="P8" s="228">
        <f t="shared" ca="1" si="8"/>
        <v>0</v>
      </c>
      <c r="Q8" s="228">
        <f t="shared" ca="1" si="8"/>
        <v>0</v>
      </c>
      <c r="R8" s="228">
        <f t="shared" ca="1" si="8"/>
        <v>0</v>
      </c>
      <c r="S8" s="228">
        <f t="shared" ca="1" si="8"/>
        <v>0</v>
      </c>
      <c r="T8" s="228">
        <f t="shared" ca="1" si="8"/>
        <v>0</v>
      </c>
      <c r="U8" s="228">
        <f t="shared" ca="1" si="8"/>
        <v>0</v>
      </c>
      <c r="V8" s="228">
        <f t="shared" ca="1" si="8"/>
        <v>0</v>
      </c>
      <c r="W8" s="228">
        <f t="shared" ca="1" si="8"/>
        <v>0</v>
      </c>
      <c r="X8" s="228">
        <f t="shared" ca="1" si="8"/>
        <v>0</v>
      </c>
      <c r="Y8" s="228">
        <f t="shared" ca="1" si="8"/>
        <v>0</v>
      </c>
      <c r="Z8" s="228">
        <f t="shared" ca="1" si="8"/>
        <v>0</v>
      </c>
      <c r="AA8" s="228">
        <f t="shared" ca="1" si="8"/>
        <v>0</v>
      </c>
      <c r="AB8" s="228">
        <f t="shared" ca="1" si="8"/>
        <v>0</v>
      </c>
      <c r="AC8" s="228">
        <f t="shared" ca="1" si="8"/>
        <v>0</v>
      </c>
      <c r="AD8" s="228">
        <f t="shared" ca="1" si="8"/>
        <v>0</v>
      </c>
      <c r="AE8" s="228">
        <f t="shared" ca="1" si="8"/>
        <v>0</v>
      </c>
      <c r="AF8" s="228">
        <f t="shared" ca="1" si="8"/>
        <v>0</v>
      </c>
      <c r="AG8" s="228">
        <f t="shared" ca="1" si="8"/>
        <v>0</v>
      </c>
      <c r="AH8" s="228">
        <f t="shared" ca="1" si="8"/>
        <v>0</v>
      </c>
      <c r="AI8" s="228">
        <f t="shared" ca="1" si="8"/>
        <v>0</v>
      </c>
      <c r="AJ8" s="228">
        <f t="shared" ca="1" si="8"/>
        <v>0</v>
      </c>
      <c r="AK8" s="228">
        <f t="shared" ca="1" si="8"/>
        <v>0</v>
      </c>
      <c r="AL8" s="228">
        <f t="shared" ca="1" si="8"/>
        <v>0</v>
      </c>
      <c r="AM8" s="228">
        <f t="shared" ca="1" si="8"/>
        <v>0</v>
      </c>
      <c r="AN8" s="228">
        <f t="shared" ca="1" si="8"/>
        <v>0</v>
      </c>
      <c r="AO8" s="228">
        <f t="shared" ca="1" si="8"/>
        <v>0</v>
      </c>
      <c r="AP8" s="228">
        <f t="shared" ca="1" si="8"/>
        <v>0</v>
      </c>
      <c r="AQ8" s="228">
        <f t="shared" ca="1" si="8"/>
        <v>0</v>
      </c>
      <c r="AR8" s="228">
        <f t="shared" ca="1" si="8"/>
        <v>0</v>
      </c>
      <c r="AS8" s="228">
        <f t="shared" ca="1" si="8"/>
        <v>0</v>
      </c>
      <c r="AT8" s="228">
        <f t="shared" ca="1" si="8"/>
        <v>0</v>
      </c>
      <c r="AU8" s="228">
        <f t="shared" ca="1" si="8"/>
        <v>0</v>
      </c>
      <c r="AV8" s="228">
        <f t="shared" ca="1" si="8"/>
        <v>0</v>
      </c>
    </row>
    <row r="9" spans="1:48">
      <c r="A9" s="389" t="s">
        <v>716</v>
      </c>
      <c r="B9" t="s">
        <v>26</v>
      </c>
      <c r="C9" s="24" t="s">
        <v>153</v>
      </c>
      <c r="D9" s="24">
        <f ca="1">INDEX(INDIRECT(CONCATENATE("'",RIGHT(D$1,2),"'!$F$8:$N$88")),MATCH($A9,INDIRECT(CONCATENATE("'",RIGHT(D$1,2),IF($B9="chemicals","'!$C$8:$C$88","'!$B$8:$B$88"))),0),MATCH('Other Industrial Processes'!$C9,INDIRECT(CONCATENATE("'",RIGHT(D$1,2),"'!$F$4:$N$4")),0))</f>
        <v>389.79456266666699</v>
      </c>
      <c r="E9" s="24">
        <f ca="1">INDEX(INDIRECT(CONCATENATE("'",RIGHT(E$1,2),"'!$F$8:$N$88")),MATCH($A9,INDIRECT(CONCATENATE("'",RIGHT(E$1,2),IF($B9="chemicals","'!$C$8:$C$88","'!$B$8:$B$88"))),0),MATCH('Other Industrial Processes'!$C9,INDIRECT(CONCATENATE("'",RIGHT(E$1,2),"'!$F$4:$N$4")),0))</f>
        <v>479.11456266666698</v>
      </c>
      <c r="F9" s="24">
        <f ca="1">INDEX(INDIRECT(CONCATENATE("'",RIGHT(F$1,2),"'!$F$8:$N$88")),MATCH($A9,INDIRECT(CONCATENATE("'",RIGHT(F$1,2),IF($B9="chemicals","'!$C$8:$C$88","'!$B$8:$B$88"))),0),MATCH('Other Industrial Processes'!$C9,INDIRECT(CONCATENATE("'",RIGHT(F$1,2),"'!$F$4:$N$4")),0))</f>
        <v>535.55333333333294</v>
      </c>
      <c r="G9" s="24">
        <f ca="1">INDEX(INDIRECT(CONCATENATE("'",RIGHT(G$1,2),"'!$F$8:$N$88")),MATCH($A9,INDIRECT(CONCATENATE("'",RIGHT(G$1,2),IF($B9="chemicals","'!$C$8:$C$88","'!$B$8:$B$88"))),0),MATCH('Other Industrial Processes'!$C9,INDIRECT(CONCATENATE("'",RIGHT(G$1,2),"'!$F$4:$N$4")),0))</f>
        <v>564.59333333333302</v>
      </c>
      <c r="H9" s="24">
        <f ca="1">INDEX(INDIRECT(CONCATENATE("'",RIGHT(H$1,2),"'!$F$8:$N$88")),MATCH($A9,INDIRECT(CONCATENATE("'",RIGHT(H$1,2),IF($B9="chemicals","'!$C$8:$C$88","'!$B$8:$B$88"))),0),MATCH('Other Industrial Processes'!$C9,INDIRECT(CONCATENATE("'",RIGHT(H$1,2),"'!$F$4:$N$4")),0))</f>
        <v>555.79333333333295</v>
      </c>
      <c r="I9" s="24">
        <f ca="1">INDEX(INDIRECT(CONCATENATE("'",RIGHT(I$1,2),"'!$F$8:$N$88")),MATCH($A9,INDIRECT(CONCATENATE("'",RIGHT(I$1,2),IF($B9="chemicals","'!$C$8:$C$88","'!$B$8:$B$88"))),0),MATCH('Other Industrial Processes'!$C9,INDIRECT(CONCATENATE("'",RIGHT(I$1,2),"'!$F$4:$N$4")),0))</f>
        <v>627.14666666666699</v>
      </c>
      <c r="J9" s="24">
        <f ca="1">INDEX(INDIRECT(CONCATENATE("'",RIGHT(J$1,2),"'!$F$8:$N$88")),MATCH($A9,INDIRECT(CONCATENATE("'",RIGHT(J$1,2),IF($B9="chemicals","'!$C$8:$C$88","'!$B$8:$B$88"))),0),MATCH('Other Industrial Processes'!$C9,INDIRECT(CONCATENATE("'",RIGHT(J$1,2),"'!$F$4:$N$4")),0))</f>
        <v>707.006666666667</v>
      </c>
      <c r="K9" s="24">
        <f ca="1">INDEX(INDIRECT(CONCATENATE("'",RIGHT(K$1,2),"'!$F$8:$N$88")),MATCH($A9,INDIRECT(CONCATENATE("'",RIGHT(K$1,2),IF($B9="chemicals","'!$C$8:$C$88","'!$B$8:$B$88"))),0),MATCH('Other Industrial Processes'!$C9,INDIRECT(CONCATENATE("'",RIGHT(K$1,2),"'!$F$4:$N$4")),0))</f>
        <v>765.31980799999997</v>
      </c>
      <c r="L9" s="24">
        <f ca="1">INDEX(INDIRECT(CONCATENATE("'",RIGHT(L$1,2),"'!$F$8:$N$88")),MATCH($A9,INDIRECT(CONCATENATE("'",RIGHT(L$1,2),IF($B9="chemicals","'!$C$8:$C$88","'!$B$8:$B$88"))),0),MATCH('Other Industrial Processes'!$C9,INDIRECT(CONCATENATE("'",RIGHT(L$1,2),"'!$F$4:$N$4")),0))</f>
        <v>787.89480000000003</v>
      </c>
      <c r="M9" s="24">
        <f ca="1">INDEX(INDIRECT(CONCATENATE("'",RIGHT(M$1,2),"'!$F$8:$N$88")),MATCH($A9,INDIRECT(CONCATENATE("'",RIGHT(M$1,2),IF($B9="chemicals","'!$C$8:$C$88","'!$B$8:$B$88"))),0),MATCH('Other Industrial Processes'!$C9,INDIRECT(CONCATENATE("'",RIGHT(M$1,2),"'!$F$4:$N$4")),0))</f>
        <v>870.781652331685</v>
      </c>
      <c r="N9" s="228">
        <f t="shared" ref="N9:AV9" ca="1" si="9">IFERROR(IF($M9-$D9&gt;=0,($M9-$D9)/COUNT($E$1:$M$1)+M9,$F73*$E73^N$1),0)</f>
        <v>924.22466229446479</v>
      </c>
      <c r="O9" s="228">
        <f t="shared" ca="1" si="9"/>
        <v>977.66767225724459</v>
      </c>
      <c r="P9" s="228">
        <f t="shared" ca="1" si="9"/>
        <v>1031.1106822200243</v>
      </c>
      <c r="Q9" s="228">
        <f t="shared" ca="1" si="9"/>
        <v>1084.5536921828041</v>
      </c>
      <c r="R9" s="228">
        <f t="shared" ca="1" si="9"/>
        <v>1137.9967021455839</v>
      </c>
      <c r="S9" s="228">
        <f t="shared" ca="1" si="9"/>
        <v>1191.4397121083637</v>
      </c>
      <c r="T9" s="228">
        <f t="shared" ca="1" si="9"/>
        <v>1244.8827220711435</v>
      </c>
      <c r="U9" s="228">
        <f t="shared" ca="1" si="9"/>
        <v>1298.3257320339233</v>
      </c>
      <c r="V9" s="228">
        <f t="shared" ca="1" si="9"/>
        <v>1351.7687419967031</v>
      </c>
      <c r="W9" s="228">
        <f t="shared" ca="1" si="9"/>
        <v>1405.2117519594829</v>
      </c>
      <c r="X9" s="228">
        <f t="shared" ca="1" si="9"/>
        <v>1458.6547619222627</v>
      </c>
      <c r="Y9" s="228">
        <f t="shared" ca="1" si="9"/>
        <v>1512.0977718850424</v>
      </c>
      <c r="Z9" s="228">
        <f t="shared" ca="1" si="9"/>
        <v>1565.5407818478222</v>
      </c>
      <c r="AA9" s="228">
        <f t="shared" ca="1" si="9"/>
        <v>1618.983791810602</v>
      </c>
      <c r="AB9" s="228">
        <f t="shared" ca="1" si="9"/>
        <v>1672.4268017733818</v>
      </c>
      <c r="AC9" s="228">
        <f t="shared" ca="1" si="9"/>
        <v>1725.8698117361616</v>
      </c>
      <c r="AD9" s="228">
        <f t="shared" ca="1" si="9"/>
        <v>1779.3128216989414</v>
      </c>
      <c r="AE9" s="228">
        <f t="shared" ca="1" si="9"/>
        <v>1832.7558316617212</v>
      </c>
      <c r="AF9" s="228">
        <f t="shared" ca="1" si="9"/>
        <v>1886.198841624501</v>
      </c>
      <c r="AG9" s="228">
        <f t="shared" ca="1" si="9"/>
        <v>1939.6418515872808</v>
      </c>
      <c r="AH9" s="228">
        <f t="shared" ca="1" si="9"/>
        <v>1993.0848615500606</v>
      </c>
      <c r="AI9" s="228">
        <f t="shared" ca="1" si="9"/>
        <v>2046.5278715128404</v>
      </c>
      <c r="AJ9" s="228">
        <f t="shared" ca="1" si="9"/>
        <v>2099.97088147562</v>
      </c>
      <c r="AK9" s="228">
        <f t="shared" ca="1" si="9"/>
        <v>2153.4138914383998</v>
      </c>
      <c r="AL9" s="228">
        <f t="shared" ca="1" si="9"/>
        <v>2206.8569014011796</v>
      </c>
      <c r="AM9" s="228">
        <f t="shared" ca="1" si="9"/>
        <v>2260.2999113639594</v>
      </c>
      <c r="AN9" s="228">
        <f t="shared" ca="1" si="9"/>
        <v>2313.7429213267392</v>
      </c>
      <c r="AO9" s="228">
        <f t="shared" ca="1" si="9"/>
        <v>2367.185931289519</v>
      </c>
      <c r="AP9" s="228">
        <f t="shared" ca="1" si="9"/>
        <v>2420.6289412522988</v>
      </c>
      <c r="AQ9" s="228">
        <f t="shared" ca="1" si="9"/>
        <v>2474.0719512150786</v>
      </c>
      <c r="AR9" s="228">
        <f t="shared" ca="1" si="9"/>
        <v>2527.5149611778584</v>
      </c>
      <c r="AS9" s="228">
        <f t="shared" ca="1" si="9"/>
        <v>2580.9579711406382</v>
      </c>
      <c r="AT9" s="228">
        <f t="shared" ca="1" si="9"/>
        <v>2634.400981103418</v>
      </c>
      <c r="AU9" s="228">
        <f t="shared" ca="1" si="9"/>
        <v>2687.8439910661978</v>
      </c>
      <c r="AV9" s="228">
        <f t="shared" ca="1" si="9"/>
        <v>2741.2870010289776</v>
      </c>
    </row>
    <row r="10" spans="1:48">
      <c r="A10" s="389" t="s">
        <v>184</v>
      </c>
      <c r="B10" t="s">
        <v>4</v>
      </c>
      <c r="C10" s="24" t="s">
        <v>162</v>
      </c>
      <c r="D10" s="24">
        <v>0</v>
      </c>
      <c r="E10" s="24">
        <v>0</v>
      </c>
      <c r="F10" s="24">
        <v>0</v>
      </c>
      <c r="G10" s="24">
        <v>0</v>
      </c>
      <c r="H10" s="24">
        <v>0</v>
      </c>
      <c r="I10" s="24">
        <v>0</v>
      </c>
      <c r="J10" s="24">
        <v>0</v>
      </c>
      <c r="K10" s="24">
        <v>0</v>
      </c>
      <c r="L10" s="24">
        <v>0</v>
      </c>
      <c r="M10" s="24">
        <v>0</v>
      </c>
      <c r="N10" s="228">
        <f t="shared" ref="N10:AV10" si="10">IFERROR(IF($M10-$D10&gt;=0,($M10-$D10)/COUNT($E$1:$M$1)+M10,$F74*$E74^N$1),0)</f>
        <v>0</v>
      </c>
      <c r="O10" s="228">
        <f t="shared" si="10"/>
        <v>0</v>
      </c>
      <c r="P10" s="228">
        <f t="shared" si="10"/>
        <v>0</v>
      </c>
      <c r="Q10" s="228">
        <f t="shared" si="10"/>
        <v>0</v>
      </c>
      <c r="R10" s="228">
        <f t="shared" si="10"/>
        <v>0</v>
      </c>
      <c r="S10" s="228">
        <f t="shared" si="10"/>
        <v>0</v>
      </c>
      <c r="T10" s="228">
        <f t="shared" si="10"/>
        <v>0</v>
      </c>
      <c r="U10" s="228">
        <f t="shared" si="10"/>
        <v>0</v>
      </c>
      <c r="V10" s="228">
        <f t="shared" si="10"/>
        <v>0</v>
      </c>
      <c r="W10" s="228">
        <f t="shared" si="10"/>
        <v>0</v>
      </c>
      <c r="X10" s="228">
        <f t="shared" si="10"/>
        <v>0</v>
      </c>
      <c r="Y10" s="228">
        <f t="shared" si="10"/>
        <v>0</v>
      </c>
      <c r="Z10" s="228">
        <f t="shared" si="10"/>
        <v>0</v>
      </c>
      <c r="AA10" s="228">
        <f t="shared" si="10"/>
        <v>0</v>
      </c>
      <c r="AB10" s="228">
        <f t="shared" si="10"/>
        <v>0</v>
      </c>
      <c r="AC10" s="228">
        <f t="shared" si="10"/>
        <v>0</v>
      </c>
      <c r="AD10" s="228">
        <f t="shared" si="10"/>
        <v>0</v>
      </c>
      <c r="AE10" s="228">
        <f t="shared" si="10"/>
        <v>0</v>
      </c>
      <c r="AF10" s="228">
        <f t="shared" si="10"/>
        <v>0</v>
      </c>
      <c r="AG10" s="228">
        <f t="shared" si="10"/>
        <v>0</v>
      </c>
      <c r="AH10" s="228">
        <f t="shared" si="10"/>
        <v>0</v>
      </c>
      <c r="AI10" s="228">
        <f t="shared" si="10"/>
        <v>0</v>
      </c>
      <c r="AJ10" s="228">
        <f t="shared" si="10"/>
        <v>0</v>
      </c>
      <c r="AK10" s="228">
        <f t="shared" si="10"/>
        <v>0</v>
      </c>
      <c r="AL10" s="228">
        <f t="shared" si="10"/>
        <v>0</v>
      </c>
      <c r="AM10" s="228">
        <f t="shared" si="10"/>
        <v>0</v>
      </c>
      <c r="AN10" s="228">
        <f t="shared" si="10"/>
        <v>0</v>
      </c>
      <c r="AO10" s="228">
        <f t="shared" si="10"/>
        <v>0</v>
      </c>
      <c r="AP10" s="228">
        <f t="shared" si="10"/>
        <v>0</v>
      </c>
      <c r="AQ10" s="228">
        <f t="shared" si="10"/>
        <v>0</v>
      </c>
      <c r="AR10" s="228">
        <f t="shared" si="10"/>
        <v>0</v>
      </c>
      <c r="AS10" s="228">
        <f t="shared" si="10"/>
        <v>0</v>
      </c>
      <c r="AT10" s="228">
        <f t="shared" si="10"/>
        <v>0</v>
      </c>
      <c r="AU10" s="228">
        <f t="shared" si="10"/>
        <v>0</v>
      </c>
      <c r="AV10" s="228">
        <f t="shared" si="10"/>
        <v>0</v>
      </c>
    </row>
    <row r="11" spans="1:48">
      <c r="A11" s="389" t="s">
        <v>182</v>
      </c>
      <c r="B11" t="s">
        <v>4</v>
      </c>
      <c r="C11" s="24" t="s">
        <v>162</v>
      </c>
      <c r="D11" s="24">
        <v>0</v>
      </c>
      <c r="E11" s="24">
        <v>0</v>
      </c>
      <c r="F11" s="24">
        <v>0</v>
      </c>
      <c r="G11" s="24">
        <v>0</v>
      </c>
      <c r="H11" s="24">
        <v>0</v>
      </c>
      <c r="I11" s="24">
        <v>0</v>
      </c>
      <c r="J11" s="24">
        <v>0</v>
      </c>
      <c r="K11" s="24">
        <v>0</v>
      </c>
      <c r="L11" s="24">
        <v>0</v>
      </c>
      <c r="M11" s="24">
        <v>0</v>
      </c>
      <c r="N11" s="228">
        <f t="shared" ref="N11:AV11" si="11">IFERROR(IF($M11-$D11&gt;=0,($M11-$D11)/COUNT($E$1:$M$1)+M11,$F75*$E75^N$1),0)</f>
        <v>0</v>
      </c>
      <c r="O11" s="228">
        <f t="shared" si="11"/>
        <v>0</v>
      </c>
      <c r="P11" s="228">
        <f t="shared" si="11"/>
        <v>0</v>
      </c>
      <c r="Q11" s="228">
        <f t="shared" si="11"/>
        <v>0</v>
      </c>
      <c r="R11" s="228">
        <f t="shared" si="11"/>
        <v>0</v>
      </c>
      <c r="S11" s="228">
        <f t="shared" si="11"/>
        <v>0</v>
      </c>
      <c r="T11" s="228">
        <f t="shared" si="11"/>
        <v>0</v>
      </c>
      <c r="U11" s="228">
        <f t="shared" si="11"/>
        <v>0</v>
      </c>
      <c r="V11" s="228">
        <f t="shared" si="11"/>
        <v>0</v>
      </c>
      <c r="W11" s="228">
        <f t="shared" si="11"/>
        <v>0</v>
      </c>
      <c r="X11" s="228">
        <f t="shared" si="11"/>
        <v>0</v>
      </c>
      <c r="Y11" s="228">
        <f t="shared" si="11"/>
        <v>0</v>
      </c>
      <c r="Z11" s="228">
        <f t="shared" si="11"/>
        <v>0</v>
      </c>
      <c r="AA11" s="228">
        <f t="shared" si="11"/>
        <v>0</v>
      </c>
      <c r="AB11" s="228">
        <f t="shared" si="11"/>
        <v>0</v>
      </c>
      <c r="AC11" s="228">
        <f t="shared" si="11"/>
        <v>0</v>
      </c>
      <c r="AD11" s="228">
        <f t="shared" si="11"/>
        <v>0</v>
      </c>
      <c r="AE11" s="228">
        <f t="shared" si="11"/>
        <v>0</v>
      </c>
      <c r="AF11" s="228">
        <f t="shared" si="11"/>
        <v>0</v>
      </c>
      <c r="AG11" s="228">
        <f t="shared" si="11"/>
        <v>0</v>
      </c>
      <c r="AH11" s="228">
        <f t="shared" si="11"/>
        <v>0</v>
      </c>
      <c r="AI11" s="228">
        <f t="shared" si="11"/>
        <v>0</v>
      </c>
      <c r="AJ11" s="228">
        <f t="shared" si="11"/>
        <v>0</v>
      </c>
      <c r="AK11" s="228">
        <f t="shared" si="11"/>
        <v>0</v>
      </c>
      <c r="AL11" s="228">
        <f t="shared" si="11"/>
        <v>0</v>
      </c>
      <c r="AM11" s="228">
        <f t="shared" si="11"/>
        <v>0</v>
      </c>
      <c r="AN11" s="228">
        <f t="shared" si="11"/>
        <v>0</v>
      </c>
      <c r="AO11" s="228">
        <f t="shared" si="11"/>
        <v>0</v>
      </c>
      <c r="AP11" s="228">
        <f t="shared" si="11"/>
        <v>0</v>
      </c>
      <c r="AQ11" s="228">
        <f t="shared" si="11"/>
        <v>0</v>
      </c>
      <c r="AR11" s="228">
        <f t="shared" si="11"/>
        <v>0</v>
      </c>
      <c r="AS11" s="228">
        <f t="shared" si="11"/>
        <v>0</v>
      </c>
      <c r="AT11" s="228">
        <f t="shared" si="11"/>
        <v>0</v>
      </c>
      <c r="AU11" s="228">
        <f t="shared" si="11"/>
        <v>0</v>
      </c>
      <c r="AV11" s="228">
        <f t="shared" si="11"/>
        <v>0</v>
      </c>
    </row>
    <row r="12" spans="1:48">
      <c r="A12" s="389" t="s">
        <v>702</v>
      </c>
      <c r="B12" t="s">
        <v>4</v>
      </c>
      <c r="C12" s="24" t="s">
        <v>162</v>
      </c>
      <c r="D12" s="24">
        <f ca="1">INDEX(INDIRECT(CONCATENATE("'",RIGHT(D$1,2),"'!$F$8:$N$88")),MATCH($A12,INDIRECT(CONCATENATE("'",RIGHT(D$1,2),IF($B12="chemicals","'!$C$8:$C$88","'!$B$8:$B$88"))),0),MATCH('Other Industrial Processes'!$C12,INDIRECT(CONCATENATE("'",RIGHT(D$1,2),"'!$F$4:$N$4")),0))</f>
        <v>0</v>
      </c>
      <c r="E12" s="24">
        <f ca="1">INDEX(INDIRECT(CONCATENATE("'",RIGHT(E$1,2),"'!$F$8:$N$88")),MATCH($A12,INDIRECT(CONCATENATE("'",RIGHT(E$1,2),IF($B12="chemicals","'!$C$8:$C$88","'!$B$8:$B$88"))),0),MATCH('Other Industrial Processes'!$C12,INDIRECT(CONCATENATE("'",RIGHT(E$1,2),"'!$F$4:$N$4")),0))</f>
        <v>0</v>
      </c>
      <c r="F12" s="24">
        <f ca="1">INDEX(INDIRECT(CONCATENATE("'",RIGHT(F$1,2),"'!$F$8:$N$88")),MATCH($A12,INDIRECT(CONCATENATE("'",RIGHT(F$1,2),IF($B12="chemicals","'!$C$8:$C$88","'!$B$8:$B$88"))),0),MATCH('Other Industrial Processes'!$C12,INDIRECT(CONCATENATE("'",RIGHT(F$1,2),"'!$F$4:$N$4")),0))</f>
        <v>0</v>
      </c>
      <c r="G12" s="24">
        <f ca="1">INDEX(INDIRECT(CONCATENATE("'",RIGHT(G$1,2),"'!$F$8:$N$88")),MATCH($A12,INDIRECT(CONCATENATE("'",RIGHT(G$1,2),IF($B12="chemicals","'!$C$8:$C$88","'!$B$8:$B$88"))),0),MATCH('Other Industrial Processes'!$C12,INDIRECT(CONCATENATE("'",RIGHT(G$1,2),"'!$F$4:$N$4")),0))</f>
        <v>0</v>
      </c>
      <c r="H12" s="24">
        <f ca="1">INDEX(INDIRECT(CONCATENATE("'",RIGHT(H$1,2),"'!$F$8:$N$88")),MATCH($A12,INDIRECT(CONCATENATE("'",RIGHT(H$1,2),IF($B12="chemicals","'!$C$8:$C$88","'!$B$8:$B$88"))),0),MATCH('Other Industrial Processes'!$C12,INDIRECT(CONCATENATE("'",RIGHT(H$1,2),"'!$F$4:$N$4")),0))</f>
        <v>0</v>
      </c>
      <c r="I12" s="24">
        <f ca="1">INDEX(INDIRECT(CONCATENATE("'",RIGHT(I$1,2),"'!$F$8:$N$88")),MATCH($A12,INDIRECT(CONCATENATE("'",RIGHT(I$1,2),IF($B12="chemicals","'!$C$8:$C$88","'!$B$8:$B$88"))),0),MATCH('Other Industrial Processes'!$C12,INDIRECT(CONCATENATE("'",RIGHT(I$1,2),"'!$F$4:$N$4")),0))</f>
        <v>0</v>
      </c>
      <c r="J12" s="24">
        <f ca="1">INDEX(INDIRECT(CONCATENATE("'",RIGHT(J$1,2),"'!$F$8:$N$88")),MATCH($A12,INDIRECT(CONCATENATE("'",RIGHT(J$1,2),IF($B12="chemicals","'!$C$8:$C$88","'!$B$8:$B$88"))),0),MATCH('Other Industrial Processes'!$C12,INDIRECT(CONCATENATE("'",RIGHT(J$1,2),"'!$F$4:$N$4")),0))</f>
        <v>0</v>
      </c>
      <c r="K12" s="24">
        <f ca="1">INDEX(INDIRECT(CONCATENATE("'",RIGHT(K$1,2),"'!$F$8:$N$88")),MATCH($A12,INDIRECT(CONCATENATE("'",RIGHT(K$1,2),IF($B12="chemicals","'!$C$8:$C$88","'!$B$8:$B$88"))),0),MATCH('Other Industrial Processes'!$C12,INDIRECT(CONCATENATE("'",RIGHT(K$1,2),"'!$F$4:$N$4")),0))</f>
        <v>0</v>
      </c>
      <c r="L12" s="24">
        <f ca="1">INDEX(INDIRECT(CONCATENATE("'",RIGHT(L$1,2),"'!$F$8:$N$88")),MATCH($A12,INDIRECT(CONCATENATE("'",RIGHT(L$1,2),IF($B12="chemicals","'!$C$8:$C$88","'!$B$8:$B$88"))),0),MATCH('Other Industrial Processes'!$C12,INDIRECT(CONCATENATE("'",RIGHT(L$1,2),"'!$F$4:$N$4")),0))</f>
        <v>0</v>
      </c>
      <c r="M12" s="24">
        <v>0</v>
      </c>
      <c r="N12" s="228">
        <f t="shared" ref="N12:AV12" ca="1" si="12">IFERROR(IF($M12-$D12&gt;=0,($M12-$D12)/COUNT($E$1:$M$1)+M12,$F76*$E76^N$1),0)</f>
        <v>0</v>
      </c>
      <c r="O12" s="228">
        <f t="shared" ca="1" si="12"/>
        <v>0</v>
      </c>
      <c r="P12" s="228">
        <f t="shared" ca="1" si="12"/>
        <v>0</v>
      </c>
      <c r="Q12" s="228">
        <f t="shared" ca="1" si="12"/>
        <v>0</v>
      </c>
      <c r="R12" s="228">
        <f t="shared" ca="1" si="12"/>
        <v>0</v>
      </c>
      <c r="S12" s="228">
        <f t="shared" ca="1" si="12"/>
        <v>0</v>
      </c>
      <c r="T12" s="228">
        <f t="shared" ca="1" si="12"/>
        <v>0</v>
      </c>
      <c r="U12" s="228">
        <f t="shared" ca="1" si="12"/>
        <v>0</v>
      </c>
      <c r="V12" s="228">
        <f t="shared" ca="1" si="12"/>
        <v>0</v>
      </c>
      <c r="W12" s="228">
        <f t="shared" ca="1" si="12"/>
        <v>0</v>
      </c>
      <c r="X12" s="228">
        <f t="shared" ca="1" si="12"/>
        <v>0</v>
      </c>
      <c r="Y12" s="228">
        <f t="shared" ca="1" si="12"/>
        <v>0</v>
      </c>
      <c r="Z12" s="228">
        <f t="shared" ca="1" si="12"/>
        <v>0</v>
      </c>
      <c r="AA12" s="228">
        <f t="shared" ca="1" si="12"/>
        <v>0</v>
      </c>
      <c r="AB12" s="228">
        <f t="shared" ca="1" si="12"/>
        <v>0</v>
      </c>
      <c r="AC12" s="228">
        <f t="shared" ca="1" si="12"/>
        <v>0</v>
      </c>
      <c r="AD12" s="228">
        <f t="shared" ca="1" si="12"/>
        <v>0</v>
      </c>
      <c r="AE12" s="228">
        <f t="shared" ca="1" si="12"/>
        <v>0</v>
      </c>
      <c r="AF12" s="228">
        <f t="shared" ca="1" si="12"/>
        <v>0</v>
      </c>
      <c r="AG12" s="228">
        <f t="shared" ca="1" si="12"/>
        <v>0</v>
      </c>
      <c r="AH12" s="228">
        <f t="shared" ca="1" si="12"/>
        <v>0</v>
      </c>
      <c r="AI12" s="228">
        <f t="shared" ca="1" si="12"/>
        <v>0</v>
      </c>
      <c r="AJ12" s="228">
        <f t="shared" ca="1" si="12"/>
        <v>0</v>
      </c>
      <c r="AK12" s="228">
        <f t="shared" ca="1" si="12"/>
        <v>0</v>
      </c>
      <c r="AL12" s="228">
        <f t="shared" ca="1" si="12"/>
        <v>0</v>
      </c>
      <c r="AM12" s="228">
        <f t="shared" ca="1" si="12"/>
        <v>0</v>
      </c>
      <c r="AN12" s="228">
        <f t="shared" ca="1" si="12"/>
        <v>0</v>
      </c>
      <c r="AO12" s="228">
        <f t="shared" ca="1" si="12"/>
        <v>0</v>
      </c>
      <c r="AP12" s="228">
        <f t="shared" ca="1" si="12"/>
        <v>0</v>
      </c>
      <c r="AQ12" s="228">
        <f t="shared" ca="1" si="12"/>
        <v>0</v>
      </c>
      <c r="AR12" s="228">
        <f t="shared" ca="1" si="12"/>
        <v>0</v>
      </c>
      <c r="AS12" s="228">
        <f t="shared" ca="1" si="12"/>
        <v>0</v>
      </c>
      <c r="AT12" s="228">
        <f t="shared" ca="1" si="12"/>
        <v>0</v>
      </c>
      <c r="AU12" s="228">
        <f t="shared" ca="1" si="12"/>
        <v>0</v>
      </c>
      <c r="AV12" s="228">
        <f t="shared" ca="1" si="12"/>
        <v>0</v>
      </c>
    </row>
    <row r="13" spans="1:48">
      <c r="A13" s="389" t="s">
        <v>703</v>
      </c>
      <c r="B13" t="s">
        <v>4</v>
      </c>
      <c r="C13" s="24" t="s">
        <v>162</v>
      </c>
      <c r="D13" s="24">
        <f>D162</f>
        <v>1.80109393884894</v>
      </c>
      <c r="E13" s="24">
        <v>1.7338869207791801</v>
      </c>
      <c r="F13" s="24">
        <v>1.5749408036061301</v>
      </c>
      <c r="G13" s="24">
        <v>1.3488524770008501</v>
      </c>
      <c r="H13" s="24">
        <v>1.34388482218181</v>
      </c>
      <c r="I13" s="24">
        <v>1.3895930320868799</v>
      </c>
      <c r="J13" s="24">
        <v>1.45652664481255</v>
      </c>
      <c r="K13" s="24">
        <v>1.4467485704254499</v>
      </c>
      <c r="L13" s="24">
        <v>1.58180197573578</v>
      </c>
      <c r="M13" s="24">
        <v>1.5266043934231841</v>
      </c>
      <c r="N13" s="228">
        <f t="shared" ref="N13:AV13" ca="1" si="13">IFERROR(IF($M13-$D13&gt;=0,($M13-$D13)/COUNT($E$1:$M$1)+M13,$F77*$E77^N$1),0)</f>
        <v>0</v>
      </c>
      <c r="O13" s="228">
        <f t="shared" ca="1" si="13"/>
        <v>0</v>
      </c>
      <c r="P13" s="228">
        <f t="shared" ca="1" si="13"/>
        <v>0</v>
      </c>
      <c r="Q13" s="228">
        <f t="shared" ca="1" si="13"/>
        <v>0</v>
      </c>
      <c r="R13" s="228">
        <f t="shared" ca="1" si="13"/>
        <v>0</v>
      </c>
      <c r="S13" s="228">
        <f t="shared" ca="1" si="13"/>
        <v>0</v>
      </c>
      <c r="T13" s="228">
        <f t="shared" ca="1" si="13"/>
        <v>0</v>
      </c>
      <c r="U13" s="228">
        <f t="shared" ca="1" si="13"/>
        <v>0</v>
      </c>
      <c r="V13" s="228">
        <f t="shared" ca="1" si="13"/>
        <v>0</v>
      </c>
      <c r="W13" s="228">
        <f t="shared" ca="1" si="13"/>
        <v>0</v>
      </c>
      <c r="X13" s="228">
        <f t="shared" ca="1" si="13"/>
        <v>0</v>
      </c>
      <c r="Y13" s="228">
        <f t="shared" ca="1" si="13"/>
        <v>0</v>
      </c>
      <c r="Z13" s="228">
        <f t="shared" ca="1" si="13"/>
        <v>0</v>
      </c>
      <c r="AA13" s="228">
        <f t="shared" ca="1" si="13"/>
        <v>0</v>
      </c>
      <c r="AB13" s="228">
        <f t="shared" ca="1" si="13"/>
        <v>0</v>
      </c>
      <c r="AC13" s="228">
        <f t="shared" ca="1" si="13"/>
        <v>0</v>
      </c>
      <c r="AD13" s="228">
        <f t="shared" ca="1" si="13"/>
        <v>0</v>
      </c>
      <c r="AE13" s="228">
        <f t="shared" ca="1" si="13"/>
        <v>0</v>
      </c>
      <c r="AF13" s="228">
        <f t="shared" ca="1" si="13"/>
        <v>0</v>
      </c>
      <c r="AG13" s="228">
        <f t="shared" ca="1" si="13"/>
        <v>0</v>
      </c>
      <c r="AH13" s="228">
        <f t="shared" ca="1" si="13"/>
        <v>0</v>
      </c>
      <c r="AI13" s="228">
        <f t="shared" ca="1" si="13"/>
        <v>0</v>
      </c>
      <c r="AJ13" s="228">
        <f t="shared" ca="1" si="13"/>
        <v>0</v>
      </c>
      <c r="AK13" s="228">
        <f t="shared" ca="1" si="13"/>
        <v>0</v>
      </c>
      <c r="AL13" s="228">
        <f t="shared" ca="1" si="13"/>
        <v>0</v>
      </c>
      <c r="AM13" s="228">
        <f t="shared" ca="1" si="13"/>
        <v>0</v>
      </c>
      <c r="AN13" s="228">
        <f t="shared" ca="1" si="13"/>
        <v>0</v>
      </c>
      <c r="AO13" s="228">
        <f t="shared" ca="1" si="13"/>
        <v>0</v>
      </c>
      <c r="AP13" s="228">
        <f t="shared" ca="1" si="13"/>
        <v>0</v>
      </c>
      <c r="AQ13" s="228">
        <f t="shared" ca="1" si="13"/>
        <v>0</v>
      </c>
      <c r="AR13" s="228">
        <f t="shared" ca="1" si="13"/>
        <v>0</v>
      </c>
      <c r="AS13" s="228">
        <f t="shared" ca="1" si="13"/>
        <v>0</v>
      </c>
      <c r="AT13" s="228">
        <f t="shared" ca="1" si="13"/>
        <v>0</v>
      </c>
      <c r="AU13" s="228">
        <f t="shared" ca="1" si="13"/>
        <v>0</v>
      </c>
      <c r="AV13" s="228">
        <f t="shared" ca="1" si="13"/>
        <v>0</v>
      </c>
    </row>
    <row r="14" spans="1:48">
      <c r="A14" s="389" t="s">
        <v>709</v>
      </c>
      <c r="B14" t="s">
        <v>2</v>
      </c>
      <c r="C14" s="24" t="s">
        <v>162</v>
      </c>
      <c r="D14" s="24">
        <f ca="1">INDEX(INDIRECT(CONCATENATE("'",RIGHT(D$1,2),"'!$F$8:$N$88")),MATCH($A14,INDIRECT(CONCATENATE("'",RIGHT(D$1,2),IF($B14="chemicals","'!$C$8:$C$88","'!$B$8:$B$88"))),0),MATCH('Other Industrial Processes'!$C14,INDIRECT(CONCATENATE("'",RIGHT(D$1,2),"'!$F$4:$N$4")),0))</f>
        <v>1.80109393884894</v>
      </c>
      <c r="E14" s="24">
        <f ca="1">INDEX(INDIRECT(CONCATENATE("'",RIGHT(E$1,2),"'!$F$8:$N$88")),MATCH($A14,INDIRECT(CONCATENATE("'",RIGHT(E$1,2),IF($B14="chemicals","'!$C$8:$C$88","'!$B$8:$B$88"))),0),MATCH('Other Industrial Processes'!$C14,INDIRECT(CONCATENATE("'",RIGHT(E$1,2),"'!$F$4:$N$4")),0))</f>
        <v>1.7338869207791801</v>
      </c>
      <c r="F14" s="24">
        <f ca="1">INDEX(INDIRECT(CONCATENATE("'",RIGHT(F$1,2),"'!$F$8:$N$88")),MATCH($A14,INDIRECT(CONCATENATE("'",RIGHT(F$1,2),IF($B14="chemicals","'!$C$8:$C$88","'!$B$8:$B$88"))),0),MATCH('Other Industrial Processes'!$C14,INDIRECT(CONCATENATE("'",RIGHT(F$1,2),"'!$F$4:$N$4")),0))</f>
        <v>1.5749408036061301</v>
      </c>
      <c r="G14" s="24">
        <f ca="1">INDEX(INDIRECT(CONCATENATE("'",RIGHT(G$1,2),"'!$F$8:$N$88")),MATCH($A14,INDIRECT(CONCATENATE("'",RIGHT(G$1,2),IF($B14="chemicals","'!$C$8:$C$88","'!$B$8:$B$88"))),0),MATCH('Other Industrial Processes'!$C14,INDIRECT(CONCATENATE("'",RIGHT(G$1,2),"'!$F$4:$N$4")),0))</f>
        <v>1.3488524770008501</v>
      </c>
      <c r="H14" s="24">
        <f ca="1">INDEX(INDIRECT(CONCATENATE("'",RIGHT(H$1,2),"'!$F$8:$N$88")),MATCH($A14,INDIRECT(CONCATENATE("'",RIGHT(H$1,2),IF($B14="chemicals","'!$C$8:$C$88","'!$B$8:$B$88"))),0),MATCH('Other Industrial Processes'!$C14,INDIRECT(CONCATENATE("'",RIGHT(H$1,2),"'!$F$4:$N$4")),0))</f>
        <v>1.34388482218181</v>
      </c>
      <c r="I14" s="24">
        <f ca="1">INDEX(INDIRECT(CONCATENATE("'",RIGHT(I$1,2),"'!$F$8:$N$88")),MATCH($A14,INDIRECT(CONCATENATE("'",RIGHT(I$1,2),IF($B14="chemicals","'!$C$8:$C$88","'!$B$8:$B$88"))),0),MATCH('Other Industrial Processes'!$C14,INDIRECT(CONCATENATE("'",RIGHT(I$1,2),"'!$F$4:$N$4")),0))</f>
        <v>1.3895930320868799</v>
      </c>
      <c r="J14" s="24">
        <f ca="1">INDEX(INDIRECT(CONCATENATE("'",RIGHT(J$1,2),"'!$F$8:$N$88")),MATCH($A14,INDIRECT(CONCATENATE("'",RIGHT(J$1,2),IF($B14="chemicals","'!$C$8:$C$88","'!$B$8:$B$88"))),0),MATCH('Other Industrial Processes'!$C14,INDIRECT(CONCATENATE("'",RIGHT(J$1,2),"'!$F$4:$N$4")),0))</f>
        <v>1.45652664481255</v>
      </c>
      <c r="K14" s="24">
        <f ca="1">INDEX(INDIRECT(CONCATENATE("'",RIGHT(K$1,2),"'!$F$8:$N$88")),MATCH($A14,INDIRECT(CONCATENATE("'",RIGHT(K$1,2),IF($B14="chemicals","'!$C$8:$C$88","'!$B$8:$B$88"))),0),MATCH('Other Industrial Processes'!$C14,INDIRECT(CONCATENATE("'",RIGHT(K$1,2),"'!$F$4:$N$4")),0))</f>
        <v>1.4467485704254499</v>
      </c>
      <c r="L14" s="24">
        <f ca="1">INDEX(INDIRECT(CONCATENATE("'",RIGHT(L$1,2),"'!$F$8:$N$88")),MATCH($A14,INDIRECT(CONCATENATE("'",RIGHT(L$1,2),IF($B14="chemicals","'!$C$8:$C$88","'!$B$8:$B$88"))),0),MATCH('Other Industrial Processes'!$C14,INDIRECT(CONCATENATE("'",RIGHT(L$1,2),"'!$F$4:$N$4")),0))</f>
        <v>1.58180197573578</v>
      </c>
      <c r="M14" s="24">
        <f ca="1">AVERAGE(J14:L14)</f>
        <v>1.4950257303245931</v>
      </c>
      <c r="N14" s="228">
        <f t="shared" ref="N14:AV14" ca="1" si="14">IFERROR(IF($M14-$D14&gt;=0,($M14-$D14)/COUNT($E$1:$M$1)+M14,$F78*$E78^N$1),0)</f>
        <v>0</v>
      </c>
      <c r="O14" s="228">
        <f t="shared" ca="1" si="14"/>
        <v>0</v>
      </c>
      <c r="P14" s="228">
        <f t="shared" ca="1" si="14"/>
        <v>0</v>
      </c>
      <c r="Q14" s="228">
        <f t="shared" ca="1" si="14"/>
        <v>0</v>
      </c>
      <c r="R14" s="228">
        <f t="shared" ca="1" si="14"/>
        <v>0</v>
      </c>
      <c r="S14" s="228">
        <f t="shared" ca="1" si="14"/>
        <v>0</v>
      </c>
      <c r="T14" s="228">
        <f t="shared" ca="1" si="14"/>
        <v>0</v>
      </c>
      <c r="U14" s="228">
        <f t="shared" ca="1" si="14"/>
        <v>0</v>
      </c>
      <c r="V14" s="228">
        <f t="shared" ca="1" si="14"/>
        <v>0</v>
      </c>
      <c r="W14" s="228">
        <f t="shared" ca="1" si="14"/>
        <v>0</v>
      </c>
      <c r="X14" s="228">
        <f t="shared" ca="1" si="14"/>
        <v>0</v>
      </c>
      <c r="Y14" s="228">
        <f t="shared" ca="1" si="14"/>
        <v>0</v>
      </c>
      <c r="Z14" s="228">
        <f t="shared" ca="1" si="14"/>
        <v>0</v>
      </c>
      <c r="AA14" s="228">
        <f t="shared" ca="1" si="14"/>
        <v>0</v>
      </c>
      <c r="AB14" s="228">
        <f t="shared" ca="1" si="14"/>
        <v>0</v>
      </c>
      <c r="AC14" s="228">
        <f t="shared" ca="1" si="14"/>
        <v>0</v>
      </c>
      <c r="AD14" s="228">
        <f t="shared" ca="1" si="14"/>
        <v>0</v>
      </c>
      <c r="AE14" s="228">
        <f t="shared" ca="1" si="14"/>
        <v>0</v>
      </c>
      <c r="AF14" s="228">
        <f t="shared" ca="1" si="14"/>
        <v>0</v>
      </c>
      <c r="AG14" s="228">
        <f t="shared" ca="1" si="14"/>
        <v>0</v>
      </c>
      <c r="AH14" s="228">
        <f t="shared" ca="1" si="14"/>
        <v>0</v>
      </c>
      <c r="AI14" s="228">
        <f t="shared" ca="1" si="14"/>
        <v>0</v>
      </c>
      <c r="AJ14" s="228">
        <f t="shared" ca="1" si="14"/>
        <v>0</v>
      </c>
      <c r="AK14" s="228">
        <f t="shared" ca="1" si="14"/>
        <v>0</v>
      </c>
      <c r="AL14" s="228">
        <f t="shared" ca="1" si="14"/>
        <v>0</v>
      </c>
      <c r="AM14" s="228">
        <f t="shared" ca="1" si="14"/>
        <v>0</v>
      </c>
      <c r="AN14" s="228">
        <f t="shared" ca="1" si="14"/>
        <v>0</v>
      </c>
      <c r="AO14" s="228">
        <f t="shared" ca="1" si="14"/>
        <v>0</v>
      </c>
      <c r="AP14" s="228">
        <f t="shared" ca="1" si="14"/>
        <v>0</v>
      </c>
      <c r="AQ14" s="228">
        <f t="shared" ca="1" si="14"/>
        <v>0</v>
      </c>
      <c r="AR14" s="228">
        <f t="shared" ca="1" si="14"/>
        <v>0</v>
      </c>
      <c r="AS14" s="228">
        <f t="shared" ca="1" si="14"/>
        <v>0</v>
      </c>
      <c r="AT14" s="228">
        <f t="shared" ca="1" si="14"/>
        <v>0</v>
      </c>
      <c r="AU14" s="228">
        <f t="shared" ca="1" si="14"/>
        <v>0</v>
      </c>
      <c r="AV14" s="228">
        <f t="shared" ca="1" si="14"/>
        <v>0</v>
      </c>
    </row>
    <row r="15" spans="1:48">
      <c r="A15" s="389" t="s">
        <v>711</v>
      </c>
      <c r="B15" t="s">
        <v>726</v>
      </c>
      <c r="C15" s="24" t="s">
        <v>162</v>
      </c>
      <c r="D15" s="24">
        <f ca="1">INDEX(INDIRECT(CONCATENATE("'",RIGHT(D$1,2),"'!$F$8:$N$88")),MATCH($A15,INDIRECT(CONCATENATE("'",RIGHT(D$1,2),IF($B15="chemicals","'!$C$8:$C$88","'!$B$8:$B$88"))),0),MATCH('Other Industrial Processes'!$C15,INDIRECT(CONCATENATE("'",RIGHT(D$1,2),"'!$F$4:$N$4")),0))</f>
        <v>0</v>
      </c>
      <c r="E15" s="24">
        <f ca="1">INDEX(INDIRECT(CONCATENATE("'",RIGHT(E$1,2),"'!$F$8:$N$88")),MATCH($A15,INDIRECT(CONCATENATE("'",RIGHT(E$1,2),IF($B15="chemicals","'!$C$8:$C$88","'!$B$8:$B$88"))),0),MATCH('Other Industrial Processes'!$C15,INDIRECT(CONCATENATE("'",RIGHT(E$1,2),"'!$F$4:$N$4")),0))</f>
        <v>0</v>
      </c>
      <c r="F15" s="24">
        <f ca="1">INDEX(INDIRECT(CONCATENATE("'",RIGHT(F$1,2),"'!$F$8:$N$88")),MATCH($A15,INDIRECT(CONCATENATE("'",RIGHT(F$1,2),IF($B15="chemicals","'!$C$8:$C$88","'!$B$8:$B$88"))),0),MATCH('Other Industrial Processes'!$C15,INDIRECT(CONCATENATE("'",RIGHT(F$1,2),"'!$F$4:$N$4")),0))</f>
        <v>0</v>
      </c>
      <c r="G15" s="24">
        <f ca="1">INDEX(INDIRECT(CONCATENATE("'",RIGHT(G$1,2),"'!$F$8:$N$88")),MATCH($A15,INDIRECT(CONCATENATE("'",RIGHT(G$1,2),IF($B15="chemicals","'!$C$8:$C$88","'!$B$8:$B$88"))),0),MATCH('Other Industrial Processes'!$C15,INDIRECT(CONCATENATE("'",RIGHT(G$1,2),"'!$F$4:$N$4")),0))</f>
        <v>0</v>
      </c>
      <c r="H15" s="24">
        <f ca="1">INDEX(INDIRECT(CONCATENATE("'",RIGHT(H$1,2),"'!$F$8:$N$88")),MATCH($A15,INDIRECT(CONCATENATE("'",RIGHT(H$1,2),IF($B15="chemicals","'!$C$8:$C$88","'!$B$8:$B$88"))),0),MATCH('Other Industrial Processes'!$C15,INDIRECT(CONCATENATE("'",RIGHT(H$1,2),"'!$F$4:$N$4")),0))</f>
        <v>0</v>
      </c>
      <c r="I15" s="24">
        <f ca="1">INDEX(INDIRECT(CONCATENATE("'",RIGHT(I$1,2),"'!$F$8:$N$88")),MATCH($A15,INDIRECT(CONCATENATE("'",RIGHT(I$1,2),IF($B15="chemicals","'!$C$8:$C$88","'!$B$8:$B$88"))),0),MATCH('Other Industrial Processes'!$C15,INDIRECT(CONCATENATE("'",RIGHT(I$1,2),"'!$F$4:$N$4")),0))</f>
        <v>0</v>
      </c>
      <c r="J15" s="24">
        <f ca="1">INDEX(INDIRECT(CONCATENATE("'",RIGHT(J$1,2),"'!$F$8:$N$88")),MATCH($A15,INDIRECT(CONCATENATE("'",RIGHT(J$1,2),IF($B15="chemicals","'!$C$8:$C$88","'!$B$8:$B$88"))),0),MATCH('Other Industrial Processes'!$C15,INDIRECT(CONCATENATE("'",RIGHT(J$1,2),"'!$F$4:$N$4")),0))</f>
        <v>0</v>
      </c>
      <c r="K15" s="24">
        <f ca="1">INDEX(INDIRECT(CONCATENATE("'",RIGHT(K$1,2),"'!$F$8:$N$88")),MATCH($A15,INDIRECT(CONCATENATE("'",RIGHT(K$1,2),IF($B15="chemicals","'!$C$8:$C$88","'!$B$8:$B$88"))),0),MATCH('Other Industrial Processes'!$C15,INDIRECT(CONCATENATE("'",RIGHT(K$1,2),"'!$F$4:$N$4")),0))</f>
        <v>0</v>
      </c>
      <c r="L15" s="24">
        <f ca="1">INDEX(INDIRECT(CONCATENATE("'",RIGHT(L$1,2),"'!$F$8:$N$88")),MATCH($A15,INDIRECT(CONCATENATE("'",RIGHT(L$1,2),IF($B15="chemicals","'!$C$8:$C$88","'!$B$8:$B$88"))),0),MATCH('Other Industrial Processes'!$C15,INDIRECT(CONCATENATE("'",RIGHT(L$1,2),"'!$F$4:$N$4")),0))</f>
        <v>0</v>
      </c>
      <c r="M15" s="24">
        <v>0</v>
      </c>
      <c r="N15" s="228">
        <f t="shared" ref="N15:AV15" ca="1" si="15">IFERROR(IF($M15-$D15&gt;=0,($M15-$D15)/COUNT($E$1:$M$1)+M15,$F79*$E79^N$1),0)</f>
        <v>0</v>
      </c>
      <c r="O15" s="228">
        <f t="shared" ca="1" si="15"/>
        <v>0</v>
      </c>
      <c r="P15" s="228">
        <f t="shared" ca="1" si="15"/>
        <v>0</v>
      </c>
      <c r="Q15" s="228">
        <f t="shared" ca="1" si="15"/>
        <v>0</v>
      </c>
      <c r="R15" s="228">
        <f t="shared" ca="1" si="15"/>
        <v>0</v>
      </c>
      <c r="S15" s="228">
        <f t="shared" ca="1" si="15"/>
        <v>0</v>
      </c>
      <c r="T15" s="228">
        <f t="shared" ca="1" si="15"/>
        <v>0</v>
      </c>
      <c r="U15" s="228">
        <f t="shared" ca="1" si="15"/>
        <v>0</v>
      </c>
      <c r="V15" s="228">
        <f t="shared" ca="1" si="15"/>
        <v>0</v>
      </c>
      <c r="W15" s="228">
        <f t="shared" ca="1" si="15"/>
        <v>0</v>
      </c>
      <c r="X15" s="228">
        <f t="shared" ca="1" si="15"/>
        <v>0</v>
      </c>
      <c r="Y15" s="228">
        <f t="shared" ca="1" si="15"/>
        <v>0</v>
      </c>
      <c r="Z15" s="228">
        <f t="shared" ca="1" si="15"/>
        <v>0</v>
      </c>
      <c r="AA15" s="228">
        <f t="shared" ca="1" si="15"/>
        <v>0</v>
      </c>
      <c r="AB15" s="228">
        <f t="shared" ca="1" si="15"/>
        <v>0</v>
      </c>
      <c r="AC15" s="228">
        <f t="shared" ca="1" si="15"/>
        <v>0</v>
      </c>
      <c r="AD15" s="228">
        <f t="shared" ca="1" si="15"/>
        <v>0</v>
      </c>
      <c r="AE15" s="228">
        <f t="shared" ca="1" si="15"/>
        <v>0</v>
      </c>
      <c r="AF15" s="228">
        <f t="shared" ca="1" si="15"/>
        <v>0</v>
      </c>
      <c r="AG15" s="228">
        <f t="shared" ca="1" si="15"/>
        <v>0</v>
      </c>
      <c r="AH15" s="228">
        <f t="shared" ca="1" si="15"/>
        <v>0</v>
      </c>
      <c r="AI15" s="228">
        <f t="shared" ca="1" si="15"/>
        <v>0</v>
      </c>
      <c r="AJ15" s="228">
        <f t="shared" ca="1" si="15"/>
        <v>0</v>
      </c>
      <c r="AK15" s="228">
        <f t="shared" ca="1" si="15"/>
        <v>0</v>
      </c>
      <c r="AL15" s="228">
        <f t="shared" ca="1" si="15"/>
        <v>0</v>
      </c>
      <c r="AM15" s="228">
        <f t="shared" ca="1" si="15"/>
        <v>0</v>
      </c>
      <c r="AN15" s="228">
        <f t="shared" ca="1" si="15"/>
        <v>0</v>
      </c>
      <c r="AO15" s="228">
        <f t="shared" ca="1" si="15"/>
        <v>0</v>
      </c>
      <c r="AP15" s="228">
        <f t="shared" ca="1" si="15"/>
        <v>0</v>
      </c>
      <c r="AQ15" s="228">
        <f t="shared" ca="1" si="15"/>
        <v>0</v>
      </c>
      <c r="AR15" s="228">
        <f t="shared" ca="1" si="15"/>
        <v>0</v>
      </c>
      <c r="AS15" s="228">
        <f t="shared" ca="1" si="15"/>
        <v>0</v>
      </c>
      <c r="AT15" s="228">
        <f t="shared" ca="1" si="15"/>
        <v>0</v>
      </c>
      <c r="AU15" s="228">
        <f t="shared" ca="1" si="15"/>
        <v>0</v>
      </c>
      <c r="AV15" s="228">
        <f t="shared" ca="1" si="15"/>
        <v>0</v>
      </c>
    </row>
    <row r="16" spans="1:48">
      <c r="A16" s="389" t="s">
        <v>185</v>
      </c>
      <c r="B16" t="s">
        <v>26</v>
      </c>
      <c r="C16" s="24" t="s">
        <v>162</v>
      </c>
      <c r="D16" s="24">
        <f ca="1">INDEX(INDIRECT(CONCATENATE("'",RIGHT(D$1,2),"'!$F$8:$N$88")),MATCH($A16,INDIRECT(CONCATENATE("'",RIGHT(D$1,2),IF($B16="chemicals","'!$C$8:$C$88","'!$B$8:$B$88"))),0),MATCH('Other Industrial Processes'!$C16,INDIRECT(CONCATENATE("'",RIGHT(D$1,2),"'!$F$4:$N$4")),0))</f>
        <v>1.7367516553846201E-2</v>
      </c>
      <c r="E16" s="24">
        <f ca="1">INDEX(INDIRECT(CONCATENATE("'",RIGHT(E$1,2),"'!$F$8:$N$88")),MATCH($A16,INDIRECT(CONCATENATE("'",RIGHT(E$1,2),IF($B16="chemicals","'!$C$8:$C$88","'!$B$8:$B$88"))),0),MATCH('Other Industrial Processes'!$C16,INDIRECT(CONCATENATE("'",RIGHT(E$1,2),"'!$F$4:$N$4")),0))</f>
        <v>6.4921824000000001E-3</v>
      </c>
      <c r="F16" s="24">
        <f ca="1">INDEX(INDIRECT(CONCATENATE("'",RIGHT(F$1,2),"'!$F$8:$N$88")),MATCH($A16,INDIRECT(CONCATENATE("'",RIGHT(F$1,2),IF($B16="chemicals","'!$C$8:$C$88","'!$B$8:$B$88"))),0),MATCH('Other Industrial Processes'!$C16,INDIRECT(CONCATENATE("'",RIGHT(F$1,2),"'!$F$4:$N$4")),0))</f>
        <v>1.35209088E-2</v>
      </c>
      <c r="G16" s="24">
        <f ca="1">INDEX(INDIRECT(CONCATENATE("'",RIGHT(G$1,2),"'!$F$8:$N$88")),MATCH($A16,INDIRECT(CONCATENATE("'",RIGHT(G$1,2),IF($B16="chemicals","'!$C$8:$C$88","'!$B$8:$B$88"))),0),MATCH('Other Industrial Processes'!$C16,INDIRECT(CONCATENATE("'",RIGHT(G$1,2),"'!$F$4:$N$4")),0))</f>
        <v>1.20350946461538E-2</v>
      </c>
      <c r="H16" s="24">
        <f ca="1">INDEX(INDIRECT(CONCATENATE("'",RIGHT(H$1,2),"'!$F$8:$N$88")),MATCH($A16,INDIRECT(CONCATENATE("'",RIGHT(H$1,2),IF($B16="chemicals","'!$C$8:$C$88","'!$B$8:$B$88"))),0),MATCH('Other Industrial Processes'!$C16,INDIRECT(CONCATENATE("'",RIGHT(H$1,2),"'!$F$4:$N$4")),0))</f>
        <v>1.27119655384615E-2</v>
      </c>
      <c r="I16" s="24">
        <f ca="1">INDEX(INDIRECT(CONCATENATE("'",RIGHT(I$1,2),"'!$F$8:$N$88")),MATCH($A16,INDIRECT(CONCATENATE("'",RIGHT(I$1,2),IF($B16="chemicals","'!$C$8:$C$88","'!$B$8:$B$88"))),0),MATCH('Other Industrial Processes'!$C16,INDIRECT(CONCATENATE("'",RIGHT(I$1,2),"'!$F$4:$N$4")),0))</f>
        <v>2.0966488615384599E-2</v>
      </c>
      <c r="J16" s="24">
        <f ca="1">INDEX(INDIRECT(CONCATENATE("'",RIGHT(J$1,2),"'!$F$8:$N$88")),MATCH($A16,INDIRECT(CONCATENATE("'",RIGHT(J$1,2),IF($B16="chemicals","'!$C$8:$C$88","'!$B$8:$B$88"))),0),MATCH('Other Industrial Processes'!$C16,INDIRECT(CONCATENATE("'",RIGHT(J$1,2),"'!$F$4:$N$4")),0))</f>
        <v>1.7293225846153799E-2</v>
      </c>
      <c r="K16" s="24">
        <f ca="1">INDEX(INDIRECT(CONCATENATE("'",RIGHT(K$1,2),"'!$F$8:$N$88")),MATCH($A16,INDIRECT(CONCATENATE("'",RIGHT(K$1,2),IF($B16="chemicals","'!$C$8:$C$88","'!$B$8:$B$88"))),0),MATCH('Other Industrial Processes'!$C16,INDIRECT(CONCATENATE("'",RIGHT(K$1,2),"'!$F$4:$N$4")),0))</f>
        <v>3.0046463999999998E-2</v>
      </c>
      <c r="L16" s="24">
        <f ca="1">INDEX(INDIRECT(CONCATENATE("'",RIGHT(L$1,2),"'!$F$8:$N$88")),MATCH($A16,INDIRECT(CONCATENATE("'",RIGHT(L$1,2),IF($B16="chemicals","'!$C$8:$C$88","'!$B$8:$B$88"))),0),MATCH('Other Industrial Processes'!$C16,INDIRECT(CONCATENATE("'",RIGHT(L$1,2),"'!$F$4:$N$4")),0))</f>
        <v>3.6154811076923102E-2</v>
      </c>
      <c r="M16" s="24">
        <f ca="1">INDEX(INDIRECT(CONCATENATE("'",RIGHT(M$1,2),"'!$F$8:$N$88")),MATCH($A16,INDIRECT(CONCATENATE("'",RIGHT(M$1,2),IF($B16="chemicals","'!$C$8:$C$88","'!$B$8:$B$88"))),0),MATCH('Other Industrial Processes'!$C16,INDIRECT(CONCATENATE("'",RIGHT(M$1,2),"'!$F$4:$N$4")),0))</f>
        <v>3.4586451692307701E-2</v>
      </c>
      <c r="N16" s="228">
        <f t="shared" ref="N16:AV16" ca="1" si="16">IFERROR(IF($M16-$D16&gt;=0,($M16-$D16)/COUNT($E$1:$M$1)+M16,$F80*$E80^N$1),0)</f>
        <v>3.6499666707692315E-2</v>
      </c>
      <c r="O16" s="228">
        <f t="shared" ca="1" si="16"/>
        <v>3.8412881723076928E-2</v>
      </c>
      <c r="P16" s="228">
        <f t="shared" ca="1" si="16"/>
        <v>4.0326096738461541E-2</v>
      </c>
      <c r="Q16" s="228">
        <f t="shared" ca="1" si="16"/>
        <v>4.2239311753846154E-2</v>
      </c>
      <c r="R16" s="228">
        <f t="shared" ca="1" si="16"/>
        <v>4.4152526769230767E-2</v>
      </c>
      <c r="S16" s="228">
        <f t="shared" ca="1" si="16"/>
        <v>4.606574178461538E-2</v>
      </c>
      <c r="T16" s="228">
        <f t="shared" ca="1" si="16"/>
        <v>4.7978956799999993E-2</v>
      </c>
      <c r="U16" s="228">
        <f t="shared" ca="1" si="16"/>
        <v>4.9892171815384606E-2</v>
      </c>
      <c r="V16" s="228">
        <f t="shared" ca="1" si="16"/>
        <v>5.1805386830769219E-2</v>
      </c>
      <c r="W16" s="228">
        <f t="shared" ca="1" si="16"/>
        <v>5.3718601846153832E-2</v>
      </c>
      <c r="X16" s="228">
        <f t="shared" ca="1" si="16"/>
        <v>5.5631816861538445E-2</v>
      </c>
      <c r="Y16" s="228">
        <f t="shared" ca="1" si="16"/>
        <v>5.7545031876923058E-2</v>
      </c>
      <c r="Z16" s="228">
        <f t="shared" ca="1" si="16"/>
        <v>5.9458246892307672E-2</v>
      </c>
      <c r="AA16" s="228">
        <f t="shared" ca="1" si="16"/>
        <v>6.1371461907692285E-2</v>
      </c>
      <c r="AB16" s="228">
        <f t="shared" ca="1" si="16"/>
        <v>6.3284676923076891E-2</v>
      </c>
      <c r="AC16" s="228">
        <f t="shared" ca="1" si="16"/>
        <v>6.5197891938461497E-2</v>
      </c>
      <c r="AD16" s="228">
        <f t="shared" ca="1" si="16"/>
        <v>6.7111106953846103E-2</v>
      </c>
      <c r="AE16" s="228">
        <f t="shared" ca="1" si="16"/>
        <v>6.9024321969230709E-2</v>
      </c>
      <c r="AF16" s="228">
        <f t="shared" ca="1" si="16"/>
        <v>7.0937536984615315E-2</v>
      </c>
      <c r="AG16" s="228">
        <f t="shared" ca="1" si="16"/>
        <v>7.2850751999999921E-2</v>
      </c>
      <c r="AH16" s="228">
        <f t="shared" ca="1" si="16"/>
        <v>7.4763967015384528E-2</v>
      </c>
      <c r="AI16" s="228">
        <f t="shared" ca="1" si="16"/>
        <v>7.6677182030769134E-2</v>
      </c>
      <c r="AJ16" s="228">
        <f t="shared" ca="1" si="16"/>
        <v>7.859039704615374E-2</v>
      </c>
      <c r="AK16" s="228">
        <f t="shared" ca="1" si="16"/>
        <v>8.0503612061538346E-2</v>
      </c>
      <c r="AL16" s="228">
        <f t="shared" ca="1" si="16"/>
        <v>8.2416827076922952E-2</v>
      </c>
      <c r="AM16" s="228">
        <f t="shared" ca="1" si="16"/>
        <v>8.4330042092307558E-2</v>
      </c>
      <c r="AN16" s="228">
        <f t="shared" ca="1" si="16"/>
        <v>8.6243257107692164E-2</v>
      </c>
      <c r="AO16" s="228">
        <f t="shared" ca="1" si="16"/>
        <v>8.8156472123076771E-2</v>
      </c>
      <c r="AP16" s="228">
        <f t="shared" ca="1" si="16"/>
        <v>9.0069687138461377E-2</v>
      </c>
      <c r="AQ16" s="228">
        <f t="shared" ca="1" si="16"/>
        <v>9.1982902153845983E-2</v>
      </c>
      <c r="AR16" s="228">
        <f t="shared" ca="1" si="16"/>
        <v>9.3896117169230589E-2</v>
      </c>
      <c r="AS16" s="228">
        <f t="shared" ca="1" si="16"/>
        <v>9.5809332184615195E-2</v>
      </c>
      <c r="AT16" s="228">
        <f t="shared" ca="1" si="16"/>
        <v>9.7722547199999801E-2</v>
      </c>
      <c r="AU16" s="228">
        <f t="shared" ca="1" si="16"/>
        <v>9.9635762215384407E-2</v>
      </c>
      <c r="AV16" s="228">
        <f t="shared" ca="1" si="16"/>
        <v>0.10154897723076901</v>
      </c>
    </row>
    <row r="17" spans="1:48">
      <c r="A17" s="389" t="s">
        <v>716</v>
      </c>
      <c r="B17" t="s">
        <v>26</v>
      </c>
      <c r="C17" s="24" t="s">
        <v>162</v>
      </c>
      <c r="D17" s="24">
        <f ca="1">INDEX(INDIRECT(CONCATENATE("'",RIGHT(D$1,2),"'!$F$8:$N$88")),MATCH($A17,INDIRECT(CONCATENATE("'",RIGHT(D$1,2),IF($B17="chemicals","'!$C$8:$C$88","'!$B$8:$B$88"))),0),MATCH('Other Industrial Processes'!$C17,INDIRECT(CONCATENATE("'",RIGHT(D$1,2),"'!$F$4:$N$4")),0))</f>
        <v>0</v>
      </c>
      <c r="E17" s="24">
        <f ca="1">INDEX(INDIRECT(CONCATENATE("'",RIGHT(E$1,2),"'!$F$8:$N$88")),MATCH($A17,INDIRECT(CONCATENATE("'",RIGHT(E$1,2),IF($B17="chemicals","'!$C$8:$C$88","'!$B$8:$B$88"))),0),MATCH('Other Industrial Processes'!$C17,INDIRECT(CONCATENATE("'",RIGHT(E$1,2),"'!$F$4:$N$4")),0))</f>
        <v>0</v>
      </c>
      <c r="F17" s="24">
        <f ca="1">INDEX(INDIRECT(CONCATENATE("'",RIGHT(F$1,2),"'!$F$8:$N$88")),MATCH($A17,INDIRECT(CONCATENATE("'",RIGHT(F$1,2),IF($B17="chemicals","'!$C$8:$C$88","'!$B$8:$B$88"))),0),MATCH('Other Industrial Processes'!$C17,INDIRECT(CONCATENATE("'",RIGHT(F$1,2),"'!$F$4:$N$4")),0))</f>
        <v>0</v>
      </c>
      <c r="G17" s="24">
        <f ca="1">INDEX(INDIRECT(CONCATENATE("'",RIGHT(G$1,2),"'!$F$8:$N$88")),MATCH($A17,INDIRECT(CONCATENATE("'",RIGHT(G$1,2),IF($B17="chemicals","'!$C$8:$C$88","'!$B$8:$B$88"))),0),MATCH('Other Industrial Processes'!$C17,INDIRECT(CONCATENATE("'",RIGHT(G$1,2),"'!$F$4:$N$4")),0))</f>
        <v>0</v>
      </c>
      <c r="H17" s="24">
        <f ca="1">INDEX(INDIRECT(CONCATENATE("'",RIGHT(H$1,2),"'!$F$8:$N$88")),MATCH($A17,INDIRECT(CONCATENATE("'",RIGHT(H$1,2),IF($B17="chemicals","'!$C$8:$C$88","'!$B$8:$B$88"))),0),MATCH('Other Industrial Processes'!$C17,INDIRECT(CONCATENATE("'",RIGHT(H$1,2),"'!$F$4:$N$4")),0))</f>
        <v>0</v>
      </c>
      <c r="I17" s="24">
        <f ca="1">INDEX(INDIRECT(CONCATENATE("'",RIGHT(I$1,2),"'!$F$8:$N$88")),MATCH($A17,INDIRECT(CONCATENATE("'",RIGHT(I$1,2),IF($B17="chemicals","'!$C$8:$C$88","'!$B$8:$B$88"))),0),MATCH('Other Industrial Processes'!$C17,INDIRECT(CONCATENATE("'",RIGHT(I$1,2),"'!$F$4:$N$4")),0))</f>
        <v>0</v>
      </c>
      <c r="J17" s="24">
        <f ca="1">INDEX(INDIRECT(CONCATENATE("'",RIGHT(J$1,2),"'!$F$8:$N$88")),MATCH($A17,INDIRECT(CONCATENATE("'",RIGHT(J$1,2),IF($B17="chemicals","'!$C$8:$C$88","'!$B$8:$B$88"))),0),MATCH('Other Industrial Processes'!$C17,INDIRECT(CONCATENATE("'",RIGHT(J$1,2),"'!$F$4:$N$4")),0))</f>
        <v>0</v>
      </c>
      <c r="K17" s="24">
        <f ca="1">INDEX(INDIRECT(CONCATENATE("'",RIGHT(K$1,2),"'!$F$8:$N$88")),MATCH($A17,INDIRECT(CONCATENATE("'",RIGHT(K$1,2),IF($B17="chemicals","'!$C$8:$C$88","'!$B$8:$B$88"))),0),MATCH('Other Industrial Processes'!$C17,INDIRECT(CONCATENATE("'",RIGHT(K$1,2),"'!$F$4:$N$4")),0))</f>
        <v>0</v>
      </c>
      <c r="L17" s="24">
        <f ca="1">INDEX(INDIRECT(CONCATENATE("'",RIGHT(L$1,2),"'!$F$8:$N$88")),MATCH($A17,INDIRECT(CONCATENATE("'",RIGHT(L$1,2),IF($B17="chemicals","'!$C$8:$C$88","'!$B$8:$B$88"))),0),MATCH('Other Industrial Processes'!$C17,INDIRECT(CONCATENATE("'",RIGHT(L$1,2),"'!$F$4:$N$4")),0))</f>
        <v>0</v>
      </c>
      <c r="M17" s="24">
        <v>0</v>
      </c>
      <c r="N17" s="228">
        <f t="shared" ref="N17:AV17" ca="1" si="17">IFERROR(IF($M17-$D17&gt;=0,($M17-$D17)/COUNT($E$1:$M$1)+M17,$F81*$E81^N$1),0)</f>
        <v>0</v>
      </c>
      <c r="O17" s="228">
        <f t="shared" ca="1" si="17"/>
        <v>0</v>
      </c>
      <c r="P17" s="228">
        <f t="shared" ca="1" si="17"/>
        <v>0</v>
      </c>
      <c r="Q17" s="228">
        <f t="shared" ca="1" si="17"/>
        <v>0</v>
      </c>
      <c r="R17" s="228">
        <f t="shared" ca="1" si="17"/>
        <v>0</v>
      </c>
      <c r="S17" s="228">
        <f t="shared" ca="1" si="17"/>
        <v>0</v>
      </c>
      <c r="T17" s="228">
        <f t="shared" ca="1" si="17"/>
        <v>0</v>
      </c>
      <c r="U17" s="228">
        <f t="shared" ca="1" si="17"/>
        <v>0</v>
      </c>
      <c r="V17" s="228">
        <f t="shared" ca="1" si="17"/>
        <v>0</v>
      </c>
      <c r="W17" s="228">
        <f t="shared" ca="1" si="17"/>
        <v>0</v>
      </c>
      <c r="X17" s="228">
        <f t="shared" ca="1" si="17"/>
        <v>0</v>
      </c>
      <c r="Y17" s="228">
        <f t="shared" ca="1" si="17"/>
        <v>0</v>
      </c>
      <c r="Z17" s="228">
        <f t="shared" ca="1" si="17"/>
        <v>0</v>
      </c>
      <c r="AA17" s="228">
        <f t="shared" ca="1" si="17"/>
        <v>0</v>
      </c>
      <c r="AB17" s="228">
        <f t="shared" ca="1" si="17"/>
        <v>0</v>
      </c>
      <c r="AC17" s="228">
        <f t="shared" ca="1" si="17"/>
        <v>0</v>
      </c>
      <c r="AD17" s="228">
        <f t="shared" ca="1" si="17"/>
        <v>0</v>
      </c>
      <c r="AE17" s="228">
        <f t="shared" ca="1" si="17"/>
        <v>0</v>
      </c>
      <c r="AF17" s="228">
        <f t="shared" ca="1" si="17"/>
        <v>0</v>
      </c>
      <c r="AG17" s="228">
        <f t="shared" ca="1" si="17"/>
        <v>0</v>
      </c>
      <c r="AH17" s="228">
        <f t="shared" ca="1" si="17"/>
        <v>0</v>
      </c>
      <c r="AI17" s="228">
        <f t="shared" ca="1" si="17"/>
        <v>0</v>
      </c>
      <c r="AJ17" s="228">
        <f t="shared" ca="1" si="17"/>
        <v>0</v>
      </c>
      <c r="AK17" s="228">
        <f t="shared" ca="1" si="17"/>
        <v>0</v>
      </c>
      <c r="AL17" s="228">
        <f t="shared" ca="1" si="17"/>
        <v>0</v>
      </c>
      <c r="AM17" s="228">
        <f t="shared" ca="1" si="17"/>
        <v>0</v>
      </c>
      <c r="AN17" s="228">
        <f t="shared" ca="1" si="17"/>
        <v>0</v>
      </c>
      <c r="AO17" s="228">
        <f t="shared" ca="1" si="17"/>
        <v>0</v>
      </c>
      <c r="AP17" s="228">
        <f t="shared" ca="1" si="17"/>
        <v>0</v>
      </c>
      <c r="AQ17" s="228">
        <f t="shared" ca="1" si="17"/>
        <v>0</v>
      </c>
      <c r="AR17" s="228">
        <f t="shared" ca="1" si="17"/>
        <v>0</v>
      </c>
      <c r="AS17" s="228">
        <f t="shared" ca="1" si="17"/>
        <v>0</v>
      </c>
      <c r="AT17" s="228">
        <f t="shared" ca="1" si="17"/>
        <v>0</v>
      </c>
      <c r="AU17" s="228">
        <f t="shared" ca="1" si="17"/>
        <v>0</v>
      </c>
      <c r="AV17" s="228">
        <f t="shared" ca="1" si="17"/>
        <v>0</v>
      </c>
    </row>
    <row r="18" spans="1:48">
      <c r="A18" s="389" t="s">
        <v>184</v>
      </c>
      <c r="B18" t="s">
        <v>4</v>
      </c>
      <c r="C18" s="24" t="s">
        <v>163</v>
      </c>
      <c r="D18" s="24">
        <v>0</v>
      </c>
      <c r="E18" s="24">
        <v>0</v>
      </c>
      <c r="F18" s="24">
        <v>0</v>
      </c>
      <c r="G18" s="24">
        <v>0</v>
      </c>
      <c r="H18" s="24">
        <v>0</v>
      </c>
      <c r="I18" s="24">
        <v>0</v>
      </c>
      <c r="J18" s="24">
        <v>0</v>
      </c>
      <c r="K18" s="24">
        <v>0</v>
      </c>
      <c r="L18" s="24">
        <v>0</v>
      </c>
      <c r="M18" s="24">
        <v>0</v>
      </c>
      <c r="N18" s="228">
        <f t="shared" ref="N18:AV18" si="18">IFERROR(IF($M18-$D18&gt;=0,($M18-$D18)/COUNT($E$1:$M$1)+M18,$F82*$E82^N$1),0)</f>
        <v>0</v>
      </c>
      <c r="O18" s="228">
        <f t="shared" si="18"/>
        <v>0</v>
      </c>
      <c r="P18" s="228">
        <f t="shared" si="18"/>
        <v>0</v>
      </c>
      <c r="Q18" s="228">
        <f t="shared" si="18"/>
        <v>0</v>
      </c>
      <c r="R18" s="228">
        <f t="shared" si="18"/>
        <v>0</v>
      </c>
      <c r="S18" s="228">
        <f t="shared" si="18"/>
        <v>0</v>
      </c>
      <c r="T18" s="228">
        <f t="shared" si="18"/>
        <v>0</v>
      </c>
      <c r="U18" s="228">
        <f t="shared" si="18"/>
        <v>0</v>
      </c>
      <c r="V18" s="228">
        <f t="shared" si="18"/>
        <v>0</v>
      </c>
      <c r="W18" s="228">
        <f t="shared" si="18"/>
        <v>0</v>
      </c>
      <c r="X18" s="228">
        <f t="shared" si="18"/>
        <v>0</v>
      </c>
      <c r="Y18" s="228">
        <f t="shared" si="18"/>
        <v>0</v>
      </c>
      <c r="Z18" s="228">
        <f t="shared" si="18"/>
        <v>0</v>
      </c>
      <c r="AA18" s="228">
        <f t="shared" si="18"/>
        <v>0</v>
      </c>
      <c r="AB18" s="228">
        <f t="shared" si="18"/>
        <v>0</v>
      </c>
      <c r="AC18" s="228">
        <f t="shared" si="18"/>
        <v>0</v>
      </c>
      <c r="AD18" s="228">
        <f t="shared" si="18"/>
        <v>0</v>
      </c>
      <c r="AE18" s="228">
        <f t="shared" si="18"/>
        <v>0</v>
      </c>
      <c r="AF18" s="228">
        <f t="shared" si="18"/>
        <v>0</v>
      </c>
      <c r="AG18" s="228">
        <f t="shared" si="18"/>
        <v>0</v>
      </c>
      <c r="AH18" s="228">
        <f t="shared" si="18"/>
        <v>0</v>
      </c>
      <c r="AI18" s="228">
        <f t="shared" si="18"/>
        <v>0</v>
      </c>
      <c r="AJ18" s="228">
        <f t="shared" si="18"/>
        <v>0</v>
      </c>
      <c r="AK18" s="228">
        <f t="shared" si="18"/>
        <v>0</v>
      </c>
      <c r="AL18" s="228">
        <f t="shared" si="18"/>
        <v>0</v>
      </c>
      <c r="AM18" s="228">
        <f t="shared" si="18"/>
        <v>0</v>
      </c>
      <c r="AN18" s="228">
        <f t="shared" si="18"/>
        <v>0</v>
      </c>
      <c r="AO18" s="228">
        <f t="shared" si="18"/>
        <v>0</v>
      </c>
      <c r="AP18" s="228">
        <f t="shared" si="18"/>
        <v>0</v>
      </c>
      <c r="AQ18" s="228">
        <f t="shared" si="18"/>
        <v>0</v>
      </c>
      <c r="AR18" s="228">
        <f t="shared" si="18"/>
        <v>0</v>
      </c>
      <c r="AS18" s="228">
        <f t="shared" si="18"/>
        <v>0</v>
      </c>
      <c r="AT18" s="228">
        <f t="shared" si="18"/>
        <v>0</v>
      </c>
      <c r="AU18" s="228">
        <f t="shared" si="18"/>
        <v>0</v>
      </c>
      <c r="AV18" s="228">
        <f t="shared" si="18"/>
        <v>0</v>
      </c>
    </row>
    <row r="19" spans="1:48">
      <c r="A19" s="389" t="s">
        <v>182</v>
      </c>
      <c r="B19" t="s">
        <v>4</v>
      </c>
      <c r="C19" s="24" t="s">
        <v>163</v>
      </c>
      <c r="D19" s="24">
        <v>0.11035701018137983</v>
      </c>
      <c r="E19" s="24">
        <v>0.11125360286289047</v>
      </c>
      <c r="F19" s="24">
        <v>0.118225896136227</v>
      </c>
      <c r="G19" s="24">
        <v>9.1213448279391054E-2</v>
      </c>
      <c r="H19" s="24">
        <v>8.4890687529199385E-2</v>
      </c>
      <c r="I19" s="24">
        <v>8.7285364968947149E-2</v>
      </c>
      <c r="J19" s="24">
        <v>9.350527721212426E-2</v>
      </c>
      <c r="K19" s="24">
        <v>9.3033416563542151E-2</v>
      </c>
      <c r="L19" s="24">
        <v>9.3242216021370991E-2</v>
      </c>
      <c r="M19" s="24">
        <v>0.10205837790887032</v>
      </c>
      <c r="N19" s="228">
        <f t="shared" ref="N19:AV19" ca="1" si="19">IFERROR(IF($M19-$D19&gt;=0,($M19-$D19)/COUNT($E$1:$M$1)+M19,$F83*$E83^N$1),0)</f>
        <v>3.1311117282743588</v>
      </c>
      <c r="O19" s="228">
        <f t="shared" ca="1" si="19"/>
        <v>3.0966612488842942</v>
      </c>
      <c r="P19" s="228">
        <f t="shared" ca="1" si="19"/>
        <v>3.0625898155434275</v>
      </c>
      <c r="Q19" s="228">
        <f t="shared" ca="1" si="19"/>
        <v>3.0288932577464474</v>
      </c>
      <c r="R19" s="228">
        <f t="shared" ca="1" si="19"/>
        <v>2.9955674508745829</v>
      </c>
      <c r="S19" s="228">
        <f t="shared" ca="1" si="19"/>
        <v>2.9626083156907419</v>
      </c>
      <c r="T19" s="228">
        <f t="shared" ca="1" si="19"/>
        <v>2.9300118178401884</v>
      </c>
      <c r="U19" s="228">
        <f t="shared" ca="1" si="19"/>
        <v>2.8977739673567178</v>
      </c>
      <c r="V19" s="228">
        <f t="shared" ca="1" si="19"/>
        <v>2.8658908181742668</v>
      </c>
      <c r="W19" s="228">
        <f t="shared" ca="1" si="19"/>
        <v>2.8343584676438995</v>
      </c>
      <c r="X19" s="228">
        <f t="shared" ca="1" si="19"/>
        <v>2.8031730560561008</v>
      </c>
      <c r="Y19" s="228">
        <f t="shared" ca="1" si="19"/>
        <v>2.7723307661683272</v>
      </c>
      <c r="Z19" s="228">
        <f t="shared" ca="1" si="19"/>
        <v>2.7418278227377635</v>
      </c>
      <c r="AA19" s="228">
        <f t="shared" ca="1" si="19"/>
        <v>2.7116604920592153</v>
      </c>
      <c r="AB19" s="228">
        <f t="shared" ca="1" si="19"/>
        <v>2.6818250815080802</v>
      </c>
      <c r="AC19" s="228">
        <f t="shared" ca="1" si="19"/>
        <v>2.6523179390883573</v>
      </c>
      <c r="AD19" s="228">
        <f t="shared" ca="1" si="19"/>
        <v>2.6231354529856268</v>
      </c>
      <c r="AE19" s="228">
        <f t="shared" ca="1" si="19"/>
        <v>2.5942740511249416</v>
      </c>
      <c r="AF19" s="228">
        <f t="shared" ca="1" si="19"/>
        <v>2.5657302007335931</v>
      </c>
      <c r="AG19" s="228">
        <f t="shared" ca="1" si="19"/>
        <v>2.5375004079086807</v>
      </c>
      <c r="AH19" s="228">
        <f t="shared" ca="1" si="19"/>
        <v>2.5095812171894405</v>
      </c>
      <c r="AI19" s="228">
        <f t="shared" ca="1" si="19"/>
        <v>2.4819692111342855</v>
      </c>
      <c r="AJ19" s="228">
        <f t="shared" ca="1" si="19"/>
        <v>2.454661009902487</v>
      </c>
      <c r="AK19" s="228">
        <f t="shared" ca="1" si="19"/>
        <v>2.4276532708404743</v>
      </c>
      <c r="AL19" s="228">
        <f t="shared" ca="1" si="19"/>
        <v>2.4009426880726701</v>
      </c>
      <c r="AM19" s="228">
        <f t="shared" ca="1" si="19"/>
        <v>2.3745259920968418</v>
      </c>
      <c r="AN19" s="228">
        <f t="shared" ca="1" si="19"/>
        <v>2.3483999493838943</v>
      </c>
      <c r="AO19" s="228">
        <f t="shared" ca="1" si="19"/>
        <v>2.3225613619820749</v>
      </c>
      <c r="AP19" s="228">
        <f t="shared" ca="1" si="19"/>
        <v>2.2970070671255249</v>
      </c>
      <c r="AQ19" s="228">
        <f t="shared" ca="1" si="19"/>
        <v>2.2717339368471445</v>
      </c>
      <c r="AR19" s="228">
        <f t="shared" ca="1" si="19"/>
        <v>2.2467388775957149</v>
      </c>
      <c r="AS19" s="228">
        <f t="shared" ca="1" si="19"/>
        <v>2.2220188298572308</v>
      </c>
      <c r="AT19" s="228">
        <f t="shared" ca="1" si="19"/>
        <v>2.1975707677804035</v>
      </c>
      <c r="AU19" s="228">
        <f t="shared" ca="1" si="19"/>
        <v>2.1733916988062814</v>
      </c>
      <c r="AV19" s="228">
        <f t="shared" ca="1" si="19"/>
        <v>2.1494786633019465</v>
      </c>
    </row>
    <row r="20" spans="1:48" s="23" customFormat="1">
      <c r="A20" s="389" t="s">
        <v>702</v>
      </c>
      <c r="B20" t="s">
        <v>4</v>
      </c>
      <c r="C20" s="24" t="s">
        <v>163</v>
      </c>
      <c r="D20" s="24">
        <f ca="1">INDEX(INDIRECT(CONCATENATE("'",RIGHT(D$1,2),"'!$F$8:$N$88")),MATCH($A20,INDIRECT(CONCATENATE("'",RIGHT(D$1,2),IF($B20="chemicals","'!$C$8:$C$88","'!$B$8:$B$88"))),0),MATCH('Other Industrial Processes'!$C20,INDIRECT(CONCATENATE("'",RIGHT(D$1,2),"'!$F$4:$N$4")),0))</f>
        <v>0</v>
      </c>
      <c r="E20" s="24">
        <f ca="1">INDEX(INDIRECT(CONCATENATE("'",RIGHT(E$1,2),"'!$F$8:$N$88")),MATCH($A20,INDIRECT(CONCATENATE("'",RIGHT(E$1,2),IF($B20="chemicals","'!$C$8:$C$88","'!$B$8:$B$88"))),0),MATCH('Other Industrial Processes'!$C20,INDIRECT(CONCATENATE("'",RIGHT(E$1,2),"'!$F$4:$N$4")),0))</f>
        <v>0</v>
      </c>
      <c r="F20" s="24">
        <f ca="1">INDEX(INDIRECT(CONCATENATE("'",RIGHT(F$1,2),"'!$F$8:$N$88")),MATCH($A20,INDIRECT(CONCATENATE("'",RIGHT(F$1,2),IF($B20="chemicals","'!$C$8:$C$88","'!$B$8:$B$88"))),0),MATCH('Other Industrial Processes'!$C20,INDIRECT(CONCATENATE("'",RIGHT(F$1,2),"'!$F$4:$N$4")),0))</f>
        <v>0</v>
      </c>
      <c r="G20" s="24">
        <f ca="1">INDEX(INDIRECT(CONCATENATE("'",RIGHT(G$1,2),"'!$F$8:$N$88")),MATCH($A20,INDIRECT(CONCATENATE("'",RIGHT(G$1,2),IF($B20="chemicals","'!$C$8:$C$88","'!$B$8:$B$88"))),0),MATCH('Other Industrial Processes'!$C20,INDIRECT(CONCATENATE("'",RIGHT(G$1,2),"'!$F$4:$N$4")),0))</f>
        <v>0</v>
      </c>
      <c r="H20" s="24">
        <f ca="1">INDEX(INDIRECT(CONCATENATE("'",RIGHT(H$1,2),"'!$F$8:$N$88")),MATCH($A20,INDIRECT(CONCATENATE("'",RIGHT(H$1,2),IF($B20="chemicals","'!$C$8:$C$88","'!$B$8:$B$88"))),0),MATCH('Other Industrial Processes'!$C20,INDIRECT(CONCATENATE("'",RIGHT(H$1,2),"'!$F$4:$N$4")),0))</f>
        <v>0</v>
      </c>
      <c r="I20" s="24">
        <f ca="1">INDEX(INDIRECT(CONCATENATE("'",RIGHT(I$1,2),"'!$F$8:$N$88")),MATCH($A20,INDIRECT(CONCATENATE("'",RIGHT(I$1,2),IF($B20="chemicals","'!$C$8:$C$88","'!$B$8:$B$88"))),0),MATCH('Other Industrial Processes'!$C20,INDIRECT(CONCATENATE("'",RIGHT(I$1,2),"'!$F$4:$N$4")),0))</f>
        <v>0</v>
      </c>
      <c r="J20" s="24">
        <f ca="1">INDEX(INDIRECT(CONCATENATE("'",RIGHT(J$1,2),"'!$F$8:$N$88")),MATCH($A20,INDIRECT(CONCATENATE("'",RIGHT(J$1,2),IF($B20="chemicals","'!$C$8:$C$88","'!$B$8:$B$88"))),0),MATCH('Other Industrial Processes'!$C20,INDIRECT(CONCATENATE("'",RIGHT(J$1,2),"'!$F$4:$N$4")),0))</f>
        <v>0</v>
      </c>
      <c r="K20" s="24">
        <f ca="1">INDEX(INDIRECT(CONCATENATE("'",RIGHT(K$1,2),"'!$F$8:$N$88")),MATCH($A20,INDIRECT(CONCATENATE("'",RIGHT(K$1,2),IF($B20="chemicals","'!$C$8:$C$88","'!$B$8:$B$88"))),0),MATCH('Other Industrial Processes'!$C20,INDIRECT(CONCATENATE("'",RIGHT(K$1,2),"'!$F$4:$N$4")),0))</f>
        <v>0</v>
      </c>
      <c r="L20" s="24">
        <f ca="1">INDEX(INDIRECT(CONCATENATE("'",RIGHT(L$1,2),"'!$F$8:$N$88")),MATCH($A20,INDIRECT(CONCATENATE("'",RIGHT(L$1,2),IF($B20="chemicals","'!$C$8:$C$88","'!$B$8:$B$88"))),0),MATCH('Other Industrial Processes'!$C20,INDIRECT(CONCATENATE("'",RIGHT(L$1,2),"'!$F$4:$N$4")),0))</f>
        <v>0</v>
      </c>
      <c r="M20" s="24">
        <v>0</v>
      </c>
      <c r="N20" s="228">
        <f>0</f>
        <v>0</v>
      </c>
      <c r="O20" s="228">
        <f>0</f>
        <v>0</v>
      </c>
      <c r="P20" s="228">
        <f>0</f>
        <v>0</v>
      </c>
      <c r="Q20" s="228">
        <f>0</f>
        <v>0</v>
      </c>
      <c r="R20" s="228">
        <f>0</f>
        <v>0</v>
      </c>
      <c r="S20" s="228">
        <f>0</f>
        <v>0</v>
      </c>
      <c r="T20" s="228">
        <f>0</f>
        <v>0</v>
      </c>
      <c r="U20" s="228">
        <f>0</f>
        <v>0</v>
      </c>
      <c r="V20" s="228">
        <f>0</f>
        <v>0</v>
      </c>
      <c r="W20" s="228">
        <f>0</f>
        <v>0</v>
      </c>
      <c r="X20" s="228">
        <f>0</f>
        <v>0</v>
      </c>
      <c r="Y20" s="228">
        <f>0</f>
        <v>0</v>
      </c>
      <c r="Z20" s="228">
        <f>0</f>
        <v>0</v>
      </c>
      <c r="AA20" s="228">
        <f>0</f>
        <v>0</v>
      </c>
      <c r="AB20" s="228">
        <f>0</f>
        <v>0</v>
      </c>
      <c r="AC20" s="228">
        <f>0</f>
        <v>0</v>
      </c>
      <c r="AD20" s="228">
        <f>0</f>
        <v>0</v>
      </c>
      <c r="AE20" s="228">
        <f>0</f>
        <v>0</v>
      </c>
      <c r="AF20" s="228">
        <f>0</f>
        <v>0</v>
      </c>
      <c r="AG20" s="228">
        <f>0</f>
        <v>0</v>
      </c>
      <c r="AH20" s="228">
        <f>0</f>
        <v>0</v>
      </c>
      <c r="AI20" s="228">
        <f>0</f>
        <v>0</v>
      </c>
      <c r="AJ20" s="228">
        <f>0</f>
        <v>0</v>
      </c>
      <c r="AK20" s="228">
        <f>0</f>
        <v>0</v>
      </c>
      <c r="AL20" s="228">
        <f>0</f>
        <v>0</v>
      </c>
      <c r="AM20" s="228">
        <f>0</f>
        <v>0</v>
      </c>
      <c r="AN20" s="228">
        <f>0</f>
        <v>0</v>
      </c>
      <c r="AO20" s="228">
        <f>0</f>
        <v>0</v>
      </c>
      <c r="AP20" s="228">
        <f>0</f>
        <v>0</v>
      </c>
      <c r="AQ20" s="228">
        <f>0</f>
        <v>0</v>
      </c>
      <c r="AR20" s="228">
        <f>0</f>
        <v>0</v>
      </c>
      <c r="AS20" s="228">
        <f t="shared" ref="AS20:AV39" ca="1" si="20">IFERROR(IF($M20-$D20&gt;=0,($M20-$D20)/COUNT($E$1:$M$1)+AR20,$F84*$E84^AS$1),0)</f>
        <v>0</v>
      </c>
      <c r="AT20" s="228">
        <f t="shared" ca="1" si="20"/>
        <v>0</v>
      </c>
      <c r="AU20" s="228">
        <f t="shared" ca="1" si="20"/>
        <v>0</v>
      </c>
      <c r="AV20" s="228">
        <f t="shared" ca="1" si="20"/>
        <v>0</v>
      </c>
    </row>
    <row r="21" spans="1:48">
      <c r="A21" s="389" t="s">
        <v>703</v>
      </c>
      <c r="B21" t="s">
        <v>4</v>
      </c>
      <c r="C21" s="24" t="s">
        <v>163</v>
      </c>
      <c r="D21" s="24">
        <v>1.2470704691261835E-3</v>
      </c>
      <c r="E21" s="24">
        <v>1.2206095098755334E-3</v>
      </c>
      <c r="F21" s="24">
        <v>9.6442427437700958E-4</v>
      </c>
      <c r="G21" s="24">
        <v>7.1626691901244851E-4</v>
      </c>
      <c r="H21" s="24">
        <v>7.8409270623371497E-4</v>
      </c>
      <c r="I21" s="24">
        <v>7.9166883757126119E-4</v>
      </c>
      <c r="J21" s="24">
        <v>9.8146301473363263E-4</v>
      </c>
      <c r="K21" s="24">
        <v>1.0954825127853418E-3</v>
      </c>
      <c r="L21" s="24">
        <v>1.0613428445712093E-3</v>
      </c>
      <c r="M21" s="24">
        <v>1.1015547201659581E-3</v>
      </c>
      <c r="N21" s="228">
        <f t="shared" ref="N21:AR21" ca="1" si="21">IFERROR(IF($M21-$D21&gt;=0,($M21-$D21)/COUNT($E$1:$M$1)+M21,$F85*$E85^N$1),0)</f>
        <v>0</v>
      </c>
      <c r="O21" s="228">
        <f t="shared" ca="1" si="21"/>
        <v>0</v>
      </c>
      <c r="P21" s="228">
        <f t="shared" ca="1" si="21"/>
        <v>0</v>
      </c>
      <c r="Q21" s="228">
        <f t="shared" ca="1" si="21"/>
        <v>0</v>
      </c>
      <c r="R21" s="228">
        <f t="shared" ca="1" si="21"/>
        <v>0</v>
      </c>
      <c r="S21" s="228">
        <f t="shared" ca="1" si="21"/>
        <v>0</v>
      </c>
      <c r="T21" s="228">
        <f t="shared" ca="1" si="21"/>
        <v>0</v>
      </c>
      <c r="U21" s="228">
        <f t="shared" ca="1" si="21"/>
        <v>0</v>
      </c>
      <c r="V21" s="228">
        <f t="shared" ca="1" si="21"/>
        <v>0</v>
      </c>
      <c r="W21" s="228">
        <f t="shared" ca="1" si="21"/>
        <v>0</v>
      </c>
      <c r="X21" s="228">
        <f t="shared" ca="1" si="21"/>
        <v>0</v>
      </c>
      <c r="Y21" s="228">
        <f t="shared" ca="1" si="21"/>
        <v>0</v>
      </c>
      <c r="Z21" s="228">
        <f t="shared" ca="1" si="21"/>
        <v>0</v>
      </c>
      <c r="AA21" s="228">
        <f t="shared" ca="1" si="21"/>
        <v>0</v>
      </c>
      <c r="AB21" s="228">
        <f t="shared" ca="1" si="21"/>
        <v>0</v>
      </c>
      <c r="AC21" s="228">
        <f t="shared" ca="1" si="21"/>
        <v>0</v>
      </c>
      <c r="AD21" s="228">
        <f t="shared" ca="1" si="21"/>
        <v>0</v>
      </c>
      <c r="AE21" s="228">
        <f t="shared" ca="1" si="21"/>
        <v>0</v>
      </c>
      <c r="AF21" s="228">
        <f t="shared" ca="1" si="21"/>
        <v>0</v>
      </c>
      <c r="AG21" s="228">
        <f t="shared" ca="1" si="21"/>
        <v>0</v>
      </c>
      <c r="AH21" s="228">
        <f t="shared" ca="1" si="21"/>
        <v>0</v>
      </c>
      <c r="AI21" s="228">
        <f t="shared" ca="1" si="21"/>
        <v>0</v>
      </c>
      <c r="AJ21" s="228">
        <f t="shared" ca="1" si="21"/>
        <v>0</v>
      </c>
      <c r="AK21" s="228">
        <f t="shared" ca="1" si="21"/>
        <v>0</v>
      </c>
      <c r="AL21" s="228">
        <f t="shared" ca="1" si="21"/>
        <v>0</v>
      </c>
      <c r="AM21" s="228">
        <f t="shared" ca="1" si="21"/>
        <v>0</v>
      </c>
      <c r="AN21" s="228">
        <f t="shared" ca="1" si="21"/>
        <v>0</v>
      </c>
      <c r="AO21" s="228">
        <f t="shared" ca="1" si="21"/>
        <v>0</v>
      </c>
      <c r="AP21" s="228">
        <f t="shared" ca="1" si="21"/>
        <v>0</v>
      </c>
      <c r="AQ21" s="228">
        <f t="shared" ca="1" si="21"/>
        <v>0</v>
      </c>
      <c r="AR21" s="228">
        <f t="shared" ca="1" si="21"/>
        <v>0</v>
      </c>
      <c r="AS21" s="228">
        <f t="shared" ca="1" si="20"/>
        <v>0</v>
      </c>
      <c r="AT21" s="228">
        <f t="shared" ca="1" si="20"/>
        <v>0</v>
      </c>
      <c r="AU21" s="228">
        <f t="shared" ca="1" si="20"/>
        <v>0</v>
      </c>
      <c r="AV21" s="228">
        <f t="shared" ca="1" si="20"/>
        <v>0</v>
      </c>
    </row>
    <row r="22" spans="1:48">
      <c r="A22" s="389" t="s">
        <v>709</v>
      </c>
      <c r="B22" t="s">
        <v>2</v>
      </c>
      <c r="C22" s="24" t="s">
        <v>163</v>
      </c>
      <c r="D22" s="24">
        <f ca="1">INDEX(INDIRECT(CONCATENATE("'",RIGHT(D$1,2),"'!$F$8:$N$88")),MATCH($A22,INDIRECT(CONCATENATE("'",RIGHT(D$1,2),IF($B22="chemicals","'!$C$8:$C$88","'!$B$8:$B$88"))),0),MATCH('Other Industrial Processes'!$C22,INDIRECT(CONCATENATE("'",RIGHT(D$1,2),"'!$F$4:$N$4")),0))</f>
        <v>3.5340150435612601</v>
      </c>
      <c r="E22" s="24">
        <f ca="1">INDEX(INDIRECT(CONCATENATE("'",RIGHT(E$1,2),"'!$F$8:$N$88")),MATCH($A22,INDIRECT(CONCATENATE("'",RIGHT(E$1,2),IF($B22="chemicals","'!$C$8:$C$88","'!$B$8:$B$88"))),0),MATCH('Other Industrial Processes'!$C22,INDIRECT(CONCATENATE("'",RIGHT(E$1,2),"'!$F$4:$N$4")),0))</f>
        <v>3.2199900060003301</v>
      </c>
      <c r="F22" s="24">
        <f ca="1">INDEX(INDIRECT(CONCATENATE("'",RIGHT(F$1,2),"'!$F$8:$N$88")),MATCH($A22,INDIRECT(CONCATENATE("'",RIGHT(F$1,2),IF($B22="chemicals","'!$C$8:$C$88","'!$B$8:$B$88"))),0),MATCH('Other Industrial Processes'!$C22,INDIRECT(CONCATENATE("'",RIGHT(F$1,2),"'!$F$4:$N$4")),0))</f>
        <v>3.7128665249388302</v>
      </c>
      <c r="G22" s="24">
        <f ca="1">INDEX(INDIRECT(CONCATENATE("'",RIGHT(G$1,2),"'!$F$8:$N$88")),MATCH($A22,INDIRECT(CONCATENATE("'",RIGHT(G$1,2),IF($B22="chemicals","'!$C$8:$C$88","'!$B$8:$B$88"))),0),MATCH('Other Industrial Processes'!$C22,INDIRECT(CONCATENATE("'",RIGHT(G$1,2),"'!$F$4:$N$4")),0))</f>
        <v>3.29565468741019</v>
      </c>
      <c r="H22" s="24">
        <f ca="1">INDEX(INDIRECT(CONCATENATE("'",RIGHT(H$1,2),"'!$F$8:$N$88")),MATCH($A22,INDIRECT(CONCATENATE("'",RIGHT(H$1,2),IF($B22="chemicals","'!$C$8:$C$88","'!$B$8:$B$88"))),0),MATCH('Other Industrial Processes'!$C22,INDIRECT(CONCATENATE("'",RIGHT(H$1,2),"'!$F$4:$N$4")),0))</f>
        <v>3.2957664256472499</v>
      </c>
      <c r="I22" s="24">
        <f ca="1">INDEX(INDIRECT(CONCATENATE("'",RIGHT(I$1,2),"'!$F$8:$N$88")),MATCH($A22,INDIRECT(CONCATENATE("'",RIGHT(I$1,2),IF($B22="chemicals","'!$C$8:$C$88","'!$B$8:$B$88"))),0),MATCH('Other Industrial Processes'!$C22,INDIRECT(CONCATENATE("'",RIGHT(I$1,2),"'!$F$4:$N$4")),0))</f>
        <v>3.46094917269513</v>
      </c>
      <c r="J22" s="24">
        <f ca="1">INDEX(INDIRECT(CONCATENATE("'",RIGHT(J$1,2),"'!$F$8:$N$88")),MATCH($A22,INDIRECT(CONCATENATE("'",RIGHT(J$1,2),IF($B22="chemicals","'!$C$8:$C$88","'!$B$8:$B$88"))),0),MATCH('Other Industrial Processes'!$C22,INDIRECT(CONCATENATE("'",RIGHT(J$1,2),"'!$F$4:$N$4")),0))</f>
        <v>3.3577943038767302</v>
      </c>
      <c r="K22" s="24">
        <f ca="1">INDEX(INDIRECT(CONCATENATE("'",RIGHT(K$1,2),"'!$F$8:$N$88")),MATCH($A22,INDIRECT(CONCATENATE("'",RIGHT(K$1,2),IF($B22="chemicals","'!$C$8:$C$88","'!$B$8:$B$88"))),0),MATCH('Other Industrial Processes'!$C22,INDIRECT(CONCATENATE("'",RIGHT(K$1,2),"'!$F$4:$N$4")),0))</f>
        <v>3.05840472435102</v>
      </c>
      <c r="L22" s="24">
        <f ca="1">INDEX(INDIRECT(CONCATENATE("'",RIGHT(L$1,2),"'!$F$8:$N$88")),MATCH($A22,INDIRECT(CONCATENATE("'",RIGHT(L$1,2),IF($B22="chemicals","'!$C$8:$C$88","'!$B$8:$B$88"))),0),MATCH('Other Industrial Processes'!$C22,INDIRECT(CONCATENATE("'",RIGHT(L$1,2),"'!$F$4:$N$4")),0))</f>
        <v>3.18756130655877</v>
      </c>
      <c r="M22" s="24">
        <f ca="1">AVERAGE(J22:L22)</f>
        <v>3.2012534449288399</v>
      </c>
      <c r="N22" s="228">
        <f t="shared" ref="N22:AR22" ca="1" si="22">IFERROR(IF($M22-$D22&gt;=0,($M22-$D22)/COUNT($E$1:$M$1)+M22,$F86*$E86^N$1),0)</f>
        <v>0</v>
      </c>
      <c r="O22" s="228">
        <f t="shared" ca="1" si="22"/>
        <v>0</v>
      </c>
      <c r="P22" s="228">
        <f t="shared" ca="1" si="22"/>
        <v>0</v>
      </c>
      <c r="Q22" s="228">
        <f t="shared" ca="1" si="22"/>
        <v>0</v>
      </c>
      <c r="R22" s="228">
        <f t="shared" ca="1" si="22"/>
        <v>0</v>
      </c>
      <c r="S22" s="228">
        <f t="shared" ca="1" si="22"/>
        <v>0</v>
      </c>
      <c r="T22" s="228">
        <f t="shared" ca="1" si="22"/>
        <v>0</v>
      </c>
      <c r="U22" s="228">
        <f t="shared" ca="1" si="22"/>
        <v>0</v>
      </c>
      <c r="V22" s="228">
        <f t="shared" ca="1" si="22"/>
        <v>0</v>
      </c>
      <c r="W22" s="228">
        <f t="shared" ca="1" si="22"/>
        <v>0</v>
      </c>
      <c r="X22" s="228">
        <f t="shared" ca="1" si="22"/>
        <v>0</v>
      </c>
      <c r="Y22" s="228">
        <f t="shared" ca="1" si="22"/>
        <v>0</v>
      </c>
      <c r="Z22" s="228">
        <f t="shared" ca="1" si="22"/>
        <v>0</v>
      </c>
      <c r="AA22" s="228">
        <f t="shared" ca="1" si="22"/>
        <v>0</v>
      </c>
      <c r="AB22" s="228">
        <f t="shared" ca="1" si="22"/>
        <v>0</v>
      </c>
      <c r="AC22" s="228">
        <f t="shared" ca="1" si="22"/>
        <v>0</v>
      </c>
      <c r="AD22" s="228">
        <f t="shared" ca="1" si="22"/>
        <v>0</v>
      </c>
      <c r="AE22" s="228">
        <f t="shared" ca="1" si="22"/>
        <v>0</v>
      </c>
      <c r="AF22" s="228">
        <f t="shared" ca="1" si="22"/>
        <v>0</v>
      </c>
      <c r="AG22" s="228">
        <f t="shared" ca="1" si="22"/>
        <v>0</v>
      </c>
      <c r="AH22" s="228">
        <f t="shared" ca="1" si="22"/>
        <v>0</v>
      </c>
      <c r="AI22" s="228">
        <f t="shared" ca="1" si="22"/>
        <v>0</v>
      </c>
      <c r="AJ22" s="228">
        <f t="shared" ca="1" si="22"/>
        <v>0</v>
      </c>
      <c r="AK22" s="228">
        <f t="shared" ca="1" si="22"/>
        <v>0</v>
      </c>
      <c r="AL22" s="228">
        <f t="shared" ca="1" si="22"/>
        <v>0</v>
      </c>
      <c r="AM22" s="228">
        <f t="shared" ca="1" si="22"/>
        <v>0</v>
      </c>
      <c r="AN22" s="228">
        <f t="shared" ca="1" si="22"/>
        <v>0</v>
      </c>
      <c r="AO22" s="228">
        <f t="shared" ca="1" si="22"/>
        <v>0</v>
      </c>
      <c r="AP22" s="228">
        <f t="shared" ca="1" si="22"/>
        <v>0</v>
      </c>
      <c r="AQ22" s="228">
        <f t="shared" ca="1" si="22"/>
        <v>0</v>
      </c>
      <c r="AR22" s="228">
        <f t="shared" ca="1" si="22"/>
        <v>0</v>
      </c>
      <c r="AS22" s="228">
        <f t="shared" ca="1" si="20"/>
        <v>0</v>
      </c>
      <c r="AT22" s="228">
        <f t="shared" ca="1" si="20"/>
        <v>0</v>
      </c>
      <c r="AU22" s="228">
        <f t="shared" ca="1" si="20"/>
        <v>0</v>
      </c>
      <c r="AV22" s="228">
        <f t="shared" ca="1" si="20"/>
        <v>0</v>
      </c>
    </row>
    <row r="23" spans="1:48">
      <c r="A23" s="389" t="s">
        <v>711</v>
      </c>
      <c r="B23" t="s">
        <v>726</v>
      </c>
      <c r="C23" s="24" t="s">
        <v>163</v>
      </c>
      <c r="D23" s="24">
        <f ca="1">INDEX(INDIRECT(CONCATENATE("'",RIGHT(D$1,2),"'!$F$8:$N$88")),MATCH($A23,INDIRECT(CONCATENATE("'",RIGHT(D$1,2),IF($B23="chemicals","'!$C$8:$C$88","'!$B$8:$B$88"))),0),MATCH('Other Industrial Processes'!$C23,INDIRECT(CONCATENATE("'",RIGHT(D$1,2),"'!$F$4:$N$4")),0))</f>
        <v>0.111604080650506</v>
      </c>
      <c r="E23" s="24">
        <f ca="1">INDEX(INDIRECT(CONCATENATE("'",RIGHT(E$1,2),"'!$F$8:$N$88")),MATCH($A23,INDIRECT(CONCATENATE("'",RIGHT(E$1,2),IF($B23="chemicals","'!$C$8:$C$88","'!$B$8:$B$88"))),0),MATCH('Other Industrial Processes'!$C23,INDIRECT(CONCATENATE("'",RIGHT(E$1,2),"'!$F$4:$N$4")),0))</f>
        <v>0.112474212372766</v>
      </c>
      <c r="F23" s="24">
        <f ca="1">INDEX(INDIRECT(CONCATENATE("'",RIGHT(F$1,2),"'!$F$8:$N$88")),MATCH($A23,INDIRECT(CONCATENATE("'",RIGHT(F$1,2),IF($B23="chemicals","'!$C$8:$C$88","'!$B$8:$B$88"))),0),MATCH('Other Industrial Processes'!$C23,INDIRECT(CONCATENATE("'",RIGHT(F$1,2),"'!$F$4:$N$4")),0))</f>
        <v>0.119190320410604</v>
      </c>
      <c r="G23" s="24">
        <f ca="1">INDEX(INDIRECT(CONCATENATE("'",RIGHT(G$1,2),"'!$F$8:$N$88")),MATCH($A23,INDIRECT(CONCATENATE("'",RIGHT(G$1,2),IF($B23="chemicals","'!$C$8:$C$88","'!$B$8:$B$88"))),0),MATCH('Other Industrial Processes'!$C23,INDIRECT(CONCATENATE("'",RIGHT(G$1,2),"'!$F$4:$N$4")),0))</f>
        <v>9.1929715198403497E-2</v>
      </c>
      <c r="H23" s="24">
        <f ca="1">INDEX(INDIRECT(CONCATENATE("'",RIGHT(H$1,2),"'!$F$8:$N$88")),MATCH($A23,INDIRECT(CONCATENATE("'",RIGHT(H$1,2),IF($B23="chemicals","'!$C$8:$C$88","'!$B$8:$B$88"))),0),MATCH('Other Industrial Processes'!$C23,INDIRECT(CONCATENATE("'",RIGHT(H$1,2),"'!$F$4:$N$4")),0))</f>
        <v>8.5674780235433096E-2</v>
      </c>
      <c r="I23" s="24">
        <f ca="1">INDEX(INDIRECT(CONCATENATE("'",RIGHT(I$1,2),"'!$F$8:$N$88")),MATCH($A23,INDIRECT(CONCATENATE("'",RIGHT(I$1,2),IF($B23="chemicals","'!$C$8:$C$88","'!$B$8:$B$88"))),0),MATCH('Other Industrial Processes'!$C23,INDIRECT(CONCATENATE("'",RIGHT(I$1,2),"'!$F$4:$N$4")),0))</f>
        <v>8.8077033806518407E-2</v>
      </c>
      <c r="J23" s="24">
        <f ca="1">INDEX(INDIRECT(CONCATENATE("'",RIGHT(J$1,2),"'!$F$8:$N$88")),MATCH($A23,INDIRECT(CONCATENATE("'",RIGHT(J$1,2),IF($B23="chemicals","'!$C$8:$C$88","'!$B$8:$B$88"))),0),MATCH('Other Industrial Processes'!$C23,INDIRECT(CONCATENATE("'",RIGHT(J$1,2),"'!$F$4:$N$4")),0))</f>
        <v>9.4486740226857893E-2</v>
      </c>
      <c r="K23" s="24">
        <f ca="1">INDEX(INDIRECT(CONCATENATE("'",RIGHT(K$1,2),"'!$F$8:$N$88")),MATCH($A23,INDIRECT(CONCATENATE("'",RIGHT(K$1,2),IF($B23="chemicals","'!$C$8:$C$88","'!$B$8:$B$88"))),0),MATCH('Other Industrial Processes'!$C23,INDIRECT(CONCATENATE("'",RIGHT(K$1,2),"'!$F$4:$N$4")),0))</f>
        <v>9.4128899076327502E-2</v>
      </c>
      <c r="L23" s="24">
        <f ca="1">INDEX(INDIRECT(CONCATENATE("'",RIGHT(L$1,2),"'!$F$8:$N$88")),MATCH($A23,INDIRECT(CONCATENATE("'",RIGHT(L$1,2),IF($B23="chemicals","'!$C$8:$C$88","'!$B$8:$B$88"))),0),MATCH('Other Industrial Processes'!$C23,INDIRECT(CONCATENATE("'",RIGHT(L$1,2),"'!$F$4:$N$4")),0))</f>
        <v>9.4303558865942202E-2</v>
      </c>
      <c r="M23" s="24">
        <f ca="1">INDEX(INDIRECT(CONCATENATE("'",RIGHT(M$1,2),"'!$F$8:$N$88")),MATCH($A23,INDIRECT(CONCATENATE("'",RIGHT(M$1,2),IF($B23="chemicals","'!$C$8:$C$88","'!$B$8:$B$88"))),0),MATCH('Other Industrial Processes'!$C23,INDIRECT(CONCATENATE("'",RIGHT(M$1,2),"'!$F$4:$N$4")),0))</f>
        <v>9.8372002639248196E-2</v>
      </c>
      <c r="N23" s="228">
        <f t="shared" ref="N23:AR23" ca="1" si="23">IFERROR(IF($M23-$D23&gt;=0,($M23-$D23)/COUNT($E$1:$M$1)+M23,$F87*$E87^N$1),0)</f>
        <v>0</v>
      </c>
      <c r="O23" s="228">
        <f t="shared" ca="1" si="23"/>
        <v>0</v>
      </c>
      <c r="P23" s="228">
        <f t="shared" ca="1" si="23"/>
        <v>0</v>
      </c>
      <c r="Q23" s="228">
        <f t="shared" ca="1" si="23"/>
        <v>0</v>
      </c>
      <c r="R23" s="228">
        <f t="shared" ca="1" si="23"/>
        <v>0</v>
      </c>
      <c r="S23" s="228">
        <f t="shared" ca="1" si="23"/>
        <v>0</v>
      </c>
      <c r="T23" s="228">
        <f t="shared" ca="1" si="23"/>
        <v>0</v>
      </c>
      <c r="U23" s="228">
        <f t="shared" ca="1" si="23"/>
        <v>0</v>
      </c>
      <c r="V23" s="228">
        <f t="shared" ca="1" si="23"/>
        <v>0</v>
      </c>
      <c r="W23" s="228">
        <f t="shared" ca="1" si="23"/>
        <v>0</v>
      </c>
      <c r="X23" s="228">
        <f t="shared" ca="1" si="23"/>
        <v>0</v>
      </c>
      <c r="Y23" s="228">
        <f t="shared" ca="1" si="23"/>
        <v>0</v>
      </c>
      <c r="Z23" s="228">
        <f t="shared" ca="1" si="23"/>
        <v>0</v>
      </c>
      <c r="AA23" s="228">
        <f t="shared" ca="1" si="23"/>
        <v>0</v>
      </c>
      <c r="AB23" s="228">
        <f t="shared" ca="1" si="23"/>
        <v>0</v>
      </c>
      <c r="AC23" s="228">
        <f t="shared" ca="1" si="23"/>
        <v>0</v>
      </c>
      <c r="AD23" s="228">
        <f t="shared" ca="1" si="23"/>
        <v>0</v>
      </c>
      <c r="AE23" s="228">
        <f t="shared" ca="1" si="23"/>
        <v>0</v>
      </c>
      <c r="AF23" s="228">
        <f t="shared" ca="1" si="23"/>
        <v>0</v>
      </c>
      <c r="AG23" s="228">
        <f t="shared" ca="1" si="23"/>
        <v>0</v>
      </c>
      <c r="AH23" s="228">
        <f t="shared" ca="1" si="23"/>
        <v>0</v>
      </c>
      <c r="AI23" s="228">
        <f t="shared" ca="1" si="23"/>
        <v>0</v>
      </c>
      <c r="AJ23" s="228">
        <f t="shared" ca="1" si="23"/>
        <v>0</v>
      </c>
      <c r="AK23" s="228">
        <f t="shared" ca="1" si="23"/>
        <v>0</v>
      </c>
      <c r="AL23" s="228">
        <f t="shared" ca="1" si="23"/>
        <v>0</v>
      </c>
      <c r="AM23" s="228">
        <f t="shared" ca="1" si="23"/>
        <v>0</v>
      </c>
      <c r="AN23" s="228">
        <f t="shared" ca="1" si="23"/>
        <v>0</v>
      </c>
      <c r="AO23" s="228">
        <f t="shared" ca="1" si="23"/>
        <v>0</v>
      </c>
      <c r="AP23" s="228">
        <f t="shared" ca="1" si="23"/>
        <v>0</v>
      </c>
      <c r="AQ23" s="228">
        <f t="shared" ca="1" si="23"/>
        <v>0</v>
      </c>
      <c r="AR23" s="228">
        <f t="shared" ca="1" si="23"/>
        <v>0</v>
      </c>
      <c r="AS23" s="228">
        <f t="shared" ca="1" si="20"/>
        <v>0</v>
      </c>
      <c r="AT23" s="228">
        <f t="shared" ca="1" si="20"/>
        <v>0</v>
      </c>
      <c r="AU23" s="228">
        <f t="shared" ca="1" si="20"/>
        <v>0</v>
      </c>
      <c r="AV23" s="228">
        <f t="shared" ca="1" si="20"/>
        <v>0</v>
      </c>
    </row>
    <row r="24" spans="1:48">
      <c r="A24" s="389" t="s">
        <v>185</v>
      </c>
      <c r="B24" t="s">
        <v>26</v>
      </c>
      <c r="C24" s="24" t="s">
        <v>163</v>
      </c>
      <c r="D24" s="24">
        <f ca="1">INDEX(INDIRECT(CONCATENATE("'",RIGHT(D$1,2),"'!$F$8:$N$88")),MATCH($A24,INDIRECT(CONCATENATE("'",RIGHT(D$1,2),IF($B24="chemicals","'!$C$8:$C$88","'!$B$8:$B$88"))),0),MATCH('Other Industrial Processes'!$C24,INDIRECT(CONCATENATE("'",RIGHT(D$1,2),"'!$F$4:$N$4")),0))</f>
        <v>4.5026894769230802E-4</v>
      </c>
      <c r="E24" s="24">
        <f ca="1">INDEX(INDIRECT(CONCATENATE("'",RIGHT(E$1,2),"'!$F$8:$N$88")),MATCH($A24,INDIRECT(CONCATENATE("'",RIGHT(E$1,2),IF($B24="chemicals","'!$C$8:$C$88","'!$B$8:$B$88"))),0),MATCH('Other Industrial Processes'!$C24,INDIRECT(CONCATENATE("'",RIGHT(E$1,2),"'!$F$4:$N$4")),0))</f>
        <v>1.6831583999999999E-4</v>
      </c>
      <c r="F24" s="24">
        <f ca="1">INDEX(INDIRECT(CONCATENATE("'",RIGHT(F$1,2),"'!$F$8:$N$88")),MATCH($A24,INDIRECT(CONCATENATE("'",RIGHT(F$1,2),IF($B24="chemicals","'!$C$8:$C$88","'!$B$8:$B$88"))),0),MATCH('Other Industrial Processes'!$C24,INDIRECT(CONCATENATE("'",RIGHT(F$1,2),"'!$F$4:$N$4")),0))</f>
        <v>3.5054208000000002E-4</v>
      </c>
      <c r="G24" s="24">
        <f ca="1">INDEX(INDIRECT(CONCATENATE("'",RIGHT(G$1,2),"'!$F$8:$N$88")),MATCH($A24,INDIRECT(CONCATENATE("'",RIGHT(G$1,2),IF($B24="chemicals","'!$C$8:$C$88","'!$B$8:$B$88"))),0),MATCH('Other Industrial Processes'!$C24,INDIRECT(CONCATENATE("'",RIGHT(G$1,2),"'!$F$4:$N$4")),0))</f>
        <v>3.1202097230769203E-4</v>
      </c>
      <c r="H24" s="24">
        <f ca="1">INDEX(INDIRECT(CONCATENATE("'",RIGHT(H$1,2),"'!$F$8:$N$88")),MATCH($A24,INDIRECT(CONCATENATE("'",RIGHT(H$1,2),IF($B24="chemicals","'!$C$8:$C$88","'!$B$8:$B$88"))),0),MATCH('Other Industrial Processes'!$C24,INDIRECT(CONCATENATE("'",RIGHT(H$1,2),"'!$F$4:$N$4")),0))</f>
        <v>3.2956947692307697E-4</v>
      </c>
      <c r="I24" s="24">
        <f ca="1">INDEX(INDIRECT(CONCATENATE("'",RIGHT(I$1,2),"'!$F$8:$N$88")),MATCH($A24,INDIRECT(CONCATENATE("'",RIGHT(I$1,2),IF($B24="chemicals","'!$C$8:$C$88","'!$B$8:$B$88"))),0),MATCH('Other Industrial Processes'!$C24,INDIRECT(CONCATENATE("'",RIGHT(I$1,2),"'!$F$4:$N$4")),0))</f>
        <v>5.4357563076923104E-4</v>
      </c>
      <c r="J24" s="24">
        <f ca="1">INDEX(INDIRECT(CONCATENATE("'",RIGHT(J$1,2),"'!$F$8:$N$88")),MATCH($A24,INDIRECT(CONCATENATE("'",RIGHT(J$1,2),IF($B24="chemicals","'!$C$8:$C$88","'!$B$8:$B$88"))),0),MATCH('Other Industrial Processes'!$C24,INDIRECT(CONCATENATE("'",RIGHT(J$1,2),"'!$F$4:$N$4")),0))</f>
        <v>4.4834289230769199E-4</v>
      </c>
      <c r="K24" s="24">
        <f ca="1">INDEX(INDIRECT(CONCATENATE("'",RIGHT(K$1,2),"'!$F$8:$N$88")),MATCH($A24,INDIRECT(CONCATENATE("'",RIGHT(K$1,2),IF($B24="chemicals","'!$C$8:$C$88","'!$B$8:$B$88"))),0),MATCH('Other Industrial Processes'!$C24,INDIRECT(CONCATENATE("'",RIGHT(K$1,2),"'!$F$4:$N$4")),0))</f>
        <v>7.7898240000000003E-4</v>
      </c>
      <c r="L24" s="24">
        <f ca="1">INDEX(INDIRECT(CONCATENATE("'",RIGHT(L$1,2),"'!$F$8:$N$88")),MATCH($A24,INDIRECT(CONCATENATE("'",RIGHT(L$1,2),IF($B24="chemicals","'!$C$8:$C$88","'!$B$8:$B$88"))),0),MATCH('Other Industrial Processes'!$C24,INDIRECT(CONCATENATE("'",RIGHT(L$1,2),"'!$F$4:$N$4")),0))</f>
        <v>9.3734695384615401E-4</v>
      </c>
      <c r="M24" s="24">
        <f ca="1">INDEX(INDIRECT(CONCATENATE("'",RIGHT(M$1,2),"'!$F$8:$N$88")),MATCH($A24,INDIRECT(CONCATENATE("'",RIGHT(M$1,2),IF($B24="chemicals","'!$C$8:$C$88","'!$B$8:$B$88"))),0),MATCH('Other Industrial Processes'!$C24,INDIRECT(CONCATENATE("'",RIGHT(M$1,2),"'!$F$4:$N$4")),0))</f>
        <v>8.9668578461538496E-4</v>
      </c>
      <c r="N24" s="228">
        <f t="shared" ref="N24:AR24" ca="1" si="24">IFERROR(IF($M24-$D24&gt;=0,($M24-$D24)/COUNT($E$1:$M$1)+M24,$F88*$E88^N$1),0)</f>
        <v>9.4628765538461569E-4</v>
      </c>
      <c r="O24" s="228">
        <f t="shared" ca="1" si="24"/>
        <v>9.9588952615384642E-4</v>
      </c>
      <c r="P24" s="228">
        <f t="shared" ca="1" si="24"/>
        <v>1.0454913969230773E-3</v>
      </c>
      <c r="Q24" s="228">
        <f t="shared" ca="1" si="24"/>
        <v>1.0950932676923081E-3</v>
      </c>
      <c r="R24" s="228">
        <f t="shared" ca="1" si="24"/>
        <v>1.1446951384615389E-3</v>
      </c>
      <c r="S24" s="228">
        <f t="shared" ca="1" si="24"/>
        <v>1.1942970092307698E-3</v>
      </c>
      <c r="T24" s="228">
        <f t="shared" ca="1" si="24"/>
        <v>1.2438988800000006E-3</v>
      </c>
      <c r="U24" s="228">
        <f t="shared" ca="1" si="24"/>
        <v>1.2935007507692315E-3</v>
      </c>
      <c r="V24" s="228">
        <f t="shared" ca="1" si="24"/>
        <v>1.3431026215384623E-3</v>
      </c>
      <c r="W24" s="228">
        <f t="shared" ca="1" si="24"/>
        <v>1.3927044923076931E-3</v>
      </c>
      <c r="X24" s="228">
        <f t="shared" ca="1" si="24"/>
        <v>1.442306363076924E-3</v>
      </c>
      <c r="Y24" s="228">
        <f t="shared" ca="1" si="24"/>
        <v>1.4919082338461548E-3</v>
      </c>
      <c r="Z24" s="228">
        <f t="shared" ca="1" si="24"/>
        <v>1.5415101046153856E-3</v>
      </c>
      <c r="AA24" s="228">
        <f t="shared" ca="1" si="24"/>
        <v>1.5911119753846165E-3</v>
      </c>
      <c r="AB24" s="228">
        <f t="shared" ca="1" si="24"/>
        <v>1.6407138461538473E-3</v>
      </c>
      <c r="AC24" s="228">
        <f t="shared" ca="1" si="24"/>
        <v>1.6903157169230782E-3</v>
      </c>
      <c r="AD24" s="228">
        <f t="shared" ca="1" si="24"/>
        <v>1.739917587692309E-3</v>
      </c>
      <c r="AE24" s="228">
        <f t="shared" ca="1" si="24"/>
        <v>1.7895194584615398E-3</v>
      </c>
      <c r="AF24" s="228">
        <f t="shared" ca="1" si="24"/>
        <v>1.8391213292307707E-3</v>
      </c>
      <c r="AG24" s="228">
        <f t="shared" ca="1" si="24"/>
        <v>1.8887232000000015E-3</v>
      </c>
      <c r="AH24" s="228">
        <f t="shared" ca="1" si="24"/>
        <v>1.9383250707692323E-3</v>
      </c>
      <c r="AI24" s="228">
        <f t="shared" ca="1" si="24"/>
        <v>1.9879269415384632E-3</v>
      </c>
      <c r="AJ24" s="228">
        <f t="shared" ca="1" si="24"/>
        <v>2.037528812307694E-3</v>
      </c>
      <c r="AK24" s="228">
        <f t="shared" ca="1" si="24"/>
        <v>2.0871306830769249E-3</v>
      </c>
      <c r="AL24" s="228">
        <f t="shared" ca="1" si="24"/>
        <v>2.1367325538461557E-3</v>
      </c>
      <c r="AM24" s="228">
        <f t="shared" ca="1" si="24"/>
        <v>2.1863344246153865E-3</v>
      </c>
      <c r="AN24" s="228">
        <f t="shared" ca="1" si="24"/>
        <v>2.2359362953846174E-3</v>
      </c>
      <c r="AO24" s="228">
        <f t="shared" ca="1" si="24"/>
        <v>2.2855381661538482E-3</v>
      </c>
      <c r="AP24" s="228">
        <f t="shared" ca="1" si="24"/>
        <v>2.335140036923079E-3</v>
      </c>
      <c r="AQ24" s="228">
        <f t="shared" ca="1" si="24"/>
        <v>2.3847419076923099E-3</v>
      </c>
      <c r="AR24" s="228">
        <f t="shared" ca="1" si="24"/>
        <v>2.4343437784615407E-3</v>
      </c>
      <c r="AS24" s="228">
        <f t="shared" ca="1" si="20"/>
        <v>2.4839456492307716E-3</v>
      </c>
      <c r="AT24" s="228">
        <f t="shared" ca="1" si="20"/>
        <v>2.5335475200000024E-3</v>
      </c>
      <c r="AU24" s="228">
        <f t="shared" ca="1" si="20"/>
        <v>2.5831493907692332E-3</v>
      </c>
      <c r="AV24" s="228">
        <f t="shared" ca="1" si="20"/>
        <v>2.6327512615384641E-3</v>
      </c>
    </row>
    <row r="25" spans="1:48">
      <c r="A25" s="389" t="s">
        <v>716</v>
      </c>
      <c r="B25" t="s">
        <v>26</v>
      </c>
      <c r="C25" s="24" t="s">
        <v>163</v>
      </c>
      <c r="D25" s="24">
        <f ca="1">INDEX(INDIRECT(CONCATENATE("'",RIGHT(D$1,2),"'!$F$8:$N$88")),MATCH($A25,INDIRECT(CONCATENATE("'",RIGHT(D$1,2),IF($B25="chemicals","'!$C$8:$C$88","'!$B$8:$B$88"))),0),MATCH('Other Industrial Processes'!$C25,INDIRECT(CONCATENATE("'",RIGHT(D$1,2),"'!$F$4:$N$4")),0))</f>
        <v>0</v>
      </c>
      <c r="E25" s="24">
        <f ca="1">INDEX(INDIRECT(CONCATENATE("'",RIGHT(E$1,2),"'!$F$8:$N$88")),MATCH($A25,INDIRECT(CONCATENATE("'",RIGHT(E$1,2),IF($B25="chemicals","'!$C$8:$C$88","'!$B$8:$B$88"))),0),MATCH('Other Industrial Processes'!$C25,INDIRECT(CONCATENATE("'",RIGHT(E$1,2),"'!$F$4:$N$4")),0))</f>
        <v>0</v>
      </c>
      <c r="F25" s="24">
        <f ca="1">INDEX(INDIRECT(CONCATENATE("'",RIGHT(F$1,2),"'!$F$8:$N$88")),MATCH($A25,INDIRECT(CONCATENATE("'",RIGHT(F$1,2),IF($B25="chemicals","'!$C$8:$C$88","'!$B$8:$B$88"))),0),MATCH('Other Industrial Processes'!$C25,INDIRECT(CONCATENATE("'",RIGHT(F$1,2),"'!$F$4:$N$4")),0))</f>
        <v>0</v>
      </c>
      <c r="G25" s="24">
        <f ca="1">INDEX(INDIRECT(CONCATENATE("'",RIGHT(G$1,2),"'!$F$8:$N$88")),MATCH($A25,INDIRECT(CONCATENATE("'",RIGHT(G$1,2),IF($B25="chemicals","'!$C$8:$C$88","'!$B$8:$B$88"))),0),MATCH('Other Industrial Processes'!$C25,INDIRECT(CONCATENATE("'",RIGHT(G$1,2),"'!$F$4:$N$4")),0))</f>
        <v>0</v>
      </c>
      <c r="H25" s="24">
        <f ca="1">INDEX(INDIRECT(CONCATENATE("'",RIGHT(H$1,2),"'!$F$8:$N$88")),MATCH($A25,INDIRECT(CONCATENATE("'",RIGHT(H$1,2),IF($B25="chemicals","'!$C$8:$C$88","'!$B$8:$B$88"))),0),MATCH('Other Industrial Processes'!$C25,INDIRECT(CONCATENATE("'",RIGHT(H$1,2),"'!$F$4:$N$4")),0))</f>
        <v>0</v>
      </c>
      <c r="I25" s="24">
        <f ca="1">INDEX(INDIRECT(CONCATENATE("'",RIGHT(I$1,2),"'!$F$8:$N$88")),MATCH($A25,INDIRECT(CONCATENATE("'",RIGHT(I$1,2),IF($B25="chemicals","'!$C$8:$C$88","'!$B$8:$B$88"))),0),MATCH('Other Industrial Processes'!$C25,INDIRECT(CONCATENATE("'",RIGHT(I$1,2),"'!$F$4:$N$4")),0))</f>
        <v>0</v>
      </c>
      <c r="J25" s="24">
        <f ca="1">INDEX(INDIRECT(CONCATENATE("'",RIGHT(J$1,2),"'!$F$8:$N$88")),MATCH($A25,INDIRECT(CONCATENATE("'",RIGHT(J$1,2),IF($B25="chemicals","'!$C$8:$C$88","'!$B$8:$B$88"))),0),MATCH('Other Industrial Processes'!$C25,INDIRECT(CONCATENATE("'",RIGHT(J$1,2),"'!$F$4:$N$4")),0))</f>
        <v>0</v>
      </c>
      <c r="K25" s="24">
        <f ca="1">INDEX(INDIRECT(CONCATENATE("'",RIGHT(K$1,2),"'!$F$8:$N$88")),MATCH($A25,INDIRECT(CONCATENATE("'",RIGHT(K$1,2),IF($B25="chemicals","'!$C$8:$C$88","'!$B$8:$B$88"))),0),MATCH('Other Industrial Processes'!$C25,INDIRECT(CONCATENATE("'",RIGHT(K$1,2),"'!$F$4:$N$4")),0))</f>
        <v>0</v>
      </c>
      <c r="L25" s="24">
        <f ca="1">INDEX(INDIRECT(CONCATENATE("'",RIGHT(L$1,2),"'!$F$8:$N$88")),MATCH($A25,INDIRECT(CONCATENATE("'",RIGHT(L$1,2),IF($B25="chemicals","'!$C$8:$C$88","'!$B$8:$B$88"))),0),MATCH('Other Industrial Processes'!$C25,INDIRECT(CONCATENATE("'",RIGHT(L$1,2),"'!$F$4:$N$4")),0))</f>
        <v>0</v>
      </c>
      <c r="M25" s="24">
        <v>0</v>
      </c>
      <c r="N25" s="228">
        <f t="shared" ref="N25:AR25" ca="1" si="25">IFERROR(IF($M25-$D25&gt;=0,($M25-$D25)/COUNT($E$1:$M$1)+M25,$F89*$E89^N$1),0)</f>
        <v>0</v>
      </c>
      <c r="O25" s="228">
        <f t="shared" ca="1" si="25"/>
        <v>0</v>
      </c>
      <c r="P25" s="228">
        <f t="shared" ca="1" si="25"/>
        <v>0</v>
      </c>
      <c r="Q25" s="228">
        <f t="shared" ca="1" si="25"/>
        <v>0</v>
      </c>
      <c r="R25" s="228">
        <f t="shared" ca="1" si="25"/>
        <v>0</v>
      </c>
      <c r="S25" s="228">
        <f t="shared" ca="1" si="25"/>
        <v>0</v>
      </c>
      <c r="T25" s="228">
        <f t="shared" ca="1" si="25"/>
        <v>0</v>
      </c>
      <c r="U25" s="228">
        <f t="shared" ca="1" si="25"/>
        <v>0</v>
      </c>
      <c r="V25" s="228">
        <f t="shared" ca="1" si="25"/>
        <v>0</v>
      </c>
      <c r="W25" s="228">
        <f t="shared" ca="1" si="25"/>
        <v>0</v>
      </c>
      <c r="X25" s="228">
        <f t="shared" ca="1" si="25"/>
        <v>0</v>
      </c>
      <c r="Y25" s="228">
        <f t="shared" ca="1" si="25"/>
        <v>0</v>
      </c>
      <c r="Z25" s="228">
        <f t="shared" ca="1" si="25"/>
        <v>0</v>
      </c>
      <c r="AA25" s="228">
        <f t="shared" ca="1" si="25"/>
        <v>0</v>
      </c>
      <c r="AB25" s="228">
        <f t="shared" ca="1" si="25"/>
        <v>0</v>
      </c>
      <c r="AC25" s="228">
        <f t="shared" ca="1" si="25"/>
        <v>0</v>
      </c>
      <c r="AD25" s="228">
        <f t="shared" ca="1" si="25"/>
        <v>0</v>
      </c>
      <c r="AE25" s="228">
        <f t="shared" ca="1" si="25"/>
        <v>0</v>
      </c>
      <c r="AF25" s="228">
        <f t="shared" ca="1" si="25"/>
        <v>0</v>
      </c>
      <c r="AG25" s="228">
        <f t="shared" ca="1" si="25"/>
        <v>0</v>
      </c>
      <c r="AH25" s="228">
        <f t="shared" ca="1" si="25"/>
        <v>0</v>
      </c>
      <c r="AI25" s="228">
        <f t="shared" ca="1" si="25"/>
        <v>0</v>
      </c>
      <c r="AJ25" s="228">
        <f t="shared" ca="1" si="25"/>
        <v>0</v>
      </c>
      <c r="AK25" s="228">
        <f t="shared" ca="1" si="25"/>
        <v>0</v>
      </c>
      <c r="AL25" s="228">
        <f t="shared" ca="1" si="25"/>
        <v>0</v>
      </c>
      <c r="AM25" s="228">
        <f t="shared" ca="1" si="25"/>
        <v>0</v>
      </c>
      <c r="AN25" s="228">
        <f t="shared" ca="1" si="25"/>
        <v>0</v>
      </c>
      <c r="AO25" s="228">
        <f t="shared" ca="1" si="25"/>
        <v>0</v>
      </c>
      <c r="AP25" s="228">
        <f t="shared" ca="1" si="25"/>
        <v>0</v>
      </c>
      <c r="AQ25" s="228">
        <f t="shared" ca="1" si="25"/>
        <v>0</v>
      </c>
      <c r="AR25" s="228">
        <f t="shared" ca="1" si="25"/>
        <v>0</v>
      </c>
      <c r="AS25" s="228">
        <f t="shared" ca="1" si="20"/>
        <v>0</v>
      </c>
      <c r="AT25" s="228">
        <f t="shared" ca="1" si="20"/>
        <v>0</v>
      </c>
      <c r="AU25" s="228">
        <f t="shared" ca="1" si="20"/>
        <v>0</v>
      </c>
      <c r="AV25" s="228">
        <f t="shared" ca="1" si="20"/>
        <v>0</v>
      </c>
    </row>
    <row r="26" spans="1:48">
      <c r="A26" s="389" t="s">
        <v>184</v>
      </c>
      <c r="B26" t="s">
        <v>4</v>
      </c>
      <c r="C26" s="24" t="s">
        <v>188</v>
      </c>
      <c r="D26" s="24">
        <v>0</v>
      </c>
      <c r="E26" s="24">
        <v>0</v>
      </c>
      <c r="F26" s="24">
        <v>0</v>
      </c>
      <c r="G26" s="24">
        <v>0</v>
      </c>
      <c r="H26" s="24">
        <v>0</v>
      </c>
      <c r="I26" s="24">
        <v>0</v>
      </c>
      <c r="J26" s="24">
        <v>0</v>
      </c>
      <c r="K26" s="24">
        <v>0</v>
      </c>
      <c r="L26" s="24">
        <v>0</v>
      </c>
      <c r="M26" s="24">
        <v>0</v>
      </c>
      <c r="N26" s="228">
        <f t="shared" ref="N26:AR26" si="26">IFERROR(IF($M26-$D26&gt;=0,($M26-$D26)/COUNT($E$1:$M$1)+M26,$F90*$E90^N$1),0)</f>
        <v>0</v>
      </c>
      <c r="O26" s="228">
        <f t="shared" si="26"/>
        <v>0</v>
      </c>
      <c r="P26" s="228">
        <f t="shared" si="26"/>
        <v>0</v>
      </c>
      <c r="Q26" s="228">
        <f t="shared" si="26"/>
        <v>0</v>
      </c>
      <c r="R26" s="228">
        <f t="shared" si="26"/>
        <v>0</v>
      </c>
      <c r="S26" s="228">
        <f t="shared" si="26"/>
        <v>0</v>
      </c>
      <c r="T26" s="228">
        <f t="shared" si="26"/>
        <v>0</v>
      </c>
      <c r="U26" s="228">
        <f t="shared" si="26"/>
        <v>0</v>
      </c>
      <c r="V26" s="228">
        <f t="shared" si="26"/>
        <v>0</v>
      </c>
      <c r="W26" s="228">
        <f t="shared" si="26"/>
        <v>0</v>
      </c>
      <c r="X26" s="228">
        <f t="shared" si="26"/>
        <v>0</v>
      </c>
      <c r="Y26" s="228">
        <f t="shared" si="26"/>
        <v>0</v>
      </c>
      <c r="Z26" s="228">
        <f t="shared" si="26"/>
        <v>0</v>
      </c>
      <c r="AA26" s="228">
        <f t="shared" si="26"/>
        <v>0</v>
      </c>
      <c r="AB26" s="228">
        <f t="shared" si="26"/>
        <v>0</v>
      </c>
      <c r="AC26" s="228">
        <f t="shared" si="26"/>
        <v>0</v>
      </c>
      <c r="AD26" s="228">
        <f t="shared" si="26"/>
        <v>0</v>
      </c>
      <c r="AE26" s="228">
        <f t="shared" si="26"/>
        <v>0</v>
      </c>
      <c r="AF26" s="228">
        <f t="shared" si="26"/>
        <v>0</v>
      </c>
      <c r="AG26" s="228">
        <f t="shared" si="26"/>
        <v>0</v>
      </c>
      <c r="AH26" s="228">
        <f t="shared" si="26"/>
        <v>0</v>
      </c>
      <c r="AI26" s="228">
        <f t="shared" si="26"/>
        <v>0</v>
      </c>
      <c r="AJ26" s="228">
        <f t="shared" si="26"/>
        <v>0</v>
      </c>
      <c r="AK26" s="228">
        <f t="shared" si="26"/>
        <v>0</v>
      </c>
      <c r="AL26" s="228">
        <f t="shared" si="26"/>
        <v>0</v>
      </c>
      <c r="AM26" s="228">
        <f t="shared" si="26"/>
        <v>0</v>
      </c>
      <c r="AN26" s="228">
        <f t="shared" si="26"/>
        <v>0</v>
      </c>
      <c r="AO26" s="228">
        <f t="shared" si="26"/>
        <v>0</v>
      </c>
      <c r="AP26" s="228">
        <f t="shared" si="26"/>
        <v>0</v>
      </c>
      <c r="AQ26" s="228">
        <f t="shared" si="26"/>
        <v>0</v>
      </c>
      <c r="AR26" s="228">
        <f t="shared" si="26"/>
        <v>0</v>
      </c>
      <c r="AS26" s="228">
        <f t="shared" si="20"/>
        <v>0</v>
      </c>
      <c r="AT26" s="228">
        <f t="shared" si="20"/>
        <v>0</v>
      </c>
      <c r="AU26" s="228">
        <f t="shared" si="20"/>
        <v>0</v>
      </c>
      <c r="AV26" s="228">
        <f t="shared" si="20"/>
        <v>0</v>
      </c>
    </row>
    <row r="27" spans="1:48">
      <c r="A27" s="389" t="s">
        <v>182</v>
      </c>
      <c r="B27" t="s">
        <v>4</v>
      </c>
      <c r="C27" s="24" t="s">
        <v>188</v>
      </c>
      <c r="D27" s="24">
        <v>0</v>
      </c>
      <c r="E27" s="24">
        <v>0</v>
      </c>
      <c r="F27" s="24">
        <v>0</v>
      </c>
      <c r="G27" s="24">
        <v>0</v>
      </c>
      <c r="H27" s="24">
        <v>0</v>
      </c>
      <c r="I27" s="24">
        <v>0</v>
      </c>
      <c r="J27" s="24">
        <v>0</v>
      </c>
      <c r="K27" s="24">
        <v>0</v>
      </c>
      <c r="L27" s="24">
        <v>0</v>
      </c>
      <c r="M27" s="24">
        <v>0</v>
      </c>
      <c r="N27" s="228">
        <f t="shared" ref="N27:AR27" si="27">IFERROR(IF($M27-$D27&gt;=0,($M27-$D27)/COUNT($E$1:$M$1)+M27,$F91*$E91^N$1),0)</f>
        <v>0</v>
      </c>
      <c r="O27" s="228">
        <f t="shared" si="27"/>
        <v>0</v>
      </c>
      <c r="P27" s="228">
        <f t="shared" si="27"/>
        <v>0</v>
      </c>
      <c r="Q27" s="228">
        <f t="shared" si="27"/>
        <v>0</v>
      </c>
      <c r="R27" s="228">
        <f t="shared" si="27"/>
        <v>0</v>
      </c>
      <c r="S27" s="228">
        <f t="shared" si="27"/>
        <v>0</v>
      </c>
      <c r="T27" s="228">
        <f t="shared" si="27"/>
        <v>0</v>
      </c>
      <c r="U27" s="228">
        <f t="shared" si="27"/>
        <v>0</v>
      </c>
      <c r="V27" s="228">
        <f t="shared" si="27"/>
        <v>0</v>
      </c>
      <c r="W27" s="228">
        <f t="shared" si="27"/>
        <v>0</v>
      </c>
      <c r="X27" s="228">
        <f t="shared" si="27"/>
        <v>0</v>
      </c>
      <c r="Y27" s="228">
        <f t="shared" si="27"/>
        <v>0</v>
      </c>
      <c r="Z27" s="228">
        <f t="shared" si="27"/>
        <v>0</v>
      </c>
      <c r="AA27" s="228">
        <f t="shared" si="27"/>
        <v>0</v>
      </c>
      <c r="AB27" s="228">
        <f t="shared" si="27"/>
        <v>0</v>
      </c>
      <c r="AC27" s="228">
        <f t="shared" si="27"/>
        <v>0</v>
      </c>
      <c r="AD27" s="228">
        <f t="shared" si="27"/>
        <v>0</v>
      </c>
      <c r="AE27" s="228">
        <f t="shared" si="27"/>
        <v>0</v>
      </c>
      <c r="AF27" s="228">
        <f t="shared" si="27"/>
        <v>0</v>
      </c>
      <c r="AG27" s="228">
        <f t="shared" si="27"/>
        <v>0</v>
      </c>
      <c r="AH27" s="228">
        <f t="shared" si="27"/>
        <v>0</v>
      </c>
      <c r="AI27" s="228">
        <f t="shared" si="27"/>
        <v>0</v>
      </c>
      <c r="AJ27" s="228">
        <f t="shared" si="27"/>
        <v>0</v>
      </c>
      <c r="AK27" s="228">
        <f t="shared" si="27"/>
        <v>0</v>
      </c>
      <c r="AL27" s="228">
        <f t="shared" si="27"/>
        <v>0</v>
      </c>
      <c r="AM27" s="228">
        <f t="shared" si="27"/>
        <v>0</v>
      </c>
      <c r="AN27" s="228">
        <f t="shared" si="27"/>
        <v>0</v>
      </c>
      <c r="AO27" s="228">
        <f t="shared" si="27"/>
        <v>0</v>
      </c>
      <c r="AP27" s="228">
        <f t="shared" si="27"/>
        <v>0</v>
      </c>
      <c r="AQ27" s="228">
        <f t="shared" si="27"/>
        <v>0</v>
      </c>
      <c r="AR27" s="228">
        <f t="shared" si="27"/>
        <v>0</v>
      </c>
      <c r="AS27" s="228">
        <f t="shared" si="20"/>
        <v>0</v>
      </c>
      <c r="AT27" s="228">
        <f t="shared" si="20"/>
        <v>0</v>
      </c>
      <c r="AU27" s="228">
        <f t="shared" si="20"/>
        <v>0</v>
      </c>
      <c r="AV27" s="228">
        <f t="shared" si="20"/>
        <v>0</v>
      </c>
    </row>
    <row r="28" spans="1:48">
      <c r="A28" s="389" t="s">
        <v>702</v>
      </c>
      <c r="B28" t="s">
        <v>4</v>
      </c>
      <c r="C28" s="24" t="s">
        <v>188</v>
      </c>
      <c r="D28" s="24">
        <v>0</v>
      </c>
      <c r="E28" s="24">
        <v>0</v>
      </c>
      <c r="F28" s="24">
        <v>0</v>
      </c>
      <c r="G28" s="24">
        <v>0</v>
      </c>
      <c r="H28" s="24">
        <v>0</v>
      </c>
      <c r="I28" s="24">
        <v>0</v>
      </c>
      <c r="J28" s="24">
        <v>0</v>
      </c>
      <c r="K28" s="24">
        <v>0</v>
      </c>
      <c r="L28" s="24">
        <v>0</v>
      </c>
      <c r="M28" s="24">
        <v>0</v>
      </c>
      <c r="N28" s="228">
        <f t="shared" ref="N28:AR28" si="28">IFERROR(IF($M28-$D28&gt;=0,($M28-$D28)/COUNT($E$1:$M$1)+M28,$F92*$E92^N$1),0)</f>
        <v>0</v>
      </c>
      <c r="O28" s="228">
        <f t="shared" si="28"/>
        <v>0</v>
      </c>
      <c r="P28" s="228">
        <f t="shared" si="28"/>
        <v>0</v>
      </c>
      <c r="Q28" s="228">
        <f t="shared" si="28"/>
        <v>0</v>
      </c>
      <c r="R28" s="228">
        <f t="shared" si="28"/>
        <v>0</v>
      </c>
      <c r="S28" s="228">
        <f t="shared" si="28"/>
        <v>0</v>
      </c>
      <c r="T28" s="228">
        <f t="shared" si="28"/>
        <v>0</v>
      </c>
      <c r="U28" s="228">
        <f t="shared" si="28"/>
        <v>0</v>
      </c>
      <c r="V28" s="228">
        <f t="shared" si="28"/>
        <v>0</v>
      </c>
      <c r="W28" s="228">
        <f t="shared" si="28"/>
        <v>0</v>
      </c>
      <c r="X28" s="228">
        <f t="shared" si="28"/>
        <v>0</v>
      </c>
      <c r="Y28" s="228">
        <f t="shared" si="28"/>
        <v>0</v>
      </c>
      <c r="Z28" s="228">
        <f t="shared" si="28"/>
        <v>0</v>
      </c>
      <c r="AA28" s="228">
        <f t="shared" si="28"/>
        <v>0</v>
      </c>
      <c r="AB28" s="228">
        <f t="shared" si="28"/>
        <v>0</v>
      </c>
      <c r="AC28" s="228">
        <f t="shared" si="28"/>
        <v>0</v>
      </c>
      <c r="AD28" s="228">
        <f t="shared" si="28"/>
        <v>0</v>
      </c>
      <c r="AE28" s="228">
        <f t="shared" si="28"/>
        <v>0</v>
      </c>
      <c r="AF28" s="228">
        <f t="shared" si="28"/>
        <v>0</v>
      </c>
      <c r="AG28" s="228">
        <f t="shared" si="28"/>
        <v>0</v>
      </c>
      <c r="AH28" s="228">
        <f t="shared" si="28"/>
        <v>0</v>
      </c>
      <c r="AI28" s="228">
        <f t="shared" si="28"/>
        <v>0</v>
      </c>
      <c r="AJ28" s="228">
        <f t="shared" si="28"/>
        <v>0</v>
      </c>
      <c r="AK28" s="228">
        <f t="shared" si="28"/>
        <v>0</v>
      </c>
      <c r="AL28" s="228">
        <f t="shared" si="28"/>
        <v>0</v>
      </c>
      <c r="AM28" s="228">
        <f t="shared" si="28"/>
        <v>0</v>
      </c>
      <c r="AN28" s="228">
        <f t="shared" si="28"/>
        <v>0</v>
      </c>
      <c r="AO28" s="228">
        <f t="shared" si="28"/>
        <v>0</v>
      </c>
      <c r="AP28" s="228">
        <f t="shared" si="28"/>
        <v>0</v>
      </c>
      <c r="AQ28" s="228">
        <f t="shared" si="28"/>
        <v>0</v>
      </c>
      <c r="AR28" s="228">
        <f t="shared" si="28"/>
        <v>0</v>
      </c>
      <c r="AS28" s="228">
        <f t="shared" si="20"/>
        <v>0</v>
      </c>
      <c r="AT28" s="228">
        <f t="shared" si="20"/>
        <v>0</v>
      </c>
      <c r="AU28" s="228">
        <f t="shared" si="20"/>
        <v>0</v>
      </c>
      <c r="AV28" s="228">
        <f t="shared" si="20"/>
        <v>0</v>
      </c>
    </row>
    <row r="29" spans="1:48">
      <c r="A29" s="389" t="s">
        <v>703</v>
      </c>
      <c r="B29" t="s">
        <v>4</v>
      </c>
      <c r="C29" s="24" t="s">
        <v>188</v>
      </c>
      <c r="D29" s="24">
        <v>0</v>
      </c>
      <c r="E29" s="24">
        <v>0</v>
      </c>
      <c r="F29" s="24">
        <v>0</v>
      </c>
      <c r="G29" s="24">
        <v>0</v>
      </c>
      <c r="H29" s="24">
        <v>0</v>
      </c>
      <c r="I29" s="24">
        <v>0</v>
      </c>
      <c r="J29" s="24">
        <v>0</v>
      </c>
      <c r="K29" s="24">
        <v>0</v>
      </c>
      <c r="L29" s="24">
        <v>0</v>
      </c>
      <c r="M29" s="24">
        <v>0</v>
      </c>
      <c r="N29" s="228">
        <f t="shared" ref="N29:AR29" si="29">IFERROR(IF($M29-$D29&gt;=0,($M29-$D29)/COUNT($E$1:$M$1)+M29,$F93*$E93^N$1),0)</f>
        <v>0</v>
      </c>
      <c r="O29" s="228">
        <f t="shared" si="29"/>
        <v>0</v>
      </c>
      <c r="P29" s="228">
        <f t="shared" si="29"/>
        <v>0</v>
      </c>
      <c r="Q29" s="228">
        <f t="shared" si="29"/>
        <v>0</v>
      </c>
      <c r="R29" s="228">
        <f t="shared" si="29"/>
        <v>0</v>
      </c>
      <c r="S29" s="228">
        <f t="shared" si="29"/>
        <v>0</v>
      </c>
      <c r="T29" s="228">
        <f t="shared" si="29"/>
        <v>0</v>
      </c>
      <c r="U29" s="228">
        <f t="shared" si="29"/>
        <v>0</v>
      </c>
      <c r="V29" s="228">
        <f t="shared" si="29"/>
        <v>0</v>
      </c>
      <c r="W29" s="228">
        <f t="shared" si="29"/>
        <v>0</v>
      </c>
      <c r="X29" s="228">
        <f t="shared" si="29"/>
        <v>0</v>
      </c>
      <c r="Y29" s="228">
        <f t="shared" si="29"/>
        <v>0</v>
      </c>
      <c r="Z29" s="228">
        <f t="shared" si="29"/>
        <v>0</v>
      </c>
      <c r="AA29" s="228">
        <f t="shared" si="29"/>
        <v>0</v>
      </c>
      <c r="AB29" s="228">
        <f t="shared" si="29"/>
        <v>0</v>
      </c>
      <c r="AC29" s="228">
        <f t="shared" si="29"/>
        <v>0</v>
      </c>
      <c r="AD29" s="228">
        <f t="shared" si="29"/>
        <v>0</v>
      </c>
      <c r="AE29" s="228">
        <f t="shared" si="29"/>
        <v>0</v>
      </c>
      <c r="AF29" s="228">
        <f t="shared" si="29"/>
        <v>0</v>
      </c>
      <c r="AG29" s="228">
        <f t="shared" si="29"/>
        <v>0</v>
      </c>
      <c r="AH29" s="228">
        <f t="shared" si="29"/>
        <v>0</v>
      </c>
      <c r="AI29" s="228">
        <f t="shared" si="29"/>
        <v>0</v>
      </c>
      <c r="AJ29" s="228">
        <f t="shared" si="29"/>
        <v>0</v>
      </c>
      <c r="AK29" s="228">
        <f t="shared" si="29"/>
        <v>0</v>
      </c>
      <c r="AL29" s="228">
        <f t="shared" si="29"/>
        <v>0</v>
      </c>
      <c r="AM29" s="228">
        <f t="shared" si="29"/>
        <v>0</v>
      </c>
      <c r="AN29" s="228">
        <f t="shared" si="29"/>
        <v>0</v>
      </c>
      <c r="AO29" s="228">
        <f t="shared" si="29"/>
        <v>0</v>
      </c>
      <c r="AP29" s="228">
        <f t="shared" si="29"/>
        <v>0</v>
      </c>
      <c r="AQ29" s="228">
        <f t="shared" si="29"/>
        <v>0</v>
      </c>
      <c r="AR29" s="228">
        <f t="shared" si="29"/>
        <v>0</v>
      </c>
      <c r="AS29" s="228">
        <f t="shared" si="20"/>
        <v>0</v>
      </c>
      <c r="AT29" s="228">
        <f t="shared" si="20"/>
        <v>0</v>
      </c>
      <c r="AU29" s="228">
        <f t="shared" si="20"/>
        <v>0</v>
      </c>
      <c r="AV29" s="228">
        <f t="shared" si="20"/>
        <v>0</v>
      </c>
    </row>
    <row r="30" spans="1:48">
      <c r="A30" s="389" t="s">
        <v>709</v>
      </c>
      <c r="B30" t="s">
        <v>2</v>
      </c>
      <c r="C30" s="24" t="s">
        <v>188</v>
      </c>
      <c r="D30" s="24">
        <v>0</v>
      </c>
      <c r="E30" s="24">
        <v>0</v>
      </c>
      <c r="F30" s="24">
        <v>0</v>
      </c>
      <c r="G30" s="24">
        <v>0</v>
      </c>
      <c r="H30" s="24">
        <v>0</v>
      </c>
      <c r="I30" s="24">
        <v>0</v>
      </c>
      <c r="J30" s="24">
        <v>0</v>
      </c>
      <c r="K30" s="24">
        <v>0</v>
      </c>
      <c r="L30" s="24">
        <v>0</v>
      </c>
      <c r="M30" s="24">
        <v>0</v>
      </c>
      <c r="N30" s="228">
        <f t="shared" ref="N30:AR30" si="30">IFERROR(IF($M30-$D30&gt;=0,($M30-$D30)/COUNT($E$1:$M$1)+M30,$F94*$E94^N$1),0)</f>
        <v>0</v>
      </c>
      <c r="O30" s="228">
        <f t="shared" si="30"/>
        <v>0</v>
      </c>
      <c r="P30" s="228">
        <f t="shared" si="30"/>
        <v>0</v>
      </c>
      <c r="Q30" s="228">
        <f t="shared" si="30"/>
        <v>0</v>
      </c>
      <c r="R30" s="228">
        <f t="shared" si="30"/>
        <v>0</v>
      </c>
      <c r="S30" s="228">
        <f t="shared" si="30"/>
        <v>0</v>
      </c>
      <c r="T30" s="228">
        <f t="shared" si="30"/>
        <v>0</v>
      </c>
      <c r="U30" s="228">
        <f t="shared" si="30"/>
        <v>0</v>
      </c>
      <c r="V30" s="228">
        <f t="shared" si="30"/>
        <v>0</v>
      </c>
      <c r="W30" s="228">
        <f t="shared" si="30"/>
        <v>0</v>
      </c>
      <c r="X30" s="228">
        <f t="shared" si="30"/>
        <v>0</v>
      </c>
      <c r="Y30" s="228">
        <f t="shared" si="30"/>
        <v>0</v>
      </c>
      <c r="Z30" s="228">
        <f t="shared" si="30"/>
        <v>0</v>
      </c>
      <c r="AA30" s="228">
        <f t="shared" si="30"/>
        <v>0</v>
      </c>
      <c r="AB30" s="228">
        <f t="shared" si="30"/>
        <v>0</v>
      </c>
      <c r="AC30" s="228">
        <f t="shared" si="30"/>
        <v>0</v>
      </c>
      <c r="AD30" s="228">
        <f t="shared" si="30"/>
        <v>0</v>
      </c>
      <c r="AE30" s="228">
        <f t="shared" si="30"/>
        <v>0</v>
      </c>
      <c r="AF30" s="228">
        <f t="shared" si="30"/>
        <v>0</v>
      </c>
      <c r="AG30" s="228">
        <f t="shared" si="30"/>
        <v>0</v>
      </c>
      <c r="AH30" s="228">
        <f t="shared" si="30"/>
        <v>0</v>
      </c>
      <c r="AI30" s="228">
        <f t="shared" si="30"/>
        <v>0</v>
      </c>
      <c r="AJ30" s="228">
        <f t="shared" si="30"/>
        <v>0</v>
      </c>
      <c r="AK30" s="228">
        <f t="shared" si="30"/>
        <v>0</v>
      </c>
      <c r="AL30" s="228">
        <f t="shared" si="30"/>
        <v>0</v>
      </c>
      <c r="AM30" s="228">
        <f t="shared" si="30"/>
        <v>0</v>
      </c>
      <c r="AN30" s="228">
        <f t="shared" si="30"/>
        <v>0</v>
      </c>
      <c r="AO30" s="228">
        <f t="shared" si="30"/>
        <v>0</v>
      </c>
      <c r="AP30" s="228">
        <f t="shared" si="30"/>
        <v>0</v>
      </c>
      <c r="AQ30" s="228">
        <f t="shared" si="30"/>
        <v>0</v>
      </c>
      <c r="AR30" s="228">
        <f t="shared" si="30"/>
        <v>0</v>
      </c>
      <c r="AS30" s="228">
        <f t="shared" si="20"/>
        <v>0</v>
      </c>
      <c r="AT30" s="228">
        <f t="shared" si="20"/>
        <v>0</v>
      </c>
      <c r="AU30" s="228">
        <f t="shared" si="20"/>
        <v>0</v>
      </c>
      <c r="AV30" s="228">
        <f t="shared" si="20"/>
        <v>0</v>
      </c>
    </row>
    <row r="31" spans="1:48">
      <c r="A31" s="389" t="s">
        <v>711</v>
      </c>
      <c r="B31" t="s">
        <v>726</v>
      </c>
      <c r="C31" s="24" t="s">
        <v>188</v>
      </c>
      <c r="D31" s="24">
        <v>0</v>
      </c>
      <c r="E31" s="24">
        <v>0</v>
      </c>
      <c r="F31" s="24">
        <v>0</v>
      </c>
      <c r="G31" s="24">
        <v>0</v>
      </c>
      <c r="H31" s="24">
        <v>0</v>
      </c>
      <c r="I31" s="24">
        <v>0</v>
      </c>
      <c r="J31" s="24">
        <v>0</v>
      </c>
      <c r="K31" s="24">
        <v>0</v>
      </c>
      <c r="L31" s="24">
        <v>0</v>
      </c>
      <c r="M31" s="24">
        <v>0</v>
      </c>
      <c r="N31" s="228">
        <f t="shared" ref="N31:AR31" si="31">IFERROR(IF($M31-$D31&gt;=0,($M31-$D31)/COUNT($E$1:$M$1)+M31,$F95*$E95^N$1),0)</f>
        <v>0</v>
      </c>
      <c r="O31" s="228">
        <f t="shared" si="31"/>
        <v>0</v>
      </c>
      <c r="P31" s="228">
        <f t="shared" si="31"/>
        <v>0</v>
      </c>
      <c r="Q31" s="228">
        <f t="shared" si="31"/>
        <v>0</v>
      </c>
      <c r="R31" s="228">
        <f t="shared" si="31"/>
        <v>0</v>
      </c>
      <c r="S31" s="228">
        <f t="shared" si="31"/>
        <v>0</v>
      </c>
      <c r="T31" s="228">
        <f t="shared" si="31"/>
        <v>0</v>
      </c>
      <c r="U31" s="228">
        <f t="shared" si="31"/>
        <v>0</v>
      </c>
      <c r="V31" s="228">
        <f t="shared" si="31"/>
        <v>0</v>
      </c>
      <c r="W31" s="228">
        <f t="shared" si="31"/>
        <v>0</v>
      </c>
      <c r="X31" s="228">
        <f t="shared" si="31"/>
        <v>0</v>
      </c>
      <c r="Y31" s="228">
        <f t="shared" si="31"/>
        <v>0</v>
      </c>
      <c r="Z31" s="228">
        <f t="shared" si="31"/>
        <v>0</v>
      </c>
      <c r="AA31" s="228">
        <f t="shared" si="31"/>
        <v>0</v>
      </c>
      <c r="AB31" s="228">
        <f t="shared" si="31"/>
        <v>0</v>
      </c>
      <c r="AC31" s="228">
        <f t="shared" si="31"/>
        <v>0</v>
      </c>
      <c r="AD31" s="228">
        <f t="shared" si="31"/>
        <v>0</v>
      </c>
      <c r="AE31" s="228">
        <f t="shared" si="31"/>
        <v>0</v>
      </c>
      <c r="AF31" s="228">
        <f t="shared" si="31"/>
        <v>0</v>
      </c>
      <c r="AG31" s="228">
        <f t="shared" si="31"/>
        <v>0</v>
      </c>
      <c r="AH31" s="228">
        <f t="shared" si="31"/>
        <v>0</v>
      </c>
      <c r="AI31" s="228">
        <f t="shared" si="31"/>
        <v>0</v>
      </c>
      <c r="AJ31" s="228">
        <f t="shared" si="31"/>
        <v>0</v>
      </c>
      <c r="AK31" s="228">
        <f t="shared" si="31"/>
        <v>0</v>
      </c>
      <c r="AL31" s="228">
        <f t="shared" si="31"/>
        <v>0</v>
      </c>
      <c r="AM31" s="228">
        <f t="shared" si="31"/>
        <v>0</v>
      </c>
      <c r="AN31" s="228">
        <f t="shared" si="31"/>
        <v>0</v>
      </c>
      <c r="AO31" s="228">
        <f t="shared" si="31"/>
        <v>0</v>
      </c>
      <c r="AP31" s="228">
        <f t="shared" si="31"/>
        <v>0</v>
      </c>
      <c r="AQ31" s="228">
        <f t="shared" si="31"/>
        <v>0</v>
      </c>
      <c r="AR31" s="228">
        <f t="shared" si="31"/>
        <v>0</v>
      </c>
      <c r="AS31" s="228">
        <f t="shared" si="20"/>
        <v>0</v>
      </c>
      <c r="AT31" s="228">
        <f t="shared" si="20"/>
        <v>0</v>
      </c>
      <c r="AU31" s="228">
        <f t="shared" si="20"/>
        <v>0</v>
      </c>
      <c r="AV31" s="228">
        <f t="shared" si="20"/>
        <v>0</v>
      </c>
    </row>
    <row r="32" spans="1:48">
      <c r="A32" s="389" t="s">
        <v>185</v>
      </c>
      <c r="B32" t="s">
        <v>26</v>
      </c>
      <c r="C32" s="24" t="s">
        <v>188</v>
      </c>
      <c r="D32" s="24">
        <v>0</v>
      </c>
      <c r="E32" s="24">
        <v>0</v>
      </c>
      <c r="F32" s="24">
        <v>0</v>
      </c>
      <c r="G32" s="24">
        <v>0</v>
      </c>
      <c r="H32" s="24">
        <v>0</v>
      </c>
      <c r="I32" s="24">
        <v>0</v>
      </c>
      <c r="J32" s="24">
        <v>0</v>
      </c>
      <c r="K32" s="24">
        <v>0</v>
      </c>
      <c r="L32" s="24">
        <v>0</v>
      </c>
      <c r="M32" s="24">
        <v>0</v>
      </c>
      <c r="N32" s="228">
        <f t="shared" ref="N32:AR32" si="32">IFERROR(IF($M32-$D32&gt;=0,($M32-$D32)/COUNT($E$1:$M$1)+M32,$F96*$E96^N$1),0)</f>
        <v>0</v>
      </c>
      <c r="O32" s="228">
        <f t="shared" si="32"/>
        <v>0</v>
      </c>
      <c r="P32" s="228">
        <f t="shared" si="32"/>
        <v>0</v>
      </c>
      <c r="Q32" s="228">
        <f t="shared" si="32"/>
        <v>0</v>
      </c>
      <c r="R32" s="228">
        <f t="shared" si="32"/>
        <v>0</v>
      </c>
      <c r="S32" s="228">
        <f t="shared" si="32"/>
        <v>0</v>
      </c>
      <c r="T32" s="228">
        <f t="shared" si="32"/>
        <v>0</v>
      </c>
      <c r="U32" s="228">
        <f t="shared" si="32"/>
        <v>0</v>
      </c>
      <c r="V32" s="228">
        <f t="shared" si="32"/>
        <v>0</v>
      </c>
      <c r="W32" s="228">
        <f t="shared" si="32"/>
        <v>0</v>
      </c>
      <c r="X32" s="228">
        <f t="shared" si="32"/>
        <v>0</v>
      </c>
      <c r="Y32" s="228">
        <f t="shared" si="32"/>
        <v>0</v>
      </c>
      <c r="Z32" s="228">
        <f t="shared" si="32"/>
        <v>0</v>
      </c>
      <c r="AA32" s="228">
        <f t="shared" si="32"/>
        <v>0</v>
      </c>
      <c r="AB32" s="228">
        <f t="shared" si="32"/>
        <v>0</v>
      </c>
      <c r="AC32" s="228">
        <f t="shared" si="32"/>
        <v>0</v>
      </c>
      <c r="AD32" s="228">
        <f t="shared" si="32"/>
        <v>0</v>
      </c>
      <c r="AE32" s="228">
        <f t="shared" si="32"/>
        <v>0</v>
      </c>
      <c r="AF32" s="228">
        <f t="shared" si="32"/>
        <v>0</v>
      </c>
      <c r="AG32" s="228">
        <f t="shared" si="32"/>
        <v>0</v>
      </c>
      <c r="AH32" s="228">
        <f t="shared" si="32"/>
        <v>0</v>
      </c>
      <c r="AI32" s="228">
        <f t="shared" si="32"/>
        <v>0</v>
      </c>
      <c r="AJ32" s="228">
        <f t="shared" si="32"/>
        <v>0</v>
      </c>
      <c r="AK32" s="228">
        <f t="shared" si="32"/>
        <v>0</v>
      </c>
      <c r="AL32" s="228">
        <f t="shared" si="32"/>
        <v>0</v>
      </c>
      <c r="AM32" s="228">
        <f t="shared" si="32"/>
        <v>0</v>
      </c>
      <c r="AN32" s="228">
        <f t="shared" si="32"/>
        <v>0</v>
      </c>
      <c r="AO32" s="228">
        <f t="shared" si="32"/>
        <v>0</v>
      </c>
      <c r="AP32" s="228">
        <f t="shared" si="32"/>
        <v>0</v>
      </c>
      <c r="AQ32" s="228">
        <f t="shared" si="32"/>
        <v>0</v>
      </c>
      <c r="AR32" s="228">
        <f t="shared" si="32"/>
        <v>0</v>
      </c>
      <c r="AS32" s="228">
        <f t="shared" si="20"/>
        <v>0</v>
      </c>
      <c r="AT32" s="228">
        <f t="shared" si="20"/>
        <v>0</v>
      </c>
      <c r="AU32" s="228">
        <f t="shared" si="20"/>
        <v>0</v>
      </c>
      <c r="AV32" s="228">
        <f t="shared" si="20"/>
        <v>0</v>
      </c>
    </row>
    <row r="33" spans="1:48">
      <c r="A33" s="389" t="s">
        <v>716</v>
      </c>
      <c r="B33" t="s">
        <v>26</v>
      </c>
      <c r="C33" s="24" t="s">
        <v>188</v>
      </c>
      <c r="D33" s="24">
        <v>0</v>
      </c>
      <c r="E33" s="24">
        <v>0</v>
      </c>
      <c r="F33" s="24">
        <v>0</v>
      </c>
      <c r="G33" s="24">
        <v>0</v>
      </c>
      <c r="H33" s="24">
        <v>0</v>
      </c>
      <c r="I33" s="24">
        <v>0</v>
      </c>
      <c r="J33" s="24">
        <v>0</v>
      </c>
      <c r="K33" s="24">
        <v>0</v>
      </c>
      <c r="L33" s="24">
        <v>0</v>
      </c>
      <c r="M33" s="24">
        <v>0</v>
      </c>
      <c r="N33" s="228">
        <f t="shared" ref="N33:AR33" si="33">IFERROR(IF($M33-$D33&gt;=0,($M33-$D33)/COUNT($E$1:$M$1)+M33,$F97*$E97^N$1),0)</f>
        <v>0</v>
      </c>
      <c r="O33" s="228">
        <f t="shared" si="33"/>
        <v>0</v>
      </c>
      <c r="P33" s="228">
        <f t="shared" si="33"/>
        <v>0</v>
      </c>
      <c r="Q33" s="228">
        <f t="shared" si="33"/>
        <v>0</v>
      </c>
      <c r="R33" s="228">
        <f t="shared" si="33"/>
        <v>0</v>
      </c>
      <c r="S33" s="228">
        <f t="shared" si="33"/>
        <v>0</v>
      </c>
      <c r="T33" s="228">
        <f t="shared" si="33"/>
        <v>0</v>
      </c>
      <c r="U33" s="228">
        <f t="shared" si="33"/>
        <v>0</v>
      </c>
      <c r="V33" s="228">
        <f t="shared" si="33"/>
        <v>0</v>
      </c>
      <c r="W33" s="228">
        <f t="shared" si="33"/>
        <v>0</v>
      </c>
      <c r="X33" s="228">
        <f t="shared" si="33"/>
        <v>0</v>
      </c>
      <c r="Y33" s="228">
        <f t="shared" si="33"/>
        <v>0</v>
      </c>
      <c r="Z33" s="228">
        <f t="shared" si="33"/>
        <v>0</v>
      </c>
      <c r="AA33" s="228">
        <f t="shared" si="33"/>
        <v>0</v>
      </c>
      <c r="AB33" s="228">
        <f t="shared" si="33"/>
        <v>0</v>
      </c>
      <c r="AC33" s="228">
        <f t="shared" si="33"/>
        <v>0</v>
      </c>
      <c r="AD33" s="228">
        <f t="shared" si="33"/>
        <v>0</v>
      </c>
      <c r="AE33" s="228">
        <f t="shared" si="33"/>
        <v>0</v>
      </c>
      <c r="AF33" s="228">
        <f t="shared" si="33"/>
        <v>0</v>
      </c>
      <c r="AG33" s="228">
        <f t="shared" si="33"/>
        <v>0</v>
      </c>
      <c r="AH33" s="228">
        <f t="shared" si="33"/>
        <v>0</v>
      </c>
      <c r="AI33" s="228">
        <f t="shared" si="33"/>
        <v>0</v>
      </c>
      <c r="AJ33" s="228">
        <f t="shared" si="33"/>
        <v>0</v>
      </c>
      <c r="AK33" s="228">
        <f t="shared" si="33"/>
        <v>0</v>
      </c>
      <c r="AL33" s="228">
        <f t="shared" si="33"/>
        <v>0</v>
      </c>
      <c r="AM33" s="228">
        <f t="shared" si="33"/>
        <v>0</v>
      </c>
      <c r="AN33" s="228">
        <f t="shared" si="33"/>
        <v>0</v>
      </c>
      <c r="AO33" s="228">
        <f t="shared" si="33"/>
        <v>0</v>
      </c>
      <c r="AP33" s="228">
        <f t="shared" si="33"/>
        <v>0</v>
      </c>
      <c r="AQ33" s="228">
        <f t="shared" si="33"/>
        <v>0</v>
      </c>
      <c r="AR33" s="228">
        <f t="shared" si="33"/>
        <v>0</v>
      </c>
      <c r="AS33" s="228">
        <f t="shared" si="20"/>
        <v>0</v>
      </c>
      <c r="AT33" s="228">
        <f t="shared" si="20"/>
        <v>0</v>
      </c>
      <c r="AU33" s="228">
        <f t="shared" si="20"/>
        <v>0</v>
      </c>
      <c r="AV33" s="228">
        <f t="shared" si="20"/>
        <v>0</v>
      </c>
    </row>
    <row r="34" spans="1:48">
      <c r="A34" s="389" t="s">
        <v>184</v>
      </c>
      <c r="B34" t="s">
        <v>4</v>
      </c>
      <c r="C34" s="24" t="s">
        <v>189</v>
      </c>
      <c r="D34" s="24">
        <v>0</v>
      </c>
      <c r="E34" s="24">
        <v>0</v>
      </c>
      <c r="F34" s="24">
        <v>0</v>
      </c>
      <c r="G34" s="24">
        <v>0</v>
      </c>
      <c r="H34" s="24">
        <v>0</v>
      </c>
      <c r="I34" s="24">
        <v>0</v>
      </c>
      <c r="J34" s="24">
        <v>0</v>
      </c>
      <c r="K34" s="24">
        <v>0</v>
      </c>
      <c r="L34" s="24">
        <v>0</v>
      </c>
      <c r="M34" s="24">
        <v>0</v>
      </c>
      <c r="N34" s="228">
        <f t="shared" ref="N34:AR34" si="34">IFERROR(IF($M34-$D34&gt;=0,($M34-$D34)/COUNT($E$1:$M$1)+M34,$F98*$E98^N$1),0)</f>
        <v>0</v>
      </c>
      <c r="O34" s="228">
        <f t="shared" si="34"/>
        <v>0</v>
      </c>
      <c r="P34" s="228">
        <f t="shared" si="34"/>
        <v>0</v>
      </c>
      <c r="Q34" s="228">
        <f t="shared" si="34"/>
        <v>0</v>
      </c>
      <c r="R34" s="228">
        <f t="shared" si="34"/>
        <v>0</v>
      </c>
      <c r="S34" s="228">
        <f t="shared" si="34"/>
        <v>0</v>
      </c>
      <c r="T34" s="228">
        <f t="shared" si="34"/>
        <v>0</v>
      </c>
      <c r="U34" s="228">
        <f t="shared" si="34"/>
        <v>0</v>
      </c>
      <c r="V34" s="228">
        <f t="shared" si="34"/>
        <v>0</v>
      </c>
      <c r="W34" s="228">
        <f t="shared" si="34"/>
        <v>0</v>
      </c>
      <c r="X34" s="228">
        <f t="shared" si="34"/>
        <v>0</v>
      </c>
      <c r="Y34" s="228">
        <f t="shared" si="34"/>
        <v>0</v>
      </c>
      <c r="Z34" s="228">
        <f t="shared" si="34"/>
        <v>0</v>
      </c>
      <c r="AA34" s="228">
        <f t="shared" si="34"/>
        <v>0</v>
      </c>
      <c r="AB34" s="228">
        <f t="shared" si="34"/>
        <v>0</v>
      </c>
      <c r="AC34" s="228">
        <f t="shared" si="34"/>
        <v>0</v>
      </c>
      <c r="AD34" s="228">
        <f t="shared" si="34"/>
        <v>0</v>
      </c>
      <c r="AE34" s="228">
        <f t="shared" si="34"/>
        <v>0</v>
      </c>
      <c r="AF34" s="228">
        <f t="shared" si="34"/>
        <v>0</v>
      </c>
      <c r="AG34" s="228">
        <f t="shared" si="34"/>
        <v>0</v>
      </c>
      <c r="AH34" s="228">
        <f t="shared" si="34"/>
        <v>0</v>
      </c>
      <c r="AI34" s="228">
        <f t="shared" si="34"/>
        <v>0</v>
      </c>
      <c r="AJ34" s="228">
        <f t="shared" si="34"/>
        <v>0</v>
      </c>
      <c r="AK34" s="228">
        <f t="shared" si="34"/>
        <v>0</v>
      </c>
      <c r="AL34" s="228">
        <f t="shared" si="34"/>
        <v>0</v>
      </c>
      <c r="AM34" s="228">
        <f t="shared" si="34"/>
        <v>0</v>
      </c>
      <c r="AN34" s="228">
        <f t="shared" si="34"/>
        <v>0</v>
      </c>
      <c r="AO34" s="228">
        <f t="shared" si="34"/>
        <v>0</v>
      </c>
      <c r="AP34" s="228">
        <f t="shared" si="34"/>
        <v>0</v>
      </c>
      <c r="AQ34" s="228">
        <f t="shared" si="34"/>
        <v>0</v>
      </c>
      <c r="AR34" s="228">
        <f t="shared" si="34"/>
        <v>0</v>
      </c>
      <c r="AS34" s="228">
        <f t="shared" si="20"/>
        <v>0</v>
      </c>
      <c r="AT34" s="228">
        <f t="shared" si="20"/>
        <v>0</v>
      </c>
      <c r="AU34" s="228">
        <f t="shared" si="20"/>
        <v>0</v>
      </c>
      <c r="AV34" s="228">
        <f t="shared" si="20"/>
        <v>0</v>
      </c>
    </row>
    <row r="35" spans="1:48">
      <c r="A35" s="389" t="s">
        <v>182</v>
      </c>
      <c r="B35" t="s">
        <v>4</v>
      </c>
      <c r="C35" s="24" t="s">
        <v>189</v>
      </c>
      <c r="D35" s="24">
        <v>0</v>
      </c>
      <c r="E35" s="24">
        <v>0</v>
      </c>
      <c r="F35" s="24">
        <v>0</v>
      </c>
      <c r="G35" s="24">
        <v>0</v>
      </c>
      <c r="H35" s="24">
        <v>0</v>
      </c>
      <c r="I35" s="24">
        <v>0</v>
      </c>
      <c r="J35" s="24">
        <v>0</v>
      </c>
      <c r="K35" s="24">
        <v>0</v>
      </c>
      <c r="L35" s="24">
        <v>0</v>
      </c>
      <c r="M35" s="24">
        <v>0</v>
      </c>
      <c r="N35" s="228">
        <f t="shared" ref="N35:AR35" si="35">IFERROR(IF($M35-$D35&gt;=0,($M35-$D35)/COUNT($E$1:$M$1)+M35,$F99*$E99^N$1),0)</f>
        <v>0</v>
      </c>
      <c r="O35" s="228">
        <f t="shared" si="35"/>
        <v>0</v>
      </c>
      <c r="P35" s="228">
        <f t="shared" si="35"/>
        <v>0</v>
      </c>
      <c r="Q35" s="228">
        <f t="shared" si="35"/>
        <v>0</v>
      </c>
      <c r="R35" s="228">
        <f t="shared" si="35"/>
        <v>0</v>
      </c>
      <c r="S35" s="228">
        <f t="shared" si="35"/>
        <v>0</v>
      </c>
      <c r="T35" s="228">
        <f t="shared" si="35"/>
        <v>0</v>
      </c>
      <c r="U35" s="228">
        <f t="shared" si="35"/>
        <v>0</v>
      </c>
      <c r="V35" s="228">
        <f t="shared" si="35"/>
        <v>0</v>
      </c>
      <c r="W35" s="228">
        <f t="shared" si="35"/>
        <v>0</v>
      </c>
      <c r="X35" s="228">
        <f t="shared" si="35"/>
        <v>0</v>
      </c>
      <c r="Y35" s="228">
        <f t="shared" si="35"/>
        <v>0</v>
      </c>
      <c r="Z35" s="228">
        <f t="shared" si="35"/>
        <v>0</v>
      </c>
      <c r="AA35" s="228">
        <f t="shared" si="35"/>
        <v>0</v>
      </c>
      <c r="AB35" s="228">
        <f t="shared" si="35"/>
        <v>0</v>
      </c>
      <c r="AC35" s="228">
        <f t="shared" si="35"/>
        <v>0</v>
      </c>
      <c r="AD35" s="228">
        <f t="shared" si="35"/>
        <v>0</v>
      </c>
      <c r="AE35" s="228">
        <f t="shared" si="35"/>
        <v>0</v>
      </c>
      <c r="AF35" s="228">
        <f t="shared" si="35"/>
        <v>0</v>
      </c>
      <c r="AG35" s="228">
        <f t="shared" si="35"/>
        <v>0</v>
      </c>
      <c r="AH35" s="228">
        <f t="shared" si="35"/>
        <v>0</v>
      </c>
      <c r="AI35" s="228">
        <f t="shared" si="35"/>
        <v>0</v>
      </c>
      <c r="AJ35" s="228">
        <f t="shared" si="35"/>
        <v>0</v>
      </c>
      <c r="AK35" s="228">
        <f t="shared" si="35"/>
        <v>0</v>
      </c>
      <c r="AL35" s="228">
        <f t="shared" si="35"/>
        <v>0</v>
      </c>
      <c r="AM35" s="228">
        <f t="shared" si="35"/>
        <v>0</v>
      </c>
      <c r="AN35" s="228">
        <f t="shared" si="35"/>
        <v>0</v>
      </c>
      <c r="AO35" s="228">
        <f t="shared" si="35"/>
        <v>0</v>
      </c>
      <c r="AP35" s="228">
        <f t="shared" si="35"/>
        <v>0</v>
      </c>
      <c r="AQ35" s="228">
        <f t="shared" si="35"/>
        <v>0</v>
      </c>
      <c r="AR35" s="228">
        <f t="shared" si="35"/>
        <v>0</v>
      </c>
      <c r="AS35" s="228">
        <f t="shared" si="20"/>
        <v>0</v>
      </c>
      <c r="AT35" s="228">
        <f t="shared" si="20"/>
        <v>0</v>
      </c>
      <c r="AU35" s="228">
        <f t="shared" si="20"/>
        <v>0</v>
      </c>
      <c r="AV35" s="228">
        <f t="shared" si="20"/>
        <v>0</v>
      </c>
    </row>
    <row r="36" spans="1:48">
      <c r="A36" s="389" t="s">
        <v>702</v>
      </c>
      <c r="B36" t="s">
        <v>4</v>
      </c>
      <c r="C36" s="24" t="s">
        <v>189</v>
      </c>
      <c r="D36" s="24">
        <v>0</v>
      </c>
      <c r="E36" s="24">
        <v>0</v>
      </c>
      <c r="F36" s="24">
        <v>0</v>
      </c>
      <c r="G36" s="24">
        <v>0</v>
      </c>
      <c r="H36" s="24">
        <v>0</v>
      </c>
      <c r="I36" s="24">
        <v>0</v>
      </c>
      <c r="J36" s="24">
        <v>0</v>
      </c>
      <c r="K36" s="24">
        <v>0</v>
      </c>
      <c r="L36" s="24">
        <v>0</v>
      </c>
      <c r="M36" s="24">
        <v>0</v>
      </c>
      <c r="N36" s="228">
        <f t="shared" ref="N36:AR36" si="36">IFERROR(IF($M36-$D36&gt;=0,($M36-$D36)/COUNT($E$1:$M$1)+M36,$F100*$E100^N$1),0)</f>
        <v>0</v>
      </c>
      <c r="O36" s="228">
        <f t="shared" si="36"/>
        <v>0</v>
      </c>
      <c r="P36" s="228">
        <f t="shared" si="36"/>
        <v>0</v>
      </c>
      <c r="Q36" s="228">
        <f t="shared" si="36"/>
        <v>0</v>
      </c>
      <c r="R36" s="228">
        <f t="shared" si="36"/>
        <v>0</v>
      </c>
      <c r="S36" s="228">
        <f t="shared" si="36"/>
        <v>0</v>
      </c>
      <c r="T36" s="228">
        <f t="shared" si="36"/>
        <v>0</v>
      </c>
      <c r="U36" s="228">
        <f t="shared" si="36"/>
        <v>0</v>
      </c>
      <c r="V36" s="228">
        <f t="shared" si="36"/>
        <v>0</v>
      </c>
      <c r="W36" s="228">
        <f t="shared" si="36"/>
        <v>0</v>
      </c>
      <c r="X36" s="228">
        <f t="shared" si="36"/>
        <v>0</v>
      </c>
      <c r="Y36" s="228">
        <f t="shared" si="36"/>
        <v>0</v>
      </c>
      <c r="Z36" s="228">
        <f t="shared" si="36"/>
        <v>0</v>
      </c>
      <c r="AA36" s="228">
        <f t="shared" si="36"/>
        <v>0</v>
      </c>
      <c r="AB36" s="228">
        <f t="shared" si="36"/>
        <v>0</v>
      </c>
      <c r="AC36" s="228">
        <f t="shared" si="36"/>
        <v>0</v>
      </c>
      <c r="AD36" s="228">
        <f t="shared" si="36"/>
        <v>0</v>
      </c>
      <c r="AE36" s="228">
        <f t="shared" si="36"/>
        <v>0</v>
      </c>
      <c r="AF36" s="228">
        <f t="shared" si="36"/>
        <v>0</v>
      </c>
      <c r="AG36" s="228">
        <f t="shared" si="36"/>
        <v>0</v>
      </c>
      <c r="AH36" s="228">
        <f t="shared" si="36"/>
        <v>0</v>
      </c>
      <c r="AI36" s="228">
        <f t="shared" si="36"/>
        <v>0</v>
      </c>
      <c r="AJ36" s="228">
        <f t="shared" si="36"/>
        <v>0</v>
      </c>
      <c r="AK36" s="228">
        <f t="shared" si="36"/>
        <v>0</v>
      </c>
      <c r="AL36" s="228">
        <f t="shared" si="36"/>
        <v>0</v>
      </c>
      <c r="AM36" s="228">
        <f t="shared" si="36"/>
        <v>0</v>
      </c>
      <c r="AN36" s="228">
        <f t="shared" si="36"/>
        <v>0</v>
      </c>
      <c r="AO36" s="228">
        <f t="shared" si="36"/>
        <v>0</v>
      </c>
      <c r="AP36" s="228">
        <f t="shared" si="36"/>
        <v>0</v>
      </c>
      <c r="AQ36" s="228">
        <f t="shared" si="36"/>
        <v>0</v>
      </c>
      <c r="AR36" s="228">
        <f t="shared" si="36"/>
        <v>0</v>
      </c>
      <c r="AS36" s="228">
        <f t="shared" si="20"/>
        <v>0</v>
      </c>
      <c r="AT36" s="228">
        <f t="shared" si="20"/>
        <v>0</v>
      </c>
      <c r="AU36" s="228">
        <f t="shared" si="20"/>
        <v>0</v>
      </c>
      <c r="AV36" s="228">
        <f t="shared" si="20"/>
        <v>0</v>
      </c>
    </row>
    <row r="37" spans="1:48">
      <c r="A37" s="389" t="s">
        <v>703</v>
      </c>
      <c r="B37" t="s">
        <v>4</v>
      </c>
      <c r="C37" s="24" t="s">
        <v>189</v>
      </c>
      <c r="D37" s="24">
        <v>0</v>
      </c>
      <c r="E37" s="24">
        <v>0</v>
      </c>
      <c r="F37" s="24">
        <v>0</v>
      </c>
      <c r="G37" s="24">
        <v>0</v>
      </c>
      <c r="H37" s="24">
        <v>0</v>
      </c>
      <c r="I37" s="24">
        <v>0</v>
      </c>
      <c r="J37" s="24">
        <v>0</v>
      </c>
      <c r="K37" s="24">
        <v>0</v>
      </c>
      <c r="L37" s="24">
        <v>0</v>
      </c>
      <c r="M37" s="24">
        <v>0</v>
      </c>
      <c r="N37" s="228">
        <f t="shared" ref="N37:AR37" si="37">IFERROR(IF($M37-$D37&gt;=0,($M37-$D37)/COUNT($E$1:$M$1)+M37,$F101*$E101^N$1),0)</f>
        <v>0</v>
      </c>
      <c r="O37" s="228">
        <f t="shared" si="37"/>
        <v>0</v>
      </c>
      <c r="P37" s="228">
        <f t="shared" si="37"/>
        <v>0</v>
      </c>
      <c r="Q37" s="228">
        <f t="shared" si="37"/>
        <v>0</v>
      </c>
      <c r="R37" s="228">
        <f t="shared" si="37"/>
        <v>0</v>
      </c>
      <c r="S37" s="228">
        <f t="shared" si="37"/>
        <v>0</v>
      </c>
      <c r="T37" s="228">
        <f t="shared" si="37"/>
        <v>0</v>
      </c>
      <c r="U37" s="228">
        <f t="shared" si="37"/>
        <v>0</v>
      </c>
      <c r="V37" s="228">
        <f t="shared" si="37"/>
        <v>0</v>
      </c>
      <c r="W37" s="228">
        <f t="shared" si="37"/>
        <v>0</v>
      </c>
      <c r="X37" s="228">
        <f t="shared" si="37"/>
        <v>0</v>
      </c>
      <c r="Y37" s="228">
        <f t="shared" si="37"/>
        <v>0</v>
      </c>
      <c r="Z37" s="228">
        <f t="shared" si="37"/>
        <v>0</v>
      </c>
      <c r="AA37" s="228">
        <f t="shared" si="37"/>
        <v>0</v>
      </c>
      <c r="AB37" s="228">
        <f t="shared" si="37"/>
        <v>0</v>
      </c>
      <c r="AC37" s="228">
        <f t="shared" si="37"/>
        <v>0</v>
      </c>
      <c r="AD37" s="228">
        <f t="shared" si="37"/>
        <v>0</v>
      </c>
      <c r="AE37" s="228">
        <f t="shared" si="37"/>
        <v>0</v>
      </c>
      <c r="AF37" s="228">
        <f t="shared" si="37"/>
        <v>0</v>
      </c>
      <c r="AG37" s="228">
        <f t="shared" si="37"/>
        <v>0</v>
      </c>
      <c r="AH37" s="228">
        <f t="shared" si="37"/>
        <v>0</v>
      </c>
      <c r="AI37" s="228">
        <f t="shared" si="37"/>
        <v>0</v>
      </c>
      <c r="AJ37" s="228">
        <f t="shared" si="37"/>
        <v>0</v>
      </c>
      <c r="AK37" s="228">
        <f t="shared" si="37"/>
        <v>0</v>
      </c>
      <c r="AL37" s="228">
        <f t="shared" si="37"/>
        <v>0</v>
      </c>
      <c r="AM37" s="228">
        <f t="shared" si="37"/>
        <v>0</v>
      </c>
      <c r="AN37" s="228">
        <f t="shared" si="37"/>
        <v>0</v>
      </c>
      <c r="AO37" s="228">
        <f t="shared" si="37"/>
        <v>0</v>
      </c>
      <c r="AP37" s="228">
        <f t="shared" si="37"/>
        <v>0</v>
      </c>
      <c r="AQ37" s="228">
        <f t="shared" si="37"/>
        <v>0</v>
      </c>
      <c r="AR37" s="228">
        <f t="shared" si="37"/>
        <v>0</v>
      </c>
      <c r="AS37" s="228">
        <f t="shared" si="20"/>
        <v>0</v>
      </c>
      <c r="AT37" s="228">
        <f t="shared" si="20"/>
        <v>0</v>
      </c>
      <c r="AU37" s="228">
        <f t="shared" si="20"/>
        <v>0</v>
      </c>
      <c r="AV37" s="228">
        <f t="shared" si="20"/>
        <v>0</v>
      </c>
    </row>
    <row r="38" spans="1:48">
      <c r="A38" s="389" t="s">
        <v>709</v>
      </c>
      <c r="B38" t="s">
        <v>2</v>
      </c>
      <c r="C38" s="24" t="s">
        <v>189</v>
      </c>
      <c r="D38" s="24">
        <v>0</v>
      </c>
      <c r="E38" s="24">
        <v>0</v>
      </c>
      <c r="F38" s="24">
        <v>0</v>
      </c>
      <c r="G38" s="24">
        <v>0</v>
      </c>
      <c r="H38" s="24">
        <v>0</v>
      </c>
      <c r="I38" s="24">
        <v>0</v>
      </c>
      <c r="J38" s="24">
        <v>0</v>
      </c>
      <c r="K38" s="24">
        <v>0</v>
      </c>
      <c r="L38" s="24">
        <v>0</v>
      </c>
      <c r="M38" s="24">
        <v>0</v>
      </c>
      <c r="N38" s="228">
        <f t="shared" ref="N38:AR38" si="38">IFERROR(IF($M38-$D38&gt;=0,($M38-$D38)/COUNT($E$1:$M$1)+M38,$F102*$E102^N$1),0)</f>
        <v>0</v>
      </c>
      <c r="O38" s="228">
        <f t="shared" si="38"/>
        <v>0</v>
      </c>
      <c r="P38" s="228">
        <f t="shared" si="38"/>
        <v>0</v>
      </c>
      <c r="Q38" s="228">
        <f t="shared" si="38"/>
        <v>0</v>
      </c>
      <c r="R38" s="228">
        <f t="shared" si="38"/>
        <v>0</v>
      </c>
      <c r="S38" s="228">
        <f t="shared" si="38"/>
        <v>0</v>
      </c>
      <c r="T38" s="228">
        <f t="shared" si="38"/>
        <v>0</v>
      </c>
      <c r="U38" s="228">
        <f t="shared" si="38"/>
        <v>0</v>
      </c>
      <c r="V38" s="228">
        <f t="shared" si="38"/>
        <v>0</v>
      </c>
      <c r="W38" s="228">
        <f t="shared" si="38"/>
        <v>0</v>
      </c>
      <c r="X38" s="228">
        <f t="shared" si="38"/>
        <v>0</v>
      </c>
      <c r="Y38" s="228">
        <f t="shared" si="38"/>
        <v>0</v>
      </c>
      <c r="Z38" s="228">
        <f t="shared" si="38"/>
        <v>0</v>
      </c>
      <c r="AA38" s="228">
        <f t="shared" si="38"/>
        <v>0</v>
      </c>
      <c r="AB38" s="228">
        <f t="shared" si="38"/>
        <v>0</v>
      </c>
      <c r="AC38" s="228">
        <f t="shared" si="38"/>
        <v>0</v>
      </c>
      <c r="AD38" s="228">
        <f t="shared" si="38"/>
        <v>0</v>
      </c>
      <c r="AE38" s="228">
        <f t="shared" si="38"/>
        <v>0</v>
      </c>
      <c r="AF38" s="228">
        <f t="shared" si="38"/>
        <v>0</v>
      </c>
      <c r="AG38" s="228">
        <f t="shared" si="38"/>
        <v>0</v>
      </c>
      <c r="AH38" s="228">
        <f t="shared" si="38"/>
        <v>0</v>
      </c>
      <c r="AI38" s="228">
        <f t="shared" si="38"/>
        <v>0</v>
      </c>
      <c r="AJ38" s="228">
        <f t="shared" si="38"/>
        <v>0</v>
      </c>
      <c r="AK38" s="228">
        <f t="shared" si="38"/>
        <v>0</v>
      </c>
      <c r="AL38" s="228">
        <f t="shared" si="38"/>
        <v>0</v>
      </c>
      <c r="AM38" s="228">
        <f t="shared" si="38"/>
        <v>0</v>
      </c>
      <c r="AN38" s="228">
        <f t="shared" si="38"/>
        <v>0</v>
      </c>
      <c r="AO38" s="228">
        <f t="shared" si="38"/>
        <v>0</v>
      </c>
      <c r="AP38" s="228">
        <f t="shared" si="38"/>
        <v>0</v>
      </c>
      <c r="AQ38" s="228">
        <f t="shared" si="38"/>
        <v>0</v>
      </c>
      <c r="AR38" s="228">
        <f t="shared" si="38"/>
        <v>0</v>
      </c>
      <c r="AS38" s="228">
        <f t="shared" si="20"/>
        <v>0</v>
      </c>
      <c r="AT38" s="228">
        <f t="shared" si="20"/>
        <v>0</v>
      </c>
      <c r="AU38" s="228">
        <f t="shared" si="20"/>
        <v>0</v>
      </c>
      <c r="AV38" s="228">
        <f t="shared" si="20"/>
        <v>0</v>
      </c>
    </row>
    <row r="39" spans="1:48">
      <c r="A39" s="389" t="s">
        <v>711</v>
      </c>
      <c r="B39" t="s">
        <v>726</v>
      </c>
      <c r="C39" s="24" t="s">
        <v>189</v>
      </c>
      <c r="D39" s="24">
        <f>'06'!L55</f>
        <v>0.24578780637556799</v>
      </c>
      <c r="E39" s="24">
        <f>'07'!L55</f>
        <v>0.29086554519368002</v>
      </c>
      <c r="F39" s="24">
        <f>'08'!L55</f>
        <v>0.34583001487606402</v>
      </c>
      <c r="G39" s="24">
        <f>'09'!L55</f>
        <v>0.31923265363998599</v>
      </c>
      <c r="H39" s="24">
        <f>'10'!L55</f>
        <v>0.54045045398687097</v>
      </c>
      <c r="I39" s="24">
        <f>'11'!L55</f>
        <v>1.20855662001047</v>
      </c>
      <c r="J39" s="24">
        <f>'12'!L55</f>
        <v>2.71516612616742</v>
      </c>
      <c r="K39" s="24">
        <f>'13'!L55</f>
        <v>1.4014978967987599</v>
      </c>
      <c r="L39" s="24">
        <f>'14'!L55</f>
        <v>0.86249475224353001</v>
      </c>
      <c r="M39" s="24">
        <f>'15'!L55</f>
        <v>0.83792461175920596</v>
      </c>
      <c r="N39" s="228">
        <f t="shared" ref="N39:AR39" si="39">IFERROR(IF($M39-$D39&gt;=0,($M39-$D39)/COUNT($E$1:$M$1)+M39,$F103*$E103^N$1),0)</f>
        <v>0.90371759013516573</v>
      </c>
      <c r="O39" s="228">
        <f t="shared" si="39"/>
        <v>0.96951056851112549</v>
      </c>
      <c r="P39" s="228">
        <f t="shared" si="39"/>
        <v>1.0353035468870853</v>
      </c>
      <c r="Q39" s="228">
        <f t="shared" si="39"/>
        <v>1.1010965252630451</v>
      </c>
      <c r="R39" s="228">
        <f t="shared" si="39"/>
        <v>1.166889503639005</v>
      </c>
      <c r="S39" s="228">
        <f t="shared" si="39"/>
        <v>1.2326824820149649</v>
      </c>
      <c r="T39" s="228">
        <f t="shared" si="39"/>
        <v>1.2984754603909248</v>
      </c>
      <c r="U39" s="228">
        <f t="shared" si="39"/>
        <v>1.3642684387668846</v>
      </c>
      <c r="V39" s="228">
        <f t="shared" si="39"/>
        <v>1.4300614171428445</v>
      </c>
      <c r="W39" s="228">
        <f t="shared" si="39"/>
        <v>1.4958543955188044</v>
      </c>
      <c r="X39" s="228">
        <f t="shared" si="39"/>
        <v>1.5616473738947643</v>
      </c>
      <c r="Y39" s="228">
        <f t="shared" si="39"/>
        <v>1.6274403522707241</v>
      </c>
      <c r="Z39" s="228">
        <f t="shared" si="39"/>
        <v>1.693233330646684</v>
      </c>
      <c r="AA39" s="228">
        <f t="shared" si="39"/>
        <v>1.7590263090226439</v>
      </c>
      <c r="AB39" s="228">
        <f t="shared" si="39"/>
        <v>1.8248192873986038</v>
      </c>
      <c r="AC39" s="228">
        <f t="shared" si="39"/>
        <v>1.8906122657745636</v>
      </c>
      <c r="AD39" s="228">
        <f t="shared" si="39"/>
        <v>1.9564052441505235</v>
      </c>
      <c r="AE39" s="228">
        <f t="shared" si="39"/>
        <v>2.0221982225264834</v>
      </c>
      <c r="AF39" s="228">
        <f t="shared" si="39"/>
        <v>2.0879912009024433</v>
      </c>
      <c r="AG39" s="228">
        <f t="shared" si="39"/>
        <v>2.1537841792784032</v>
      </c>
      <c r="AH39" s="228">
        <f t="shared" si="39"/>
        <v>2.219577157654363</v>
      </c>
      <c r="AI39" s="228">
        <f t="shared" si="39"/>
        <v>2.2853701360303229</v>
      </c>
      <c r="AJ39" s="228">
        <f t="shared" si="39"/>
        <v>2.3511631144062828</v>
      </c>
      <c r="AK39" s="228">
        <f t="shared" si="39"/>
        <v>2.4169560927822427</v>
      </c>
      <c r="AL39" s="228">
        <f t="shared" si="39"/>
        <v>2.4827490711582025</v>
      </c>
      <c r="AM39" s="228">
        <f t="shared" si="39"/>
        <v>2.5485420495341624</v>
      </c>
      <c r="AN39" s="228">
        <f t="shared" si="39"/>
        <v>2.6143350279101223</v>
      </c>
      <c r="AO39" s="228">
        <f t="shared" si="39"/>
        <v>2.6801280062860822</v>
      </c>
      <c r="AP39" s="228">
        <f t="shared" si="39"/>
        <v>2.745920984662042</v>
      </c>
      <c r="AQ39" s="228">
        <f t="shared" si="39"/>
        <v>2.8117139630380019</v>
      </c>
      <c r="AR39" s="228">
        <f t="shared" si="39"/>
        <v>2.8775069414139618</v>
      </c>
      <c r="AS39" s="228">
        <f t="shared" si="20"/>
        <v>2.9432999197899217</v>
      </c>
      <c r="AT39" s="228">
        <f t="shared" si="20"/>
        <v>3.0090928981658815</v>
      </c>
      <c r="AU39" s="228">
        <f t="shared" si="20"/>
        <v>3.0748858765418414</v>
      </c>
      <c r="AV39" s="228">
        <f t="shared" si="20"/>
        <v>3.1406788549178013</v>
      </c>
    </row>
    <row r="40" spans="1:48">
      <c r="A40" s="389" t="s">
        <v>185</v>
      </c>
      <c r="B40" t="s">
        <v>26</v>
      </c>
      <c r="C40" s="24" t="s">
        <v>189</v>
      </c>
      <c r="D40" s="24">
        <v>0</v>
      </c>
      <c r="E40" s="24">
        <v>0</v>
      </c>
      <c r="F40" s="24">
        <v>0</v>
      </c>
      <c r="G40" s="24">
        <v>0</v>
      </c>
      <c r="H40" s="24">
        <v>0</v>
      </c>
      <c r="I40" s="24">
        <v>0</v>
      </c>
      <c r="J40" s="24">
        <v>0</v>
      </c>
      <c r="K40" s="24">
        <v>0</v>
      </c>
      <c r="L40" s="24">
        <v>0</v>
      </c>
      <c r="M40" s="24">
        <v>0</v>
      </c>
      <c r="N40" s="228">
        <f t="shared" ref="N40:AR40" si="40">IFERROR(IF($M40-$D40&gt;=0,($M40-$D40)/COUNT($E$1:$M$1)+M40,$F104*$E104^N$1),0)</f>
        <v>0</v>
      </c>
      <c r="O40" s="228">
        <f t="shared" si="40"/>
        <v>0</v>
      </c>
      <c r="P40" s="228">
        <f t="shared" si="40"/>
        <v>0</v>
      </c>
      <c r="Q40" s="228">
        <f t="shared" si="40"/>
        <v>0</v>
      </c>
      <c r="R40" s="228">
        <f t="shared" si="40"/>
        <v>0</v>
      </c>
      <c r="S40" s="228">
        <f t="shared" si="40"/>
        <v>0</v>
      </c>
      <c r="T40" s="228">
        <f t="shared" si="40"/>
        <v>0</v>
      </c>
      <c r="U40" s="228">
        <f t="shared" si="40"/>
        <v>0</v>
      </c>
      <c r="V40" s="228">
        <f t="shared" si="40"/>
        <v>0</v>
      </c>
      <c r="W40" s="228">
        <f t="shared" si="40"/>
        <v>0</v>
      </c>
      <c r="X40" s="228">
        <f t="shared" si="40"/>
        <v>0</v>
      </c>
      <c r="Y40" s="228">
        <f t="shared" si="40"/>
        <v>0</v>
      </c>
      <c r="Z40" s="228">
        <f t="shared" si="40"/>
        <v>0</v>
      </c>
      <c r="AA40" s="228">
        <f t="shared" si="40"/>
        <v>0</v>
      </c>
      <c r="AB40" s="228">
        <f t="shared" si="40"/>
        <v>0</v>
      </c>
      <c r="AC40" s="228">
        <f t="shared" si="40"/>
        <v>0</v>
      </c>
      <c r="AD40" s="228">
        <f t="shared" si="40"/>
        <v>0</v>
      </c>
      <c r="AE40" s="228">
        <f t="shared" si="40"/>
        <v>0</v>
      </c>
      <c r="AF40" s="228">
        <f t="shared" si="40"/>
        <v>0</v>
      </c>
      <c r="AG40" s="228">
        <f t="shared" si="40"/>
        <v>0</v>
      </c>
      <c r="AH40" s="228">
        <f t="shared" si="40"/>
        <v>0</v>
      </c>
      <c r="AI40" s="228">
        <f t="shared" si="40"/>
        <v>0</v>
      </c>
      <c r="AJ40" s="228">
        <f t="shared" si="40"/>
        <v>0</v>
      </c>
      <c r="AK40" s="228">
        <f t="shared" si="40"/>
        <v>0</v>
      </c>
      <c r="AL40" s="228">
        <f t="shared" si="40"/>
        <v>0</v>
      </c>
      <c r="AM40" s="228">
        <f t="shared" si="40"/>
        <v>0</v>
      </c>
      <c r="AN40" s="228">
        <f t="shared" si="40"/>
        <v>0</v>
      </c>
      <c r="AO40" s="228">
        <f t="shared" si="40"/>
        <v>0</v>
      </c>
      <c r="AP40" s="228">
        <f t="shared" si="40"/>
        <v>0</v>
      </c>
      <c r="AQ40" s="228">
        <f t="shared" si="40"/>
        <v>0</v>
      </c>
      <c r="AR40" s="228">
        <f t="shared" si="40"/>
        <v>0</v>
      </c>
      <c r="AS40" s="228">
        <f t="shared" ref="AS40:AV55" si="41">IFERROR(IF($M40-$D40&gt;=0,($M40-$D40)/COUNT($E$1:$M$1)+AR40,$F104*$E104^AS$1),0)</f>
        <v>0</v>
      </c>
      <c r="AT40" s="228">
        <f t="shared" si="41"/>
        <v>0</v>
      </c>
      <c r="AU40" s="228">
        <f t="shared" si="41"/>
        <v>0</v>
      </c>
      <c r="AV40" s="228">
        <f t="shared" si="41"/>
        <v>0</v>
      </c>
    </row>
    <row r="41" spans="1:48">
      <c r="A41" s="389" t="s">
        <v>716</v>
      </c>
      <c r="B41" t="s">
        <v>26</v>
      </c>
      <c r="C41" s="24" t="s">
        <v>189</v>
      </c>
      <c r="D41" s="24">
        <v>0</v>
      </c>
      <c r="E41" s="24">
        <v>0</v>
      </c>
      <c r="F41" s="24">
        <v>0</v>
      </c>
      <c r="G41" s="24">
        <v>0</v>
      </c>
      <c r="H41" s="24">
        <v>0</v>
      </c>
      <c r="I41" s="24">
        <v>0</v>
      </c>
      <c r="J41" s="24">
        <v>0</v>
      </c>
      <c r="K41" s="24">
        <v>0</v>
      </c>
      <c r="L41" s="24">
        <v>0</v>
      </c>
      <c r="M41" s="24">
        <v>0</v>
      </c>
      <c r="N41" s="228">
        <f t="shared" ref="N41:AR41" si="42">IFERROR(IF($M41-$D41&gt;=0,($M41-$D41)/COUNT($E$1:$M$1)+M41,$F105*$E105^N$1),0)</f>
        <v>0</v>
      </c>
      <c r="O41" s="228">
        <f t="shared" si="42"/>
        <v>0</v>
      </c>
      <c r="P41" s="228">
        <f t="shared" si="42"/>
        <v>0</v>
      </c>
      <c r="Q41" s="228">
        <f t="shared" si="42"/>
        <v>0</v>
      </c>
      <c r="R41" s="228">
        <f t="shared" si="42"/>
        <v>0</v>
      </c>
      <c r="S41" s="228">
        <f t="shared" si="42"/>
        <v>0</v>
      </c>
      <c r="T41" s="228">
        <f t="shared" si="42"/>
        <v>0</v>
      </c>
      <c r="U41" s="228">
        <f t="shared" si="42"/>
        <v>0</v>
      </c>
      <c r="V41" s="228">
        <f t="shared" si="42"/>
        <v>0</v>
      </c>
      <c r="W41" s="228">
        <f t="shared" si="42"/>
        <v>0</v>
      </c>
      <c r="X41" s="228">
        <f t="shared" si="42"/>
        <v>0</v>
      </c>
      <c r="Y41" s="228">
        <f t="shared" si="42"/>
        <v>0</v>
      </c>
      <c r="Z41" s="228">
        <f t="shared" si="42"/>
        <v>0</v>
      </c>
      <c r="AA41" s="228">
        <f t="shared" si="42"/>
        <v>0</v>
      </c>
      <c r="AB41" s="228">
        <f t="shared" si="42"/>
        <v>0</v>
      </c>
      <c r="AC41" s="228">
        <f t="shared" si="42"/>
        <v>0</v>
      </c>
      <c r="AD41" s="228">
        <f t="shared" si="42"/>
        <v>0</v>
      </c>
      <c r="AE41" s="228">
        <f t="shared" si="42"/>
        <v>0</v>
      </c>
      <c r="AF41" s="228">
        <f t="shared" si="42"/>
        <v>0</v>
      </c>
      <c r="AG41" s="228">
        <f t="shared" si="42"/>
        <v>0</v>
      </c>
      <c r="AH41" s="228">
        <f t="shared" si="42"/>
        <v>0</v>
      </c>
      <c r="AI41" s="228">
        <f t="shared" si="42"/>
        <v>0</v>
      </c>
      <c r="AJ41" s="228">
        <f t="shared" si="42"/>
        <v>0</v>
      </c>
      <c r="AK41" s="228">
        <f t="shared" si="42"/>
        <v>0</v>
      </c>
      <c r="AL41" s="228">
        <f t="shared" si="42"/>
        <v>0</v>
      </c>
      <c r="AM41" s="228">
        <f t="shared" si="42"/>
        <v>0</v>
      </c>
      <c r="AN41" s="228">
        <f t="shared" si="42"/>
        <v>0</v>
      </c>
      <c r="AO41" s="228">
        <f t="shared" si="42"/>
        <v>0</v>
      </c>
      <c r="AP41" s="228">
        <f t="shared" si="42"/>
        <v>0</v>
      </c>
      <c r="AQ41" s="228">
        <f t="shared" si="42"/>
        <v>0</v>
      </c>
      <c r="AR41" s="228">
        <f t="shared" si="42"/>
        <v>0</v>
      </c>
      <c r="AS41" s="228">
        <f t="shared" si="41"/>
        <v>0</v>
      </c>
      <c r="AT41" s="228">
        <f t="shared" si="41"/>
        <v>0</v>
      </c>
      <c r="AU41" s="228">
        <f t="shared" si="41"/>
        <v>0</v>
      </c>
      <c r="AV41" s="228">
        <f t="shared" si="41"/>
        <v>0</v>
      </c>
    </row>
    <row r="42" spans="1:48">
      <c r="A42" s="389" t="s">
        <v>184</v>
      </c>
      <c r="B42" t="s">
        <v>4</v>
      </c>
      <c r="C42" s="24" t="s">
        <v>190</v>
      </c>
      <c r="D42" s="24">
        <v>0</v>
      </c>
      <c r="E42" s="24">
        <v>0</v>
      </c>
      <c r="F42" s="24">
        <v>0</v>
      </c>
      <c r="G42" s="24">
        <v>0</v>
      </c>
      <c r="H42" s="24">
        <v>0</v>
      </c>
      <c r="I42" s="24">
        <v>0</v>
      </c>
      <c r="J42" s="24">
        <v>0</v>
      </c>
      <c r="K42" s="24">
        <v>0</v>
      </c>
      <c r="L42" s="24">
        <v>0</v>
      </c>
      <c r="M42" s="24">
        <v>0</v>
      </c>
      <c r="N42" s="228">
        <f t="shared" ref="N42:AR42" si="43">IFERROR(IF($M42-$D42&gt;=0,($M42-$D42)/COUNT($E$1:$M$1)+M42,$F106*$E106^N$1),0)</f>
        <v>0</v>
      </c>
      <c r="O42" s="228">
        <f t="shared" si="43"/>
        <v>0</v>
      </c>
      <c r="P42" s="228">
        <f t="shared" si="43"/>
        <v>0</v>
      </c>
      <c r="Q42" s="228">
        <f t="shared" si="43"/>
        <v>0</v>
      </c>
      <c r="R42" s="228">
        <f t="shared" si="43"/>
        <v>0</v>
      </c>
      <c r="S42" s="228">
        <f t="shared" si="43"/>
        <v>0</v>
      </c>
      <c r="T42" s="228">
        <f t="shared" si="43"/>
        <v>0</v>
      </c>
      <c r="U42" s="228">
        <f t="shared" si="43"/>
        <v>0</v>
      </c>
      <c r="V42" s="228">
        <f t="shared" si="43"/>
        <v>0</v>
      </c>
      <c r="W42" s="228">
        <f t="shared" si="43"/>
        <v>0</v>
      </c>
      <c r="X42" s="228">
        <f t="shared" si="43"/>
        <v>0</v>
      </c>
      <c r="Y42" s="228">
        <f t="shared" si="43"/>
        <v>0</v>
      </c>
      <c r="Z42" s="228">
        <f t="shared" si="43"/>
        <v>0</v>
      </c>
      <c r="AA42" s="228">
        <f t="shared" si="43"/>
        <v>0</v>
      </c>
      <c r="AB42" s="228">
        <f t="shared" si="43"/>
        <v>0</v>
      </c>
      <c r="AC42" s="228">
        <f t="shared" si="43"/>
        <v>0</v>
      </c>
      <c r="AD42" s="228">
        <f t="shared" si="43"/>
        <v>0</v>
      </c>
      <c r="AE42" s="228">
        <f t="shared" si="43"/>
        <v>0</v>
      </c>
      <c r="AF42" s="228">
        <f t="shared" si="43"/>
        <v>0</v>
      </c>
      <c r="AG42" s="228">
        <f t="shared" si="43"/>
        <v>0</v>
      </c>
      <c r="AH42" s="228">
        <f t="shared" si="43"/>
        <v>0</v>
      </c>
      <c r="AI42" s="228">
        <f t="shared" si="43"/>
        <v>0</v>
      </c>
      <c r="AJ42" s="228">
        <f t="shared" si="43"/>
        <v>0</v>
      </c>
      <c r="AK42" s="228">
        <f t="shared" si="43"/>
        <v>0</v>
      </c>
      <c r="AL42" s="228">
        <f t="shared" si="43"/>
        <v>0</v>
      </c>
      <c r="AM42" s="228">
        <f t="shared" si="43"/>
        <v>0</v>
      </c>
      <c r="AN42" s="228">
        <f t="shared" si="43"/>
        <v>0</v>
      </c>
      <c r="AO42" s="228">
        <f t="shared" si="43"/>
        <v>0</v>
      </c>
      <c r="AP42" s="228">
        <f t="shared" si="43"/>
        <v>0</v>
      </c>
      <c r="AQ42" s="228">
        <f t="shared" si="43"/>
        <v>0</v>
      </c>
      <c r="AR42" s="228">
        <f t="shared" si="43"/>
        <v>0</v>
      </c>
      <c r="AS42" s="228">
        <f t="shared" si="41"/>
        <v>0</v>
      </c>
      <c r="AT42" s="228">
        <f t="shared" si="41"/>
        <v>0</v>
      </c>
      <c r="AU42" s="228">
        <f t="shared" si="41"/>
        <v>0</v>
      </c>
      <c r="AV42" s="228">
        <f t="shared" si="41"/>
        <v>0</v>
      </c>
    </row>
    <row r="43" spans="1:48">
      <c r="A43" s="389" t="s">
        <v>182</v>
      </c>
      <c r="B43" t="s">
        <v>4</v>
      </c>
      <c r="C43" s="24" t="s">
        <v>190</v>
      </c>
      <c r="D43" s="24">
        <v>0</v>
      </c>
      <c r="E43" s="24">
        <v>0</v>
      </c>
      <c r="F43" s="24">
        <v>0</v>
      </c>
      <c r="G43" s="24">
        <v>0</v>
      </c>
      <c r="H43" s="24">
        <v>0</v>
      </c>
      <c r="I43" s="24">
        <v>0</v>
      </c>
      <c r="J43" s="24">
        <v>0</v>
      </c>
      <c r="K43" s="24">
        <v>0</v>
      </c>
      <c r="L43" s="24">
        <v>0</v>
      </c>
      <c r="M43" s="24">
        <v>0</v>
      </c>
      <c r="N43" s="228">
        <f t="shared" ref="N43:AR43" si="44">IFERROR(IF($M43-$D43&gt;=0,($M43-$D43)/COUNT($E$1:$M$1)+M43,$F107*$E107^N$1),0)</f>
        <v>0</v>
      </c>
      <c r="O43" s="228">
        <f t="shared" si="44"/>
        <v>0</v>
      </c>
      <c r="P43" s="228">
        <f t="shared" si="44"/>
        <v>0</v>
      </c>
      <c r="Q43" s="228">
        <f t="shared" si="44"/>
        <v>0</v>
      </c>
      <c r="R43" s="228">
        <f t="shared" si="44"/>
        <v>0</v>
      </c>
      <c r="S43" s="228">
        <f t="shared" si="44"/>
        <v>0</v>
      </c>
      <c r="T43" s="228">
        <f t="shared" si="44"/>
        <v>0</v>
      </c>
      <c r="U43" s="228">
        <f t="shared" si="44"/>
        <v>0</v>
      </c>
      <c r="V43" s="228">
        <f t="shared" si="44"/>
        <v>0</v>
      </c>
      <c r="W43" s="228">
        <f t="shared" si="44"/>
        <v>0</v>
      </c>
      <c r="X43" s="228">
        <f t="shared" si="44"/>
        <v>0</v>
      </c>
      <c r="Y43" s="228">
        <f t="shared" si="44"/>
        <v>0</v>
      </c>
      <c r="Z43" s="228">
        <f t="shared" si="44"/>
        <v>0</v>
      </c>
      <c r="AA43" s="228">
        <f t="shared" si="44"/>
        <v>0</v>
      </c>
      <c r="AB43" s="228">
        <f t="shared" si="44"/>
        <v>0</v>
      </c>
      <c r="AC43" s="228">
        <f t="shared" si="44"/>
        <v>0</v>
      </c>
      <c r="AD43" s="228">
        <f t="shared" si="44"/>
        <v>0</v>
      </c>
      <c r="AE43" s="228">
        <f t="shared" si="44"/>
        <v>0</v>
      </c>
      <c r="AF43" s="228">
        <f t="shared" si="44"/>
        <v>0</v>
      </c>
      <c r="AG43" s="228">
        <f t="shared" si="44"/>
        <v>0</v>
      </c>
      <c r="AH43" s="228">
        <f t="shared" si="44"/>
        <v>0</v>
      </c>
      <c r="AI43" s="228">
        <f t="shared" si="44"/>
        <v>0</v>
      </c>
      <c r="AJ43" s="228">
        <f t="shared" si="44"/>
        <v>0</v>
      </c>
      <c r="AK43" s="228">
        <f t="shared" si="44"/>
        <v>0</v>
      </c>
      <c r="AL43" s="228">
        <f t="shared" si="44"/>
        <v>0</v>
      </c>
      <c r="AM43" s="228">
        <f t="shared" si="44"/>
        <v>0</v>
      </c>
      <c r="AN43" s="228">
        <f t="shared" si="44"/>
        <v>0</v>
      </c>
      <c r="AO43" s="228">
        <f t="shared" si="44"/>
        <v>0</v>
      </c>
      <c r="AP43" s="228">
        <f t="shared" si="44"/>
        <v>0</v>
      </c>
      <c r="AQ43" s="228">
        <f t="shared" si="44"/>
        <v>0</v>
      </c>
      <c r="AR43" s="228">
        <f t="shared" si="44"/>
        <v>0</v>
      </c>
      <c r="AS43" s="228">
        <f t="shared" si="41"/>
        <v>0</v>
      </c>
      <c r="AT43" s="228">
        <f t="shared" si="41"/>
        <v>0</v>
      </c>
      <c r="AU43" s="228">
        <f t="shared" si="41"/>
        <v>0</v>
      </c>
      <c r="AV43" s="228">
        <f t="shared" si="41"/>
        <v>0</v>
      </c>
    </row>
    <row r="44" spans="1:48" s="23" customFormat="1">
      <c r="A44" s="389" t="s">
        <v>702</v>
      </c>
      <c r="B44" t="s">
        <v>4</v>
      </c>
      <c r="C44" s="24" t="s">
        <v>190</v>
      </c>
      <c r="D44" s="24">
        <v>0</v>
      </c>
      <c r="E44" s="24">
        <f ca="1">INDEX(INDIRECT(CONCATENATE("'",RIGHT(E$1,2),"'!$F$8:$N$88")),MATCH($A44,INDIRECT(CONCATENATE("'",RIGHT(E$1,2),IF($B44="chemicals","'!$C$8:$C$88","'!$B$8:$B$88"))),0),MATCH('Other Industrial Processes'!$C44,INDIRECT(CONCATENATE("'",RIGHT(E$1,2),"'!$F$4:$N$4")),0))</f>
        <v>0</v>
      </c>
      <c r="F44" s="24">
        <f ca="1">INDEX(INDIRECT(CONCATENATE("'",RIGHT(F$1,2),"'!$F$8:$N$88")),MATCH($A44,INDIRECT(CONCATENATE("'",RIGHT(F$1,2),IF($B44="chemicals","'!$C$8:$C$88","'!$B$8:$B$88"))),0),MATCH('Other Industrial Processes'!$C44,INDIRECT(CONCATENATE("'",RIGHT(F$1,2),"'!$F$4:$N$4")),0))</f>
        <v>0</v>
      </c>
      <c r="G44" s="24">
        <f ca="1">INDEX(INDIRECT(CONCATENATE("'",RIGHT(G$1,2),"'!$F$8:$N$88")),MATCH($A44,INDIRECT(CONCATENATE("'",RIGHT(G$1,2),IF($B44="chemicals","'!$C$8:$C$88","'!$B$8:$B$88"))),0),MATCH('Other Industrial Processes'!$C44,INDIRECT(CONCATENATE("'",RIGHT(G$1,2),"'!$F$4:$N$4")),0))</f>
        <v>0</v>
      </c>
      <c r="H44" s="24">
        <f ca="1">INDEX(INDIRECT(CONCATENATE("'",RIGHT(H$1,2),"'!$F$8:$N$88")),MATCH($A44,INDIRECT(CONCATENATE("'",RIGHT(H$1,2),IF($B44="chemicals","'!$C$8:$C$88","'!$B$8:$B$88"))),0),MATCH('Other Industrial Processes'!$C44,INDIRECT(CONCATENATE("'",RIGHT(H$1,2),"'!$F$4:$N$4")),0))</f>
        <v>0</v>
      </c>
      <c r="I44" s="24">
        <f ca="1">INDEX(INDIRECT(CONCATENATE("'",RIGHT(I$1,2),"'!$F$8:$N$88")),MATCH($A44,INDIRECT(CONCATENATE("'",RIGHT(I$1,2),IF($B44="chemicals","'!$C$8:$C$88","'!$B$8:$B$88"))),0),MATCH('Other Industrial Processes'!$C44,INDIRECT(CONCATENATE("'",RIGHT(I$1,2),"'!$F$4:$N$4")),0))</f>
        <v>0</v>
      </c>
      <c r="J44" s="24">
        <f ca="1">INDEX(INDIRECT(CONCATENATE("'",RIGHT(J$1,2),"'!$F$8:$N$88")),MATCH($A44,INDIRECT(CONCATENATE("'",RIGHT(J$1,2),IF($B44="chemicals","'!$C$8:$C$88","'!$B$8:$B$88"))),0),MATCH('Other Industrial Processes'!$C44,INDIRECT(CONCATENATE("'",RIGHT(J$1,2),"'!$F$4:$N$4")),0))</f>
        <v>0</v>
      </c>
      <c r="K44" s="24">
        <f ca="1">INDEX(INDIRECT(CONCATENATE("'",RIGHT(K$1,2),"'!$F$8:$N$88")),MATCH($A44,INDIRECT(CONCATENATE("'",RIGHT(K$1,2),IF($B44="chemicals","'!$C$8:$C$88","'!$B$8:$B$88"))),0),MATCH('Other Industrial Processes'!$C44,INDIRECT(CONCATENATE("'",RIGHT(K$1,2),"'!$F$4:$N$4")),0))</f>
        <v>0</v>
      </c>
      <c r="L44" s="24">
        <f ca="1">INDEX(INDIRECT(CONCATENATE("'",RIGHT(L$1,2),"'!$F$8:$N$88")),MATCH($A44,INDIRECT(CONCATENATE("'",RIGHT(L$1,2),IF($B44="chemicals","'!$C$8:$C$88","'!$B$8:$B$88"))),0),MATCH('Other Industrial Processes'!$C44,INDIRECT(CONCATENATE("'",RIGHT(L$1,2),"'!$F$4:$N$4")),0))</f>
        <v>0</v>
      </c>
      <c r="M44" s="24">
        <v>0</v>
      </c>
      <c r="N44" s="228">
        <f t="shared" ref="N44:AR44" si="45">IFERROR(IF($M44-$D44&gt;=0,($M44-$D44)/COUNT($E$1:$M$1)+M44,$F108*$E108^N$1),0)</f>
        <v>0</v>
      </c>
      <c r="O44" s="228">
        <f t="shared" si="45"/>
        <v>0</v>
      </c>
      <c r="P44" s="228">
        <f t="shared" si="45"/>
        <v>0</v>
      </c>
      <c r="Q44" s="228">
        <f t="shared" si="45"/>
        <v>0</v>
      </c>
      <c r="R44" s="228">
        <f t="shared" si="45"/>
        <v>0</v>
      </c>
      <c r="S44" s="228">
        <f t="shared" si="45"/>
        <v>0</v>
      </c>
      <c r="T44" s="228">
        <f t="shared" si="45"/>
        <v>0</v>
      </c>
      <c r="U44" s="228">
        <f t="shared" si="45"/>
        <v>0</v>
      </c>
      <c r="V44" s="228">
        <f t="shared" si="45"/>
        <v>0</v>
      </c>
      <c r="W44" s="228">
        <f t="shared" si="45"/>
        <v>0</v>
      </c>
      <c r="X44" s="228">
        <f t="shared" si="45"/>
        <v>0</v>
      </c>
      <c r="Y44" s="228">
        <f t="shared" si="45"/>
        <v>0</v>
      </c>
      <c r="Z44" s="228">
        <f t="shared" si="45"/>
        <v>0</v>
      </c>
      <c r="AA44" s="228">
        <f t="shared" si="45"/>
        <v>0</v>
      </c>
      <c r="AB44" s="228">
        <f t="shared" si="45"/>
        <v>0</v>
      </c>
      <c r="AC44" s="228">
        <f t="shared" si="45"/>
        <v>0</v>
      </c>
      <c r="AD44" s="228">
        <f t="shared" si="45"/>
        <v>0</v>
      </c>
      <c r="AE44" s="228">
        <f t="shared" si="45"/>
        <v>0</v>
      </c>
      <c r="AF44" s="228">
        <f t="shared" si="45"/>
        <v>0</v>
      </c>
      <c r="AG44" s="228">
        <f t="shared" si="45"/>
        <v>0</v>
      </c>
      <c r="AH44" s="228">
        <f t="shared" si="45"/>
        <v>0</v>
      </c>
      <c r="AI44" s="228">
        <f t="shared" si="45"/>
        <v>0</v>
      </c>
      <c r="AJ44" s="228">
        <f t="shared" si="45"/>
        <v>0</v>
      </c>
      <c r="AK44" s="228">
        <f t="shared" si="45"/>
        <v>0</v>
      </c>
      <c r="AL44" s="228">
        <f t="shared" si="45"/>
        <v>0</v>
      </c>
      <c r="AM44" s="228">
        <f t="shared" si="45"/>
        <v>0</v>
      </c>
      <c r="AN44" s="228">
        <f t="shared" si="45"/>
        <v>0</v>
      </c>
      <c r="AO44" s="228">
        <f t="shared" si="45"/>
        <v>0</v>
      </c>
      <c r="AP44" s="228">
        <f t="shared" si="45"/>
        <v>0</v>
      </c>
      <c r="AQ44" s="228">
        <f t="shared" si="45"/>
        <v>0</v>
      </c>
      <c r="AR44" s="228">
        <f t="shared" si="45"/>
        <v>0</v>
      </c>
      <c r="AS44" s="228">
        <f t="shared" si="41"/>
        <v>0</v>
      </c>
      <c r="AT44" s="228">
        <f t="shared" si="41"/>
        <v>0</v>
      </c>
      <c r="AU44" s="228">
        <f t="shared" si="41"/>
        <v>0</v>
      </c>
      <c r="AV44" s="228">
        <f t="shared" si="41"/>
        <v>0</v>
      </c>
    </row>
    <row r="45" spans="1:48">
      <c r="A45" s="389" t="s">
        <v>703</v>
      </c>
      <c r="B45" t="s">
        <v>4</v>
      </c>
      <c r="C45" s="24" t="s">
        <v>190</v>
      </c>
      <c r="D45" s="24">
        <v>0</v>
      </c>
      <c r="E45" s="24">
        <v>0</v>
      </c>
      <c r="F45" s="24">
        <v>0</v>
      </c>
      <c r="G45" s="24">
        <v>0</v>
      </c>
      <c r="H45" s="24">
        <v>0</v>
      </c>
      <c r="I45" s="24">
        <v>0</v>
      </c>
      <c r="J45" s="24">
        <v>0</v>
      </c>
      <c r="K45" s="24">
        <v>0</v>
      </c>
      <c r="L45" s="24">
        <v>0</v>
      </c>
      <c r="M45" s="24">
        <v>0</v>
      </c>
      <c r="N45" s="228">
        <f t="shared" ref="N45:AR45" si="46">IFERROR(IF($M45-$D45&gt;=0,($M45-$D45)/COUNT($E$1:$M$1)+M45,$F109*$E109^N$1),0)</f>
        <v>0</v>
      </c>
      <c r="O45" s="228">
        <f t="shared" si="46"/>
        <v>0</v>
      </c>
      <c r="P45" s="228">
        <f t="shared" si="46"/>
        <v>0</v>
      </c>
      <c r="Q45" s="228">
        <f t="shared" si="46"/>
        <v>0</v>
      </c>
      <c r="R45" s="228">
        <f t="shared" si="46"/>
        <v>0</v>
      </c>
      <c r="S45" s="228">
        <f t="shared" si="46"/>
        <v>0</v>
      </c>
      <c r="T45" s="228">
        <f t="shared" si="46"/>
        <v>0</v>
      </c>
      <c r="U45" s="228">
        <f t="shared" si="46"/>
        <v>0</v>
      </c>
      <c r="V45" s="228">
        <f t="shared" si="46"/>
        <v>0</v>
      </c>
      <c r="W45" s="228">
        <f t="shared" si="46"/>
        <v>0</v>
      </c>
      <c r="X45" s="228">
        <f t="shared" si="46"/>
        <v>0</v>
      </c>
      <c r="Y45" s="228">
        <f t="shared" si="46"/>
        <v>0</v>
      </c>
      <c r="Z45" s="228">
        <f t="shared" si="46"/>
        <v>0</v>
      </c>
      <c r="AA45" s="228">
        <f t="shared" si="46"/>
        <v>0</v>
      </c>
      <c r="AB45" s="228">
        <f t="shared" si="46"/>
        <v>0</v>
      </c>
      <c r="AC45" s="228">
        <f t="shared" si="46"/>
        <v>0</v>
      </c>
      <c r="AD45" s="228">
        <f t="shared" si="46"/>
        <v>0</v>
      </c>
      <c r="AE45" s="228">
        <f t="shared" si="46"/>
        <v>0</v>
      </c>
      <c r="AF45" s="228">
        <f t="shared" si="46"/>
        <v>0</v>
      </c>
      <c r="AG45" s="228">
        <f t="shared" si="46"/>
        <v>0</v>
      </c>
      <c r="AH45" s="228">
        <f t="shared" si="46"/>
        <v>0</v>
      </c>
      <c r="AI45" s="228">
        <f t="shared" si="46"/>
        <v>0</v>
      </c>
      <c r="AJ45" s="228">
        <f t="shared" si="46"/>
        <v>0</v>
      </c>
      <c r="AK45" s="228">
        <f t="shared" si="46"/>
        <v>0</v>
      </c>
      <c r="AL45" s="228">
        <f t="shared" si="46"/>
        <v>0</v>
      </c>
      <c r="AM45" s="228">
        <f t="shared" si="46"/>
        <v>0</v>
      </c>
      <c r="AN45" s="228">
        <f t="shared" si="46"/>
        <v>0</v>
      </c>
      <c r="AO45" s="228">
        <f t="shared" si="46"/>
        <v>0</v>
      </c>
      <c r="AP45" s="228">
        <f t="shared" si="46"/>
        <v>0</v>
      </c>
      <c r="AQ45" s="228">
        <f t="shared" si="46"/>
        <v>0</v>
      </c>
      <c r="AR45" s="228">
        <f t="shared" si="46"/>
        <v>0</v>
      </c>
      <c r="AS45" s="228">
        <f t="shared" si="41"/>
        <v>0</v>
      </c>
      <c r="AT45" s="228">
        <f t="shared" si="41"/>
        <v>0</v>
      </c>
      <c r="AU45" s="228">
        <f t="shared" si="41"/>
        <v>0</v>
      </c>
      <c r="AV45" s="228">
        <f t="shared" si="41"/>
        <v>0</v>
      </c>
    </row>
    <row r="46" spans="1:48">
      <c r="A46" s="389" t="s">
        <v>709</v>
      </c>
      <c r="B46" t="s">
        <v>2</v>
      </c>
      <c r="C46" s="24" t="s">
        <v>190</v>
      </c>
      <c r="D46" s="24">
        <f ca="1">INDEX(INDIRECT(CONCATENATE("'",RIGHT(D$1,2),"'!$F$8:$N$88")),MATCH($A46,INDIRECT(CONCATENATE("'",RIGHT(D$1,2),IF($B46="chemicals","'!$C$8:$C$88","'!$B$8:$B$88"))),0),MATCH('Other Industrial Processes'!$C46,INDIRECT(CONCATENATE("'",RIGHT(D$1,2),"'!$F$4:$N$4")),0))</f>
        <v>0</v>
      </c>
      <c r="E46" s="24">
        <f ca="1">INDEX(INDIRECT(CONCATENATE("'",RIGHT(E$1,2),"'!$F$8:$N$88")),MATCH($A46,INDIRECT(CONCATENATE("'",RIGHT(E$1,2),IF($B46="chemicals","'!$C$8:$C$88","'!$B$8:$B$88"))),0),MATCH('Other Industrial Processes'!$C46,INDIRECT(CONCATENATE("'",RIGHT(E$1,2),"'!$F$4:$N$4")),0))</f>
        <v>0</v>
      </c>
      <c r="F46" s="24">
        <f ca="1">INDEX(INDIRECT(CONCATENATE("'",RIGHT(F$1,2),"'!$F$8:$N$88")),MATCH($A46,INDIRECT(CONCATENATE("'",RIGHT(F$1,2),IF($B46="chemicals","'!$C$8:$C$88","'!$B$8:$B$88"))),0),MATCH('Other Industrial Processes'!$C46,INDIRECT(CONCATENATE("'",RIGHT(F$1,2),"'!$F$4:$N$4")),0))</f>
        <v>0</v>
      </c>
      <c r="G46" s="24">
        <f ca="1">INDEX(INDIRECT(CONCATENATE("'",RIGHT(G$1,2),"'!$F$8:$N$88")),MATCH($A46,INDIRECT(CONCATENATE("'",RIGHT(G$1,2),IF($B46="chemicals","'!$C$8:$C$88","'!$B$8:$B$88"))),0),MATCH('Other Industrial Processes'!$C46,INDIRECT(CONCATENATE("'",RIGHT(G$1,2),"'!$F$4:$N$4")),0))</f>
        <v>0</v>
      </c>
      <c r="H46" s="24">
        <f ca="1">INDEX(INDIRECT(CONCATENATE("'",RIGHT(H$1,2),"'!$F$8:$N$88")),MATCH($A46,INDIRECT(CONCATENATE("'",RIGHT(H$1,2),IF($B46="chemicals","'!$C$8:$C$88","'!$B$8:$B$88"))),0),MATCH('Other Industrial Processes'!$C46,INDIRECT(CONCATENATE("'",RIGHT(H$1,2),"'!$F$4:$N$4")),0))</f>
        <v>0</v>
      </c>
      <c r="I46" s="24">
        <f ca="1">INDEX(INDIRECT(CONCATENATE("'",RIGHT(I$1,2),"'!$F$8:$N$88")),MATCH($A46,INDIRECT(CONCATENATE("'",RIGHT(I$1,2),IF($B46="chemicals","'!$C$8:$C$88","'!$B$8:$B$88"))),0),MATCH('Other Industrial Processes'!$C46,INDIRECT(CONCATENATE("'",RIGHT(I$1,2),"'!$F$4:$N$4")),0))</f>
        <v>0</v>
      </c>
      <c r="J46" s="24">
        <f ca="1">INDEX(INDIRECT(CONCATENATE("'",RIGHT(J$1,2),"'!$F$8:$N$88")),MATCH($A46,INDIRECT(CONCATENATE("'",RIGHT(J$1,2),IF($B46="chemicals","'!$C$8:$C$88","'!$B$8:$B$88"))),0),MATCH('Other Industrial Processes'!$C46,INDIRECT(CONCATENATE("'",RIGHT(J$1,2),"'!$F$4:$N$4")),0))</f>
        <v>0</v>
      </c>
      <c r="K46" s="24">
        <f ca="1">INDEX(INDIRECT(CONCATENATE("'",RIGHT(K$1,2),"'!$F$8:$N$88")),MATCH($A46,INDIRECT(CONCATENATE("'",RIGHT(K$1,2),IF($B46="chemicals","'!$C$8:$C$88","'!$B$8:$B$88"))),0),MATCH('Other Industrial Processes'!$C46,INDIRECT(CONCATENATE("'",RIGHT(K$1,2),"'!$F$4:$N$4")),0))</f>
        <v>0</v>
      </c>
      <c r="L46" s="24">
        <f ca="1">INDEX(INDIRECT(CONCATENATE("'",RIGHT(L$1,2),"'!$F$8:$N$88")),MATCH($A46,INDIRECT(CONCATENATE("'",RIGHT(L$1,2),IF($B46="chemicals","'!$C$8:$C$88","'!$B$8:$B$88"))),0),MATCH('Other Industrial Processes'!$C46,INDIRECT(CONCATENATE("'",RIGHT(L$1,2),"'!$F$4:$N$4")),0))</f>
        <v>0</v>
      </c>
      <c r="M46" s="24">
        <v>0</v>
      </c>
      <c r="N46" s="228">
        <f t="shared" ref="N46:AR46" ca="1" si="47">IFERROR(IF($M46-$D46&gt;=0,($M46-$D46)/COUNT($E$1:$M$1)+M46,$F110*$E110^N$1),0)</f>
        <v>0</v>
      </c>
      <c r="O46" s="228">
        <f t="shared" ca="1" si="47"/>
        <v>0</v>
      </c>
      <c r="P46" s="228">
        <f t="shared" ca="1" si="47"/>
        <v>0</v>
      </c>
      <c r="Q46" s="228">
        <f t="shared" ca="1" si="47"/>
        <v>0</v>
      </c>
      <c r="R46" s="228">
        <f t="shared" ca="1" si="47"/>
        <v>0</v>
      </c>
      <c r="S46" s="228">
        <f t="shared" ca="1" si="47"/>
        <v>0</v>
      </c>
      <c r="T46" s="228">
        <f t="shared" ca="1" si="47"/>
        <v>0</v>
      </c>
      <c r="U46" s="228">
        <f t="shared" ca="1" si="47"/>
        <v>0</v>
      </c>
      <c r="V46" s="228">
        <f t="shared" ca="1" si="47"/>
        <v>0</v>
      </c>
      <c r="W46" s="228">
        <f t="shared" ca="1" si="47"/>
        <v>0</v>
      </c>
      <c r="X46" s="228">
        <f t="shared" ca="1" si="47"/>
        <v>0</v>
      </c>
      <c r="Y46" s="228">
        <f t="shared" ca="1" si="47"/>
        <v>0</v>
      </c>
      <c r="Z46" s="228">
        <f t="shared" ca="1" si="47"/>
        <v>0</v>
      </c>
      <c r="AA46" s="228">
        <f t="shared" ca="1" si="47"/>
        <v>0</v>
      </c>
      <c r="AB46" s="228">
        <f t="shared" ca="1" si="47"/>
        <v>0</v>
      </c>
      <c r="AC46" s="228">
        <f t="shared" ca="1" si="47"/>
        <v>0</v>
      </c>
      <c r="AD46" s="228">
        <f t="shared" ca="1" si="47"/>
        <v>0</v>
      </c>
      <c r="AE46" s="228">
        <f t="shared" ca="1" si="47"/>
        <v>0</v>
      </c>
      <c r="AF46" s="228">
        <f t="shared" ca="1" si="47"/>
        <v>0</v>
      </c>
      <c r="AG46" s="228">
        <f t="shared" ca="1" si="47"/>
        <v>0</v>
      </c>
      <c r="AH46" s="228">
        <f t="shared" ca="1" si="47"/>
        <v>0</v>
      </c>
      <c r="AI46" s="228">
        <f t="shared" ca="1" si="47"/>
        <v>0</v>
      </c>
      <c r="AJ46" s="228">
        <f t="shared" ca="1" si="47"/>
        <v>0</v>
      </c>
      <c r="AK46" s="228">
        <f t="shared" ca="1" si="47"/>
        <v>0</v>
      </c>
      <c r="AL46" s="228">
        <f t="shared" ca="1" si="47"/>
        <v>0</v>
      </c>
      <c r="AM46" s="228">
        <f t="shared" ca="1" si="47"/>
        <v>0</v>
      </c>
      <c r="AN46" s="228">
        <f t="shared" ca="1" si="47"/>
        <v>0</v>
      </c>
      <c r="AO46" s="228">
        <f t="shared" ca="1" si="47"/>
        <v>0</v>
      </c>
      <c r="AP46" s="228">
        <f t="shared" ca="1" si="47"/>
        <v>0</v>
      </c>
      <c r="AQ46" s="228">
        <f t="shared" ca="1" si="47"/>
        <v>0</v>
      </c>
      <c r="AR46" s="228">
        <f t="shared" ca="1" si="47"/>
        <v>0</v>
      </c>
      <c r="AS46" s="228">
        <f t="shared" ca="1" si="41"/>
        <v>0</v>
      </c>
      <c r="AT46" s="228">
        <f t="shared" ca="1" si="41"/>
        <v>0</v>
      </c>
      <c r="AU46" s="228">
        <f t="shared" ca="1" si="41"/>
        <v>0</v>
      </c>
      <c r="AV46" s="228">
        <f t="shared" ca="1" si="41"/>
        <v>0</v>
      </c>
    </row>
    <row r="47" spans="1:48">
      <c r="A47" s="389" t="s">
        <v>711</v>
      </c>
      <c r="B47" t="s">
        <v>726</v>
      </c>
      <c r="C47" s="24" t="s">
        <v>190</v>
      </c>
      <c r="D47" s="24">
        <f ca="1">INDEX(INDIRECT(CONCATENATE("'",RIGHT(D$1,2),"'!$F$8:$N$88")),MATCH($A47,INDIRECT(CONCATENATE("'",RIGHT(D$1,2),IF($B47="chemicals","'!$C$8:$C$88","'!$B$8:$B$88"))),0),MATCH('Other Industrial Processes'!$C47,INDIRECT(CONCATENATE("'",RIGHT(D$1,2),"'!$F$4:$N$4")),0))</f>
        <v>0.86639999999999995</v>
      </c>
      <c r="E47" s="24">
        <f ca="1">INDEX(INDIRECT(CONCATENATE("'",RIGHT(E$1,2),"'!$F$8:$N$88")),MATCH($A47,INDIRECT(CONCATENATE("'",RIGHT(E$1,2),IF($B47="chemicals","'!$C$8:$C$88","'!$B$8:$B$88"))),0),MATCH('Other Industrial Processes'!$C47,INDIRECT(CONCATENATE("'",RIGHT(E$1,2),"'!$F$4:$N$4")),0))</f>
        <v>0.68400000000000005</v>
      </c>
      <c r="F47" s="24">
        <f ca="1">INDEX(INDIRECT(CONCATENATE("'",RIGHT(F$1,2),"'!$F$8:$N$88")),MATCH($A47,INDIRECT(CONCATENATE("'",RIGHT(F$1,2),IF($B47="chemicals","'!$C$8:$C$88","'!$B$8:$B$88"))),0),MATCH('Other Industrial Processes'!$C47,INDIRECT(CONCATENATE("'",RIGHT(F$1,2),"'!$F$4:$N$4")),0))</f>
        <v>2.4464399999999999</v>
      </c>
      <c r="G47" s="24">
        <f ca="1">INDEX(INDIRECT(CONCATENATE("'",RIGHT(G$1,2),"'!$F$8:$N$88")),MATCH($A47,INDIRECT(CONCATENATE("'",RIGHT(G$1,2),IF($B47="chemicals","'!$C$8:$C$88","'!$B$8:$B$88"))),0),MATCH('Other Industrial Processes'!$C47,INDIRECT(CONCATENATE("'",RIGHT(G$1,2),"'!$F$4:$N$4")),0))</f>
        <v>2.1204000000000001</v>
      </c>
      <c r="H47" s="24">
        <f ca="1">INDEX(INDIRECT(CONCATENATE("'",RIGHT(H$1,2),"'!$F$8:$N$88")),MATCH($A47,INDIRECT(CONCATENATE("'",RIGHT(H$1,2),IF($B47="chemicals","'!$C$8:$C$88","'!$B$8:$B$88"))),0),MATCH('Other Industrial Processes'!$C47,INDIRECT(CONCATENATE("'",RIGHT(H$1,2),"'!$F$4:$N$4")),0))</f>
        <v>1.0136879999999999</v>
      </c>
      <c r="I47" s="24">
        <f ca="1">INDEX(INDIRECT(CONCATENATE("'",RIGHT(I$1,2),"'!$F$8:$N$88")),MATCH($A47,INDIRECT(CONCATENATE("'",RIGHT(I$1,2),IF($B47="chemicals","'!$C$8:$C$88","'!$B$8:$B$88"))),0),MATCH('Other Industrial Processes'!$C47,INDIRECT(CONCATENATE("'",RIGHT(I$1,2),"'!$F$4:$N$4")),0))</f>
        <v>1.1593800000000001</v>
      </c>
      <c r="J47" s="24">
        <f ca="1">INDEX(INDIRECT(CONCATENATE("'",RIGHT(J$1,2),"'!$F$8:$N$88")),MATCH($A47,INDIRECT(CONCATENATE("'",RIGHT(J$1,2),IF($B47="chemicals","'!$C$8:$C$88","'!$B$8:$B$88"))),0),MATCH('Other Industrial Processes'!$C47,INDIRECT(CONCATENATE("'",RIGHT(J$1,2),"'!$F$4:$N$4")),0))</f>
        <v>3.147084</v>
      </c>
      <c r="K47" s="24">
        <f ca="1">INDEX(INDIRECT(CONCATENATE("'",RIGHT(K$1,2),"'!$F$8:$N$88")),MATCH($A47,INDIRECT(CONCATENATE("'",RIGHT(K$1,2),IF($B47="chemicals","'!$C$8:$C$88","'!$B$8:$B$88"))),0),MATCH('Other Industrial Processes'!$C47,INDIRECT(CONCATENATE("'",RIGHT(K$1,2),"'!$F$4:$N$4")),0))</f>
        <v>2.4056280000000001</v>
      </c>
      <c r="L47" s="24">
        <f ca="1">INDEX(INDIRECT(CONCATENATE("'",RIGHT(L$1,2),"'!$F$8:$N$88")),MATCH($A47,INDIRECT(CONCATENATE("'",RIGHT(L$1,2),IF($B47="chemicals","'!$C$8:$C$88","'!$B$8:$B$88"))),0),MATCH('Other Industrial Processes'!$C47,INDIRECT(CONCATENATE("'",RIGHT(L$1,2),"'!$F$4:$N$4")),0))</f>
        <v>3.1147079999999998</v>
      </c>
      <c r="M47" s="24">
        <f ca="1">INDEX(INDIRECT(CONCATENATE("'",RIGHT(M$1,2),"'!$F$8:$N$88")),MATCH($A47,INDIRECT(CONCATENATE("'",RIGHT(M$1,2),IF($B47="chemicals","'!$C$8:$C$88","'!$B$8:$B$88"))),0),MATCH('Other Industrial Processes'!$C47,INDIRECT(CONCATENATE("'",RIGHT(M$1,2),"'!$F$4:$N$4")),0))</f>
        <v>3.189492</v>
      </c>
      <c r="N47" s="228">
        <f t="shared" ref="N47:AR47" ca="1" si="48">IFERROR(IF($M47-$D47&gt;=0,($M47-$D47)/COUNT($E$1:$M$1)+M47,$F111*$E111^N$1),0)</f>
        <v>3.4476133333333334</v>
      </c>
      <c r="O47" s="228">
        <f t="shared" ca="1" si="48"/>
        <v>3.7057346666666668</v>
      </c>
      <c r="P47" s="228">
        <f t="shared" ca="1" si="48"/>
        <v>3.9638560000000003</v>
      </c>
      <c r="Q47" s="228">
        <f t="shared" ca="1" si="48"/>
        <v>4.2219773333333332</v>
      </c>
      <c r="R47" s="228">
        <f t="shared" ca="1" si="48"/>
        <v>4.4800986666666667</v>
      </c>
      <c r="S47" s="228">
        <f t="shared" ca="1" si="48"/>
        <v>4.7382200000000001</v>
      </c>
      <c r="T47" s="228">
        <f t="shared" ca="1" si="48"/>
        <v>4.9963413333333335</v>
      </c>
      <c r="U47" s="228">
        <f t="shared" ca="1" si="48"/>
        <v>5.2544626666666669</v>
      </c>
      <c r="V47" s="228">
        <f t="shared" ca="1" si="48"/>
        <v>5.5125840000000004</v>
      </c>
      <c r="W47" s="228">
        <f t="shared" ca="1" si="48"/>
        <v>5.7707053333333338</v>
      </c>
      <c r="X47" s="228">
        <f t="shared" ca="1" si="48"/>
        <v>6.0288266666666672</v>
      </c>
      <c r="Y47" s="228">
        <f t="shared" ca="1" si="48"/>
        <v>6.2869480000000006</v>
      </c>
      <c r="Z47" s="228">
        <f t="shared" ca="1" si="48"/>
        <v>6.5450693333333341</v>
      </c>
      <c r="AA47" s="228">
        <f t="shared" ca="1" si="48"/>
        <v>6.8031906666666675</v>
      </c>
      <c r="AB47" s="228">
        <f t="shared" ca="1" si="48"/>
        <v>7.0613120000000009</v>
      </c>
      <c r="AC47" s="228">
        <f t="shared" ca="1" si="48"/>
        <v>7.3194333333333343</v>
      </c>
      <c r="AD47" s="228">
        <f t="shared" ca="1" si="48"/>
        <v>7.5775546666666678</v>
      </c>
      <c r="AE47" s="228">
        <f t="shared" ca="1" si="48"/>
        <v>7.8356760000000012</v>
      </c>
      <c r="AF47" s="228">
        <f t="shared" ca="1" si="48"/>
        <v>8.0937973333333346</v>
      </c>
      <c r="AG47" s="228">
        <f t="shared" ca="1" si="48"/>
        <v>8.351918666666668</v>
      </c>
      <c r="AH47" s="228">
        <f t="shared" ca="1" si="48"/>
        <v>8.6100400000000015</v>
      </c>
      <c r="AI47" s="228">
        <f t="shared" ca="1" si="48"/>
        <v>8.8681613333333349</v>
      </c>
      <c r="AJ47" s="228">
        <f t="shared" ca="1" si="48"/>
        <v>9.1262826666666683</v>
      </c>
      <c r="AK47" s="228">
        <f t="shared" ca="1" si="48"/>
        <v>9.3844040000000017</v>
      </c>
      <c r="AL47" s="228">
        <f t="shared" ca="1" si="48"/>
        <v>9.6425253333333352</v>
      </c>
      <c r="AM47" s="228">
        <f t="shared" ca="1" si="48"/>
        <v>9.9006466666666686</v>
      </c>
      <c r="AN47" s="228">
        <f t="shared" ca="1" si="48"/>
        <v>10.158768000000002</v>
      </c>
      <c r="AO47" s="228">
        <f t="shared" ca="1" si="48"/>
        <v>10.416889333333335</v>
      </c>
      <c r="AP47" s="228">
        <f t="shared" ca="1" si="48"/>
        <v>10.675010666666669</v>
      </c>
      <c r="AQ47" s="228">
        <f t="shared" ca="1" si="48"/>
        <v>10.933132000000002</v>
      </c>
      <c r="AR47" s="228">
        <f t="shared" ca="1" si="48"/>
        <v>11.191253333333336</v>
      </c>
      <c r="AS47" s="228">
        <f t="shared" ca="1" si="41"/>
        <v>11.449374666666669</v>
      </c>
      <c r="AT47" s="228">
        <f t="shared" ca="1" si="41"/>
        <v>11.707496000000003</v>
      </c>
      <c r="AU47" s="228">
        <f t="shared" ca="1" si="41"/>
        <v>11.965617333333336</v>
      </c>
      <c r="AV47" s="228">
        <f t="shared" ca="1" si="41"/>
        <v>12.223738666666669</v>
      </c>
    </row>
    <row r="48" spans="1:48">
      <c r="A48" s="389" t="s">
        <v>185</v>
      </c>
      <c r="B48" t="s">
        <v>26</v>
      </c>
      <c r="C48" s="24" t="s">
        <v>190</v>
      </c>
      <c r="D48" s="24">
        <v>0</v>
      </c>
      <c r="E48" s="24">
        <f ca="1">INDEX(INDIRECT(CONCATENATE("'",RIGHT(E$1,2),"'!$F$8:$N$88")),MATCH($A48,INDIRECT(CONCATENATE("'",RIGHT(E$1,2),IF($B48="chemicals","'!$C$8:$C$88","'!$B$8:$B$88"))),0),MATCH('Other Industrial Processes'!$C48,INDIRECT(CONCATENATE("'",RIGHT(E$1,2),"'!$F$4:$N$4")),0))</f>
        <v>0</v>
      </c>
      <c r="F48" s="24">
        <f ca="1">INDEX(INDIRECT(CONCATENATE("'",RIGHT(F$1,2),"'!$F$8:$N$88")),MATCH($A48,INDIRECT(CONCATENATE("'",RIGHT(F$1,2),IF($B48="chemicals","'!$C$8:$C$88","'!$B$8:$B$88"))),0),MATCH('Other Industrial Processes'!$C48,INDIRECT(CONCATENATE("'",RIGHT(F$1,2),"'!$F$4:$N$4")),0))</f>
        <v>0</v>
      </c>
      <c r="G48" s="24">
        <f ca="1">INDEX(INDIRECT(CONCATENATE("'",RIGHT(G$1,2),"'!$F$8:$N$88")),MATCH($A48,INDIRECT(CONCATENATE("'",RIGHT(G$1,2),IF($B48="chemicals","'!$C$8:$C$88","'!$B$8:$B$88"))),0),MATCH('Other Industrial Processes'!$C48,INDIRECT(CONCATENATE("'",RIGHT(G$1,2),"'!$F$4:$N$4")),0))</f>
        <v>0</v>
      </c>
      <c r="H48" s="24">
        <f ca="1">INDEX(INDIRECT(CONCATENATE("'",RIGHT(H$1,2),"'!$F$8:$N$88")),MATCH($A48,INDIRECT(CONCATENATE("'",RIGHT(H$1,2),IF($B48="chemicals","'!$C$8:$C$88","'!$B$8:$B$88"))),0),MATCH('Other Industrial Processes'!$C48,INDIRECT(CONCATENATE("'",RIGHT(H$1,2),"'!$F$4:$N$4")),0))</f>
        <v>0</v>
      </c>
      <c r="I48" s="24">
        <f ca="1">INDEX(INDIRECT(CONCATENATE("'",RIGHT(I$1,2),"'!$F$8:$N$88")),MATCH($A48,INDIRECT(CONCATENATE("'",RIGHT(I$1,2),IF($B48="chemicals","'!$C$8:$C$88","'!$B$8:$B$88"))),0),MATCH('Other Industrial Processes'!$C48,INDIRECT(CONCATENATE("'",RIGHT(I$1,2),"'!$F$4:$N$4")),0))</f>
        <v>0</v>
      </c>
      <c r="J48" s="24">
        <f ca="1">INDEX(INDIRECT(CONCATENATE("'",RIGHT(J$1,2),"'!$F$8:$N$88")),MATCH($A48,INDIRECT(CONCATENATE("'",RIGHT(J$1,2),IF($B48="chemicals","'!$C$8:$C$88","'!$B$8:$B$88"))),0),MATCH('Other Industrial Processes'!$C48,INDIRECT(CONCATENATE("'",RIGHT(J$1,2),"'!$F$4:$N$4")),0))</f>
        <v>0</v>
      </c>
      <c r="K48" s="24">
        <f ca="1">INDEX(INDIRECT(CONCATENATE("'",RIGHT(K$1,2),"'!$F$8:$N$88")),MATCH($A48,INDIRECT(CONCATENATE("'",RIGHT(K$1,2),IF($B48="chemicals","'!$C$8:$C$88","'!$B$8:$B$88"))),0),MATCH('Other Industrial Processes'!$C48,INDIRECT(CONCATENATE("'",RIGHT(K$1,2),"'!$F$4:$N$4")),0))</f>
        <v>0</v>
      </c>
      <c r="L48" s="24">
        <f ca="1">INDEX(INDIRECT(CONCATENATE("'",RIGHT(L$1,2),"'!$F$8:$N$88")),MATCH($A48,INDIRECT(CONCATENATE("'",RIGHT(L$1,2),IF($B48="chemicals","'!$C$8:$C$88","'!$B$8:$B$88"))),0),MATCH('Other Industrial Processes'!$C48,INDIRECT(CONCATENATE("'",RIGHT(L$1,2),"'!$F$4:$N$4")),0))</f>
        <v>0</v>
      </c>
      <c r="M48" s="24">
        <v>0</v>
      </c>
      <c r="N48" s="228">
        <f t="shared" ref="N48:AR48" si="49">IFERROR(IF($M48-$D48&gt;=0,($M48-$D48)/COUNT($E$1:$M$1)+M48,$F112*$E112^N$1),0)</f>
        <v>0</v>
      </c>
      <c r="O48" s="228">
        <f t="shared" si="49"/>
        <v>0</v>
      </c>
      <c r="P48" s="228">
        <f t="shared" si="49"/>
        <v>0</v>
      </c>
      <c r="Q48" s="228">
        <f t="shared" si="49"/>
        <v>0</v>
      </c>
      <c r="R48" s="228">
        <f t="shared" si="49"/>
        <v>0</v>
      </c>
      <c r="S48" s="228">
        <f t="shared" si="49"/>
        <v>0</v>
      </c>
      <c r="T48" s="228">
        <f t="shared" si="49"/>
        <v>0</v>
      </c>
      <c r="U48" s="228">
        <f t="shared" si="49"/>
        <v>0</v>
      </c>
      <c r="V48" s="228">
        <f t="shared" si="49"/>
        <v>0</v>
      </c>
      <c r="W48" s="228">
        <f t="shared" si="49"/>
        <v>0</v>
      </c>
      <c r="X48" s="228">
        <f t="shared" si="49"/>
        <v>0</v>
      </c>
      <c r="Y48" s="228">
        <f t="shared" si="49"/>
        <v>0</v>
      </c>
      <c r="Z48" s="228">
        <f t="shared" si="49"/>
        <v>0</v>
      </c>
      <c r="AA48" s="228">
        <f t="shared" si="49"/>
        <v>0</v>
      </c>
      <c r="AB48" s="228">
        <f t="shared" si="49"/>
        <v>0</v>
      </c>
      <c r="AC48" s="228">
        <f t="shared" si="49"/>
        <v>0</v>
      </c>
      <c r="AD48" s="228">
        <f t="shared" si="49"/>
        <v>0</v>
      </c>
      <c r="AE48" s="228">
        <f t="shared" si="49"/>
        <v>0</v>
      </c>
      <c r="AF48" s="228">
        <f t="shared" si="49"/>
        <v>0</v>
      </c>
      <c r="AG48" s="228">
        <f t="shared" si="49"/>
        <v>0</v>
      </c>
      <c r="AH48" s="228">
        <f t="shared" si="49"/>
        <v>0</v>
      </c>
      <c r="AI48" s="228">
        <f t="shared" si="49"/>
        <v>0</v>
      </c>
      <c r="AJ48" s="228">
        <f t="shared" si="49"/>
        <v>0</v>
      </c>
      <c r="AK48" s="228">
        <f t="shared" si="49"/>
        <v>0</v>
      </c>
      <c r="AL48" s="228">
        <f t="shared" si="49"/>
        <v>0</v>
      </c>
      <c r="AM48" s="228">
        <f t="shared" si="49"/>
        <v>0</v>
      </c>
      <c r="AN48" s="228">
        <f t="shared" si="49"/>
        <v>0</v>
      </c>
      <c r="AO48" s="228">
        <f t="shared" si="49"/>
        <v>0</v>
      </c>
      <c r="AP48" s="228">
        <f t="shared" si="49"/>
        <v>0</v>
      </c>
      <c r="AQ48" s="228">
        <f t="shared" si="49"/>
        <v>0</v>
      </c>
      <c r="AR48" s="228">
        <f t="shared" si="49"/>
        <v>0</v>
      </c>
      <c r="AS48" s="228">
        <f t="shared" si="41"/>
        <v>0</v>
      </c>
      <c r="AT48" s="228">
        <f t="shared" si="41"/>
        <v>0</v>
      </c>
      <c r="AU48" s="228">
        <f t="shared" si="41"/>
        <v>0</v>
      </c>
      <c r="AV48" s="228">
        <f t="shared" si="41"/>
        <v>0</v>
      </c>
    </row>
    <row r="49" spans="1:48">
      <c r="A49" s="389" t="s">
        <v>716</v>
      </c>
      <c r="B49" t="s">
        <v>26</v>
      </c>
      <c r="C49" s="24" t="s">
        <v>190</v>
      </c>
      <c r="D49" s="24">
        <v>0</v>
      </c>
      <c r="E49" s="24">
        <f ca="1">INDEX(INDIRECT(CONCATENATE("'",RIGHT(E$1,2),"'!$F$8:$N$88")),MATCH($A49,INDIRECT(CONCATENATE("'",RIGHT(E$1,2),IF($B49="chemicals","'!$C$8:$C$88","'!$B$8:$B$88"))),0),MATCH('Other Industrial Processes'!$C49,INDIRECT(CONCATENATE("'",RIGHT(E$1,2),"'!$F$4:$N$4")),0))</f>
        <v>0</v>
      </c>
      <c r="F49" s="24">
        <f ca="1">INDEX(INDIRECT(CONCATENATE("'",RIGHT(F$1,2),"'!$F$8:$N$88")),MATCH($A49,INDIRECT(CONCATENATE("'",RIGHT(F$1,2),IF($B49="chemicals","'!$C$8:$C$88","'!$B$8:$B$88"))),0),MATCH('Other Industrial Processes'!$C49,INDIRECT(CONCATENATE("'",RIGHT(F$1,2),"'!$F$4:$N$4")),0))</f>
        <v>0</v>
      </c>
      <c r="G49" s="24">
        <f ca="1">INDEX(INDIRECT(CONCATENATE("'",RIGHT(G$1,2),"'!$F$8:$N$88")),MATCH($A49,INDIRECT(CONCATENATE("'",RIGHT(G$1,2),IF($B49="chemicals","'!$C$8:$C$88","'!$B$8:$B$88"))),0),MATCH('Other Industrial Processes'!$C49,INDIRECT(CONCATENATE("'",RIGHT(G$1,2),"'!$F$4:$N$4")),0))</f>
        <v>0</v>
      </c>
      <c r="H49" s="24">
        <f ca="1">INDEX(INDIRECT(CONCATENATE("'",RIGHT(H$1,2),"'!$F$8:$N$88")),MATCH($A49,INDIRECT(CONCATENATE("'",RIGHT(H$1,2),IF($B49="chemicals","'!$C$8:$C$88","'!$B$8:$B$88"))),0),MATCH('Other Industrial Processes'!$C49,INDIRECT(CONCATENATE("'",RIGHT(H$1,2),"'!$F$4:$N$4")),0))</f>
        <v>0</v>
      </c>
      <c r="I49" s="24">
        <f ca="1">INDEX(INDIRECT(CONCATENATE("'",RIGHT(I$1,2),"'!$F$8:$N$88")),MATCH($A49,INDIRECT(CONCATENATE("'",RIGHT(I$1,2),IF($B49="chemicals","'!$C$8:$C$88","'!$B$8:$B$88"))),0),MATCH('Other Industrial Processes'!$C49,INDIRECT(CONCATENATE("'",RIGHT(I$1,2),"'!$F$4:$N$4")),0))</f>
        <v>0</v>
      </c>
      <c r="J49" s="24">
        <f ca="1">INDEX(INDIRECT(CONCATENATE("'",RIGHT(J$1,2),"'!$F$8:$N$88")),MATCH($A49,INDIRECT(CONCATENATE("'",RIGHT(J$1,2),IF($B49="chemicals","'!$C$8:$C$88","'!$B$8:$B$88"))),0),MATCH('Other Industrial Processes'!$C49,INDIRECT(CONCATENATE("'",RIGHT(J$1,2),"'!$F$4:$N$4")),0))</f>
        <v>0</v>
      </c>
      <c r="K49" s="24">
        <f ca="1">INDEX(INDIRECT(CONCATENATE("'",RIGHT(K$1,2),"'!$F$8:$N$88")),MATCH($A49,INDIRECT(CONCATENATE("'",RIGHT(K$1,2),IF($B49="chemicals","'!$C$8:$C$88","'!$B$8:$B$88"))),0),MATCH('Other Industrial Processes'!$C49,INDIRECT(CONCATENATE("'",RIGHT(K$1,2),"'!$F$4:$N$4")),0))</f>
        <v>0</v>
      </c>
      <c r="L49" s="24">
        <f ca="1">INDEX(INDIRECT(CONCATENATE("'",RIGHT(L$1,2),"'!$F$8:$N$88")),MATCH($A49,INDIRECT(CONCATENATE("'",RIGHT(L$1,2),IF($B49="chemicals","'!$C$8:$C$88","'!$B$8:$B$88"))),0),MATCH('Other Industrial Processes'!$C49,INDIRECT(CONCATENATE("'",RIGHT(L$1,2),"'!$F$4:$N$4")),0))</f>
        <v>0</v>
      </c>
      <c r="M49" s="24">
        <v>0</v>
      </c>
      <c r="N49" s="228">
        <f t="shared" ref="N49:AR49" si="50">IFERROR(IF($M49-$D49&gt;=0,($M49-$D49)/COUNT($E$1:$M$1)+M49,$F113*$E113^N$1),0)</f>
        <v>0</v>
      </c>
      <c r="O49" s="228">
        <f t="shared" si="50"/>
        <v>0</v>
      </c>
      <c r="P49" s="228">
        <f t="shared" si="50"/>
        <v>0</v>
      </c>
      <c r="Q49" s="228">
        <f t="shared" si="50"/>
        <v>0</v>
      </c>
      <c r="R49" s="228">
        <f t="shared" si="50"/>
        <v>0</v>
      </c>
      <c r="S49" s="228">
        <f t="shared" si="50"/>
        <v>0</v>
      </c>
      <c r="T49" s="228">
        <f t="shared" si="50"/>
        <v>0</v>
      </c>
      <c r="U49" s="228">
        <f t="shared" si="50"/>
        <v>0</v>
      </c>
      <c r="V49" s="228">
        <f t="shared" si="50"/>
        <v>0</v>
      </c>
      <c r="W49" s="228">
        <f t="shared" si="50"/>
        <v>0</v>
      </c>
      <c r="X49" s="228">
        <f t="shared" si="50"/>
        <v>0</v>
      </c>
      <c r="Y49" s="228">
        <f t="shared" si="50"/>
        <v>0</v>
      </c>
      <c r="Z49" s="228">
        <f t="shared" si="50"/>
        <v>0</v>
      </c>
      <c r="AA49" s="228">
        <f t="shared" si="50"/>
        <v>0</v>
      </c>
      <c r="AB49" s="228">
        <f t="shared" si="50"/>
        <v>0</v>
      </c>
      <c r="AC49" s="228">
        <f t="shared" si="50"/>
        <v>0</v>
      </c>
      <c r="AD49" s="228">
        <f t="shared" si="50"/>
        <v>0</v>
      </c>
      <c r="AE49" s="228">
        <f t="shared" si="50"/>
        <v>0</v>
      </c>
      <c r="AF49" s="228">
        <f t="shared" si="50"/>
        <v>0</v>
      </c>
      <c r="AG49" s="228">
        <f t="shared" si="50"/>
        <v>0</v>
      </c>
      <c r="AH49" s="228">
        <f t="shared" si="50"/>
        <v>0</v>
      </c>
      <c r="AI49" s="228">
        <f t="shared" si="50"/>
        <v>0</v>
      </c>
      <c r="AJ49" s="228">
        <f t="shared" si="50"/>
        <v>0</v>
      </c>
      <c r="AK49" s="228">
        <f t="shared" si="50"/>
        <v>0</v>
      </c>
      <c r="AL49" s="228">
        <f t="shared" si="50"/>
        <v>0</v>
      </c>
      <c r="AM49" s="228">
        <f t="shared" si="50"/>
        <v>0</v>
      </c>
      <c r="AN49" s="228">
        <f t="shared" si="50"/>
        <v>0</v>
      </c>
      <c r="AO49" s="228">
        <f t="shared" si="50"/>
        <v>0</v>
      </c>
      <c r="AP49" s="228">
        <f t="shared" si="50"/>
        <v>0</v>
      </c>
      <c r="AQ49" s="228">
        <f t="shared" si="50"/>
        <v>0</v>
      </c>
      <c r="AR49" s="228">
        <f t="shared" si="50"/>
        <v>0</v>
      </c>
      <c r="AS49" s="228">
        <f t="shared" si="41"/>
        <v>0</v>
      </c>
      <c r="AT49" s="228">
        <f t="shared" si="41"/>
        <v>0</v>
      </c>
      <c r="AU49" s="228">
        <f t="shared" si="41"/>
        <v>0</v>
      </c>
      <c r="AV49" s="228">
        <f t="shared" si="41"/>
        <v>0</v>
      </c>
    </row>
    <row r="50" spans="1:48">
      <c r="A50" s="389" t="s">
        <v>184</v>
      </c>
      <c r="B50" t="s">
        <v>4</v>
      </c>
      <c r="C50" s="24" t="s">
        <v>191</v>
      </c>
      <c r="D50" s="24">
        <v>0</v>
      </c>
      <c r="E50" s="24">
        <v>0</v>
      </c>
      <c r="F50" s="24">
        <v>0</v>
      </c>
      <c r="G50" s="24">
        <v>0</v>
      </c>
      <c r="H50" s="24">
        <v>0</v>
      </c>
      <c r="I50" s="24">
        <v>0</v>
      </c>
      <c r="J50" s="24">
        <v>0</v>
      </c>
      <c r="K50" s="24">
        <v>0</v>
      </c>
      <c r="L50" s="24">
        <v>0</v>
      </c>
      <c r="M50" s="24">
        <v>0</v>
      </c>
      <c r="N50" s="228">
        <f t="shared" ref="N50:AR50" si="51">IFERROR(IF($M50-$D50&gt;=0,($M50-$D50)/COUNT($E$1:$M$1)+M50,$F114*$E114^N$1),0)</f>
        <v>0</v>
      </c>
      <c r="O50" s="228">
        <f t="shared" si="51"/>
        <v>0</v>
      </c>
      <c r="P50" s="228">
        <f t="shared" si="51"/>
        <v>0</v>
      </c>
      <c r="Q50" s="228">
        <f t="shared" si="51"/>
        <v>0</v>
      </c>
      <c r="R50" s="228">
        <f t="shared" si="51"/>
        <v>0</v>
      </c>
      <c r="S50" s="228">
        <f t="shared" si="51"/>
        <v>0</v>
      </c>
      <c r="T50" s="228">
        <f t="shared" si="51"/>
        <v>0</v>
      </c>
      <c r="U50" s="228">
        <f t="shared" si="51"/>
        <v>0</v>
      </c>
      <c r="V50" s="228">
        <f t="shared" si="51"/>
        <v>0</v>
      </c>
      <c r="W50" s="228">
        <f t="shared" si="51"/>
        <v>0</v>
      </c>
      <c r="X50" s="228">
        <f t="shared" si="51"/>
        <v>0</v>
      </c>
      <c r="Y50" s="228">
        <f t="shared" si="51"/>
        <v>0</v>
      </c>
      <c r="Z50" s="228">
        <f t="shared" si="51"/>
        <v>0</v>
      </c>
      <c r="AA50" s="228">
        <f t="shared" si="51"/>
        <v>0</v>
      </c>
      <c r="AB50" s="228">
        <f t="shared" si="51"/>
        <v>0</v>
      </c>
      <c r="AC50" s="228">
        <f t="shared" si="51"/>
        <v>0</v>
      </c>
      <c r="AD50" s="228">
        <f t="shared" si="51"/>
        <v>0</v>
      </c>
      <c r="AE50" s="228">
        <f t="shared" si="51"/>
        <v>0</v>
      </c>
      <c r="AF50" s="228">
        <f t="shared" si="51"/>
        <v>0</v>
      </c>
      <c r="AG50" s="228">
        <f t="shared" si="51"/>
        <v>0</v>
      </c>
      <c r="AH50" s="228">
        <f t="shared" si="51"/>
        <v>0</v>
      </c>
      <c r="AI50" s="228">
        <f t="shared" si="51"/>
        <v>0</v>
      </c>
      <c r="AJ50" s="228">
        <f t="shared" si="51"/>
        <v>0</v>
      </c>
      <c r="AK50" s="228">
        <f t="shared" si="51"/>
        <v>0</v>
      </c>
      <c r="AL50" s="228">
        <f t="shared" si="51"/>
        <v>0</v>
      </c>
      <c r="AM50" s="228">
        <f t="shared" si="51"/>
        <v>0</v>
      </c>
      <c r="AN50" s="228">
        <f t="shared" si="51"/>
        <v>0</v>
      </c>
      <c r="AO50" s="228">
        <f t="shared" si="51"/>
        <v>0</v>
      </c>
      <c r="AP50" s="228">
        <f t="shared" si="51"/>
        <v>0</v>
      </c>
      <c r="AQ50" s="228">
        <f t="shared" si="51"/>
        <v>0</v>
      </c>
      <c r="AR50" s="228">
        <f t="shared" si="51"/>
        <v>0</v>
      </c>
      <c r="AS50" s="228">
        <f t="shared" si="41"/>
        <v>0</v>
      </c>
      <c r="AT50" s="228">
        <f t="shared" si="41"/>
        <v>0</v>
      </c>
      <c r="AU50" s="228">
        <f t="shared" si="41"/>
        <v>0</v>
      </c>
      <c r="AV50" s="228">
        <f t="shared" si="41"/>
        <v>0</v>
      </c>
    </row>
    <row r="51" spans="1:48">
      <c r="A51" s="389" t="s">
        <v>182</v>
      </c>
      <c r="B51" t="s">
        <v>4</v>
      </c>
      <c r="C51" s="24" t="s">
        <v>191</v>
      </c>
      <c r="D51" s="24">
        <v>0</v>
      </c>
      <c r="E51" s="24">
        <v>0</v>
      </c>
      <c r="F51" s="24">
        <v>0</v>
      </c>
      <c r="G51" s="24">
        <v>0</v>
      </c>
      <c r="H51" s="24">
        <v>0</v>
      </c>
      <c r="I51" s="24">
        <v>0</v>
      </c>
      <c r="J51" s="24">
        <v>0</v>
      </c>
      <c r="K51" s="24">
        <v>0</v>
      </c>
      <c r="L51" s="24">
        <v>0</v>
      </c>
      <c r="M51" s="24">
        <v>0</v>
      </c>
      <c r="N51" s="228">
        <f t="shared" ref="N51:AR51" si="52">IFERROR(IF($M51-$D51&gt;=0,($M51-$D51)/COUNT($E$1:$M$1)+M51,$F115*$E115^N$1),0)</f>
        <v>0</v>
      </c>
      <c r="O51" s="228">
        <f t="shared" si="52"/>
        <v>0</v>
      </c>
      <c r="P51" s="228">
        <f t="shared" si="52"/>
        <v>0</v>
      </c>
      <c r="Q51" s="228">
        <f t="shared" si="52"/>
        <v>0</v>
      </c>
      <c r="R51" s="228">
        <f t="shared" si="52"/>
        <v>0</v>
      </c>
      <c r="S51" s="228">
        <f t="shared" si="52"/>
        <v>0</v>
      </c>
      <c r="T51" s="228">
        <f t="shared" si="52"/>
        <v>0</v>
      </c>
      <c r="U51" s="228">
        <f t="shared" si="52"/>
        <v>0</v>
      </c>
      <c r="V51" s="228">
        <f t="shared" si="52"/>
        <v>0</v>
      </c>
      <c r="W51" s="228">
        <f t="shared" si="52"/>
        <v>0</v>
      </c>
      <c r="X51" s="228">
        <f t="shared" si="52"/>
        <v>0</v>
      </c>
      <c r="Y51" s="228">
        <f t="shared" si="52"/>
        <v>0</v>
      </c>
      <c r="Z51" s="228">
        <f t="shared" si="52"/>
        <v>0</v>
      </c>
      <c r="AA51" s="228">
        <f t="shared" si="52"/>
        <v>0</v>
      </c>
      <c r="AB51" s="228">
        <f t="shared" si="52"/>
        <v>0</v>
      </c>
      <c r="AC51" s="228">
        <f t="shared" si="52"/>
        <v>0</v>
      </c>
      <c r="AD51" s="228">
        <f t="shared" si="52"/>
        <v>0</v>
      </c>
      <c r="AE51" s="228">
        <f t="shared" si="52"/>
        <v>0</v>
      </c>
      <c r="AF51" s="228">
        <f t="shared" si="52"/>
        <v>0</v>
      </c>
      <c r="AG51" s="228">
        <f t="shared" si="52"/>
        <v>0</v>
      </c>
      <c r="AH51" s="228">
        <f t="shared" si="52"/>
        <v>0</v>
      </c>
      <c r="AI51" s="228">
        <f t="shared" si="52"/>
        <v>0</v>
      </c>
      <c r="AJ51" s="228">
        <f t="shared" si="52"/>
        <v>0</v>
      </c>
      <c r="AK51" s="228">
        <f t="shared" si="52"/>
        <v>0</v>
      </c>
      <c r="AL51" s="228">
        <f t="shared" si="52"/>
        <v>0</v>
      </c>
      <c r="AM51" s="228">
        <f t="shared" si="52"/>
        <v>0</v>
      </c>
      <c r="AN51" s="228">
        <f t="shared" si="52"/>
        <v>0</v>
      </c>
      <c r="AO51" s="228">
        <f t="shared" si="52"/>
        <v>0</v>
      </c>
      <c r="AP51" s="228">
        <f t="shared" si="52"/>
        <v>0</v>
      </c>
      <c r="AQ51" s="228">
        <f t="shared" si="52"/>
        <v>0</v>
      </c>
      <c r="AR51" s="228">
        <f t="shared" si="52"/>
        <v>0</v>
      </c>
      <c r="AS51" s="228">
        <f t="shared" si="41"/>
        <v>0</v>
      </c>
      <c r="AT51" s="228">
        <f t="shared" si="41"/>
        <v>0</v>
      </c>
      <c r="AU51" s="228">
        <f t="shared" si="41"/>
        <v>0</v>
      </c>
      <c r="AV51" s="228">
        <f t="shared" si="41"/>
        <v>0</v>
      </c>
    </row>
    <row r="52" spans="1:48">
      <c r="A52" s="389" t="s">
        <v>702</v>
      </c>
      <c r="B52" t="s">
        <v>4</v>
      </c>
      <c r="C52" s="24" t="s">
        <v>191</v>
      </c>
      <c r="D52" s="24">
        <v>0</v>
      </c>
      <c r="E52" s="24">
        <v>0</v>
      </c>
      <c r="F52" s="24">
        <v>0</v>
      </c>
      <c r="G52" s="24">
        <v>0</v>
      </c>
      <c r="H52" s="24">
        <v>0</v>
      </c>
      <c r="I52" s="24">
        <v>0</v>
      </c>
      <c r="J52" s="24">
        <v>0</v>
      </c>
      <c r="K52" s="24">
        <v>0</v>
      </c>
      <c r="L52" s="24">
        <v>0</v>
      </c>
      <c r="M52" s="24">
        <v>0</v>
      </c>
      <c r="N52" s="228">
        <f t="shared" ref="N52:AR52" si="53">IFERROR(IF($M52-$D52&gt;=0,($M52-$D52)/COUNT($E$1:$M$1)+M52,$F116*$E116^N$1),0)</f>
        <v>0</v>
      </c>
      <c r="O52" s="228">
        <f t="shared" si="53"/>
        <v>0</v>
      </c>
      <c r="P52" s="228">
        <f t="shared" si="53"/>
        <v>0</v>
      </c>
      <c r="Q52" s="228">
        <f t="shared" si="53"/>
        <v>0</v>
      </c>
      <c r="R52" s="228">
        <f t="shared" si="53"/>
        <v>0</v>
      </c>
      <c r="S52" s="228">
        <f t="shared" si="53"/>
        <v>0</v>
      </c>
      <c r="T52" s="228">
        <f t="shared" si="53"/>
        <v>0</v>
      </c>
      <c r="U52" s="228">
        <f t="shared" si="53"/>
        <v>0</v>
      </c>
      <c r="V52" s="228">
        <f t="shared" si="53"/>
        <v>0</v>
      </c>
      <c r="W52" s="228">
        <f t="shared" si="53"/>
        <v>0</v>
      </c>
      <c r="X52" s="228">
        <f t="shared" si="53"/>
        <v>0</v>
      </c>
      <c r="Y52" s="228">
        <f t="shared" si="53"/>
        <v>0</v>
      </c>
      <c r="Z52" s="228">
        <f t="shared" si="53"/>
        <v>0</v>
      </c>
      <c r="AA52" s="228">
        <f t="shared" si="53"/>
        <v>0</v>
      </c>
      <c r="AB52" s="228">
        <f t="shared" si="53"/>
        <v>0</v>
      </c>
      <c r="AC52" s="228">
        <f t="shared" si="53"/>
        <v>0</v>
      </c>
      <c r="AD52" s="228">
        <f t="shared" si="53"/>
        <v>0</v>
      </c>
      <c r="AE52" s="228">
        <f t="shared" si="53"/>
        <v>0</v>
      </c>
      <c r="AF52" s="228">
        <f t="shared" si="53"/>
        <v>0</v>
      </c>
      <c r="AG52" s="228">
        <f t="shared" si="53"/>
        <v>0</v>
      </c>
      <c r="AH52" s="228">
        <f t="shared" si="53"/>
        <v>0</v>
      </c>
      <c r="AI52" s="228">
        <f t="shared" si="53"/>
        <v>0</v>
      </c>
      <c r="AJ52" s="228">
        <f t="shared" si="53"/>
        <v>0</v>
      </c>
      <c r="AK52" s="228">
        <f t="shared" si="53"/>
        <v>0</v>
      </c>
      <c r="AL52" s="228">
        <f t="shared" si="53"/>
        <v>0</v>
      </c>
      <c r="AM52" s="228">
        <f t="shared" si="53"/>
        <v>0</v>
      </c>
      <c r="AN52" s="228">
        <f t="shared" si="53"/>
        <v>0</v>
      </c>
      <c r="AO52" s="228">
        <f t="shared" si="53"/>
        <v>0</v>
      </c>
      <c r="AP52" s="228">
        <f t="shared" si="53"/>
        <v>0</v>
      </c>
      <c r="AQ52" s="228">
        <f t="shared" si="53"/>
        <v>0</v>
      </c>
      <c r="AR52" s="228">
        <f t="shared" si="53"/>
        <v>0</v>
      </c>
      <c r="AS52" s="228">
        <f t="shared" si="41"/>
        <v>0</v>
      </c>
      <c r="AT52" s="228">
        <f t="shared" si="41"/>
        <v>0</v>
      </c>
      <c r="AU52" s="228">
        <f t="shared" si="41"/>
        <v>0</v>
      </c>
      <c r="AV52" s="228">
        <f t="shared" si="41"/>
        <v>0</v>
      </c>
    </row>
    <row r="53" spans="1:48">
      <c r="A53" s="389" t="s">
        <v>703</v>
      </c>
      <c r="B53" t="s">
        <v>4</v>
      </c>
      <c r="C53" s="24" t="s">
        <v>191</v>
      </c>
      <c r="D53" s="24">
        <v>0</v>
      </c>
      <c r="E53" s="24">
        <v>0</v>
      </c>
      <c r="F53" s="24">
        <v>0</v>
      </c>
      <c r="G53" s="24">
        <v>0</v>
      </c>
      <c r="H53" s="24">
        <v>0</v>
      </c>
      <c r="I53" s="24">
        <v>0</v>
      </c>
      <c r="J53" s="24">
        <v>0</v>
      </c>
      <c r="K53" s="24">
        <v>0</v>
      </c>
      <c r="L53" s="24">
        <v>0</v>
      </c>
      <c r="M53" s="24">
        <v>0</v>
      </c>
      <c r="N53" s="228">
        <f t="shared" ref="N53:AR53" si="54">IFERROR(IF($M53-$D53&gt;=0,($M53-$D53)/COUNT($E$1:$M$1)+M53,$F117*$E117^N$1),0)</f>
        <v>0</v>
      </c>
      <c r="O53" s="228">
        <f t="shared" si="54"/>
        <v>0</v>
      </c>
      <c r="P53" s="228">
        <f t="shared" si="54"/>
        <v>0</v>
      </c>
      <c r="Q53" s="228">
        <f t="shared" si="54"/>
        <v>0</v>
      </c>
      <c r="R53" s="228">
        <f t="shared" si="54"/>
        <v>0</v>
      </c>
      <c r="S53" s="228">
        <f t="shared" si="54"/>
        <v>0</v>
      </c>
      <c r="T53" s="228">
        <f t="shared" si="54"/>
        <v>0</v>
      </c>
      <c r="U53" s="228">
        <f t="shared" si="54"/>
        <v>0</v>
      </c>
      <c r="V53" s="228">
        <f t="shared" si="54"/>
        <v>0</v>
      </c>
      <c r="W53" s="228">
        <f t="shared" si="54"/>
        <v>0</v>
      </c>
      <c r="X53" s="228">
        <f t="shared" si="54"/>
        <v>0</v>
      </c>
      <c r="Y53" s="228">
        <f t="shared" si="54"/>
        <v>0</v>
      </c>
      <c r="Z53" s="228">
        <f t="shared" si="54"/>
        <v>0</v>
      </c>
      <c r="AA53" s="228">
        <f t="shared" si="54"/>
        <v>0</v>
      </c>
      <c r="AB53" s="228">
        <f t="shared" si="54"/>
        <v>0</v>
      </c>
      <c r="AC53" s="228">
        <f t="shared" si="54"/>
        <v>0</v>
      </c>
      <c r="AD53" s="228">
        <f t="shared" si="54"/>
        <v>0</v>
      </c>
      <c r="AE53" s="228">
        <f t="shared" si="54"/>
        <v>0</v>
      </c>
      <c r="AF53" s="228">
        <f t="shared" si="54"/>
        <v>0</v>
      </c>
      <c r="AG53" s="228">
        <f t="shared" si="54"/>
        <v>0</v>
      </c>
      <c r="AH53" s="228">
        <f t="shared" si="54"/>
        <v>0</v>
      </c>
      <c r="AI53" s="228">
        <f t="shared" si="54"/>
        <v>0</v>
      </c>
      <c r="AJ53" s="228">
        <f t="shared" si="54"/>
        <v>0</v>
      </c>
      <c r="AK53" s="228">
        <f t="shared" si="54"/>
        <v>0</v>
      </c>
      <c r="AL53" s="228">
        <f t="shared" si="54"/>
        <v>0</v>
      </c>
      <c r="AM53" s="228">
        <f t="shared" si="54"/>
        <v>0</v>
      </c>
      <c r="AN53" s="228">
        <f t="shared" si="54"/>
        <v>0</v>
      </c>
      <c r="AO53" s="228">
        <f t="shared" si="54"/>
        <v>0</v>
      </c>
      <c r="AP53" s="228">
        <f t="shared" si="54"/>
        <v>0</v>
      </c>
      <c r="AQ53" s="228">
        <f t="shared" si="54"/>
        <v>0</v>
      </c>
      <c r="AR53" s="228">
        <f t="shared" si="54"/>
        <v>0</v>
      </c>
      <c r="AS53" s="228">
        <f t="shared" si="41"/>
        <v>0</v>
      </c>
      <c r="AT53" s="228">
        <f t="shared" si="41"/>
        <v>0</v>
      </c>
      <c r="AU53" s="228">
        <f t="shared" si="41"/>
        <v>0</v>
      </c>
      <c r="AV53" s="228">
        <f t="shared" si="41"/>
        <v>0</v>
      </c>
    </row>
    <row r="54" spans="1:48">
      <c r="A54" s="389" t="s">
        <v>709</v>
      </c>
      <c r="B54" t="s">
        <v>2</v>
      </c>
      <c r="C54" s="24" t="s">
        <v>191</v>
      </c>
      <c r="D54" s="24">
        <v>0</v>
      </c>
      <c r="E54" s="24">
        <v>0</v>
      </c>
      <c r="F54" s="24">
        <v>0</v>
      </c>
      <c r="G54" s="24">
        <v>0</v>
      </c>
      <c r="H54" s="24">
        <v>0</v>
      </c>
      <c r="I54" s="24">
        <v>0</v>
      </c>
      <c r="J54" s="24">
        <v>0</v>
      </c>
      <c r="K54" s="24">
        <v>0</v>
      </c>
      <c r="L54" s="24">
        <v>0</v>
      </c>
      <c r="M54" s="24">
        <v>0</v>
      </c>
      <c r="N54" s="228">
        <f t="shared" ref="N54:AR54" si="55">IFERROR(IF($M54-$D54&gt;=0,($M54-$D54)/COUNT($E$1:$M$1)+M54,$F118*$E118^N$1),0)</f>
        <v>0</v>
      </c>
      <c r="O54" s="228">
        <f t="shared" si="55"/>
        <v>0</v>
      </c>
      <c r="P54" s="228">
        <f t="shared" si="55"/>
        <v>0</v>
      </c>
      <c r="Q54" s="228">
        <f t="shared" si="55"/>
        <v>0</v>
      </c>
      <c r="R54" s="228">
        <f t="shared" si="55"/>
        <v>0</v>
      </c>
      <c r="S54" s="228">
        <f t="shared" si="55"/>
        <v>0</v>
      </c>
      <c r="T54" s="228">
        <f t="shared" si="55"/>
        <v>0</v>
      </c>
      <c r="U54" s="228">
        <f t="shared" si="55"/>
        <v>0</v>
      </c>
      <c r="V54" s="228">
        <f t="shared" si="55"/>
        <v>0</v>
      </c>
      <c r="W54" s="228">
        <f t="shared" si="55"/>
        <v>0</v>
      </c>
      <c r="X54" s="228">
        <f t="shared" si="55"/>
        <v>0</v>
      </c>
      <c r="Y54" s="228">
        <f t="shared" si="55"/>
        <v>0</v>
      </c>
      <c r="Z54" s="228">
        <f t="shared" si="55"/>
        <v>0</v>
      </c>
      <c r="AA54" s="228">
        <f t="shared" si="55"/>
        <v>0</v>
      </c>
      <c r="AB54" s="228">
        <f t="shared" si="55"/>
        <v>0</v>
      </c>
      <c r="AC54" s="228">
        <f t="shared" si="55"/>
        <v>0</v>
      </c>
      <c r="AD54" s="228">
        <f t="shared" si="55"/>
        <v>0</v>
      </c>
      <c r="AE54" s="228">
        <f t="shared" si="55"/>
        <v>0</v>
      </c>
      <c r="AF54" s="228">
        <f t="shared" si="55"/>
        <v>0</v>
      </c>
      <c r="AG54" s="228">
        <f t="shared" si="55"/>
        <v>0</v>
      </c>
      <c r="AH54" s="228">
        <f t="shared" si="55"/>
        <v>0</v>
      </c>
      <c r="AI54" s="228">
        <f t="shared" si="55"/>
        <v>0</v>
      </c>
      <c r="AJ54" s="228">
        <f t="shared" si="55"/>
        <v>0</v>
      </c>
      <c r="AK54" s="228">
        <f t="shared" si="55"/>
        <v>0</v>
      </c>
      <c r="AL54" s="228">
        <f t="shared" si="55"/>
        <v>0</v>
      </c>
      <c r="AM54" s="228">
        <f t="shared" si="55"/>
        <v>0</v>
      </c>
      <c r="AN54" s="228">
        <f t="shared" si="55"/>
        <v>0</v>
      </c>
      <c r="AO54" s="228">
        <f t="shared" si="55"/>
        <v>0</v>
      </c>
      <c r="AP54" s="228">
        <f t="shared" si="55"/>
        <v>0</v>
      </c>
      <c r="AQ54" s="228">
        <f t="shared" si="55"/>
        <v>0</v>
      </c>
      <c r="AR54" s="228">
        <f t="shared" si="55"/>
        <v>0</v>
      </c>
      <c r="AS54" s="228">
        <f t="shared" si="41"/>
        <v>0</v>
      </c>
      <c r="AT54" s="228">
        <f t="shared" si="41"/>
        <v>0</v>
      </c>
      <c r="AU54" s="228">
        <f t="shared" si="41"/>
        <v>0</v>
      </c>
      <c r="AV54" s="228">
        <f t="shared" si="41"/>
        <v>0</v>
      </c>
    </row>
    <row r="55" spans="1:48">
      <c r="A55" s="389" t="s">
        <v>711</v>
      </c>
      <c r="B55" t="s">
        <v>726</v>
      </c>
      <c r="C55" s="24" t="s">
        <v>191</v>
      </c>
      <c r="D55" s="24">
        <v>0</v>
      </c>
      <c r="E55" s="24">
        <v>0</v>
      </c>
      <c r="F55" s="24">
        <v>0</v>
      </c>
      <c r="G55" s="24">
        <v>0</v>
      </c>
      <c r="H55" s="24">
        <v>0</v>
      </c>
      <c r="I55" s="24">
        <v>0</v>
      </c>
      <c r="J55" s="24">
        <v>0</v>
      </c>
      <c r="K55" s="24">
        <v>0</v>
      </c>
      <c r="L55" s="24">
        <v>0</v>
      </c>
      <c r="M55" s="24">
        <v>0</v>
      </c>
      <c r="N55" s="228">
        <f t="shared" ref="N55:AR55" si="56">IFERROR(IF($M55-$D55&gt;=0,($M55-$D55)/COUNT($E$1:$M$1)+M55,$F119*$E119^N$1),0)</f>
        <v>0</v>
      </c>
      <c r="O55" s="228">
        <f t="shared" si="56"/>
        <v>0</v>
      </c>
      <c r="P55" s="228">
        <f t="shared" si="56"/>
        <v>0</v>
      </c>
      <c r="Q55" s="228">
        <f t="shared" si="56"/>
        <v>0</v>
      </c>
      <c r="R55" s="228">
        <f t="shared" si="56"/>
        <v>0</v>
      </c>
      <c r="S55" s="228">
        <f t="shared" si="56"/>
        <v>0</v>
      </c>
      <c r="T55" s="228">
        <f t="shared" si="56"/>
        <v>0</v>
      </c>
      <c r="U55" s="228">
        <f t="shared" si="56"/>
        <v>0</v>
      </c>
      <c r="V55" s="228">
        <f t="shared" si="56"/>
        <v>0</v>
      </c>
      <c r="W55" s="228">
        <f t="shared" si="56"/>
        <v>0</v>
      </c>
      <c r="X55" s="228">
        <f t="shared" si="56"/>
        <v>0</v>
      </c>
      <c r="Y55" s="228">
        <f t="shared" si="56"/>
        <v>0</v>
      </c>
      <c r="Z55" s="228">
        <f t="shared" si="56"/>
        <v>0</v>
      </c>
      <c r="AA55" s="228">
        <f t="shared" si="56"/>
        <v>0</v>
      </c>
      <c r="AB55" s="228">
        <f t="shared" si="56"/>
        <v>0</v>
      </c>
      <c r="AC55" s="228">
        <f t="shared" si="56"/>
        <v>0</v>
      </c>
      <c r="AD55" s="228">
        <f t="shared" si="56"/>
        <v>0</v>
      </c>
      <c r="AE55" s="228">
        <f t="shared" si="56"/>
        <v>0</v>
      </c>
      <c r="AF55" s="228">
        <f t="shared" si="56"/>
        <v>0</v>
      </c>
      <c r="AG55" s="228">
        <f t="shared" si="56"/>
        <v>0</v>
      </c>
      <c r="AH55" s="228">
        <f t="shared" si="56"/>
        <v>0</v>
      </c>
      <c r="AI55" s="228">
        <f t="shared" si="56"/>
        <v>0</v>
      </c>
      <c r="AJ55" s="228">
        <f t="shared" si="56"/>
        <v>0</v>
      </c>
      <c r="AK55" s="228">
        <f t="shared" si="56"/>
        <v>0</v>
      </c>
      <c r="AL55" s="228">
        <f t="shared" si="56"/>
        <v>0</v>
      </c>
      <c r="AM55" s="228">
        <f t="shared" si="56"/>
        <v>0</v>
      </c>
      <c r="AN55" s="228">
        <f t="shared" si="56"/>
        <v>0</v>
      </c>
      <c r="AO55" s="228">
        <f t="shared" si="56"/>
        <v>0</v>
      </c>
      <c r="AP55" s="228">
        <f t="shared" si="56"/>
        <v>0</v>
      </c>
      <c r="AQ55" s="228">
        <f t="shared" si="56"/>
        <v>0</v>
      </c>
      <c r="AR55" s="228">
        <f t="shared" si="56"/>
        <v>0</v>
      </c>
      <c r="AS55" s="228">
        <f t="shared" si="41"/>
        <v>0</v>
      </c>
      <c r="AT55" s="228">
        <f t="shared" si="41"/>
        <v>0</v>
      </c>
      <c r="AU55" s="228">
        <f t="shared" si="41"/>
        <v>0</v>
      </c>
      <c r="AV55" s="228">
        <f t="shared" si="41"/>
        <v>0</v>
      </c>
    </row>
    <row r="56" spans="1:48">
      <c r="A56" s="389" t="s">
        <v>185</v>
      </c>
      <c r="B56" t="s">
        <v>26</v>
      </c>
      <c r="C56" s="24" t="s">
        <v>191</v>
      </c>
      <c r="D56" s="24">
        <v>0</v>
      </c>
      <c r="E56" s="24">
        <v>0</v>
      </c>
      <c r="F56" s="24">
        <v>0</v>
      </c>
      <c r="G56" s="24">
        <v>0</v>
      </c>
      <c r="H56" s="24">
        <v>0</v>
      </c>
      <c r="I56" s="24">
        <v>0</v>
      </c>
      <c r="J56" s="24">
        <v>0</v>
      </c>
      <c r="K56" s="24">
        <v>0</v>
      </c>
      <c r="L56" s="24">
        <v>0</v>
      </c>
      <c r="M56" s="24">
        <v>0</v>
      </c>
      <c r="N56" s="228">
        <f>IFERROR(IF($M56-$D56&gt;=0,($M56-$D56)/COUNT($E$1:$M$1)+M56,#REF!*#REF!^N$1),0)</f>
        <v>0</v>
      </c>
      <c r="O56" s="228">
        <f>IFERROR(IF($M56-$D56&gt;=0,($M56-$D56)/COUNT($E$1:$M$1)+N56,#REF!*#REF!^O$1),0)</f>
        <v>0</v>
      </c>
      <c r="P56" s="228">
        <f>IFERROR(IF($M56-$D56&gt;=0,($M56-$D56)/COUNT($E$1:$M$1)+O56,#REF!*#REF!^P$1),0)</f>
        <v>0</v>
      </c>
      <c r="Q56" s="228">
        <f>IFERROR(IF($M56-$D56&gt;=0,($M56-$D56)/COUNT($E$1:$M$1)+P56,#REF!*#REF!^Q$1),0)</f>
        <v>0</v>
      </c>
      <c r="R56" s="228">
        <f>IFERROR(IF($M56-$D56&gt;=0,($M56-$D56)/COUNT($E$1:$M$1)+Q56,#REF!*#REF!^R$1),0)</f>
        <v>0</v>
      </c>
      <c r="S56" s="228">
        <f>IFERROR(IF($M56-$D56&gt;=0,($M56-$D56)/COUNT($E$1:$M$1)+R56,#REF!*#REF!^S$1),0)</f>
        <v>0</v>
      </c>
      <c r="T56" s="228">
        <f>IFERROR(IF($M56-$D56&gt;=0,($M56-$D56)/COUNT($E$1:$M$1)+S56,#REF!*#REF!^T$1),0)</f>
        <v>0</v>
      </c>
      <c r="U56" s="228">
        <f>IFERROR(IF($M56-$D56&gt;=0,($M56-$D56)/COUNT($E$1:$M$1)+T56,#REF!*#REF!^U$1),0)</f>
        <v>0</v>
      </c>
      <c r="V56" s="228">
        <f>IFERROR(IF($M56-$D56&gt;=0,($M56-$D56)/COUNT($E$1:$M$1)+U56,#REF!*#REF!^V$1),0)</f>
        <v>0</v>
      </c>
      <c r="W56" s="228">
        <f>IFERROR(IF($M56-$D56&gt;=0,($M56-$D56)/COUNT($E$1:$M$1)+V56,#REF!*#REF!^W$1),0)</f>
        <v>0</v>
      </c>
      <c r="X56" s="228">
        <f>IFERROR(IF($M56-$D56&gt;=0,($M56-$D56)/COUNT($E$1:$M$1)+W56,#REF!*#REF!^X$1),0)</f>
        <v>0</v>
      </c>
      <c r="Y56" s="228">
        <f>IFERROR(IF($M56-$D56&gt;=0,($M56-$D56)/COUNT($E$1:$M$1)+X56,#REF!*#REF!^Y$1),0)</f>
        <v>0</v>
      </c>
      <c r="Z56" s="228">
        <f>IFERROR(IF($M56-$D56&gt;=0,($M56-$D56)/COUNT($E$1:$M$1)+Y56,#REF!*#REF!^Z$1),0)</f>
        <v>0</v>
      </c>
      <c r="AA56" s="228">
        <f>IFERROR(IF($M56-$D56&gt;=0,($M56-$D56)/COUNT($E$1:$M$1)+Z56,#REF!*#REF!^AA$1),0)</f>
        <v>0</v>
      </c>
      <c r="AB56" s="228">
        <f>IFERROR(IF($M56-$D56&gt;=0,($M56-$D56)/COUNT($E$1:$M$1)+AA56,#REF!*#REF!^AB$1),0)</f>
        <v>0</v>
      </c>
      <c r="AC56" s="228">
        <f>IFERROR(IF($M56-$D56&gt;=0,($M56-$D56)/COUNT($E$1:$M$1)+AB56,#REF!*#REF!^AC$1),0)</f>
        <v>0</v>
      </c>
      <c r="AD56" s="228">
        <f>IFERROR(IF($M56-$D56&gt;=0,($M56-$D56)/COUNT($E$1:$M$1)+AC56,#REF!*#REF!^AD$1),0)</f>
        <v>0</v>
      </c>
      <c r="AE56" s="228">
        <f>IFERROR(IF($M56-$D56&gt;=0,($M56-$D56)/COUNT($E$1:$M$1)+AD56,#REF!*#REF!^AE$1),0)</f>
        <v>0</v>
      </c>
      <c r="AF56" s="228">
        <f>IFERROR(IF($M56-$D56&gt;=0,($M56-$D56)/COUNT($E$1:$M$1)+AE56,#REF!*#REF!^AF$1),0)</f>
        <v>0</v>
      </c>
      <c r="AG56" s="228">
        <f>IFERROR(IF($M56-$D56&gt;=0,($M56-$D56)/COUNT($E$1:$M$1)+AF56,#REF!*#REF!^AG$1),0)</f>
        <v>0</v>
      </c>
      <c r="AH56" s="228">
        <f>IFERROR(IF($M56-$D56&gt;=0,($M56-$D56)/COUNT($E$1:$M$1)+AG56,#REF!*#REF!^AH$1),0)</f>
        <v>0</v>
      </c>
      <c r="AI56" s="228">
        <f>IFERROR(IF($M56-$D56&gt;=0,($M56-$D56)/COUNT($E$1:$M$1)+AH56,#REF!*#REF!^AI$1),0)</f>
        <v>0</v>
      </c>
      <c r="AJ56" s="228">
        <f>IFERROR(IF($M56-$D56&gt;=0,($M56-$D56)/COUNT($E$1:$M$1)+AI56,#REF!*#REF!^AJ$1),0)</f>
        <v>0</v>
      </c>
      <c r="AK56" s="228">
        <f>IFERROR(IF($M56-$D56&gt;=0,($M56-$D56)/COUNT($E$1:$M$1)+AJ56,#REF!*#REF!^AK$1),0)</f>
        <v>0</v>
      </c>
      <c r="AL56" s="228">
        <f>IFERROR(IF($M56-$D56&gt;=0,($M56-$D56)/COUNT($E$1:$M$1)+AK56,#REF!*#REF!^AL$1),0)</f>
        <v>0</v>
      </c>
      <c r="AM56" s="228">
        <f>IFERROR(IF($M56-$D56&gt;=0,($M56-$D56)/COUNT($E$1:$M$1)+AL56,#REF!*#REF!^AM$1),0)</f>
        <v>0</v>
      </c>
      <c r="AN56" s="228">
        <f>IFERROR(IF($M56-$D56&gt;=0,($M56-$D56)/COUNT($E$1:$M$1)+AM56,#REF!*#REF!^AN$1),0)</f>
        <v>0</v>
      </c>
      <c r="AO56" s="228">
        <f>IFERROR(IF($M56-$D56&gt;=0,($M56-$D56)/COUNT($E$1:$M$1)+AN56,#REF!*#REF!^AO$1),0)</f>
        <v>0</v>
      </c>
      <c r="AP56" s="228">
        <f>IFERROR(IF($M56-$D56&gt;=0,($M56-$D56)/COUNT($E$1:$M$1)+AO56,#REF!*#REF!^AP$1),0)</f>
        <v>0</v>
      </c>
      <c r="AQ56" s="228">
        <f>IFERROR(IF($M56-$D56&gt;=0,($M56-$D56)/COUNT($E$1:$M$1)+AP56,#REF!*#REF!^AQ$1),0)</f>
        <v>0</v>
      </c>
      <c r="AR56" s="228">
        <f>IFERROR(IF($M56-$D56&gt;=0,($M56-$D56)/COUNT($E$1:$M$1)+AQ56,#REF!*#REF!^AR$1),0)</f>
        <v>0</v>
      </c>
      <c r="AS56" s="228">
        <f>IFERROR(IF($M56-$D56&gt;=0,($M56-$D56)/COUNT($E$1:$M$1)+AR56,#REF!*#REF!^AS$1),0)</f>
        <v>0</v>
      </c>
      <c r="AT56" s="228">
        <f>IFERROR(IF($M56-$D56&gt;=0,($M56-$D56)/COUNT($E$1:$M$1)+AS56,#REF!*#REF!^AT$1),0)</f>
        <v>0</v>
      </c>
      <c r="AU56" s="228">
        <f>IFERROR(IF($M56-$D56&gt;=0,($M56-$D56)/COUNT($E$1:$M$1)+AT56,#REF!*#REF!^AU$1),0)</f>
        <v>0</v>
      </c>
      <c r="AV56" s="228">
        <f>IFERROR(IF($M56-$D56&gt;=0,($M56-$D56)/COUNT($E$1:$M$1)+AU56,#REF!*#REF!^AV$1),0)</f>
        <v>0</v>
      </c>
    </row>
    <row r="57" spans="1:48">
      <c r="A57" s="389" t="s">
        <v>716</v>
      </c>
      <c r="B57" t="s">
        <v>26</v>
      </c>
      <c r="C57" s="24" t="s">
        <v>191</v>
      </c>
      <c r="D57" s="24">
        <v>0</v>
      </c>
      <c r="E57" s="24">
        <v>0</v>
      </c>
      <c r="F57" s="24">
        <v>0</v>
      </c>
      <c r="G57" s="24">
        <v>0</v>
      </c>
      <c r="H57" s="24">
        <v>0</v>
      </c>
      <c r="I57" s="24">
        <v>0</v>
      </c>
      <c r="J57" s="24">
        <v>0</v>
      </c>
      <c r="K57" s="24">
        <v>0</v>
      </c>
      <c r="L57" s="24">
        <v>0</v>
      </c>
      <c r="M57" s="24">
        <v>0</v>
      </c>
      <c r="N57" s="228">
        <f>IFERROR(IF($M57-$D57&gt;=0,($M57-$D57)/COUNT($E$1:$M$1)+M57,#REF!*#REF!^N$1),0)</f>
        <v>0</v>
      </c>
      <c r="O57" s="228">
        <f>IFERROR(IF($M57-$D57&gt;=0,($M57-$D57)/COUNT($E$1:$M$1)+N57,#REF!*#REF!^O$1),0)</f>
        <v>0</v>
      </c>
      <c r="P57" s="228">
        <f>IFERROR(IF($M57-$D57&gt;=0,($M57-$D57)/COUNT($E$1:$M$1)+O57,#REF!*#REF!^P$1),0)</f>
        <v>0</v>
      </c>
      <c r="Q57" s="228">
        <f>IFERROR(IF($M57-$D57&gt;=0,($M57-$D57)/COUNT($E$1:$M$1)+P57,#REF!*#REF!^Q$1),0)</f>
        <v>0</v>
      </c>
      <c r="R57" s="228">
        <f>IFERROR(IF($M57-$D57&gt;=0,($M57-$D57)/COUNT($E$1:$M$1)+Q57,#REF!*#REF!^R$1),0)</f>
        <v>0</v>
      </c>
      <c r="S57" s="228">
        <f>IFERROR(IF($M57-$D57&gt;=0,($M57-$D57)/COUNT($E$1:$M$1)+R57,#REF!*#REF!^S$1),0)</f>
        <v>0</v>
      </c>
      <c r="T57" s="228">
        <f>IFERROR(IF($M57-$D57&gt;=0,($M57-$D57)/COUNT($E$1:$M$1)+S57,#REF!*#REF!^T$1),0)</f>
        <v>0</v>
      </c>
      <c r="U57" s="228">
        <f>IFERROR(IF($M57-$D57&gt;=0,($M57-$D57)/COUNT($E$1:$M$1)+T57,#REF!*#REF!^U$1),0)</f>
        <v>0</v>
      </c>
      <c r="V57" s="228">
        <f>IFERROR(IF($M57-$D57&gt;=0,($M57-$D57)/COUNT($E$1:$M$1)+U57,#REF!*#REF!^V$1),0)</f>
        <v>0</v>
      </c>
      <c r="W57" s="228">
        <f>IFERROR(IF($M57-$D57&gt;=0,($M57-$D57)/COUNT($E$1:$M$1)+V57,#REF!*#REF!^W$1),0)</f>
        <v>0</v>
      </c>
      <c r="X57" s="228">
        <f>IFERROR(IF($M57-$D57&gt;=0,($M57-$D57)/COUNT($E$1:$M$1)+W57,#REF!*#REF!^X$1),0)</f>
        <v>0</v>
      </c>
      <c r="Y57" s="228">
        <f>IFERROR(IF($M57-$D57&gt;=0,($M57-$D57)/COUNT($E$1:$M$1)+X57,#REF!*#REF!^Y$1),0)</f>
        <v>0</v>
      </c>
      <c r="Z57" s="228">
        <f>IFERROR(IF($M57-$D57&gt;=0,($M57-$D57)/COUNT($E$1:$M$1)+Y57,#REF!*#REF!^Z$1),0)</f>
        <v>0</v>
      </c>
      <c r="AA57" s="228">
        <f>IFERROR(IF($M57-$D57&gt;=0,($M57-$D57)/COUNT($E$1:$M$1)+Z57,#REF!*#REF!^AA$1),0)</f>
        <v>0</v>
      </c>
      <c r="AB57" s="228">
        <f>IFERROR(IF($M57-$D57&gt;=0,($M57-$D57)/COUNT($E$1:$M$1)+AA57,#REF!*#REF!^AB$1),0)</f>
        <v>0</v>
      </c>
      <c r="AC57" s="228">
        <f>IFERROR(IF($M57-$D57&gt;=0,($M57-$D57)/COUNT($E$1:$M$1)+AB57,#REF!*#REF!^AC$1),0)</f>
        <v>0</v>
      </c>
      <c r="AD57" s="228">
        <f>IFERROR(IF($M57-$D57&gt;=0,($M57-$D57)/COUNT($E$1:$M$1)+AC57,#REF!*#REF!^AD$1),0)</f>
        <v>0</v>
      </c>
      <c r="AE57" s="228">
        <f>IFERROR(IF($M57-$D57&gt;=0,($M57-$D57)/COUNT($E$1:$M$1)+AD57,#REF!*#REF!^AE$1),0)</f>
        <v>0</v>
      </c>
      <c r="AF57" s="228">
        <f>IFERROR(IF($M57-$D57&gt;=0,($M57-$D57)/COUNT($E$1:$M$1)+AE57,#REF!*#REF!^AF$1),0)</f>
        <v>0</v>
      </c>
      <c r="AG57" s="228">
        <f>IFERROR(IF($M57-$D57&gt;=0,($M57-$D57)/COUNT($E$1:$M$1)+AF57,#REF!*#REF!^AG$1),0)</f>
        <v>0</v>
      </c>
      <c r="AH57" s="228">
        <f>IFERROR(IF($M57-$D57&gt;=0,($M57-$D57)/COUNT($E$1:$M$1)+AG57,#REF!*#REF!^AH$1),0)</f>
        <v>0</v>
      </c>
      <c r="AI57" s="228">
        <f>IFERROR(IF($M57-$D57&gt;=0,($M57-$D57)/COUNT($E$1:$M$1)+AH57,#REF!*#REF!^AI$1),0)</f>
        <v>0</v>
      </c>
      <c r="AJ57" s="228">
        <f>IFERROR(IF($M57-$D57&gt;=0,($M57-$D57)/COUNT($E$1:$M$1)+AI57,#REF!*#REF!^AJ$1),0)</f>
        <v>0</v>
      </c>
      <c r="AK57" s="228">
        <f>IFERROR(IF($M57-$D57&gt;=0,($M57-$D57)/COUNT($E$1:$M$1)+AJ57,#REF!*#REF!^AK$1),0)</f>
        <v>0</v>
      </c>
      <c r="AL57" s="228">
        <f>IFERROR(IF($M57-$D57&gt;=0,($M57-$D57)/COUNT($E$1:$M$1)+AK57,#REF!*#REF!^AL$1),0)</f>
        <v>0</v>
      </c>
      <c r="AM57" s="228">
        <f>IFERROR(IF($M57-$D57&gt;=0,($M57-$D57)/COUNT($E$1:$M$1)+AL57,#REF!*#REF!^AM$1),0)</f>
        <v>0</v>
      </c>
      <c r="AN57" s="228">
        <f>IFERROR(IF($M57-$D57&gt;=0,($M57-$D57)/COUNT($E$1:$M$1)+AM57,#REF!*#REF!^AN$1),0)</f>
        <v>0</v>
      </c>
      <c r="AO57" s="228">
        <f>IFERROR(IF($M57-$D57&gt;=0,($M57-$D57)/COUNT($E$1:$M$1)+AN57,#REF!*#REF!^AO$1),0)</f>
        <v>0</v>
      </c>
      <c r="AP57" s="228">
        <f>IFERROR(IF($M57-$D57&gt;=0,($M57-$D57)/COUNT($E$1:$M$1)+AO57,#REF!*#REF!^AP$1),0)</f>
        <v>0</v>
      </c>
      <c r="AQ57" s="228">
        <f>IFERROR(IF($M57-$D57&gt;=0,($M57-$D57)/COUNT($E$1:$M$1)+AP57,#REF!*#REF!^AQ$1),0)</f>
        <v>0</v>
      </c>
      <c r="AR57" s="228">
        <f>IFERROR(IF($M57-$D57&gt;=0,($M57-$D57)/COUNT($E$1:$M$1)+AQ57,#REF!*#REF!^AR$1),0)</f>
        <v>0</v>
      </c>
      <c r="AS57" s="228">
        <f>IFERROR(IF($M57-$D57&gt;=0,($M57-$D57)/COUNT($E$1:$M$1)+AR57,#REF!*#REF!^AS$1),0)</f>
        <v>0</v>
      </c>
      <c r="AT57" s="228">
        <f>IFERROR(IF($M57-$D57&gt;=0,($M57-$D57)/COUNT($E$1:$M$1)+AS57,#REF!*#REF!^AT$1),0)</f>
        <v>0</v>
      </c>
      <c r="AU57" s="228">
        <f>IFERROR(IF($M57-$D57&gt;=0,($M57-$D57)/COUNT($E$1:$M$1)+AT57,#REF!*#REF!^AU$1),0)</f>
        <v>0</v>
      </c>
      <c r="AV57" s="228">
        <f>IFERROR(IF($M57-$D57&gt;=0,($M57-$D57)/COUNT($E$1:$M$1)+AU57,#REF!*#REF!^AV$1),0)</f>
        <v>0</v>
      </c>
    </row>
    <row r="58" spans="1:48">
      <c r="A58" s="71"/>
    </row>
    <row r="59" spans="1:48">
      <c r="A59" s="71"/>
    </row>
    <row r="60" spans="1:48">
      <c r="A60" s="71"/>
    </row>
    <row r="61" spans="1:48">
      <c r="A61" s="239" t="s">
        <v>193</v>
      </c>
      <c r="B61" s="6"/>
      <c r="C61" s="6"/>
      <c r="D61" s="6"/>
      <c r="E61" s="7"/>
      <c r="F61" s="7"/>
    </row>
    <row r="62" spans="1:48">
      <c r="A62" s="239" t="s">
        <v>186</v>
      </c>
      <c r="B62" s="5" t="s">
        <v>187</v>
      </c>
      <c r="C62" s="5" t="s">
        <v>165</v>
      </c>
      <c r="D62" s="5" t="s">
        <v>194</v>
      </c>
      <c r="E62" s="5" t="s">
        <v>195</v>
      </c>
      <c r="F62" s="5" t="s">
        <v>196</v>
      </c>
    </row>
    <row r="63" spans="1:48">
      <c r="A63" s="71" t="s">
        <v>184</v>
      </c>
      <c r="B63" t="s">
        <v>4</v>
      </c>
      <c r="C63" t="s">
        <v>153</v>
      </c>
      <c r="D63" t="b">
        <f>IF((M2-D2)&lt;0,TRUE,FALSE)</f>
        <v>0</v>
      </c>
      <c r="E63" t="str">
        <f t="array" ref="E63:F63">IF(D63=TRUE,LOGEST(D2:M2,$D$1:$M$1,TRUE,FALSE),"")</f>
        <v/>
      </c>
      <c r="F63" t="str">
        <v/>
      </c>
    </row>
    <row r="64" spans="1:48">
      <c r="A64" s="71" t="s">
        <v>182</v>
      </c>
      <c r="B64" t="s">
        <v>4</v>
      </c>
      <c r="C64" t="s">
        <v>153</v>
      </c>
      <c r="D64" t="b">
        <f t="shared" ref="D64:D118" si="57">IF((M3-D3)&lt;0,TRUE,FALSE)</f>
        <v>0</v>
      </c>
      <c r="E64" t="str">
        <f t="array" ref="E64:F64">IF(D64=TRUE,LOGEST(D3:M3,$D$1:$M$1,TRUE,FALSE),"")</f>
        <v/>
      </c>
      <c r="F64" t="str">
        <v/>
      </c>
    </row>
    <row r="65" spans="1:6">
      <c r="A65" s="71" t="s">
        <v>702</v>
      </c>
      <c r="B65" t="s">
        <v>4</v>
      </c>
      <c r="C65" t="s">
        <v>153</v>
      </c>
      <c r="D65" t="b">
        <f t="shared" ca="1" si="57"/>
        <v>0</v>
      </c>
      <c r="E65" t="str">
        <f t="array" aca="1" ref="E65:F65" ca="1">IF(D65=TRUE,LOGEST(D4:M4,$D$1:$M$1,TRUE,FALSE),"")</f>
        <v/>
      </c>
      <c r="F65" t="str">
        <f ca="1"/>
        <v/>
      </c>
    </row>
    <row r="66" spans="1:6">
      <c r="A66" s="71" t="s">
        <v>703</v>
      </c>
      <c r="B66" t="s">
        <v>4</v>
      </c>
      <c r="C66" t="s">
        <v>153</v>
      </c>
      <c r="D66" t="b">
        <f t="shared" si="57"/>
        <v>1</v>
      </c>
      <c r="E66">
        <f t="array" ref="E66:F66">IF(D66=TRUE,LOGEST(D5:M5,$D$1:$M$1,TRUE,FALSE),"")</f>
        <v>1.0055785699751878</v>
      </c>
      <c r="F66">
        <v>1.4640352293377774E-2</v>
      </c>
    </row>
    <row r="67" spans="1:6">
      <c r="A67" s="71" t="s">
        <v>709</v>
      </c>
      <c r="B67" t="s">
        <v>2</v>
      </c>
      <c r="C67" t="s">
        <v>153</v>
      </c>
      <c r="D67" t="b">
        <f t="shared" ca="1" si="57"/>
        <v>0</v>
      </c>
      <c r="E67" t="str">
        <f t="array" aca="1" ref="E67:F67" ca="1">IF(D67=TRUE,LOGEST(D6:M6,$D$1:$M$1,TRUE,FALSE),"")</f>
        <v/>
      </c>
      <c r="F67" t="str">
        <f ca="1"/>
        <v/>
      </c>
    </row>
    <row r="68" spans="1:6">
      <c r="A68" s="71" t="s">
        <v>711</v>
      </c>
      <c r="B68" t="s">
        <v>726</v>
      </c>
      <c r="C68" t="s">
        <v>153</v>
      </c>
      <c r="D68" t="b">
        <f t="shared" ca="1" si="57"/>
        <v>0</v>
      </c>
      <c r="E68" t="str">
        <f t="array" aca="1" ref="E68:F68" ca="1">IF(D68=TRUE,LOGEST(D7:M7,$D$1:$M$1,TRUE,FALSE),"")</f>
        <v/>
      </c>
      <c r="F68" t="str">
        <f ca="1"/>
        <v/>
      </c>
    </row>
    <row r="69" spans="1:6">
      <c r="A69" s="71" t="s">
        <v>185</v>
      </c>
      <c r="B69" t="s">
        <v>26</v>
      </c>
      <c r="C69" t="s">
        <v>153</v>
      </c>
      <c r="D69" t="b">
        <f t="shared" ca="1" si="57"/>
        <v>0</v>
      </c>
      <c r="E69" t="str">
        <f t="array" aca="1" ref="E69:F69" ca="1">IF(D69=TRUE,LOGEST(D8:M8,$D$1:$M$1,TRUE,FALSE),"")</f>
        <v/>
      </c>
      <c r="F69" t="str">
        <f ca="1"/>
        <v/>
      </c>
    </row>
    <row r="70" spans="1:6">
      <c r="A70" s="71" t="s">
        <v>716</v>
      </c>
      <c r="B70" t="s">
        <v>26</v>
      </c>
      <c r="C70" t="s">
        <v>153</v>
      </c>
      <c r="D70" t="b">
        <f t="shared" ca="1" si="57"/>
        <v>0</v>
      </c>
      <c r="E70" t="str">
        <f t="array" aca="1" ref="E70:F70" ca="1">IF(D70=TRUE,LOGEST(D9:M9,$D$1:$M$1,TRUE,FALSE),"")</f>
        <v/>
      </c>
      <c r="F70" t="str">
        <f ca="1"/>
        <v/>
      </c>
    </row>
    <row r="71" spans="1:6">
      <c r="A71" s="71" t="s">
        <v>184</v>
      </c>
      <c r="B71" t="s">
        <v>4</v>
      </c>
      <c r="C71" t="s">
        <v>162</v>
      </c>
      <c r="D71" t="b">
        <f t="shared" si="57"/>
        <v>0</v>
      </c>
      <c r="E71" t="str">
        <f t="array" ref="E71:F71">IF(D71=TRUE,LOGEST(D10:M10,$D$1:$M$1,TRUE,FALSE),"")</f>
        <v/>
      </c>
      <c r="F71" t="str">
        <v/>
      </c>
    </row>
    <row r="72" spans="1:6">
      <c r="A72" s="71" t="s">
        <v>182</v>
      </c>
      <c r="B72" t="s">
        <v>4</v>
      </c>
      <c r="C72" t="s">
        <v>162</v>
      </c>
      <c r="D72" t="b">
        <f t="shared" si="57"/>
        <v>0</v>
      </c>
      <c r="E72" t="str">
        <f t="array" ref="E72:F72">IF(D72=TRUE,LOGEST(D11:M11,$D$1:$M$1,TRUE,FALSE),"")</f>
        <v/>
      </c>
      <c r="F72" t="str">
        <v/>
      </c>
    </row>
    <row r="73" spans="1:6">
      <c r="A73" s="71" t="s">
        <v>702</v>
      </c>
      <c r="B73" t="s">
        <v>4</v>
      </c>
      <c r="C73" t="s">
        <v>162</v>
      </c>
      <c r="D73" t="b">
        <f t="shared" ca="1" si="57"/>
        <v>0</v>
      </c>
      <c r="E73" t="str">
        <f t="array" aca="1" ref="E73:F73" ca="1">IF(D73=TRUE,LOGEST(D12:M12,$D$1:$M$1,TRUE,FALSE),"")</f>
        <v/>
      </c>
      <c r="F73" t="str">
        <f ca="1"/>
        <v/>
      </c>
    </row>
    <row r="74" spans="1:6">
      <c r="A74" s="71" t="s">
        <v>703</v>
      </c>
      <c r="B74" t="s">
        <v>4</v>
      </c>
      <c r="C74" t="s">
        <v>162</v>
      </c>
      <c r="D74" t="b">
        <f t="shared" si="57"/>
        <v>1</v>
      </c>
      <c r="E74">
        <f t="array" ref="E74:F74">IF(D74=TRUE,LOGEST(D13:M13,$D$1:$M$1,TRUE,FALSE),"")</f>
        <v>0.98620877557087938</v>
      </c>
      <c r="F74">
        <v>2020989807080.3025</v>
      </c>
    </row>
    <row r="75" spans="1:6">
      <c r="A75" s="71" t="s">
        <v>709</v>
      </c>
      <c r="B75" t="s">
        <v>2</v>
      </c>
      <c r="C75" t="s">
        <v>162</v>
      </c>
      <c r="D75" t="b">
        <f t="shared" ca="1" si="57"/>
        <v>1</v>
      </c>
      <c r="E75">
        <f t="array" aca="1" ref="E75:F75" ca="1">IF(D75=TRUE,LOGEST(D14:M14,$D$1:$M$1,TRUE,FALSE),"")</f>
        <v>0.98508500379553599</v>
      </c>
      <c r="F75">
        <f ca="1"/>
        <v>19960221704605.723</v>
      </c>
    </row>
    <row r="76" spans="1:6">
      <c r="A76" s="71" t="s">
        <v>711</v>
      </c>
      <c r="B76" t="s">
        <v>726</v>
      </c>
      <c r="C76" t="s">
        <v>162</v>
      </c>
      <c r="D76" t="b">
        <f t="shared" ca="1" si="57"/>
        <v>0</v>
      </c>
      <c r="E76" t="str">
        <f t="array" aca="1" ref="E76:F76" ca="1">IF(D76=TRUE,LOGEST(D15:M15,$D$1:$M$1,TRUE,FALSE),"")</f>
        <v/>
      </c>
      <c r="F76" t="str">
        <f ca="1"/>
        <v/>
      </c>
    </row>
    <row r="77" spans="1:6">
      <c r="A77" s="71" t="s">
        <v>185</v>
      </c>
      <c r="B77" t="s">
        <v>26</v>
      </c>
      <c r="C77" t="s">
        <v>162</v>
      </c>
      <c r="D77" t="b">
        <f t="shared" ca="1" si="57"/>
        <v>0</v>
      </c>
      <c r="E77" t="str">
        <f t="array" aca="1" ref="E77:F77" ca="1">IF(D77=TRUE,LOGEST(D16:M16,$D$1:$M$1,TRUE,FALSE),"")</f>
        <v/>
      </c>
      <c r="F77" t="str">
        <f ca="1"/>
        <v/>
      </c>
    </row>
    <row r="78" spans="1:6">
      <c r="A78" s="71" t="s">
        <v>716</v>
      </c>
      <c r="B78" t="s">
        <v>26</v>
      </c>
      <c r="C78" t="s">
        <v>162</v>
      </c>
      <c r="D78" t="b">
        <f t="shared" ca="1" si="57"/>
        <v>0</v>
      </c>
      <c r="E78" t="str">
        <f t="array" aca="1" ref="E78:F78" ca="1">IF(D78=TRUE,LOGEST(D17:M17,$D$1:$M$1,TRUE,FALSE),"")</f>
        <v/>
      </c>
      <c r="F78" t="str">
        <f ca="1"/>
        <v/>
      </c>
    </row>
    <row r="79" spans="1:6">
      <c r="A79" s="71" t="s">
        <v>184</v>
      </c>
      <c r="B79" t="s">
        <v>4</v>
      </c>
      <c r="C79" t="s">
        <v>163</v>
      </c>
      <c r="D79" t="b">
        <f t="shared" si="57"/>
        <v>0</v>
      </c>
      <c r="E79" t="str">
        <f t="array" ref="E79:F79">IF(D79=TRUE,LOGEST(D18:M18,$D$1:$M$1,TRUE,FALSE),"")</f>
        <v/>
      </c>
      <c r="F79" t="str">
        <v/>
      </c>
    </row>
    <row r="80" spans="1:6">
      <c r="A80" s="71" t="s">
        <v>182</v>
      </c>
      <c r="B80" t="s">
        <v>4</v>
      </c>
      <c r="C80" t="s">
        <v>163</v>
      </c>
      <c r="D80" t="b">
        <f t="shared" si="57"/>
        <v>1</v>
      </c>
      <c r="E80">
        <f t="array" ref="E80:F80">IF(D80=TRUE,LOGEST(D19:M19,$D$1:$M$1,TRUE,FALSE),"")</f>
        <v>0.98176949445019401</v>
      </c>
      <c r="F80">
        <v>1137090644069556</v>
      </c>
    </row>
    <row r="81" spans="1:6">
      <c r="A81" s="71" t="s">
        <v>702</v>
      </c>
      <c r="B81" t="s">
        <v>4</v>
      </c>
      <c r="C81" t="s">
        <v>163</v>
      </c>
      <c r="D81" t="b">
        <f t="shared" ca="1" si="57"/>
        <v>0</v>
      </c>
      <c r="E81" t="str">
        <f t="array" aca="1" ref="E81:F81" ca="1">IF(D81=TRUE,LOGEST(D20:M20,$D$1:$M$1,TRUE,FALSE),"")</f>
        <v/>
      </c>
      <c r="F81" t="str">
        <f ca="1"/>
        <v/>
      </c>
    </row>
    <row r="82" spans="1:6">
      <c r="A82" s="71" t="s">
        <v>703</v>
      </c>
      <c r="B82" t="s">
        <v>4</v>
      </c>
      <c r="C82" t="s">
        <v>163</v>
      </c>
      <c r="D82" t="b">
        <f t="shared" si="57"/>
        <v>1</v>
      </c>
      <c r="E82">
        <f t="array" ref="E82:F82">IF(D82=TRUE,LOGEST(D21:M21,$D$1:$M$1,TRUE,FALSE),"")</f>
        <v>0.99695196008080889</v>
      </c>
      <c r="F82">
        <v>0.45379921920879657</v>
      </c>
    </row>
    <row r="83" spans="1:6">
      <c r="A83" s="71" t="s">
        <v>709</v>
      </c>
      <c r="B83" t="s">
        <v>2</v>
      </c>
      <c r="C83" t="s">
        <v>163</v>
      </c>
      <c r="D83" t="b">
        <f t="shared" ca="1" si="57"/>
        <v>1</v>
      </c>
      <c r="E83">
        <f t="array" aca="1" ref="E83:F83" ca="1">IF(D83=TRUE,LOGEST(D22:M22,$D$1:$M$1,TRUE,FALSE),"")</f>
        <v>0.98899736503205149</v>
      </c>
      <c r="F83">
        <f ca="1"/>
        <v>15216241108.460611</v>
      </c>
    </row>
    <row r="84" spans="1:6">
      <c r="A84" s="71" t="s">
        <v>711</v>
      </c>
      <c r="B84" t="s">
        <v>726</v>
      </c>
      <c r="C84" t="s">
        <v>163</v>
      </c>
      <c r="D84" t="b">
        <f t="shared" ca="1" si="57"/>
        <v>1</v>
      </c>
      <c r="E84">
        <f t="array" aca="1" ref="E84:F84" ca="1">IF(D84=TRUE,LOGEST(D23:M23,$D$1:$M$1,TRUE,FALSE),"")</f>
        <v>0.97936988870271602</v>
      </c>
      <c r="F84">
        <f ca="1"/>
        <v>1.5661327015316691E+17</v>
      </c>
    </row>
    <row r="85" spans="1:6">
      <c r="A85" s="71" t="s">
        <v>185</v>
      </c>
      <c r="B85" t="s">
        <v>26</v>
      </c>
      <c r="C85" t="s">
        <v>163</v>
      </c>
      <c r="D85" t="b">
        <f t="shared" ca="1" si="57"/>
        <v>0</v>
      </c>
      <c r="E85" t="str">
        <f t="array" aca="1" ref="E85:F85" ca="1">IF(D85=TRUE,LOGEST(D24:M24,$D$1:$M$1,TRUE,FALSE),"")</f>
        <v/>
      </c>
      <c r="F85" t="str">
        <f ca="1"/>
        <v/>
      </c>
    </row>
    <row r="86" spans="1:6">
      <c r="A86" s="71" t="s">
        <v>716</v>
      </c>
      <c r="B86" t="s">
        <v>26</v>
      </c>
      <c r="C86" t="s">
        <v>163</v>
      </c>
      <c r="D86" t="b">
        <f t="shared" ca="1" si="57"/>
        <v>0</v>
      </c>
      <c r="E86" t="str">
        <f t="array" aca="1" ref="E86:F86" ca="1">IF(D86=TRUE,LOGEST(D25:M25,$D$1:$M$1,TRUE,FALSE),"")</f>
        <v/>
      </c>
      <c r="F86" t="str">
        <f ca="1"/>
        <v/>
      </c>
    </row>
    <row r="87" spans="1:6">
      <c r="A87" s="71" t="s">
        <v>184</v>
      </c>
      <c r="B87" t="s">
        <v>4</v>
      </c>
      <c r="C87" t="s">
        <v>188</v>
      </c>
      <c r="D87" t="b">
        <f t="shared" si="57"/>
        <v>0</v>
      </c>
      <c r="E87" t="str">
        <f t="array" ref="E87:F87">IF(D87=TRUE,LOGEST(D26:M26,$D$1:$M$1,TRUE,FALSE),"")</f>
        <v/>
      </c>
      <c r="F87" t="str">
        <v/>
      </c>
    </row>
    <row r="88" spans="1:6">
      <c r="A88" s="71" t="s">
        <v>182</v>
      </c>
      <c r="B88" t="s">
        <v>4</v>
      </c>
      <c r="C88" t="s">
        <v>188</v>
      </c>
      <c r="D88" t="b">
        <f t="shared" si="57"/>
        <v>0</v>
      </c>
      <c r="E88" t="str">
        <f t="array" ref="E88:F88">IF(D88=TRUE,LOGEST(D27:M27,$D$1:$M$1,TRUE,FALSE),"")</f>
        <v/>
      </c>
      <c r="F88" t="str">
        <v/>
      </c>
    </row>
    <row r="89" spans="1:6">
      <c r="A89" s="71" t="s">
        <v>702</v>
      </c>
      <c r="B89" t="s">
        <v>4</v>
      </c>
      <c r="C89" t="s">
        <v>188</v>
      </c>
      <c r="D89" t="b">
        <f t="shared" si="57"/>
        <v>0</v>
      </c>
      <c r="E89" t="str">
        <f t="array" ref="E89:F89">IF(D89=TRUE,LOGEST(D28:M28,$D$1:$M$1,TRUE,FALSE),"")</f>
        <v/>
      </c>
      <c r="F89" t="str">
        <v/>
      </c>
    </row>
    <row r="90" spans="1:6">
      <c r="A90" s="71" t="s">
        <v>703</v>
      </c>
      <c r="B90" t="s">
        <v>4</v>
      </c>
      <c r="C90" t="s">
        <v>188</v>
      </c>
      <c r="D90" t="b">
        <f t="shared" si="57"/>
        <v>0</v>
      </c>
      <c r="E90" t="str">
        <f t="array" ref="E90:F90">IF(D90=TRUE,LOGEST(D29:M29,$D$1:$M$1,TRUE,FALSE),"")</f>
        <v/>
      </c>
      <c r="F90" t="str">
        <v/>
      </c>
    </row>
    <row r="91" spans="1:6">
      <c r="A91" s="71" t="s">
        <v>709</v>
      </c>
      <c r="B91" t="s">
        <v>2</v>
      </c>
      <c r="C91" t="s">
        <v>188</v>
      </c>
      <c r="D91" t="b">
        <f t="shared" si="57"/>
        <v>0</v>
      </c>
      <c r="E91" t="str">
        <f t="array" ref="E91:F91">IF(D91=TRUE,LOGEST(D30:M30,$D$1:$M$1,TRUE,FALSE),"")</f>
        <v/>
      </c>
      <c r="F91" t="str">
        <v/>
      </c>
    </row>
    <row r="92" spans="1:6">
      <c r="A92" s="71" t="s">
        <v>711</v>
      </c>
      <c r="B92" t="s">
        <v>726</v>
      </c>
      <c r="C92" t="s">
        <v>188</v>
      </c>
      <c r="D92" t="b">
        <f t="shared" si="57"/>
        <v>0</v>
      </c>
      <c r="E92" t="str">
        <f t="array" ref="E92:F92">IF(D92=TRUE,LOGEST(D31:M31,$D$1:$M$1,TRUE,FALSE),"")</f>
        <v/>
      </c>
      <c r="F92" t="str">
        <v/>
      </c>
    </row>
    <row r="93" spans="1:6">
      <c r="A93" s="71" t="s">
        <v>185</v>
      </c>
      <c r="B93" t="s">
        <v>26</v>
      </c>
      <c r="C93" t="s">
        <v>188</v>
      </c>
      <c r="D93" t="b">
        <f t="shared" si="57"/>
        <v>0</v>
      </c>
      <c r="E93" t="str">
        <f t="array" ref="E93:F93">IF(D93=TRUE,LOGEST(D32:M32,$D$1:$M$1,TRUE,FALSE),"")</f>
        <v/>
      </c>
      <c r="F93" t="str">
        <v/>
      </c>
    </row>
    <row r="94" spans="1:6">
      <c r="A94" s="71" t="s">
        <v>716</v>
      </c>
      <c r="B94" t="s">
        <v>26</v>
      </c>
      <c r="C94" t="s">
        <v>188</v>
      </c>
      <c r="D94" t="b">
        <f t="shared" si="57"/>
        <v>0</v>
      </c>
      <c r="E94" t="str">
        <f t="array" ref="E94:F94">IF(D94=TRUE,LOGEST(D33:M33,$D$1:$M$1,TRUE,FALSE),"")</f>
        <v/>
      </c>
      <c r="F94" t="str">
        <v/>
      </c>
    </row>
    <row r="95" spans="1:6">
      <c r="A95" s="71" t="s">
        <v>184</v>
      </c>
      <c r="B95" t="s">
        <v>4</v>
      </c>
      <c r="C95" t="s">
        <v>189</v>
      </c>
      <c r="D95" t="b">
        <f t="shared" si="57"/>
        <v>0</v>
      </c>
      <c r="E95" t="str">
        <f t="array" ref="E95:F95">IF(D95=TRUE,LOGEST(D34:M34,$D$1:$M$1,TRUE,FALSE),"")</f>
        <v/>
      </c>
      <c r="F95" t="str">
        <v/>
      </c>
    </row>
    <row r="96" spans="1:6">
      <c r="A96" s="71" t="s">
        <v>182</v>
      </c>
      <c r="B96" t="s">
        <v>4</v>
      </c>
      <c r="C96" t="s">
        <v>189</v>
      </c>
      <c r="D96" t="b">
        <f t="shared" si="57"/>
        <v>0</v>
      </c>
      <c r="E96" t="str">
        <f t="array" ref="E96:F96">IF(D96=TRUE,LOGEST(D35:M35,$D$1:$M$1,TRUE,FALSE),"")</f>
        <v/>
      </c>
      <c r="F96" t="str">
        <v/>
      </c>
    </row>
    <row r="97" spans="1:6">
      <c r="A97" s="71" t="s">
        <v>702</v>
      </c>
      <c r="B97" t="s">
        <v>4</v>
      </c>
      <c r="C97" t="s">
        <v>189</v>
      </c>
      <c r="D97" t="b">
        <f t="shared" si="57"/>
        <v>0</v>
      </c>
      <c r="E97" t="str">
        <f t="array" ref="E97:F97">IF(D97=TRUE,LOGEST(D36:M36,$D$1:$M$1,TRUE,FALSE),"")</f>
        <v/>
      </c>
      <c r="F97" t="str">
        <v/>
      </c>
    </row>
    <row r="98" spans="1:6">
      <c r="A98" s="71" t="s">
        <v>703</v>
      </c>
      <c r="B98" t="s">
        <v>4</v>
      </c>
      <c r="C98" t="s">
        <v>189</v>
      </c>
      <c r="D98" t="b">
        <f t="shared" si="57"/>
        <v>0</v>
      </c>
      <c r="E98" t="str">
        <f t="array" ref="E98:F98">IF(D98=TRUE,LOGEST(D37:M37,$D$1:$M$1,TRUE,FALSE),"")</f>
        <v/>
      </c>
      <c r="F98" t="str">
        <v/>
      </c>
    </row>
    <row r="99" spans="1:6">
      <c r="A99" s="71" t="s">
        <v>709</v>
      </c>
      <c r="B99" t="s">
        <v>2</v>
      </c>
      <c r="C99" t="s">
        <v>189</v>
      </c>
      <c r="D99" t="b">
        <f t="shared" si="57"/>
        <v>0</v>
      </c>
      <c r="E99" t="str">
        <f t="array" ref="E99:F99">IF(D99=TRUE,LOGEST(D38:M38,$D$1:$M$1,TRUE,FALSE),"")</f>
        <v/>
      </c>
      <c r="F99" t="str">
        <v/>
      </c>
    </row>
    <row r="100" spans="1:6">
      <c r="A100" s="71" t="s">
        <v>711</v>
      </c>
      <c r="B100" t="s">
        <v>726</v>
      </c>
      <c r="C100" t="s">
        <v>189</v>
      </c>
      <c r="D100" t="b">
        <f t="shared" si="57"/>
        <v>0</v>
      </c>
      <c r="E100" t="str">
        <f t="array" ref="E100:F100">IF(D100=TRUE,LOGEST(D39:M39,$D$1:$M$1,TRUE,FALSE),"")</f>
        <v/>
      </c>
      <c r="F100" t="str">
        <v/>
      </c>
    </row>
    <row r="101" spans="1:6">
      <c r="A101" s="71" t="s">
        <v>185</v>
      </c>
      <c r="B101" t="s">
        <v>26</v>
      </c>
      <c r="C101" t="s">
        <v>189</v>
      </c>
      <c r="D101" t="b">
        <f t="shared" si="57"/>
        <v>0</v>
      </c>
      <c r="E101" t="str">
        <f t="array" ref="E101:F101">IF(D101=TRUE,LOGEST(D40:M40,$D$1:$M$1,TRUE,FALSE),"")</f>
        <v/>
      </c>
      <c r="F101" t="str">
        <v/>
      </c>
    </row>
    <row r="102" spans="1:6">
      <c r="A102" s="71" t="s">
        <v>716</v>
      </c>
      <c r="B102" t="s">
        <v>26</v>
      </c>
      <c r="C102" t="s">
        <v>189</v>
      </c>
      <c r="D102" t="b">
        <f t="shared" si="57"/>
        <v>0</v>
      </c>
      <c r="E102" t="str">
        <f t="array" ref="E102:F102">IF(D102=TRUE,LOGEST(D41:M41,$D$1:$M$1,TRUE,FALSE),"")</f>
        <v/>
      </c>
      <c r="F102" t="str">
        <v/>
      </c>
    </row>
    <row r="103" spans="1:6">
      <c r="A103" s="71" t="s">
        <v>184</v>
      </c>
      <c r="B103" t="s">
        <v>4</v>
      </c>
      <c r="C103" t="s">
        <v>190</v>
      </c>
      <c r="D103" t="b">
        <f t="shared" si="57"/>
        <v>0</v>
      </c>
      <c r="E103" t="str">
        <f t="array" ref="E103:F103">IF(D103=TRUE,LOGEST(D42:M42,$D$1:$M$1,TRUE,FALSE),"")</f>
        <v/>
      </c>
      <c r="F103" t="str">
        <v/>
      </c>
    </row>
    <row r="104" spans="1:6">
      <c r="A104" s="71" t="s">
        <v>182</v>
      </c>
      <c r="B104" t="s">
        <v>4</v>
      </c>
      <c r="C104" t="s">
        <v>190</v>
      </c>
      <c r="D104" t="b">
        <f t="shared" si="57"/>
        <v>0</v>
      </c>
      <c r="E104" t="str">
        <f t="array" ref="E104:F104">IF(D104=TRUE,LOGEST(D43:M43,$D$1:$M$1,TRUE,FALSE),"")</f>
        <v/>
      </c>
      <c r="F104" t="str">
        <v/>
      </c>
    </row>
    <row r="105" spans="1:6">
      <c r="A105" s="71" t="s">
        <v>702</v>
      </c>
      <c r="B105" t="s">
        <v>4</v>
      </c>
      <c r="C105" t="s">
        <v>190</v>
      </c>
      <c r="D105" t="b">
        <f t="shared" si="57"/>
        <v>0</v>
      </c>
      <c r="E105" t="str">
        <f t="array" ref="E105:F105">IF(D105=TRUE,LOGEST(D44:M44,$D$1:$M$1,TRUE,FALSE),"")</f>
        <v/>
      </c>
      <c r="F105" t="str">
        <v/>
      </c>
    </row>
    <row r="106" spans="1:6">
      <c r="A106" s="71" t="s">
        <v>703</v>
      </c>
      <c r="B106" t="s">
        <v>4</v>
      </c>
      <c r="C106" t="s">
        <v>190</v>
      </c>
      <c r="D106" t="b">
        <f t="shared" si="57"/>
        <v>0</v>
      </c>
      <c r="E106" t="str">
        <f t="array" ref="E106:F106">IF(D106=TRUE,LOGEST(D45:M45,$D$1:$M$1,TRUE,FALSE),"")</f>
        <v/>
      </c>
      <c r="F106" t="str">
        <v/>
      </c>
    </row>
    <row r="107" spans="1:6">
      <c r="A107" s="71" t="s">
        <v>709</v>
      </c>
      <c r="B107" t="s">
        <v>2</v>
      </c>
      <c r="C107" t="s">
        <v>190</v>
      </c>
      <c r="D107" t="b">
        <f t="shared" ca="1" si="57"/>
        <v>0</v>
      </c>
      <c r="E107" t="str">
        <f t="array" aca="1" ref="E107:F107" ca="1">IF(D107=TRUE,LOGEST(D46:M46,$D$1:$M$1,TRUE,FALSE),"")</f>
        <v/>
      </c>
      <c r="F107" t="str">
        <f ca="1"/>
        <v/>
      </c>
    </row>
    <row r="108" spans="1:6">
      <c r="A108" s="71" t="s">
        <v>711</v>
      </c>
      <c r="B108" t="s">
        <v>726</v>
      </c>
      <c r="C108" t="s">
        <v>190</v>
      </c>
      <c r="D108" t="b">
        <f t="shared" ca="1" si="57"/>
        <v>0</v>
      </c>
      <c r="E108" t="str">
        <f t="array" aca="1" ref="E108:F108" ca="1">IF(D108=TRUE,LOGEST(D47:M47,$D$1:$M$1,TRUE,FALSE),"")</f>
        <v/>
      </c>
      <c r="F108" t="str">
        <f ca="1"/>
        <v/>
      </c>
    </row>
    <row r="109" spans="1:6">
      <c r="A109" s="71" t="s">
        <v>185</v>
      </c>
      <c r="B109" t="s">
        <v>26</v>
      </c>
      <c r="C109" t="s">
        <v>190</v>
      </c>
      <c r="D109" t="b">
        <f t="shared" si="57"/>
        <v>0</v>
      </c>
      <c r="E109" t="str">
        <f t="array" ref="E109:F109">IF(D109=TRUE,LOGEST(D48:M48,$D$1:$M$1,TRUE,FALSE),"")</f>
        <v/>
      </c>
      <c r="F109" t="str">
        <v/>
      </c>
    </row>
    <row r="110" spans="1:6">
      <c r="A110" s="71" t="s">
        <v>716</v>
      </c>
      <c r="B110" t="s">
        <v>26</v>
      </c>
      <c r="C110" t="s">
        <v>190</v>
      </c>
      <c r="D110" t="b">
        <f t="shared" si="57"/>
        <v>0</v>
      </c>
      <c r="E110" t="str">
        <f t="array" ref="E110:F110">IF(D110=TRUE,LOGEST(D49:M49,$D$1:$M$1,TRUE,FALSE),"")</f>
        <v/>
      </c>
      <c r="F110" t="str">
        <v/>
      </c>
    </row>
    <row r="111" spans="1:6">
      <c r="A111" s="71" t="s">
        <v>184</v>
      </c>
      <c r="B111" t="s">
        <v>4</v>
      </c>
      <c r="C111" t="s">
        <v>191</v>
      </c>
      <c r="D111" t="b">
        <f t="shared" si="57"/>
        <v>0</v>
      </c>
      <c r="E111" t="str">
        <f t="array" ref="E111:F111">IF(D111=TRUE,LOGEST(D50:M50,$D$1:$M$1,TRUE,FALSE),"")</f>
        <v/>
      </c>
      <c r="F111" t="str">
        <v/>
      </c>
    </row>
    <row r="112" spans="1:6">
      <c r="A112" s="71" t="s">
        <v>182</v>
      </c>
      <c r="B112" t="s">
        <v>4</v>
      </c>
      <c r="C112" t="s">
        <v>191</v>
      </c>
      <c r="D112" t="b">
        <f t="shared" si="57"/>
        <v>0</v>
      </c>
      <c r="E112" t="str">
        <f t="array" ref="E112:F112">IF(D112=TRUE,LOGEST(D51:M51,$D$1:$M$1,TRUE,FALSE),"")</f>
        <v/>
      </c>
      <c r="F112" t="str">
        <v/>
      </c>
    </row>
    <row r="113" spans="1:38">
      <c r="A113" s="71" t="s">
        <v>702</v>
      </c>
      <c r="B113" t="s">
        <v>4</v>
      </c>
      <c r="C113" t="s">
        <v>191</v>
      </c>
      <c r="D113" t="b">
        <f t="shared" si="57"/>
        <v>0</v>
      </c>
      <c r="E113" t="str">
        <f t="array" ref="E113:F113">IF(D113=TRUE,LOGEST(D52:M52,$D$1:$M$1,TRUE,FALSE),"")</f>
        <v/>
      </c>
      <c r="F113" t="str">
        <v/>
      </c>
    </row>
    <row r="114" spans="1:38">
      <c r="A114" s="71" t="s">
        <v>703</v>
      </c>
      <c r="B114" t="s">
        <v>4</v>
      </c>
      <c r="C114" t="s">
        <v>191</v>
      </c>
      <c r="D114" t="b">
        <f t="shared" si="57"/>
        <v>0</v>
      </c>
      <c r="E114" t="str">
        <f t="array" ref="E114:F114">IF(D114=TRUE,LOGEST(D53:M53,$D$1:$M$1,TRUE,FALSE),"")</f>
        <v/>
      </c>
      <c r="F114" t="str">
        <v/>
      </c>
    </row>
    <row r="115" spans="1:38">
      <c r="A115" s="71" t="s">
        <v>709</v>
      </c>
      <c r="B115" t="s">
        <v>2</v>
      </c>
      <c r="C115" t="s">
        <v>191</v>
      </c>
      <c r="D115" t="b">
        <f t="shared" si="57"/>
        <v>0</v>
      </c>
      <c r="E115" t="str">
        <f t="array" ref="E115:F115">IF(D115=TRUE,LOGEST(D54:M54,$D$1:$M$1,TRUE,FALSE),"")</f>
        <v/>
      </c>
      <c r="F115" t="str">
        <v/>
      </c>
    </row>
    <row r="116" spans="1:38">
      <c r="A116" s="71" t="s">
        <v>711</v>
      </c>
      <c r="B116" t="s">
        <v>726</v>
      </c>
      <c r="C116" t="s">
        <v>191</v>
      </c>
      <c r="D116" t="b">
        <f t="shared" si="57"/>
        <v>0</v>
      </c>
      <c r="E116" t="str">
        <f t="array" ref="E116:F116">IF(D116=TRUE,LOGEST(D55:M55,$D$1:$M$1,TRUE,FALSE),"")</f>
        <v/>
      </c>
      <c r="F116" t="str">
        <v/>
      </c>
    </row>
    <row r="117" spans="1:38">
      <c r="A117" s="71" t="s">
        <v>185</v>
      </c>
      <c r="B117" t="s">
        <v>26</v>
      </c>
      <c r="C117" t="s">
        <v>191</v>
      </c>
      <c r="D117" t="b">
        <f t="shared" si="57"/>
        <v>0</v>
      </c>
      <c r="E117" t="str">
        <f t="array" ref="E117:F117">IF(D117=TRUE,LOGEST(D56:M56,$D$1:$M$1,TRUE,FALSE),"")</f>
        <v/>
      </c>
      <c r="F117" t="str">
        <v/>
      </c>
    </row>
    <row r="118" spans="1:38">
      <c r="A118" s="71" t="s">
        <v>716</v>
      </c>
      <c r="B118" t="s">
        <v>26</v>
      </c>
      <c r="C118" t="s">
        <v>191</v>
      </c>
      <c r="D118" t="b">
        <f t="shared" si="57"/>
        <v>0</v>
      </c>
      <c r="E118" t="str">
        <f t="array" ref="E118:F118">IF(D118=TRUE,LOGEST(D57:M57,$D$1:$M$1,TRUE,FALSE),"")</f>
        <v/>
      </c>
      <c r="F118" t="str">
        <v/>
      </c>
    </row>
    <row r="119" spans="1:38">
      <c r="A119" s="71"/>
    </row>
    <row r="120" spans="1:38">
      <c r="A120" s="71" t="s">
        <v>187</v>
      </c>
      <c r="B120" s="55" t="s">
        <v>165</v>
      </c>
      <c r="C120" s="409" t="s">
        <v>197</v>
      </c>
      <c r="D120" s="409" t="s">
        <v>198</v>
      </c>
      <c r="E120" s="409" t="s">
        <v>199</v>
      </c>
      <c r="F120" s="409" t="s">
        <v>200</v>
      </c>
      <c r="G120" s="409" t="s">
        <v>201</v>
      </c>
      <c r="H120" s="409" t="s">
        <v>202</v>
      </c>
      <c r="I120" s="409" t="s">
        <v>203</v>
      </c>
      <c r="J120" s="409" t="s">
        <v>204</v>
      </c>
      <c r="K120" s="409" t="s">
        <v>205</v>
      </c>
      <c r="L120" s="409" t="s">
        <v>206</v>
      </c>
      <c r="M120" s="409" t="s">
        <v>207</v>
      </c>
      <c r="N120" s="409" t="s">
        <v>208</v>
      </c>
      <c r="O120" s="409" t="s">
        <v>209</v>
      </c>
      <c r="P120" s="409" t="s">
        <v>210</v>
      </c>
      <c r="Q120" s="409" t="s">
        <v>211</v>
      </c>
      <c r="R120" s="409" t="s">
        <v>212</v>
      </c>
      <c r="S120" s="409" t="s">
        <v>213</v>
      </c>
      <c r="T120" s="409" t="s">
        <v>214</v>
      </c>
      <c r="U120" s="409" t="s">
        <v>215</v>
      </c>
      <c r="V120" s="409" t="s">
        <v>216</v>
      </c>
      <c r="W120" s="409" t="s">
        <v>217</v>
      </c>
      <c r="X120" s="409" t="s">
        <v>218</v>
      </c>
      <c r="Y120" s="409" t="s">
        <v>219</v>
      </c>
      <c r="Z120" s="409" t="s">
        <v>220</v>
      </c>
      <c r="AA120" s="409" t="s">
        <v>221</v>
      </c>
      <c r="AB120" s="409" t="s">
        <v>222</v>
      </c>
      <c r="AC120" s="409" t="s">
        <v>223</v>
      </c>
      <c r="AD120" s="409" t="s">
        <v>224</v>
      </c>
      <c r="AE120" s="409" t="s">
        <v>225</v>
      </c>
      <c r="AF120" s="409" t="s">
        <v>226</v>
      </c>
      <c r="AG120" s="409" t="s">
        <v>227</v>
      </c>
      <c r="AH120" s="409" t="s">
        <v>228</v>
      </c>
      <c r="AI120" s="409" t="s">
        <v>229</v>
      </c>
      <c r="AJ120" s="409" t="s">
        <v>230</v>
      </c>
      <c r="AK120" s="409" t="s">
        <v>231</v>
      </c>
      <c r="AL120" s="409" t="s">
        <v>232</v>
      </c>
    </row>
    <row r="121" spans="1:38">
      <c r="A121" s="71" t="s">
        <v>26</v>
      </c>
      <c r="B121" s="409" t="s">
        <v>162</v>
      </c>
      <c r="C121" s="1">
        <v>3.4586451692307701E-2</v>
      </c>
      <c r="D121" s="1">
        <v>3.6499666707692315E-2</v>
      </c>
      <c r="E121" s="1">
        <v>3.8412881723076928E-2</v>
      </c>
      <c r="F121" s="1">
        <v>4.0326096738461541E-2</v>
      </c>
      <c r="G121" s="1">
        <v>4.2239311753846154E-2</v>
      </c>
      <c r="H121" s="1">
        <v>4.4152526769230767E-2</v>
      </c>
      <c r="I121" s="1">
        <v>4.606574178461538E-2</v>
      </c>
      <c r="J121" s="1">
        <v>4.7978956799999993E-2</v>
      </c>
      <c r="K121" s="1">
        <v>4.9892171815384606E-2</v>
      </c>
      <c r="L121" s="1">
        <v>5.1805386830769219E-2</v>
      </c>
      <c r="M121" s="1">
        <v>5.3718601846153832E-2</v>
      </c>
      <c r="N121" s="1">
        <v>5.5631816861538445E-2</v>
      </c>
      <c r="O121" s="1">
        <v>5.7545031876923058E-2</v>
      </c>
      <c r="P121" s="1">
        <v>5.9458246892307672E-2</v>
      </c>
      <c r="Q121" s="1">
        <v>6.1371461907692285E-2</v>
      </c>
      <c r="R121" s="1">
        <v>6.3284676923076891E-2</v>
      </c>
      <c r="S121" s="1">
        <v>6.5197891938461497E-2</v>
      </c>
      <c r="T121" s="1">
        <v>6.7111106953846103E-2</v>
      </c>
      <c r="U121" s="1">
        <v>6.9024321969230709E-2</v>
      </c>
      <c r="V121" s="1">
        <v>7.0937536984615315E-2</v>
      </c>
      <c r="W121" s="1">
        <v>7.2850751999999921E-2</v>
      </c>
      <c r="X121" s="1">
        <v>7.4763967015384528E-2</v>
      </c>
      <c r="Y121" s="1">
        <v>7.6677182030769134E-2</v>
      </c>
      <c r="Z121" s="1">
        <v>7.859039704615374E-2</v>
      </c>
      <c r="AA121" s="1">
        <v>8.0503612061538346E-2</v>
      </c>
      <c r="AB121" s="1">
        <v>8.2416827076922952E-2</v>
      </c>
      <c r="AC121" s="1">
        <v>8.4330042092307558E-2</v>
      </c>
      <c r="AD121" s="1">
        <v>8.6243257107692164E-2</v>
      </c>
      <c r="AE121" s="1">
        <v>8.8156472123076771E-2</v>
      </c>
      <c r="AF121" s="1">
        <v>9.0069687138461377E-2</v>
      </c>
      <c r="AG121" s="1">
        <v>9.1982902153845983E-2</v>
      </c>
      <c r="AH121" s="1">
        <v>9.3896117169230589E-2</v>
      </c>
      <c r="AI121" s="1">
        <v>9.5809332184615195E-2</v>
      </c>
      <c r="AJ121" s="1">
        <v>9.7722547199999801E-2</v>
      </c>
      <c r="AK121" s="1">
        <v>9.9635762215384407E-2</v>
      </c>
      <c r="AL121" s="1">
        <v>0.10154897723076901</v>
      </c>
    </row>
    <row r="122" spans="1:38">
      <c r="A122" s="71" t="s">
        <v>26</v>
      </c>
      <c r="B122" s="409" t="s">
        <v>153</v>
      </c>
      <c r="C122" s="1">
        <v>870.781652331685</v>
      </c>
      <c r="D122" s="1">
        <v>924.22466229446479</v>
      </c>
      <c r="E122" s="1">
        <v>977.66767225724459</v>
      </c>
      <c r="F122" s="1">
        <v>1031.1106822200243</v>
      </c>
      <c r="G122" s="1">
        <v>1084.5536921828041</v>
      </c>
      <c r="H122" s="1">
        <v>1137.9967021455839</v>
      </c>
      <c r="I122" s="1">
        <v>1191.4397121083637</v>
      </c>
      <c r="J122" s="1">
        <v>1244.8827220711435</v>
      </c>
      <c r="K122" s="1">
        <v>1298.3257320339233</v>
      </c>
      <c r="L122" s="1">
        <v>1351.7687419967031</v>
      </c>
      <c r="M122" s="1">
        <v>1405.2117519594829</v>
      </c>
      <c r="N122" s="1">
        <v>1458.6547619222627</v>
      </c>
      <c r="O122" s="1">
        <v>1512.0977718850424</v>
      </c>
      <c r="P122" s="1">
        <v>1565.5407818478222</v>
      </c>
      <c r="Q122" s="1">
        <v>1618.983791810602</v>
      </c>
      <c r="R122" s="1">
        <v>1672.4268017733818</v>
      </c>
      <c r="S122" s="1">
        <v>1725.8698117361616</v>
      </c>
      <c r="T122" s="1">
        <v>1779.3128216989414</v>
      </c>
      <c r="U122" s="1">
        <v>1832.7558316617212</v>
      </c>
      <c r="V122" s="1">
        <v>1886.198841624501</v>
      </c>
      <c r="W122" s="1">
        <v>1939.6418515872808</v>
      </c>
      <c r="X122" s="1">
        <v>1993.0848615500606</v>
      </c>
      <c r="Y122" s="1">
        <v>2046.5278715128404</v>
      </c>
      <c r="Z122" s="1">
        <v>2099.97088147562</v>
      </c>
      <c r="AA122" s="1">
        <v>2153.4138914383998</v>
      </c>
      <c r="AB122" s="1">
        <v>2206.8569014011796</v>
      </c>
      <c r="AC122" s="1">
        <v>2260.2999113639594</v>
      </c>
      <c r="AD122" s="1">
        <v>2313.7429213267392</v>
      </c>
      <c r="AE122" s="1">
        <v>2367.185931289519</v>
      </c>
      <c r="AF122" s="1">
        <v>2420.6289412522988</v>
      </c>
      <c r="AG122" s="1">
        <v>2474.0719512150786</v>
      </c>
      <c r="AH122" s="1">
        <v>2527.5149611778584</v>
      </c>
      <c r="AI122" s="1">
        <v>2580.9579711406382</v>
      </c>
      <c r="AJ122" s="1">
        <v>2634.400981103418</v>
      </c>
      <c r="AK122" s="1">
        <v>2687.8439910661978</v>
      </c>
      <c r="AL122" s="1">
        <v>2741.2870010289776</v>
      </c>
    </row>
    <row r="123" spans="1:38">
      <c r="A123" s="71" t="s">
        <v>26</v>
      </c>
      <c r="B123" s="409" t="s">
        <v>163</v>
      </c>
      <c r="C123" s="1">
        <v>8.9668578461538496E-4</v>
      </c>
      <c r="D123" s="1">
        <v>9.4628765538461569E-4</v>
      </c>
      <c r="E123" s="1">
        <v>9.9588952615384642E-4</v>
      </c>
      <c r="F123" s="1">
        <v>1.0454913969230773E-3</v>
      </c>
      <c r="G123" s="1">
        <v>1.0950932676923081E-3</v>
      </c>
      <c r="H123" s="1">
        <v>1.1446951384615389E-3</v>
      </c>
      <c r="I123" s="1">
        <v>1.1942970092307698E-3</v>
      </c>
      <c r="J123" s="1">
        <v>1.2438988800000006E-3</v>
      </c>
      <c r="K123" s="1">
        <v>1.2935007507692315E-3</v>
      </c>
      <c r="L123" s="1">
        <v>1.3431026215384623E-3</v>
      </c>
      <c r="M123" s="1">
        <v>1.3927044923076931E-3</v>
      </c>
      <c r="N123" s="1">
        <v>1.442306363076924E-3</v>
      </c>
      <c r="O123" s="1">
        <v>1.4919082338461548E-3</v>
      </c>
      <c r="P123" s="1">
        <v>1.5415101046153856E-3</v>
      </c>
      <c r="Q123" s="1">
        <v>1.5911119753846165E-3</v>
      </c>
      <c r="R123" s="1">
        <v>1.6407138461538473E-3</v>
      </c>
      <c r="S123" s="1">
        <v>1.6903157169230782E-3</v>
      </c>
      <c r="T123" s="1">
        <v>1.739917587692309E-3</v>
      </c>
      <c r="U123" s="1">
        <v>1.7895194584615398E-3</v>
      </c>
      <c r="V123" s="1">
        <v>1.8391213292307707E-3</v>
      </c>
      <c r="W123" s="1">
        <v>1.8887232000000015E-3</v>
      </c>
      <c r="X123" s="1">
        <v>1.9383250707692323E-3</v>
      </c>
      <c r="Y123" s="1">
        <v>1.9879269415384632E-3</v>
      </c>
      <c r="Z123" s="1">
        <v>2.037528812307694E-3</v>
      </c>
      <c r="AA123" s="1">
        <v>2.0871306830769249E-3</v>
      </c>
      <c r="AB123" s="1">
        <v>2.1367325538461557E-3</v>
      </c>
      <c r="AC123" s="1">
        <v>2.1863344246153865E-3</v>
      </c>
      <c r="AD123" s="1">
        <v>2.2359362953846174E-3</v>
      </c>
      <c r="AE123" s="1">
        <v>2.2855381661538482E-3</v>
      </c>
      <c r="AF123" s="1">
        <v>2.335140036923079E-3</v>
      </c>
      <c r="AG123" s="1">
        <v>2.3847419076923099E-3</v>
      </c>
      <c r="AH123" s="1">
        <v>2.4343437784615407E-3</v>
      </c>
      <c r="AI123" s="1">
        <v>2.4839456492307716E-3</v>
      </c>
      <c r="AJ123" s="1">
        <v>2.5335475200000024E-3</v>
      </c>
      <c r="AK123" s="1">
        <v>2.5831493907692332E-3</v>
      </c>
      <c r="AL123" s="1">
        <v>2.6327512615384641E-3</v>
      </c>
    </row>
    <row r="124" spans="1:38">
      <c r="A124" s="71" t="s">
        <v>4</v>
      </c>
      <c r="B124" s="409" t="s">
        <v>162</v>
      </c>
      <c r="C124" s="1">
        <v>1.5266043934231841</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row>
    <row r="125" spans="1:38">
      <c r="A125" s="71" t="s">
        <v>4</v>
      </c>
      <c r="B125" s="409" t="s">
        <v>153</v>
      </c>
      <c r="C125" s="1">
        <v>2923.9023039006506</v>
      </c>
      <c r="D125" s="1">
        <v>2679.6779772200293</v>
      </c>
      <c r="E125" s="1">
        <v>2708.642455153009</v>
      </c>
      <c r="F125" s="1">
        <v>2737.6407607790798</v>
      </c>
      <c r="G125" s="1">
        <v>2766.6730828083937</v>
      </c>
      <c r="H125" s="1">
        <v>2795.739611003838</v>
      </c>
      <c r="I125" s="1">
        <v>2824.8405361869031</v>
      </c>
      <c r="J125" s="1">
        <v>2853.9760502435915</v>
      </c>
      <c r="K125" s="1">
        <v>2883.1463461303551</v>
      </c>
      <c r="L125" s="1">
        <v>2912.3516178800669</v>
      </c>
      <c r="M125" s="1">
        <v>2941.5920606080258</v>
      </c>
      <c r="N125" s="1">
        <v>2970.8678705179955</v>
      </c>
      <c r="O125" s="1">
        <v>3000.1792449082745</v>
      </c>
      <c r="P125" s="1">
        <v>3029.5263821778062</v>
      </c>
      <c r="Q125" s="1">
        <v>3058.9094818323138</v>
      </c>
      <c r="R125" s="1">
        <v>3088.328744490479</v>
      </c>
      <c r="S125" s="1">
        <v>3117.7843718901486</v>
      </c>
      <c r="T125" s="1">
        <v>3147.2765668945767</v>
      </c>
      <c r="U125" s="1">
        <v>3176.8055334987066</v>
      </c>
      <c r="V125" s="1">
        <v>3206.3714768354785</v>
      </c>
      <c r="W125" s="1">
        <v>3235.9746031821851</v>
      </c>
      <c r="X125" s="1">
        <v>3265.615119966847</v>
      </c>
      <c r="Y125" s="1">
        <v>3295.2932357746404</v>
      </c>
      <c r="Z125" s="1">
        <v>3325.009160354346</v>
      </c>
      <c r="AA125" s="1">
        <v>3354.7631046248443</v>
      </c>
      <c r="AB125" s="1">
        <v>3384.5552806816399</v>
      </c>
      <c r="AC125" s="1">
        <v>3414.3859018034286</v>
      </c>
      <c r="AD125" s="1">
        <v>3444.2551824586953</v>
      </c>
      <c r="AE125" s="1">
        <v>3474.1633383123526</v>
      </c>
      <c r="AF125" s="1">
        <v>3504.1105862324162</v>
      </c>
      <c r="AG125" s="1">
        <v>3534.097144296712</v>
      </c>
      <c r="AH125" s="1">
        <v>3564.1232317996328</v>
      </c>
      <c r="AI125" s="1">
        <v>3594.1890692589154</v>
      </c>
      <c r="AJ125" s="1">
        <v>3624.2948784224754</v>
      </c>
      <c r="AK125" s="1">
        <v>3654.4408822752603</v>
      </c>
      <c r="AL125" s="1">
        <v>3684.6273050461568</v>
      </c>
    </row>
    <row r="126" spans="1:38">
      <c r="A126" s="71" t="s">
        <v>4</v>
      </c>
      <c r="B126" s="409" t="s">
        <v>163</v>
      </c>
      <c r="C126" s="1">
        <v>0.10315993262903628</v>
      </c>
      <c r="D126" s="1">
        <v>3.1311117282743588</v>
      </c>
      <c r="E126" s="1">
        <v>3.0966612488842942</v>
      </c>
      <c r="F126" s="1">
        <v>3.0625898155434275</v>
      </c>
      <c r="G126" s="1">
        <v>3.0288932577464474</v>
      </c>
      <c r="H126" s="1">
        <v>2.9955674508745829</v>
      </c>
      <c r="I126" s="1">
        <v>2.9626083156907419</v>
      </c>
      <c r="J126" s="1">
        <v>2.9300118178401884</v>
      </c>
      <c r="K126" s="1">
        <v>2.8977739673567178</v>
      </c>
      <c r="L126" s="1">
        <v>2.8658908181742668</v>
      </c>
      <c r="M126" s="1">
        <v>2.8343584676438995</v>
      </c>
      <c r="N126" s="1">
        <v>2.8031730560561008</v>
      </c>
      <c r="O126" s="1">
        <v>2.7723307661683272</v>
      </c>
      <c r="P126" s="1">
        <v>2.7418278227377635</v>
      </c>
      <c r="Q126" s="1">
        <v>2.7116604920592153</v>
      </c>
      <c r="R126" s="1">
        <v>2.6818250815080802</v>
      </c>
      <c r="S126" s="1">
        <v>2.6523179390883573</v>
      </c>
      <c r="T126" s="1">
        <v>2.6231354529856268</v>
      </c>
      <c r="U126" s="1">
        <v>2.5942740511249416</v>
      </c>
      <c r="V126" s="1">
        <v>2.5657302007335931</v>
      </c>
      <c r="W126" s="1">
        <v>2.5375004079086807</v>
      </c>
      <c r="X126" s="1">
        <v>2.5095812171894405</v>
      </c>
      <c r="Y126" s="1">
        <v>2.4819692111342855</v>
      </c>
      <c r="Z126" s="1">
        <v>2.454661009902487</v>
      </c>
      <c r="AA126" s="1">
        <v>2.4276532708404743</v>
      </c>
      <c r="AB126" s="1">
        <v>2.4009426880726701</v>
      </c>
      <c r="AC126" s="1">
        <v>2.3745259920968418</v>
      </c>
      <c r="AD126" s="1">
        <v>2.3483999493838943</v>
      </c>
      <c r="AE126" s="1">
        <v>2.3225613619820749</v>
      </c>
      <c r="AF126" s="1">
        <v>2.2970070671255249</v>
      </c>
      <c r="AG126" s="1">
        <v>2.2717339368471445</v>
      </c>
      <c r="AH126" s="1">
        <v>2.2467388775957149</v>
      </c>
      <c r="AI126" s="1">
        <v>2.2220188298572308</v>
      </c>
      <c r="AJ126" s="1">
        <v>2.1975707677804035</v>
      </c>
      <c r="AK126" s="1">
        <v>2.1733916988062814</v>
      </c>
      <c r="AL126" s="1">
        <v>2.1494786633019465</v>
      </c>
    </row>
    <row r="127" spans="1:38">
      <c r="A127" s="71" t="s">
        <v>726</v>
      </c>
      <c r="B127" s="409" t="s">
        <v>153</v>
      </c>
      <c r="C127" s="1">
        <v>6.77586206035601</v>
      </c>
      <c r="D127" s="1">
        <v>7.5287356226177886</v>
      </c>
      <c r="E127" s="1">
        <v>8.2816091848795672</v>
      </c>
      <c r="F127" s="1">
        <v>9.0344827471413467</v>
      </c>
      <c r="G127" s="1">
        <v>9.7873563094031262</v>
      </c>
      <c r="H127" s="1">
        <v>10.540229871664906</v>
      </c>
      <c r="I127" s="1">
        <v>11.293103433926685</v>
      </c>
      <c r="J127" s="1">
        <v>12.045976996188465</v>
      </c>
      <c r="K127" s="1">
        <v>12.798850558450244</v>
      </c>
      <c r="L127" s="1">
        <v>13.551724120712024</v>
      </c>
      <c r="M127" s="1">
        <v>14.304597682973803</v>
      </c>
      <c r="N127" s="1">
        <v>15.057471245235583</v>
      </c>
      <c r="O127" s="1">
        <v>15.810344807497362</v>
      </c>
      <c r="P127" s="1">
        <v>16.563218369759142</v>
      </c>
      <c r="Q127" s="1">
        <v>17.316091932020921</v>
      </c>
      <c r="R127" s="1">
        <v>18.0689654942827</v>
      </c>
      <c r="S127" s="1">
        <v>18.82183905654448</v>
      </c>
      <c r="T127" s="1">
        <v>19.574712618806259</v>
      </c>
      <c r="U127" s="1">
        <v>20.327586181068039</v>
      </c>
      <c r="V127" s="1">
        <v>21.080459743329818</v>
      </c>
      <c r="W127" s="1">
        <v>21.833333305591598</v>
      </c>
      <c r="X127" s="1">
        <v>22.586206867853377</v>
      </c>
      <c r="Y127" s="1">
        <v>23.339080430115157</v>
      </c>
      <c r="Z127" s="1">
        <v>24.091953992376936</v>
      </c>
      <c r="AA127" s="1">
        <v>24.844827554638716</v>
      </c>
      <c r="AB127" s="1">
        <v>25.597701116900495</v>
      </c>
      <c r="AC127" s="1">
        <v>26.350574679162275</v>
      </c>
      <c r="AD127" s="1">
        <v>27.103448241424054</v>
      </c>
      <c r="AE127" s="1">
        <v>27.856321803685834</v>
      </c>
      <c r="AF127" s="1">
        <v>28.609195365947613</v>
      </c>
      <c r="AG127" s="1">
        <v>29.362068928209393</v>
      </c>
      <c r="AH127" s="1">
        <v>30.114942490471172</v>
      </c>
      <c r="AI127" s="1">
        <v>30.867816052732952</v>
      </c>
      <c r="AJ127" s="1">
        <v>31.620689614994731</v>
      </c>
      <c r="AK127" s="1">
        <v>32.373563177256507</v>
      </c>
      <c r="AL127" s="1">
        <v>33.126436739518283</v>
      </c>
    </row>
    <row r="128" spans="1:38">
      <c r="A128" s="71" t="s">
        <v>726</v>
      </c>
      <c r="B128" s="409" t="s">
        <v>163</v>
      </c>
      <c r="C128" s="1">
        <v>9.8372002639248196E-2</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row>
    <row r="129" spans="1:48">
      <c r="A129" s="71" t="s">
        <v>726</v>
      </c>
      <c r="B129" s="409" t="s">
        <v>189</v>
      </c>
      <c r="C129" s="1">
        <v>0.83792461175920596</v>
      </c>
      <c r="D129" s="1">
        <v>0.90371759013516573</v>
      </c>
      <c r="E129" s="1">
        <v>0.96951056851112549</v>
      </c>
      <c r="F129" s="1">
        <v>1.0353035468870853</v>
      </c>
      <c r="G129" s="1">
        <v>1.1010965252630451</v>
      </c>
      <c r="H129" s="1">
        <v>1.166889503639005</v>
      </c>
      <c r="I129" s="1">
        <v>1.2326824820149649</v>
      </c>
      <c r="J129" s="1">
        <v>1.2984754603909248</v>
      </c>
      <c r="K129" s="1">
        <v>1.3642684387668846</v>
      </c>
      <c r="L129" s="1">
        <v>1.4300614171428445</v>
      </c>
      <c r="M129" s="1">
        <v>1.4958543955188044</v>
      </c>
      <c r="N129" s="1">
        <v>1.5616473738947643</v>
      </c>
      <c r="O129" s="1">
        <v>1.6274403522707241</v>
      </c>
      <c r="P129" s="1">
        <v>1.693233330646684</v>
      </c>
      <c r="Q129" s="1">
        <v>1.7590263090226439</v>
      </c>
      <c r="R129" s="1">
        <v>1.8248192873986038</v>
      </c>
      <c r="S129" s="1">
        <v>1.8906122657745636</v>
      </c>
      <c r="T129" s="1">
        <v>1.9564052441505235</v>
      </c>
      <c r="U129" s="1">
        <v>2.0221982225264834</v>
      </c>
      <c r="V129" s="1">
        <v>2.0879912009024433</v>
      </c>
      <c r="W129" s="1">
        <v>2.1537841792784032</v>
      </c>
      <c r="X129" s="1">
        <v>2.219577157654363</v>
      </c>
      <c r="Y129" s="1">
        <v>2.2853701360303229</v>
      </c>
      <c r="Z129" s="1">
        <v>2.3511631144062828</v>
      </c>
      <c r="AA129" s="1">
        <v>2.4169560927822427</v>
      </c>
      <c r="AB129" s="1">
        <v>2.4827490711582025</v>
      </c>
      <c r="AC129" s="1">
        <v>2.5485420495341624</v>
      </c>
      <c r="AD129" s="1">
        <v>2.6143350279101223</v>
      </c>
      <c r="AE129" s="1">
        <v>2.6801280062860822</v>
      </c>
      <c r="AF129" s="1">
        <v>2.745920984662042</v>
      </c>
      <c r="AG129" s="1">
        <v>2.8117139630380019</v>
      </c>
      <c r="AH129" s="1">
        <v>2.8775069414139618</v>
      </c>
      <c r="AI129" s="1">
        <v>2.9432999197899217</v>
      </c>
      <c r="AJ129" s="1">
        <v>3.0090928981658815</v>
      </c>
      <c r="AK129" s="1">
        <v>3.0748858765418414</v>
      </c>
      <c r="AL129" s="1">
        <v>3.1406788549178013</v>
      </c>
    </row>
    <row r="130" spans="1:48">
      <c r="A130" s="71" t="s">
        <v>726</v>
      </c>
      <c r="B130" s="409" t="s">
        <v>190</v>
      </c>
      <c r="C130" s="1">
        <v>3.189492</v>
      </c>
      <c r="D130" s="1">
        <v>3.4476133333333334</v>
      </c>
      <c r="E130" s="1">
        <v>3.7057346666666668</v>
      </c>
      <c r="F130" s="1">
        <v>3.9638560000000003</v>
      </c>
      <c r="G130" s="1">
        <v>4.2219773333333332</v>
      </c>
      <c r="H130" s="1">
        <v>4.4800986666666667</v>
      </c>
      <c r="I130" s="1">
        <v>4.7382200000000001</v>
      </c>
      <c r="J130" s="1">
        <v>4.9963413333333335</v>
      </c>
      <c r="K130" s="1">
        <v>5.2544626666666669</v>
      </c>
      <c r="L130" s="1">
        <v>5.5125840000000004</v>
      </c>
      <c r="M130" s="1">
        <v>5.7707053333333338</v>
      </c>
      <c r="N130" s="1">
        <v>6.0288266666666672</v>
      </c>
      <c r="O130" s="1">
        <v>6.2869480000000006</v>
      </c>
      <c r="P130" s="1">
        <v>6.5450693333333341</v>
      </c>
      <c r="Q130" s="1">
        <v>6.8031906666666675</v>
      </c>
      <c r="R130" s="1">
        <v>7.0613120000000009</v>
      </c>
      <c r="S130" s="1">
        <v>7.3194333333333343</v>
      </c>
      <c r="T130" s="1">
        <v>7.5775546666666678</v>
      </c>
      <c r="U130" s="1">
        <v>7.8356760000000012</v>
      </c>
      <c r="V130" s="1">
        <v>8.0937973333333346</v>
      </c>
      <c r="W130" s="1">
        <v>8.351918666666668</v>
      </c>
      <c r="X130" s="1">
        <v>8.6100400000000015</v>
      </c>
      <c r="Y130" s="1">
        <v>8.8681613333333349</v>
      </c>
      <c r="Z130" s="1">
        <v>9.1262826666666683</v>
      </c>
      <c r="AA130" s="1">
        <v>9.3844040000000017</v>
      </c>
      <c r="AB130" s="1">
        <v>9.6425253333333352</v>
      </c>
      <c r="AC130" s="1">
        <v>9.9006466666666686</v>
      </c>
      <c r="AD130" s="1">
        <v>10.158768000000002</v>
      </c>
      <c r="AE130" s="1">
        <v>10.416889333333335</v>
      </c>
      <c r="AF130" s="1">
        <v>10.675010666666669</v>
      </c>
      <c r="AG130" s="1">
        <v>10.933132000000002</v>
      </c>
      <c r="AH130" s="1">
        <v>11.191253333333336</v>
      </c>
      <c r="AI130" s="1">
        <v>11.449374666666669</v>
      </c>
      <c r="AJ130" s="1">
        <v>11.707496000000003</v>
      </c>
      <c r="AK130" s="1">
        <v>11.965617333333336</v>
      </c>
      <c r="AL130" s="1">
        <v>12.223738666666669</v>
      </c>
    </row>
    <row r="131" spans="1:48">
      <c r="A131" s="71" t="s">
        <v>2</v>
      </c>
      <c r="B131" s="409" t="s">
        <v>162</v>
      </c>
      <c r="C131" s="1">
        <v>1.4950257303245931</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row>
    <row r="132" spans="1:48">
      <c r="A132" s="71" t="s">
        <v>2</v>
      </c>
      <c r="B132" s="409" t="s">
        <v>153</v>
      </c>
      <c r="C132" s="1">
        <v>9015.067605304881</v>
      </c>
      <c r="D132" s="1">
        <v>9171.5065619830184</v>
      </c>
      <c r="E132" s="1">
        <v>9327.9455186611558</v>
      </c>
      <c r="F132" s="1">
        <v>9484.3844753392932</v>
      </c>
      <c r="G132" s="1">
        <v>9640.8234320174306</v>
      </c>
      <c r="H132" s="1">
        <v>9797.262388695568</v>
      </c>
      <c r="I132" s="1">
        <v>9953.7013453737054</v>
      </c>
      <c r="J132" s="1">
        <v>10110.140302051843</v>
      </c>
      <c r="K132" s="1">
        <v>10266.57925872998</v>
      </c>
      <c r="L132" s="1">
        <v>10423.018215408118</v>
      </c>
      <c r="M132" s="1">
        <v>10579.457172086255</v>
      </c>
      <c r="N132" s="1">
        <v>10735.896128764392</v>
      </c>
      <c r="O132" s="1">
        <v>10892.33508544253</v>
      </c>
      <c r="P132" s="1">
        <v>11048.774042120667</v>
      </c>
      <c r="Q132" s="1">
        <v>11205.212998798805</v>
      </c>
      <c r="R132" s="1">
        <v>11361.651955476942</v>
      </c>
      <c r="S132" s="1">
        <v>11518.090912155079</v>
      </c>
      <c r="T132" s="1">
        <v>11674.529868833217</v>
      </c>
      <c r="U132" s="1">
        <v>11830.968825511354</v>
      </c>
      <c r="V132" s="1">
        <v>11987.407782189492</v>
      </c>
      <c r="W132" s="1">
        <v>12143.846738867629</v>
      </c>
      <c r="X132" s="1">
        <v>12300.285695545766</v>
      </c>
      <c r="Y132" s="1">
        <v>12456.724652223904</v>
      </c>
      <c r="Z132" s="1">
        <v>12613.163608902041</v>
      </c>
      <c r="AA132" s="1">
        <v>12769.602565580179</v>
      </c>
      <c r="AB132" s="1">
        <v>12926.041522258316</v>
      </c>
      <c r="AC132" s="1">
        <v>13082.480478936453</v>
      </c>
      <c r="AD132" s="1">
        <v>13238.919435614591</v>
      </c>
      <c r="AE132" s="1">
        <v>13395.358392292728</v>
      </c>
      <c r="AF132" s="1">
        <v>13551.797348970866</v>
      </c>
      <c r="AG132" s="1">
        <v>13708.236305649003</v>
      </c>
      <c r="AH132" s="1">
        <v>13864.67526232714</v>
      </c>
      <c r="AI132" s="1">
        <v>14021.114219005278</v>
      </c>
      <c r="AJ132" s="1">
        <v>14177.553175683415</v>
      </c>
      <c r="AK132" s="1">
        <v>14333.992132361553</v>
      </c>
      <c r="AL132" s="1">
        <v>14490.43108903969</v>
      </c>
    </row>
    <row r="133" spans="1:48">
      <c r="A133" s="71" t="s">
        <v>2</v>
      </c>
      <c r="B133" s="409" t="s">
        <v>163</v>
      </c>
      <c r="C133" s="1">
        <v>3.2012534449288399</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row>
    <row r="134" spans="1:48">
      <c r="A134" s="329" t="s">
        <v>928</v>
      </c>
    </row>
    <row r="135" spans="1:48">
      <c r="A135" t="s">
        <v>929</v>
      </c>
    </row>
    <row r="136" spans="1:48" s="392" customFormat="1">
      <c r="A136" s="392" t="s">
        <v>973</v>
      </c>
    </row>
    <row r="138" spans="1:48">
      <c r="A138" t="s">
        <v>967</v>
      </c>
    </row>
    <row r="139" spans="1:48" s="408" customFormat="1">
      <c r="A139" s="408" t="s">
        <v>979</v>
      </c>
    </row>
    <row r="140" spans="1:48" s="408" customFormat="1"/>
    <row r="142" spans="1:48">
      <c r="A142" s="5" t="s">
        <v>963</v>
      </c>
      <c r="B142" s="404" t="s">
        <v>972</v>
      </c>
    </row>
    <row r="143" spans="1:48">
      <c r="D143">
        <v>2006</v>
      </c>
      <c r="E143">
        <f>D143+1</f>
        <v>2007</v>
      </c>
      <c r="F143" s="392">
        <f t="shared" ref="F143:AV143" si="58">E143+1</f>
        <v>2008</v>
      </c>
      <c r="G143" s="392">
        <f t="shared" si="58"/>
        <v>2009</v>
      </c>
      <c r="H143" s="392">
        <f t="shared" si="58"/>
        <v>2010</v>
      </c>
      <c r="I143" s="392">
        <f t="shared" si="58"/>
        <v>2011</v>
      </c>
      <c r="J143" s="392">
        <f t="shared" si="58"/>
        <v>2012</v>
      </c>
      <c r="K143" s="392">
        <f t="shared" si="58"/>
        <v>2013</v>
      </c>
      <c r="L143" s="392">
        <f t="shared" si="58"/>
        <v>2014</v>
      </c>
      <c r="M143" s="392">
        <f t="shared" si="58"/>
        <v>2015</v>
      </c>
      <c r="N143" s="392">
        <f t="shared" si="58"/>
        <v>2016</v>
      </c>
      <c r="O143" s="392">
        <f t="shared" si="58"/>
        <v>2017</v>
      </c>
      <c r="P143" s="392">
        <f t="shared" si="58"/>
        <v>2018</v>
      </c>
      <c r="Q143" s="392">
        <f t="shared" si="58"/>
        <v>2019</v>
      </c>
      <c r="R143" s="392">
        <f t="shared" si="58"/>
        <v>2020</v>
      </c>
      <c r="S143" s="392">
        <f t="shared" si="58"/>
        <v>2021</v>
      </c>
      <c r="T143" s="392">
        <f t="shared" si="58"/>
        <v>2022</v>
      </c>
      <c r="U143" s="392">
        <f t="shared" si="58"/>
        <v>2023</v>
      </c>
      <c r="V143" s="392">
        <f t="shared" si="58"/>
        <v>2024</v>
      </c>
      <c r="W143" s="392">
        <f t="shared" si="58"/>
        <v>2025</v>
      </c>
      <c r="X143" s="392">
        <f t="shared" si="58"/>
        <v>2026</v>
      </c>
      <c r="Y143" s="392">
        <f t="shared" si="58"/>
        <v>2027</v>
      </c>
      <c r="Z143" s="392">
        <f t="shared" si="58"/>
        <v>2028</v>
      </c>
      <c r="AA143" s="392">
        <f t="shared" si="58"/>
        <v>2029</v>
      </c>
      <c r="AB143" s="392">
        <f t="shared" si="58"/>
        <v>2030</v>
      </c>
      <c r="AC143" s="392">
        <f t="shared" si="58"/>
        <v>2031</v>
      </c>
      <c r="AD143" s="392">
        <f t="shared" si="58"/>
        <v>2032</v>
      </c>
      <c r="AE143" s="392">
        <f t="shared" si="58"/>
        <v>2033</v>
      </c>
      <c r="AF143" s="392">
        <f t="shared" si="58"/>
        <v>2034</v>
      </c>
      <c r="AG143" s="392">
        <f t="shared" si="58"/>
        <v>2035</v>
      </c>
      <c r="AH143" s="392">
        <f t="shared" si="58"/>
        <v>2036</v>
      </c>
      <c r="AI143" s="392">
        <f t="shared" si="58"/>
        <v>2037</v>
      </c>
      <c r="AJ143" s="392">
        <f t="shared" si="58"/>
        <v>2038</v>
      </c>
      <c r="AK143" s="392">
        <f t="shared" si="58"/>
        <v>2039</v>
      </c>
      <c r="AL143" s="392">
        <f t="shared" si="58"/>
        <v>2040</v>
      </c>
      <c r="AM143" s="392">
        <f t="shared" si="58"/>
        <v>2041</v>
      </c>
      <c r="AN143" s="392">
        <f t="shared" si="58"/>
        <v>2042</v>
      </c>
      <c r="AO143" s="392">
        <f t="shared" si="58"/>
        <v>2043</v>
      </c>
      <c r="AP143" s="392">
        <f t="shared" si="58"/>
        <v>2044</v>
      </c>
      <c r="AQ143" s="392">
        <f t="shared" si="58"/>
        <v>2045</v>
      </c>
      <c r="AR143" s="392">
        <f t="shared" si="58"/>
        <v>2046</v>
      </c>
      <c r="AS143" s="392">
        <f t="shared" si="58"/>
        <v>2047</v>
      </c>
      <c r="AT143" s="392">
        <f t="shared" si="58"/>
        <v>2048</v>
      </c>
      <c r="AU143" s="392">
        <f t="shared" si="58"/>
        <v>2049</v>
      </c>
      <c r="AV143" s="392">
        <f t="shared" si="58"/>
        <v>2050</v>
      </c>
    </row>
    <row r="144" spans="1:48" s="392" customFormat="1">
      <c r="A144" s="71" t="s">
        <v>966</v>
      </c>
      <c r="B144" s="392" t="s">
        <v>4</v>
      </c>
      <c r="C144" s="392" t="s">
        <v>153</v>
      </c>
      <c r="D144" s="392">
        <v>9901.5583015854208</v>
      </c>
      <c r="E144" s="392">
        <v>9985.3530042505899</v>
      </c>
      <c r="F144" s="392">
        <v>9394.5148099248199</v>
      </c>
      <c r="G144" s="392">
        <v>9645.5195049308804</v>
      </c>
      <c r="H144" s="392">
        <v>10764.7105639969</v>
      </c>
      <c r="I144" s="392">
        <v>12012.5704480963</v>
      </c>
      <c r="J144" s="392">
        <v>15166.498790269499</v>
      </c>
      <c r="K144" s="392">
        <v>14651.4209538672</v>
      </c>
      <c r="L144" s="392">
        <v>11654.132507672601</v>
      </c>
      <c r="M144" s="392">
        <v>10797.8200666047</v>
      </c>
    </row>
    <row r="145" spans="1:48">
      <c r="A145" s="71" t="s">
        <v>184</v>
      </c>
      <c r="B145" t="s">
        <v>4</v>
      </c>
      <c r="C145" t="s">
        <v>153</v>
      </c>
      <c r="D145">
        <v>2782.9837384538</v>
      </c>
      <c r="E145">
        <v>2574.83286387421</v>
      </c>
      <c r="F145">
        <v>2805.04440098547</v>
      </c>
      <c r="G145">
        <v>2400.66202738946</v>
      </c>
      <c r="H145">
        <v>2491.2036086005501</v>
      </c>
      <c r="I145">
        <v>2881.1580168077799</v>
      </c>
      <c r="J145">
        <v>3002.3836115117401</v>
      </c>
      <c r="K145">
        <v>2949.9646226688501</v>
      </c>
      <c r="L145">
        <v>2535.5448819287499</v>
      </c>
      <c r="M145">
        <v>2850.8286025819598</v>
      </c>
      <c r="N145">
        <v>2858.3669208184219</v>
      </c>
      <c r="O145">
        <v>2865.9052390548841</v>
      </c>
      <c r="P145">
        <v>2873.4435572913462</v>
      </c>
      <c r="Q145">
        <v>2880.9818755278084</v>
      </c>
      <c r="R145">
        <v>2888.5201937642705</v>
      </c>
      <c r="S145">
        <v>2896.0585120007327</v>
      </c>
      <c r="T145">
        <v>2903.5968302371948</v>
      </c>
      <c r="U145">
        <v>2911.135148473657</v>
      </c>
      <c r="V145">
        <v>2918.6734667101191</v>
      </c>
      <c r="W145">
        <v>2926.2117849465812</v>
      </c>
      <c r="X145">
        <v>2933.7501031830434</v>
      </c>
      <c r="Y145">
        <v>2941.2884214195055</v>
      </c>
      <c r="Z145">
        <v>2948.8267396559677</v>
      </c>
      <c r="AA145">
        <v>2956.3650578924298</v>
      </c>
      <c r="AB145">
        <v>2963.903376128892</v>
      </c>
      <c r="AC145">
        <v>2971.4416943653541</v>
      </c>
      <c r="AD145">
        <v>2978.9800126018163</v>
      </c>
      <c r="AE145">
        <v>2986.5183308382784</v>
      </c>
      <c r="AF145">
        <v>2994.0566490747406</v>
      </c>
      <c r="AG145">
        <v>3001.5949673112027</v>
      </c>
      <c r="AH145">
        <v>3009.1332855476649</v>
      </c>
      <c r="AI145">
        <v>3016.671603784127</v>
      </c>
      <c r="AJ145">
        <v>3024.2099220205891</v>
      </c>
      <c r="AK145">
        <v>3031.7482402570513</v>
      </c>
      <c r="AL145">
        <v>3039.2865584935134</v>
      </c>
      <c r="AM145">
        <v>3046.8248767299756</v>
      </c>
      <c r="AN145">
        <v>3054.3631949664377</v>
      </c>
      <c r="AO145">
        <v>3061.9015132028999</v>
      </c>
      <c r="AP145">
        <v>3069.439831439362</v>
      </c>
      <c r="AQ145">
        <v>3076.9781496758242</v>
      </c>
      <c r="AR145">
        <v>3084.5164679122863</v>
      </c>
      <c r="AS145">
        <v>3092.0547861487485</v>
      </c>
      <c r="AT145">
        <v>3099.5931043852106</v>
      </c>
      <c r="AU145">
        <v>3107.1314226216728</v>
      </c>
      <c r="AV145">
        <v>3114.6697408581349</v>
      </c>
    </row>
    <row r="146" spans="1:48">
      <c r="A146" s="71" t="s">
        <v>703</v>
      </c>
      <c r="B146" t="s">
        <v>4</v>
      </c>
      <c r="C146" t="s">
        <v>153</v>
      </c>
      <c r="D146">
        <v>2839.9912561958499</v>
      </c>
      <c r="E146">
        <v>2322.1804849907498</v>
      </c>
      <c r="F146">
        <v>1982.2466207165</v>
      </c>
      <c r="G146">
        <v>1651.9038675642701</v>
      </c>
      <c r="H146">
        <v>1839.9182354336499</v>
      </c>
      <c r="I146">
        <v>2012.29543418412</v>
      </c>
      <c r="J146">
        <v>2250.7953942529798</v>
      </c>
      <c r="K146">
        <v>2374.4985245625098</v>
      </c>
      <c r="L146">
        <v>2340.2961357262502</v>
      </c>
      <c r="M146">
        <v>2459.1634618397802</v>
      </c>
      <c r="N146">
        <v>2233.1112878555755</v>
      </c>
      <c r="O146">
        <v>2242.3194867148668</v>
      </c>
      <c r="P146">
        <v>2251.5656554356201</v>
      </c>
      <c r="Q146">
        <v>2260.8499505859568</v>
      </c>
      <c r="R146">
        <v>2270.1725293796021</v>
      </c>
      <c r="S146">
        <v>2279.5335496785506</v>
      </c>
      <c r="T146">
        <v>2288.933169995737</v>
      </c>
      <c r="U146">
        <v>2298.3715494977214</v>
      </c>
      <c r="V146">
        <v>2307.848848007387</v>
      </c>
      <c r="W146">
        <v>2317.3652260066419</v>
      </c>
      <c r="X146">
        <v>2326.9208446391399</v>
      </c>
      <c r="Y146">
        <v>2336.5158657130069</v>
      </c>
      <c r="Z146">
        <v>2346.1504517035842</v>
      </c>
      <c r="AA146">
        <v>2355.8247657561756</v>
      </c>
      <c r="AB146">
        <v>2365.5389716888121</v>
      </c>
      <c r="AC146">
        <v>2375.2932339950262</v>
      </c>
      <c r="AD146">
        <v>2385.0877178466385</v>
      </c>
      <c r="AE146">
        <v>2394.9225890965504</v>
      </c>
      <c r="AF146">
        <v>2404.7980142815545</v>
      </c>
      <c r="AG146">
        <v>2414.7141606251598</v>
      </c>
      <c r="AH146">
        <v>2424.6711960404141</v>
      </c>
      <c r="AI146">
        <v>2434.6692891327539</v>
      </c>
      <c r="AJ146">
        <v>2444.7086092028553</v>
      </c>
      <c r="AK146">
        <v>2454.789326249509</v>
      </c>
      <c r="AL146">
        <v>2464.9116109724878</v>
      </c>
      <c r="AM146">
        <v>2475.0756347754409</v>
      </c>
      <c r="AN146">
        <v>2485.2815697688025</v>
      </c>
      <c r="AO146">
        <v>2495.5295887726993</v>
      </c>
      <c r="AP146">
        <v>2505.8198653198797</v>
      </c>
      <c r="AQ146">
        <v>2516.1525736586495</v>
      </c>
      <c r="AR146">
        <v>2526.5278887558266</v>
      </c>
      <c r="AS146">
        <v>2536.945986299701</v>
      </c>
      <c r="AT146">
        <v>2547.4070427030119</v>
      </c>
      <c r="AU146">
        <v>2557.9112351059316</v>
      </c>
      <c r="AV146">
        <v>2568.4587413790687</v>
      </c>
    </row>
    <row r="147" spans="1:48">
      <c r="A147" s="71" t="s">
        <v>703</v>
      </c>
      <c r="B147" t="s">
        <v>4</v>
      </c>
      <c r="C147" t="s">
        <v>162</v>
      </c>
      <c r="D147">
        <v>3.5180355664709202</v>
      </c>
      <c r="E147">
        <v>3.53644501960733</v>
      </c>
      <c r="F147">
        <v>3.1901022766221598</v>
      </c>
      <c r="G147">
        <v>2.7337915349319499</v>
      </c>
      <c r="H147">
        <v>2.7722220212043598</v>
      </c>
      <c r="I147">
        <v>2.8059876582054</v>
      </c>
      <c r="J147">
        <v>2.8868261349638402</v>
      </c>
      <c r="K147">
        <v>3.18231452103131</v>
      </c>
      <c r="L147">
        <v>3.2438897516677399</v>
      </c>
      <c r="M147">
        <v>2.9143630708186801</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row>
    <row r="148" spans="1:48">
      <c r="A148" s="71" t="s">
        <v>182</v>
      </c>
      <c r="B148" t="s">
        <v>4</v>
      </c>
      <c r="C148" t="s">
        <v>163</v>
      </c>
      <c r="D148">
        <v>3.9799743799999998</v>
      </c>
      <c r="E148">
        <v>3.6583747612000002</v>
      </c>
      <c r="F148">
        <v>4.1335987799999998</v>
      </c>
      <c r="G148">
        <v>3.7084868320000002</v>
      </c>
      <c r="H148">
        <v>3.5568846999999999</v>
      </c>
      <c r="I148">
        <v>3.7514720399999999</v>
      </c>
      <c r="J148">
        <v>3.5894257860665801</v>
      </c>
      <c r="K148">
        <v>3.3155296862638699</v>
      </c>
      <c r="L148">
        <v>3.4374684069790402</v>
      </c>
      <c r="M148">
        <v>3.72756888816276</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row>
    <row r="149" spans="1:48">
      <c r="A149" s="71" t="s">
        <v>703</v>
      </c>
      <c r="B149" t="s">
        <v>4</v>
      </c>
      <c r="C149" t="s">
        <v>163</v>
      </c>
      <c r="D149">
        <v>4.49750179804548E-2</v>
      </c>
      <c r="E149">
        <v>4.0137549789849E-2</v>
      </c>
      <c r="F149">
        <v>3.3719710607003198E-2</v>
      </c>
      <c r="G149">
        <v>2.9121434256257999E-2</v>
      </c>
      <c r="H149">
        <v>3.2853160121067503E-2</v>
      </c>
      <c r="I149">
        <v>3.4025446420994802E-2</v>
      </c>
      <c r="J149">
        <v>3.7675827056943403E-2</v>
      </c>
      <c r="K149">
        <v>3.9040862155610499E-2</v>
      </c>
      <c r="L149">
        <v>3.91274752237828E-2</v>
      </c>
      <c r="M149">
        <v>4.0233062563133103E-2</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row>
    <row r="150" spans="1:48">
      <c r="A150" s="234" t="s">
        <v>970</v>
      </c>
      <c r="D150">
        <f>D145/SUM(D144:D146)</f>
        <v>0.17926360073759606</v>
      </c>
      <c r="E150" s="392">
        <f t="shared" ref="E150:M150" si="59">E145/SUM(E144:E146)</f>
        <v>0.17301232900607783</v>
      </c>
      <c r="F150" s="392">
        <f t="shared" si="59"/>
        <v>0.19779176462351158</v>
      </c>
      <c r="G150" s="392">
        <f t="shared" si="59"/>
        <v>0.17525529716800295</v>
      </c>
      <c r="H150" s="392">
        <f t="shared" si="59"/>
        <v>0.16502591849623413</v>
      </c>
      <c r="I150" s="392">
        <f t="shared" si="59"/>
        <v>0.17042197704234707</v>
      </c>
      <c r="J150" s="392">
        <f t="shared" si="59"/>
        <v>0.14703383870703601</v>
      </c>
      <c r="K150" s="392">
        <f t="shared" si="59"/>
        <v>0.14767629846764174</v>
      </c>
      <c r="L150" s="392">
        <f t="shared" si="59"/>
        <v>0.15339074064720856</v>
      </c>
      <c r="M150" s="392">
        <f t="shared" si="59"/>
        <v>0.17698422227626864</v>
      </c>
      <c r="N150" s="392">
        <f>M150</f>
        <v>0.17698422227626864</v>
      </c>
      <c r="O150" s="392">
        <f t="shared" ref="O150:AV150" si="60">N150</f>
        <v>0.17698422227626864</v>
      </c>
      <c r="P150" s="392">
        <f t="shared" si="60"/>
        <v>0.17698422227626864</v>
      </c>
      <c r="Q150" s="392">
        <f t="shared" si="60"/>
        <v>0.17698422227626864</v>
      </c>
      <c r="R150" s="392">
        <f t="shared" si="60"/>
        <v>0.17698422227626864</v>
      </c>
      <c r="S150" s="392">
        <f t="shared" si="60"/>
        <v>0.17698422227626864</v>
      </c>
      <c r="T150" s="392">
        <f t="shared" si="60"/>
        <v>0.17698422227626864</v>
      </c>
      <c r="U150" s="392">
        <f t="shared" si="60"/>
        <v>0.17698422227626864</v>
      </c>
      <c r="V150" s="392">
        <f t="shared" si="60"/>
        <v>0.17698422227626864</v>
      </c>
      <c r="W150" s="392">
        <f t="shared" si="60"/>
        <v>0.17698422227626864</v>
      </c>
      <c r="X150" s="392">
        <f t="shared" si="60"/>
        <v>0.17698422227626864</v>
      </c>
      <c r="Y150" s="392">
        <f t="shared" si="60"/>
        <v>0.17698422227626864</v>
      </c>
      <c r="Z150" s="392">
        <f t="shared" si="60"/>
        <v>0.17698422227626864</v>
      </c>
      <c r="AA150" s="392">
        <f t="shared" si="60"/>
        <v>0.17698422227626864</v>
      </c>
      <c r="AB150" s="392">
        <f t="shared" si="60"/>
        <v>0.17698422227626864</v>
      </c>
      <c r="AC150" s="392">
        <f t="shared" si="60"/>
        <v>0.17698422227626864</v>
      </c>
      <c r="AD150" s="392">
        <f t="shared" si="60"/>
        <v>0.17698422227626864</v>
      </c>
      <c r="AE150" s="392">
        <f t="shared" si="60"/>
        <v>0.17698422227626864</v>
      </c>
      <c r="AF150" s="392">
        <f t="shared" si="60"/>
        <v>0.17698422227626864</v>
      </c>
      <c r="AG150" s="392">
        <f t="shared" si="60"/>
        <v>0.17698422227626864</v>
      </c>
      <c r="AH150" s="392">
        <f t="shared" si="60"/>
        <v>0.17698422227626864</v>
      </c>
      <c r="AI150" s="392">
        <f t="shared" si="60"/>
        <v>0.17698422227626864</v>
      </c>
      <c r="AJ150" s="392">
        <f t="shared" si="60"/>
        <v>0.17698422227626864</v>
      </c>
      <c r="AK150" s="392">
        <f t="shared" si="60"/>
        <v>0.17698422227626864</v>
      </c>
      <c r="AL150" s="392">
        <f t="shared" si="60"/>
        <v>0.17698422227626864</v>
      </c>
      <c r="AM150" s="392">
        <f t="shared" si="60"/>
        <v>0.17698422227626864</v>
      </c>
      <c r="AN150" s="392">
        <f t="shared" si="60"/>
        <v>0.17698422227626864</v>
      </c>
      <c r="AO150" s="392">
        <f>AN150</f>
        <v>0.17698422227626864</v>
      </c>
      <c r="AP150" s="392">
        <f t="shared" si="60"/>
        <v>0.17698422227626864</v>
      </c>
      <c r="AQ150" s="392">
        <f t="shared" si="60"/>
        <v>0.17698422227626864</v>
      </c>
      <c r="AR150" s="392">
        <f t="shared" si="60"/>
        <v>0.17698422227626864</v>
      </c>
      <c r="AS150" s="392">
        <f t="shared" si="60"/>
        <v>0.17698422227626864</v>
      </c>
      <c r="AT150" s="392">
        <f t="shared" si="60"/>
        <v>0.17698422227626864</v>
      </c>
      <c r="AU150" s="392">
        <f t="shared" si="60"/>
        <v>0.17698422227626864</v>
      </c>
      <c r="AV150" s="392">
        <f t="shared" si="60"/>
        <v>0.17698422227626864</v>
      </c>
    </row>
    <row r="151" spans="1:48">
      <c r="A151" s="234" t="s">
        <v>971</v>
      </c>
      <c r="D151">
        <f>D146/SUM(D144:D146)</f>
        <v>0.18293569294508774</v>
      </c>
      <c r="E151" s="392">
        <f t="shared" ref="E151:M151" si="61">E146/SUM(E144:E146)</f>
        <v>0.15603570224600827</v>
      </c>
      <c r="F151" s="392">
        <f t="shared" si="61"/>
        <v>0.13977392190040422</v>
      </c>
      <c r="G151" s="392">
        <f t="shared" si="61"/>
        <v>0.12059377784125841</v>
      </c>
      <c r="H151" s="392">
        <f t="shared" si="61"/>
        <v>0.1218825292770738</v>
      </c>
      <c r="I151" s="392">
        <f t="shared" si="61"/>
        <v>0.11902830885579489</v>
      </c>
      <c r="J151" s="392">
        <f t="shared" si="61"/>
        <v>0.11022678304405543</v>
      </c>
      <c r="K151" s="392">
        <f t="shared" si="61"/>
        <v>0.11886825697151127</v>
      </c>
      <c r="L151" s="392">
        <f t="shared" si="61"/>
        <v>0.14157894034980728</v>
      </c>
      <c r="M151" s="392">
        <f t="shared" si="61"/>
        <v>0.15266899327084929</v>
      </c>
      <c r="N151" s="392">
        <f>M151</f>
        <v>0.15266899327084929</v>
      </c>
      <c r="O151" s="392">
        <f t="shared" ref="O151:AV151" si="62">N151</f>
        <v>0.15266899327084929</v>
      </c>
      <c r="P151" s="392">
        <f t="shared" si="62"/>
        <v>0.15266899327084929</v>
      </c>
      <c r="Q151" s="392">
        <f t="shared" si="62"/>
        <v>0.15266899327084929</v>
      </c>
      <c r="R151" s="392">
        <f t="shared" si="62"/>
        <v>0.15266899327084929</v>
      </c>
      <c r="S151" s="392">
        <f t="shared" si="62"/>
        <v>0.15266899327084929</v>
      </c>
      <c r="T151" s="392">
        <f t="shared" si="62"/>
        <v>0.15266899327084929</v>
      </c>
      <c r="U151" s="392">
        <f t="shared" si="62"/>
        <v>0.15266899327084929</v>
      </c>
      <c r="V151" s="392">
        <f t="shared" si="62"/>
        <v>0.15266899327084929</v>
      </c>
      <c r="W151" s="392">
        <f t="shared" si="62"/>
        <v>0.15266899327084929</v>
      </c>
      <c r="X151" s="392">
        <f t="shared" si="62"/>
        <v>0.15266899327084929</v>
      </c>
      <c r="Y151" s="392">
        <f t="shared" si="62"/>
        <v>0.15266899327084929</v>
      </c>
      <c r="Z151" s="392">
        <f t="shared" si="62"/>
        <v>0.15266899327084929</v>
      </c>
      <c r="AA151" s="392">
        <f t="shared" si="62"/>
        <v>0.15266899327084929</v>
      </c>
      <c r="AB151" s="392">
        <f t="shared" si="62"/>
        <v>0.15266899327084929</v>
      </c>
      <c r="AC151" s="392">
        <f t="shared" si="62"/>
        <v>0.15266899327084929</v>
      </c>
      <c r="AD151" s="392">
        <f t="shared" si="62"/>
        <v>0.15266899327084929</v>
      </c>
      <c r="AE151" s="392">
        <f t="shared" si="62"/>
        <v>0.15266899327084929</v>
      </c>
      <c r="AF151" s="392">
        <f t="shared" si="62"/>
        <v>0.15266899327084929</v>
      </c>
      <c r="AG151" s="392">
        <f t="shared" si="62"/>
        <v>0.15266899327084929</v>
      </c>
      <c r="AH151" s="392">
        <f t="shared" si="62"/>
        <v>0.15266899327084929</v>
      </c>
      <c r="AI151" s="392">
        <f t="shared" si="62"/>
        <v>0.15266899327084929</v>
      </c>
      <c r="AJ151" s="392">
        <f t="shared" si="62"/>
        <v>0.15266899327084929</v>
      </c>
      <c r="AK151" s="392">
        <f t="shared" si="62"/>
        <v>0.15266899327084929</v>
      </c>
      <c r="AL151" s="392">
        <f t="shared" si="62"/>
        <v>0.15266899327084929</v>
      </c>
      <c r="AM151" s="392">
        <f t="shared" si="62"/>
        <v>0.15266899327084929</v>
      </c>
      <c r="AN151" s="392">
        <f t="shared" si="62"/>
        <v>0.15266899327084929</v>
      </c>
      <c r="AO151" s="392">
        <f t="shared" si="62"/>
        <v>0.15266899327084929</v>
      </c>
      <c r="AP151" s="392">
        <f t="shared" si="62"/>
        <v>0.15266899327084929</v>
      </c>
      <c r="AQ151" s="392">
        <f t="shared" si="62"/>
        <v>0.15266899327084929</v>
      </c>
      <c r="AR151" s="392">
        <f t="shared" si="62"/>
        <v>0.15266899327084929</v>
      </c>
      <c r="AS151" s="392">
        <f t="shared" si="62"/>
        <v>0.15266899327084929</v>
      </c>
      <c r="AT151" s="392">
        <f t="shared" si="62"/>
        <v>0.15266899327084929</v>
      </c>
      <c r="AU151" s="392">
        <f t="shared" si="62"/>
        <v>0.15266899327084929</v>
      </c>
      <c r="AV151" s="392">
        <f t="shared" si="62"/>
        <v>0.15266899327084929</v>
      </c>
    </row>
    <row r="152" spans="1:48">
      <c r="A152" s="234" t="s">
        <v>964</v>
      </c>
      <c r="D152">
        <f>IFERROR(D148/SUM(D148:D149),0)</f>
        <v>0.98882594200984963</v>
      </c>
      <c r="E152" s="392">
        <f t="shared" ref="E152:AV152" si="63">IFERROR(E148/SUM(E148:E149),0)</f>
        <v>0.98914765007795613</v>
      </c>
      <c r="F152" s="392">
        <f t="shared" si="63"/>
        <v>0.9919085352648217</v>
      </c>
      <c r="G152" s="392">
        <f t="shared" si="63"/>
        <v>0.99220853760433614</v>
      </c>
      <c r="H152" s="392">
        <f t="shared" si="63"/>
        <v>0.99084803364445129</v>
      </c>
      <c r="I152" s="392">
        <f t="shared" si="63"/>
        <v>0.99101163148488469</v>
      </c>
      <c r="J152" s="392">
        <f t="shared" si="63"/>
        <v>0.98961269049628353</v>
      </c>
      <c r="K152" s="392">
        <f t="shared" si="63"/>
        <v>0.98836188966900551</v>
      </c>
      <c r="L152" s="392">
        <f t="shared" si="63"/>
        <v>0.98874546350811676</v>
      </c>
      <c r="M152" s="392">
        <f t="shared" si="63"/>
        <v>0.98932187437416075</v>
      </c>
      <c r="N152" s="392">
        <f t="shared" si="63"/>
        <v>0</v>
      </c>
      <c r="O152" s="392">
        <f t="shared" si="63"/>
        <v>0</v>
      </c>
      <c r="P152" s="392">
        <f t="shared" si="63"/>
        <v>0</v>
      </c>
      <c r="Q152" s="392">
        <f t="shared" si="63"/>
        <v>0</v>
      </c>
      <c r="R152" s="392">
        <f t="shared" si="63"/>
        <v>0</v>
      </c>
      <c r="S152" s="392">
        <f t="shared" si="63"/>
        <v>0</v>
      </c>
      <c r="T152" s="392">
        <f t="shared" si="63"/>
        <v>0</v>
      </c>
      <c r="U152" s="392">
        <f t="shared" si="63"/>
        <v>0</v>
      </c>
      <c r="V152" s="392">
        <f t="shared" si="63"/>
        <v>0</v>
      </c>
      <c r="W152" s="392">
        <f t="shared" si="63"/>
        <v>0</v>
      </c>
      <c r="X152" s="392">
        <f t="shared" si="63"/>
        <v>0</v>
      </c>
      <c r="Y152" s="392">
        <f t="shared" si="63"/>
        <v>0</v>
      </c>
      <c r="Z152" s="392">
        <f t="shared" si="63"/>
        <v>0</v>
      </c>
      <c r="AA152" s="392">
        <f t="shared" si="63"/>
        <v>0</v>
      </c>
      <c r="AB152" s="392">
        <f t="shared" si="63"/>
        <v>0</v>
      </c>
      <c r="AC152" s="392">
        <f t="shared" si="63"/>
        <v>0</v>
      </c>
      <c r="AD152" s="392">
        <f t="shared" si="63"/>
        <v>0</v>
      </c>
      <c r="AE152" s="392">
        <f t="shared" si="63"/>
        <v>0</v>
      </c>
      <c r="AF152" s="392">
        <f t="shared" si="63"/>
        <v>0</v>
      </c>
      <c r="AG152" s="392">
        <f t="shared" si="63"/>
        <v>0</v>
      </c>
      <c r="AH152" s="392">
        <f t="shared" si="63"/>
        <v>0</v>
      </c>
      <c r="AI152" s="392">
        <f t="shared" si="63"/>
        <v>0</v>
      </c>
      <c r="AJ152" s="392">
        <f t="shared" si="63"/>
        <v>0</v>
      </c>
      <c r="AK152" s="392">
        <f t="shared" si="63"/>
        <v>0</v>
      </c>
      <c r="AL152" s="392">
        <f t="shared" si="63"/>
        <v>0</v>
      </c>
      <c r="AM152" s="392">
        <f t="shared" si="63"/>
        <v>0</v>
      </c>
      <c r="AN152" s="392">
        <f t="shared" si="63"/>
        <v>0</v>
      </c>
      <c r="AO152" s="392">
        <f t="shared" si="63"/>
        <v>0</v>
      </c>
      <c r="AP152" s="392">
        <f t="shared" si="63"/>
        <v>0</v>
      </c>
      <c r="AQ152" s="392">
        <f t="shared" si="63"/>
        <v>0</v>
      </c>
      <c r="AR152" s="392">
        <f t="shared" si="63"/>
        <v>0</v>
      </c>
      <c r="AS152" s="392">
        <f t="shared" si="63"/>
        <v>0</v>
      </c>
      <c r="AT152" s="392">
        <f t="shared" si="63"/>
        <v>0</v>
      </c>
      <c r="AU152" s="392">
        <f t="shared" si="63"/>
        <v>0</v>
      </c>
      <c r="AV152" s="392">
        <f t="shared" si="63"/>
        <v>0</v>
      </c>
    </row>
    <row r="153" spans="1:48">
      <c r="A153" s="234" t="s">
        <v>965</v>
      </c>
      <c r="D153">
        <f>IFERROR(D149/SUM(D148:D149),0)</f>
        <v>1.1174057990150464E-2</v>
      </c>
      <c r="E153" s="392">
        <f t="shared" ref="E153:AV153" si="64">IFERROR(E149/SUM(E148:E149),0)</f>
        <v>1.0852349922043874E-2</v>
      </c>
      <c r="F153" s="392">
        <f t="shared" si="64"/>
        <v>8.0914647351783414E-3</v>
      </c>
      <c r="G153" s="392">
        <f t="shared" si="64"/>
        <v>7.7914623956638514E-3</v>
      </c>
      <c r="H153" s="392">
        <f t="shared" si="64"/>
        <v>9.1519663555487303E-3</v>
      </c>
      <c r="I153" s="392">
        <f t="shared" si="64"/>
        <v>8.9883685151153601E-3</v>
      </c>
      <c r="J153" s="392">
        <f t="shared" si="64"/>
        <v>1.0387309503716495E-2</v>
      </c>
      <c r="K153" s="392">
        <f t="shared" si="64"/>
        <v>1.1638110330994458E-2</v>
      </c>
      <c r="L153" s="392">
        <f t="shared" si="64"/>
        <v>1.1254536491883276E-2</v>
      </c>
      <c r="M153" s="392">
        <f t="shared" si="64"/>
        <v>1.0678125625839205E-2</v>
      </c>
      <c r="N153" s="392">
        <f t="shared" si="64"/>
        <v>0</v>
      </c>
      <c r="O153" s="392">
        <f t="shared" si="64"/>
        <v>0</v>
      </c>
      <c r="P153" s="392">
        <f t="shared" si="64"/>
        <v>0</v>
      </c>
      <c r="Q153" s="392">
        <f t="shared" si="64"/>
        <v>0</v>
      </c>
      <c r="R153" s="392">
        <f t="shared" si="64"/>
        <v>0</v>
      </c>
      <c r="S153" s="392">
        <f t="shared" si="64"/>
        <v>0</v>
      </c>
      <c r="T153" s="392">
        <f t="shared" si="64"/>
        <v>0</v>
      </c>
      <c r="U153" s="392">
        <f t="shared" si="64"/>
        <v>0</v>
      </c>
      <c r="V153" s="392">
        <f t="shared" si="64"/>
        <v>0</v>
      </c>
      <c r="W153" s="392">
        <f t="shared" si="64"/>
        <v>0</v>
      </c>
      <c r="X153" s="392">
        <f t="shared" si="64"/>
        <v>0</v>
      </c>
      <c r="Y153" s="392">
        <f t="shared" si="64"/>
        <v>0</v>
      </c>
      <c r="Z153" s="392">
        <f t="shared" si="64"/>
        <v>0</v>
      </c>
      <c r="AA153" s="392">
        <f t="shared" si="64"/>
        <v>0</v>
      </c>
      <c r="AB153" s="392">
        <f t="shared" si="64"/>
        <v>0</v>
      </c>
      <c r="AC153" s="392">
        <f t="shared" si="64"/>
        <v>0</v>
      </c>
      <c r="AD153" s="392">
        <f t="shared" si="64"/>
        <v>0</v>
      </c>
      <c r="AE153" s="392">
        <f t="shared" si="64"/>
        <v>0</v>
      </c>
      <c r="AF153" s="392">
        <f t="shared" si="64"/>
        <v>0</v>
      </c>
      <c r="AG153" s="392">
        <f t="shared" si="64"/>
        <v>0</v>
      </c>
      <c r="AH153" s="392">
        <f t="shared" si="64"/>
        <v>0</v>
      </c>
      <c r="AI153" s="392">
        <f t="shared" si="64"/>
        <v>0</v>
      </c>
      <c r="AJ153" s="392">
        <f t="shared" si="64"/>
        <v>0</v>
      </c>
      <c r="AK153" s="392">
        <f t="shared" si="64"/>
        <v>0</v>
      </c>
      <c r="AL153" s="392">
        <f t="shared" si="64"/>
        <v>0</v>
      </c>
      <c r="AM153" s="392">
        <f t="shared" si="64"/>
        <v>0</v>
      </c>
      <c r="AN153" s="392">
        <f t="shared" si="64"/>
        <v>0</v>
      </c>
      <c r="AO153" s="392">
        <f t="shared" si="64"/>
        <v>0</v>
      </c>
      <c r="AP153" s="392">
        <f t="shared" si="64"/>
        <v>0</v>
      </c>
      <c r="AQ153" s="392">
        <f t="shared" si="64"/>
        <v>0</v>
      </c>
      <c r="AR153" s="392">
        <f t="shared" si="64"/>
        <v>0</v>
      </c>
      <c r="AS153" s="392">
        <f t="shared" si="64"/>
        <v>0</v>
      </c>
      <c r="AT153" s="392">
        <f t="shared" si="64"/>
        <v>0</v>
      </c>
      <c r="AU153" s="392">
        <f t="shared" si="64"/>
        <v>0</v>
      </c>
      <c r="AV153" s="392">
        <f t="shared" si="64"/>
        <v>0</v>
      </c>
    </row>
    <row r="155" spans="1:48">
      <c r="A155" s="71" t="s">
        <v>966</v>
      </c>
      <c r="B155" t="s">
        <v>4</v>
      </c>
      <c r="C155" t="s">
        <v>968</v>
      </c>
      <c r="D155">
        <f>'06'!F54</f>
        <v>7607.1169952016398</v>
      </c>
      <c r="E155">
        <f>'07'!F54</f>
        <v>7005.3710839701598</v>
      </c>
      <c r="F155">
        <f>'08'!F54</f>
        <v>7071.8286133540196</v>
      </c>
      <c r="G155" s="392">
        <f>'09'!F54</f>
        <v>6889.9285635414299</v>
      </c>
      <c r="H155">
        <f>'10'!F54</f>
        <v>6918.9391177683001</v>
      </c>
      <c r="I155">
        <f>'11'!F54</f>
        <v>7613.78769472761</v>
      </c>
      <c r="J155">
        <f>'12'!F54</f>
        <v>10709.5346169534</v>
      </c>
      <c r="K155">
        <f>'13'!F54</f>
        <v>8998.0266461133306</v>
      </c>
      <c r="L155">
        <f>'14'!F54</f>
        <v>7337.6415528479101</v>
      </c>
      <c r="M155">
        <f>TREND(D155:L155,D143:L143,M143)</f>
        <v>8869.6307695586002</v>
      </c>
    </row>
    <row r="156" spans="1:48">
      <c r="A156" s="71" t="s">
        <v>966</v>
      </c>
      <c r="B156" t="s">
        <v>4</v>
      </c>
      <c r="C156" t="s">
        <v>162</v>
      </c>
      <c r="D156" s="392">
        <f>'06'!G54</f>
        <v>1.80109393884894</v>
      </c>
      <c r="E156" s="392">
        <f>'07'!G54</f>
        <v>1.7338869207791801</v>
      </c>
      <c r="F156" s="392">
        <f>'08'!G54</f>
        <v>1.5749408036061301</v>
      </c>
      <c r="G156" s="392">
        <f>'09'!G54</f>
        <v>1.3488524770008501</v>
      </c>
      <c r="H156" s="392">
        <f>'10'!G54</f>
        <v>1.34388482218181</v>
      </c>
      <c r="I156" s="392">
        <f>'11'!G54</f>
        <v>1.3895930320868799</v>
      </c>
      <c r="J156" s="392">
        <f>'12'!G54</f>
        <v>1.45652664481255</v>
      </c>
      <c r="K156" s="392">
        <f>'13'!G54</f>
        <v>1.4467485704254499</v>
      </c>
      <c r="L156" s="392">
        <f>'14'!G54</f>
        <v>1.58180197573578</v>
      </c>
      <c r="M156" s="392">
        <f>TREND(D156:L156,D145:L145,M145)</f>
        <v>1.5266043934231841</v>
      </c>
    </row>
    <row r="157" spans="1:48">
      <c r="A157" s="71" t="s">
        <v>966</v>
      </c>
      <c r="B157" t="s">
        <v>4</v>
      </c>
      <c r="C157" t="s">
        <v>163</v>
      </c>
      <c r="D157" s="392">
        <f>'06'!I55</f>
        <v>0.111604080650506</v>
      </c>
      <c r="E157" s="392">
        <f>'07'!I55</f>
        <v>0.112474212372766</v>
      </c>
      <c r="F157" s="392">
        <f>'08'!I55</f>
        <v>0.119190320410604</v>
      </c>
      <c r="G157" s="392">
        <f>'09'!I55</f>
        <v>9.1929715198403497E-2</v>
      </c>
      <c r="H157" s="392">
        <f>'10'!I55</f>
        <v>8.5674780235433096E-2</v>
      </c>
      <c r="I157" s="392">
        <f>'11'!I55</f>
        <v>8.8077033806518407E-2</v>
      </c>
      <c r="J157" s="392">
        <f>'12'!I55</f>
        <v>9.4486740226857893E-2</v>
      </c>
      <c r="K157" s="392">
        <f>'13'!I55</f>
        <v>9.4128899076327502E-2</v>
      </c>
      <c r="L157" s="392">
        <f>'14'!I55</f>
        <v>9.4303558865942202E-2</v>
      </c>
      <c r="M157" s="392">
        <f>TREND(D157:L157,D146:L146,M146)</f>
        <v>0.10315993262903628</v>
      </c>
    </row>
    <row r="159" spans="1:48">
      <c r="A159" s="5" t="s">
        <v>969</v>
      </c>
    </row>
    <row r="160" spans="1:48">
      <c r="A160" s="234" t="s">
        <v>184</v>
      </c>
      <c r="B160" s="392" t="s">
        <v>4</v>
      </c>
      <c r="C160" s="392" t="s">
        <v>153</v>
      </c>
      <c r="D160">
        <f>D155*D150</f>
        <v>1363.6791837920082</v>
      </c>
      <c r="E160" s="392">
        <f t="shared" ref="E160:M160" si="65">E155*E150</f>
        <v>1212.0155667895094</v>
      </c>
      <c r="F160" s="392">
        <f t="shared" si="65"/>
        <v>1398.7494605503325</v>
      </c>
      <c r="G160" s="392">
        <f t="shared" si="65"/>
        <v>1207.4964778697649</v>
      </c>
      <c r="H160" s="392">
        <f t="shared" si="65"/>
        <v>1141.8042829292376</v>
      </c>
      <c r="I160" s="392">
        <f t="shared" si="65"/>
        <v>1297.5567517161735</v>
      </c>
      <c r="J160" s="392">
        <f t="shared" si="65"/>
        <v>1574.6639854965449</v>
      </c>
      <c r="K160" s="392">
        <f t="shared" si="65"/>
        <v>1328.7952686112255</v>
      </c>
      <c r="L160" s="392">
        <f t="shared" si="65"/>
        <v>1125.5262723950746</v>
      </c>
      <c r="M160" s="392">
        <f t="shared" si="65"/>
        <v>1569.7847036279909</v>
      </c>
    </row>
    <row r="161" spans="1:13">
      <c r="A161" s="234" t="s">
        <v>703</v>
      </c>
      <c r="B161" s="392" t="s">
        <v>4</v>
      </c>
      <c r="C161" s="392" t="s">
        <v>153</v>
      </c>
      <c r="D161">
        <f>D155*D151</f>
        <v>1391.6132188315657</v>
      </c>
      <c r="E161" s="392">
        <f t="shared" ref="E161:M161" si="66">E155*E151</f>
        <v>1093.0879965811641</v>
      </c>
      <c r="F161" s="392">
        <f t="shared" si="66"/>
        <v>988.45722029598858</v>
      </c>
      <c r="G161" s="392">
        <f t="shared" si="66"/>
        <v>830.8825145338559</v>
      </c>
      <c r="H161" s="392">
        <f t="shared" si="66"/>
        <v>843.29779958768597</v>
      </c>
      <c r="I161" s="392">
        <f t="shared" si="66"/>
        <v>906.25627329048859</v>
      </c>
      <c r="J161" s="392">
        <f t="shared" si="66"/>
        <v>1180.4775487257239</v>
      </c>
      <c r="K161" s="392">
        <f t="shared" si="66"/>
        <v>1069.5797436067051</v>
      </c>
      <c r="L161" s="392">
        <f t="shared" si="66"/>
        <v>1038.8555157189214</v>
      </c>
      <c r="M161" s="392">
        <f t="shared" si="66"/>
        <v>1354.1176002726597</v>
      </c>
    </row>
    <row r="162" spans="1:13">
      <c r="A162" s="234" t="s">
        <v>703</v>
      </c>
      <c r="B162" s="392" t="s">
        <v>4</v>
      </c>
      <c r="C162" s="392" t="s">
        <v>162</v>
      </c>
      <c r="D162">
        <f>D156</f>
        <v>1.80109393884894</v>
      </c>
      <c r="E162" s="392">
        <f t="shared" ref="E162:M162" si="67">E156</f>
        <v>1.7338869207791801</v>
      </c>
      <c r="F162" s="392">
        <f t="shared" si="67"/>
        <v>1.5749408036061301</v>
      </c>
      <c r="G162" s="392">
        <f t="shared" si="67"/>
        <v>1.3488524770008501</v>
      </c>
      <c r="H162" s="392">
        <f t="shared" si="67"/>
        <v>1.34388482218181</v>
      </c>
      <c r="I162" s="392">
        <f t="shared" si="67"/>
        <v>1.3895930320868799</v>
      </c>
      <c r="J162" s="392">
        <f t="shared" si="67"/>
        <v>1.45652664481255</v>
      </c>
      <c r="K162" s="392">
        <f t="shared" si="67"/>
        <v>1.4467485704254499</v>
      </c>
      <c r="L162" s="392">
        <f t="shared" si="67"/>
        <v>1.58180197573578</v>
      </c>
      <c r="M162" s="392">
        <f t="shared" si="67"/>
        <v>1.5266043934231841</v>
      </c>
    </row>
    <row r="163" spans="1:13">
      <c r="A163" s="234" t="s">
        <v>182</v>
      </c>
      <c r="B163" s="392" t="s">
        <v>4</v>
      </c>
      <c r="C163" s="392" t="s">
        <v>163</v>
      </c>
      <c r="D163">
        <f>D157*D152</f>
        <v>0.11035701018137983</v>
      </c>
      <c r="E163" s="392">
        <f t="shared" ref="E163:M163" si="68">E157*E152</f>
        <v>0.11125360286289047</v>
      </c>
      <c r="F163" s="392">
        <f t="shared" si="68"/>
        <v>0.118225896136227</v>
      </c>
      <c r="G163" s="392">
        <f t="shared" si="68"/>
        <v>9.1213448279391054E-2</v>
      </c>
      <c r="H163" s="392">
        <f t="shared" si="68"/>
        <v>8.4890687529199385E-2</v>
      </c>
      <c r="I163" s="392">
        <f t="shared" si="68"/>
        <v>8.7285364968947149E-2</v>
      </c>
      <c r="J163" s="392">
        <f t="shared" si="68"/>
        <v>9.350527721212426E-2</v>
      </c>
      <c r="K163" s="392">
        <f t="shared" si="68"/>
        <v>9.3033416563542151E-2</v>
      </c>
      <c r="L163" s="392">
        <f t="shared" si="68"/>
        <v>9.3242216021370991E-2</v>
      </c>
      <c r="M163" s="392">
        <f t="shared" si="68"/>
        <v>0.10205837790887032</v>
      </c>
    </row>
    <row r="164" spans="1:13">
      <c r="A164" s="234" t="s">
        <v>703</v>
      </c>
      <c r="B164" s="392" t="s">
        <v>4</v>
      </c>
      <c r="C164" s="392" t="s">
        <v>163</v>
      </c>
      <c r="D164">
        <f>D157*D153</f>
        <v>1.2470704691261835E-3</v>
      </c>
      <c r="E164" s="392">
        <f t="shared" ref="E164:M164" si="69">E157*E153</f>
        <v>1.2206095098755334E-3</v>
      </c>
      <c r="F164" s="392">
        <f t="shared" si="69"/>
        <v>9.6442427437700958E-4</v>
      </c>
      <c r="G164" s="392">
        <f t="shared" si="69"/>
        <v>7.1626691901244851E-4</v>
      </c>
      <c r="H164" s="392">
        <f t="shared" si="69"/>
        <v>7.8409270623371497E-4</v>
      </c>
      <c r="I164" s="392">
        <f t="shared" si="69"/>
        <v>7.9166883757126119E-4</v>
      </c>
      <c r="J164" s="392">
        <f t="shared" si="69"/>
        <v>9.8146301473363263E-4</v>
      </c>
      <c r="K164" s="392">
        <f t="shared" si="69"/>
        <v>1.0954825127853418E-3</v>
      </c>
      <c r="L164" s="392">
        <f t="shared" si="69"/>
        <v>1.0613428445712093E-3</v>
      </c>
      <c r="M164" s="392">
        <f t="shared" si="69"/>
        <v>1.1015547201659581E-3</v>
      </c>
    </row>
    <row r="166" spans="1:13">
      <c r="A166" s="5"/>
    </row>
  </sheetData>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AK4"/>
  <sheetViews>
    <sheetView workbookViewId="0">
      <selection activeCell="A3" sqref="A3"/>
    </sheetView>
  </sheetViews>
  <sheetFormatPr baseColWidth="10" defaultColWidth="8.6640625" defaultRowHeight="15"/>
  <cols>
    <col min="1" max="1" width="35" bestFit="1" customWidth="1"/>
  </cols>
  <sheetData>
    <row r="1" spans="1:37">
      <c r="A1" s="71" t="s">
        <v>93</v>
      </c>
      <c r="B1" s="22">
        <v>0</v>
      </c>
      <c r="C1" s="22">
        <v>0</v>
      </c>
      <c r="D1" s="22">
        <v>0</v>
      </c>
      <c r="E1" s="22">
        <v>0</v>
      </c>
      <c r="F1" s="22">
        <v>0</v>
      </c>
      <c r="G1" s="22">
        <v>0</v>
      </c>
      <c r="H1" s="22">
        <v>0</v>
      </c>
      <c r="I1" s="22">
        <v>0</v>
      </c>
      <c r="J1" s="22">
        <v>0</v>
      </c>
      <c r="K1" s="22">
        <v>0</v>
      </c>
      <c r="L1" s="22">
        <v>0</v>
      </c>
      <c r="M1" s="22">
        <v>0</v>
      </c>
      <c r="N1" s="22">
        <v>0</v>
      </c>
      <c r="O1" s="22">
        <v>0</v>
      </c>
      <c r="P1" s="22">
        <v>0</v>
      </c>
      <c r="Q1" s="22">
        <v>0</v>
      </c>
      <c r="R1" s="22">
        <v>0</v>
      </c>
      <c r="S1" s="22">
        <v>0</v>
      </c>
      <c r="T1" s="22">
        <v>0</v>
      </c>
      <c r="U1" s="22">
        <v>0</v>
      </c>
      <c r="V1" s="22">
        <v>0</v>
      </c>
      <c r="W1" s="22">
        <v>0</v>
      </c>
      <c r="X1" s="22">
        <v>0</v>
      </c>
      <c r="Y1" s="22">
        <v>0</v>
      </c>
      <c r="Z1" s="22">
        <v>0</v>
      </c>
      <c r="AA1" s="22">
        <v>0</v>
      </c>
      <c r="AB1" s="22">
        <v>0</v>
      </c>
      <c r="AC1" s="22">
        <v>0</v>
      </c>
      <c r="AD1" s="22">
        <v>0</v>
      </c>
      <c r="AE1" s="22">
        <v>0</v>
      </c>
      <c r="AF1" s="22">
        <v>0</v>
      </c>
      <c r="AG1" s="22">
        <v>0</v>
      </c>
      <c r="AH1" s="22">
        <v>0</v>
      </c>
      <c r="AI1" s="22">
        <v>0</v>
      </c>
      <c r="AJ1" s="22">
        <v>0</v>
      </c>
      <c r="AK1" s="22">
        <v>0</v>
      </c>
    </row>
    <row r="3" spans="1:37">
      <c r="A3" s="5" t="s">
        <v>838</v>
      </c>
    </row>
    <row r="4" spans="1:37">
      <c r="A4" t="s">
        <v>986</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3"/>
  <dimension ref="A1:AV60"/>
  <sheetViews>
    <sheetView workbookViewId="0">
      <selection activeCell="F8" sqref="F8"/>
    </sheetView>
  </sheetViews>
  <sheetFormatPr baseColWidth="10" defaultColWidth="8.6640625" defaultRowHeight="15"/>
  <cols>
    <col min="1" max="1" width="32.6640625" customWidth="1"/>
    <col min="2" max="2" width="13.6640625" bestFit="1" customWidth="1"/>
    <col min="3" max="37" width="11.33203125" bestFit="1" customWidth="1"/>
  </cols>
  <sheetData>
    <row r="1" spans="1:48">
      <c r="A1" s="16" t="s">
        <v>70</v>
      </c>
      <c r="B1" s="16" t="s">
        <v>842</v>
      </c>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row>
    <row r="2" spans="1:48">
      <c r="A2" s="12" t="s">
        <v>70</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row>
    <row r="3" spans="1:48">
      <c r="A3" s="240" t="s">
        <v>69</v>
      </c>
      <c r="B3" s="14">
        <v>2015</v>
      </c>
      <c r="C3" s="14">
        <v>2016</v>
      </c>
      <c r="D3" s="14">
        <v>2017</v>
      </c>
      <c r="E3" s="14">
        <v>2018</v>
      </c>
      <c r="F3" s="14">
        <v>2019</v>
      </c>
      <c r="G3" s="14">
        <v>2020</v>
      </c>
      <c r="H3" s="14">
        <v>2021</v>
      </c>
      <c r="I3" s="14">
        <v>2022</v>
      </c>
      <c r="J3" s="14">
        <v>2023</v>
      </c>
      <c r="K3" s="14">
        <v>2024</v>
      </c>
      <c r="L3" s="14">
        <v>2025</v>
      </c>
      <c r="M3" s="14">
        <v>2026</v>
      </c>
      <c r="N3" s="15">
        <v>2027</v>
      </c>
      <c r="O3" s="15">
        <v>2028</v>
      </c>
      <c r="P3" s="15">
        <v>2029</v>
      </c>
      <c r="Q3" s="15">
        <v>2030</v>
      </c>
      <c r="R3" s="15">
        <v>2031</v>
      </c>
      <c r="S3" s="15">
        <v>2032</v>
      </c>
      <c r="T3" s="15">
        <v>2033</v>
      </c>
      <c r="U3" s="15">
        <v>2034</v>
      </c>
      <c r="V3" s="15">
        <v>2035</v>
      </c>
      <c r="W3" s="15">
        <v>2036</v>
      </c>
      <c r="X3" s="15">
        <v>2037</v>
      </c>
      <c r="Y3" s="15">
        <v>2038</v>
      </c>
      <c r="Z3" s="15">
        <v>2039</v>
      </c>
      <c r="AA3" s="15">
        <v>2040</v>
      </c>
      <c r="AB3" s="15">
        <v>2041</v>
      </c>
      <c r="AC3" s="15">
        <v>2042</v>
      </c>
      <c r="AD3" s="15">
        <v>2043</v>
      </c>
      <c r="AE3" s="15">
        <v>2044</v>
      </c>
      <c r="AF3" s="15">
        <v>2045</v>
      </c>
      <c r="AG3" s="15">
        <v>2046</v>
      </c>
      <c r="AH3" s="15">
        <v>2047</v>
      </c>
      <c r="AI3" s="15">
        <v>2048</v>
      </c>
      <c r="AJ3" s="15">
        <v>2049</v>
      </c>
      <c r="AK3" s="15">
        <v>2050</v>
      </c>
    </row>
    <row r="4" spans="1:48">
      <c r="A4" s="240" t="s">
        <v>71</v>
      </c>
      <c r="B4" s="10">
        <f>INDEX('FAO Stats'!$L$158:$L$162,MATCH('Agriculture - EF &amp; Manure Mgmt'!B3,'FAO Stats'!$J$158:$J$162,0),1)/10^3</f>
        <v>1030.5920000000001</v>
      </c>
      <c r="C4" s="10">
        <f>(INDEX($B$18:$I$18,1,MATCH(C$3,$B$13:$I$13,1)+1)-INDEX($B$18:$I$18,1,MATCH(C$3,$B$13:$I$13,1)))/5+B4</f>
        <v>1126.4670904454599</v>
      </c>
      <c r="D4" s="10">
        <f t="shared" ref="D4:AJ4" si="0">(INDEX($B$18:$I$18,1,MATCH(D$3,$B$13:$I$13,1)+1)-INDEX($B$18:$I$18,1,MATCH(D$3,$B$13:$I$13,1)))/5+C4</f>
        <v>1222.3421808909197</v>
      </c>
      <c r="E4" s="10">
        <f t="shared" si="0"/>
        <v>1318.2172713363796</v>
      </c>
      <c r="F4" s="10">
        <f t="shared" si="0"/>
        <v>1414.0923617818394</v>
      </c>
      <c r="G4" s="10">
        <f t="shared" si="0"/>
        <v>1506.8633721533574</v>
      </c>
      <c r="H4" s="10">
        <f t="shared" si="0"/>
        <v>1599.6343825248755</v>
      </c>
      <c r="I4" s="10">
        <f t="shared" si="0"/>
        <v>1692.4053928963936</v>
      </c>
      <c r="J4" s="10">
        <f t="shared" si="0"/>
        <v>1785.1764032679116</v>
      </c>
      <c r="K4" s="10">
        <f t="shared" si="0"/>
        <v>1877.9474136394297</v>
      </c>
      <c r="L4" s="10">
        <f t="shared" si="0"/>
        <v>1964.8033427242297</v>
      </c>
      <c r="M4" s="10">
        <f t="shared" si="0"/>
        <v>2051.6592718090296</v>
      </c>
      <c r="N4" s="10">
        <f t="shared" si="0"/>
        <v>2138.5152008938294</v>
      </c>
      <c r="O4" s="10">
        <f t="shared" si="0"/>
        <v>2225.3711299786291</v>
      </c>
      <c r="P4" s="10">
        <f t="shared" si="0"/>
        <v>2312.2270590634289</v>
      </c>
      <c r="Q4" s="10">
        <f t="shared" si="0"/>
        <v>2395.4985391799287</v>
      </c>
      <c r="R4" s="10">
        <f t="shared" si="0"/>
        <v>2478.7700192964285</v>
      </c>
      <c r="S4" s="10">
        <f t="shared" si="0"/>
        <v>2562.0414994129283</v>
      </c>
      <c r="T4" s="10">
        <f t="shared" si="0"/>
        <v>2645.312979529428</v>
      </c>
      <c r="U4" s="10">
        <f t="shared" si="0"/>
        <v>2728.5844596459278</v>
      </c>
      <c r="V4" s="10">
        <f t="shared" si="0"/>
        <v>2811.6111486101277</v>
      </c>
      <c r="W4" s="10">
        <f t="shared" si="0"/>
        <v>2894.6378375743275</v>
      </c>
      <c r="X4" s="10">
        <f t="shared" si="0"/>
        <v>2977.6645265385273</v>
      </c>
      <c r="Y4" s="10">
        <f t="shared" si="0"/>
        <v>3060.6912155027271</v>
      </c>
      <c r="Z4" s="10">
        <f t="shared" si="0"/>
        <v>3143.7179044669269</v>
      </c>
      <c r="AA4" s="10">
        <f t="shared" si="0"/>
        <v>3227.316544094047</v>
      </c>
      <c r="AB4" s="10">
        <f t="shared" si="0"/>
        <v>3310.9151837211671</v>
      </c>
      <c r="AC4" s="10">
        <f t="shared" si="0"/>
        <v>3394.5138233482871</v>
      </c>
      <c r="AD4" s="10">
        <f t="shared" si="0"/>
        <v>3478.1124629754072</v>
      </c>
      <c r="AE4" s="10">
        <f t="shared" si="0"/>
        <v>3561.7111026025273</v>
      </c>
      <c r="AF4" s="10">
        <f t="shared" si="0"/>
        <v>3645.2647073514272</v>
      </c>
      <c r="AG4" s="10">
        <f t="shared" si="0"/>
        <v>3728.8183121003271</v>
      </c>
      <c r="AH4" s="10">
        <f t="shared" si="0"/>
        <v>3812.3719168492271</v>
      </c>
      <c r="AI4" s="10">
        <f t="shared" si="0"/>
        <v>3895.925521598127</v>
      </c>
      <c r="AJ4" s="10">
        <f t="shared" si="0"/>
        <v>3979.479126347027</v>
      </c>
      <c r="AK4" s="10">
        <f>(INDEX($B$18:$I$18,1,MATCH(AJ$3,$B$13:$I$13,1)+1)-INDEX($B$18:$I$18,1,MATCH(AJ$3,$B$13:$I$13,1)))/5+AJ4</f>
        <v>4063.0327310959269</v>
      </c>
    </row>
    <row r="5" spans="1:48">
      <c r="A5" s="240" t="s">
        <v>72</v>
      </c>
      <c r="B5" s="10">
        <f>INDEX('FAO Stats'!$L$103:$L$107,MATCH(B3,'FAO Stats'!$I$103:$I$107,0),1)/10^3-B4</f>
        <v>10894.407999999999</v>
      </c>
      <c r="C5" s="10">
        <f>(INDEX($B$14:$I$14,1,MATCH(C$3,$B$13:$I$13,1)+1)-INDEX($B$14:$I$14,1,MATCH(C$3,$B$13:$I$13,1)))/5+B5</f>
        <v>10905.980488773448</v>
      </c>
      <c r="D5" s="10">
        <f t="shared" ref="D5:AJ5" si="1">(INDEX($B$14:$I$14,1,MATCH(D$3,$B$13:$I$13,1)+1)-INDEX($B$14:$I$14,1,MATCH(D$3,$B$13:$I$13,1)))/5+C5</f>
        <v>10917.552977546897</v>
      </c>
      <c r="E5" s="10">
        <f t="shared" si="1"/>
        <v>10929.125466320345</v>
      </c>
      <c r="F5" s="10">
        <f t="shared" si="1"/>
        <v>10940.697955093794</v>
      </c>
      <c r="G5" s="10">
        <f t="shared" si="1"/>
        <v>10952.059495970207</v>
      </c>
      <c r="H5" s="10">
        <f t="shared" si="1"/>
        <v>10963.421036846619</v>
      </c>
      <c r="I5" s="10">
        <f t="shared" si="1"/>
        <v>10974.782577723032</v>
      </c>
      <c r="J5" s="10">
        <f t="shared" si="1"/>
        <v>10986.144118599444</v>
      </c>
      <c r="K5" s="10">
        <f t="shared" si="1"/>
        <v>10997.505659475857</v>
      </c>
      <c r="L5" s="10">
        <f t="shared" si="1"/>
        <v>11008.400878648681</v>
      </c>
      <c r="M5" s="10">
        <f t="shared" si="1"/>
        <v>11019.296097821505</v>
      </c>
      <c r="N5" s="10">
        <f t="shared" si="1"/>
        <v>11030.191316994329</v>
      </c>
      <c r="O5" s="10">
        <f t="shared" si="1"/>
        <v>11041.086536167153</v>
      </c>
      <c r="P5" s="10">
        <f t="shared" si="1"/>
        <v>11051.981755339977</v>
      </c>
      <c r="Q5" s="10">
        <f t="shared" si="1"/>
        <v>11062.398742592655</v>
      </c>
      <c r="R5" s="10">
        <f t="shared" si="1"/>
        <v>11072.815729845333</v>
      </c>
      <c r="S5" s="10">
        <f t="shared" si="1"/>
        <v>11083.232717098012</v>
      </c>
      <c r="T5" s="10">
        <f t="shared" si="1"/>
        <v>11093.64970435069</v>
      </c>
      <c r="U5" s="10">
        <f t="shared" si="1"/>
        <v>11104.066691603368</v>
      </c>
      <c r="V5" s="10">
        <f t="shared" si="1"/>
        <v>11114.21916855762</v>
      </c>
      <c r="W5" s="10">
        <f t="shared" si="1"/>
        <v>11124.371645511872</v>
      </c>
      <c r="X5" s="10">
        <f t="shared" si="1"/>
        <v>11134.524122466124</v>
      </c>
      <c r="Y5" s="10">
        <f t="shared" si="1"/>
        <v>11144.676599420376</v>
      </c>
      <c r="Z5" s="10">
        <f t="shared" si="1"/>
        <v>11154.829076374628</v>
      </c>
      <c r="AA5" s="10">
        <f t="shared" si="1"/>
        <v>11165.71463225548</v>
      </c>
      <c r="AB5" s="10">
        <f t="shared" si="1"/>
        <v>11176.600188136332</v>
      </c>
      <c r="AC5" s="10">
        <f t="shared" si="1"/>
        <v>11187.485744017184</v>
      </c>
      <c r="AD5" s="10">
        <f t="shared" si="1"/>
        <v>11198.371299898035</v>
      </c>
      <c r="AE5" s="10">
        <f t="shared" si="1"/>
        <v>11209.256855778887</v>
      </c>
      <c r="AF5" s="10">
        <f t="shared" si="1"/>
        <v>11220.388046365284</v>
      </c>
      <c r="AG5" s="10">
        <f t="shared" si="1"/>
        <v>11231.519236951681</v>
      </c>
      <c r="AH5" s="10">
        <f t="shared" si="1"/>
        <v>11242.650427538078</v>
      </c>
      <c r="AI5" s="10">
        <f t="shared" si="1"/>
        <v>11253.781618124474</v>
      </c>
      <c r="AJ5" s="10">
        <f t="shared" si="1"/>
        <v>11264.912808710871</v>
      </c>
      <c r="AK5" s="10">
        <f>(INDEX($B$14:$I$14,1,MATCH(AJ$3,$B$13:$I$13,1)+1)-INDEX($B$14:$I$14,1,MATCH(AJ$3,$B$13:$I$13,1)))/5+AJ5</f>
        <v>11276.043999297268</v>
      </c>
    </row>
    <row r="6" spans="1:48">
      <c r="A6" s="240" t="s">
        <v>65</v>
      </c>
      <c r="B6" s="10">
        <f>INDEX('FAO Stats'!$L$138:$L$142,MATCH(B3,'FAO Stats'!$J$138:$J$142,0),1)/10^3</f>
        <v>13247.904</v>
      </c>
      <c r="C6" s="10">
        <f>(INDEX($B$15:$I$15,1,MATCH(C$3,$B$13:$I$13,1)+1)-INDEX($B$15:$I$15,1,MATCH(C$3,$B$13:$I$13,1)))/5+B6</f>
        <v>13254.72361604714</v>
      </c>
      <c r="D6" s="10">
        <f t="shared" ref="D6:AJ6" si="2">(INDEX($B$15:$I$15,1,MATCH(D$3,$B$13:$I$13,1)+1)-INDEX($B$15:$I$15,1,MATCH(D$3,$B$13:$I$13,1)))/5+C6</f>
        <v>13261.54323209428</v>
      </c>
      <c r="E6" s="10">
        <f t="shared" si="2"/>
        <v>13268.36284814142</v>
      </c>
      <c r="F6" s="10">
        <f t="shared" si="2"/>
        <v>13275.18246418856</v>
      </c>
      <c r="G6" s="10">
        <f t="shared" si="2"/>
        <v>13282.36472320989</v>
      </c>
      <c r="H6" s="10">
        <f t="shared" si="2"/>
        <v>13289.546982231221</v>
      </c>
      <c r="I6" s="10">
        <f t="shared" si="2"/>
        <v>13296.729241252551</v>
      </c>
      <c r="J6" s="10">
        <f t="shared" si="2"/>
        <v>13303.911500273882</v>
      </c>
      <c r="K6" s="10">
        <f t="shared" si="2"/>
        <v>13311.093759295212</v>
      </c>
      <c r="L6" s="10">
        <f t="shared" si="2"/>
        <v>13317.804525947624</v>
      </c>
      <c r="M6" s="10">
        <f t="shared" si="2"/>
        <v>13324.515292600036</v>
      </c>
      <c r="N6" s="10">
        <f t="shared" si="2"/>
        <v>13331.226059252447</v>
      </c>
      <c r="O6" s="10">
        <f t="shared" si="2"/>
        <v>13337.936825904859</v>
      </c>
      <c r="P6" s="10">
        <f t="shared" si="2"/>
        <v>13344.64759255727</v>
      </c>
      <c r="Q6" s="10">
        <f t="shared" si="2"/>
        <v>13350.771516926703</v>
      </c>
      <c r="R6" s="10">
        <f t="shared" si="2"/>
        <v>13356.895441296136</v>
      </c>
      <c r="S6" s="10">
        <f t="shared" si="2"/>
        <v>13363.019365665568</v>
      </c>
      <c r="T6" s="10">
        <f t="shared" si="2"/>
        <v>13369.143290035001</v>
      </c>
      <c r="U6" s="10">
        <f t="shared" si="2"/>
        <v>13375.267214404434</v>
      </c>
      <c r="V6" s="10">
        <f t="shared" si="2"/>
        <v>13381.410366798105</v>
      </c>
      <c r="W6" s="10">
        <f t="shared" si="2"/>
        <v>13387.553519191777</v>
      </c>
      <c r="X6" s="10">
        <f t="shared" si="2"/>
        <v>13393.696671585449</v>
      </c>
      <c r="Y6" s="10">
        <f t="shared" si="2"/>
        <v>13399.83982397912</v>
      </c>
      <c r="Z6" s="10">
        <f t="shared" si="2"/>
        <v>13405.982976372792</v>
      </c>
      <c r="AA6" s="10">
        <f t="shared" si="2"/>
        <v>13412.705711089262</v>
      </c>
      <c r="AB6" s="10">
        <f t="shared" si="2"/>
        <v>13419.428445805732</v>
      </c>
      <c r="AC6" s="10">
        <f t="shared" si="2"/>
        <v>13426.151180522202</v>
      </c>
      <c r="AD6" s="10">
        <f t="shared" si="2"/>
        <v>13432.873915238672</v>
      </c>
      <c r="AE6" s="10">
        <f t="shared" si="2"/>
        <v>13439.596649955141</v>
      </c>
      <c r="AF6" s="10">
        <f t="shared" si="2"/>
        <v>13447.014119788897</v>
      </c>
      <c r="AG6" s="10">
        <f t="shared" si="2"/>
        <v>13454.431589622653</v>
      </c>
      <c r="AH6" s="10">
        <f t="shared" si="2"/>
        <v>13461.849059456408</v>
      </c>
      <c r="AI6" s="10">
        <f t="shared" si="2"/>
        <v>13469.266529290164</v>
      </c>
      <c r="AJ6" s="10">
        <f t="shared" si="2"/>
        <v>13476.683999123919</v>
      </c>
      <c r="AK6" s="10">
        <f>(INDEX($B$15:$I$15,1,MATCH(AJ$3,$B$13:$I$13,1)+1)-INDEX($B$15:$I$15,1,MATCH(AJ$3,$B$13:$I$13,1)))/5+AJ6</f>
        <v>13484.101468957675</v>
      </c>
    </row>
    <row r="7" spans="1:48">
      <c r="A7" s="240" t="s">
        <v>66</v>
      </c>
      <c r="B7" s="10">
        <f>INDEX('FAO Stats'!$L$143:$L$147,MATCH(B3,'FAO Stats'!$J$143:$J$147,0),1)/10^3</f>
        <v>842.3</v>
      </c>
      <c r="C7" s="10">
        <f>(INDEX($B$16:$I$16,1,MATCH(C$3,$B$13:$I$13,1)+1)-INDEX($B$16:$I$16,1,MATCH(C$3,$B$13:$I$13,1)))/5+B7</f>
        <v>842.66418189155229</v>
      </c>
      <c r="D7" s="10">
        <f t="shared" ref="D7:AJ7" si="3">(INDEX($B$16:$I$16,1,MATCH(D$3,$B$13:$I$13,1)+1)-INDEX($B$16:$I$16,1,MATCH(D$3,$B$13:$I$13,1)))/5+C7</f>
        <v>843.02836378310462</v>
      </c>
      <c r="E7" s="10">
        <f t="shared" si="3"/>
        <v>843.39254567465696</v>
      </c>
      <c r="F7" s="10">
        <f t="shared" si="3"/>
        <v>843.75672756620929</v>
      </c>
      <c r="G7" s="10">
        <f t="shared" si="3"/>
        <v>844.15904111180373</v>
      </c>
      <c r="H7" s="10">
        <f t="shared" si="3"/>
        <v>844.56135465739817</v>
      </c>
      <c r="I7" s="10">
        <f t="shared" si="3"/>
        <v>844.96366820299261</v>
      </c>
      <c r="J7" s="10">
        <f t="shared" si="3"/>
        <v>845.36598174858705</v>
      </c>
      <c r="K7" s="10">
        <f t="shared" si="3"/>
        <v>845.76829529418148</v>
      </c>
      <c r="L7" s="10">
        <f t="shared" si="3"/>
        <v>846.20922181442586</v>
      </c>
      <c r="M7" s="10">
        <f t="shared" si="3"/>
        <v>846.65014833467023</v>
      </c>
      <c r="N7" s="10">
        <f t="shared" si="3"/>
        <v>847.09107485491461</v>
      </c>
      <c r="O7" s="10">
        <f t="shared" si="3"/>
        <v>847.53200137515898</v>
      </c>
      <c r="P7" s="10">
        <f t="shared" si="3"/>
        <v>847.97292789540336</v>
      </c>
      <c r="Q7" s="10">
        <f t="shared" si="3"/>
        <v>848.44807354913894</v>
      </c>
      <c r="R7" s="10">
        <f t="shared" si="3"/>
        <v>848.92321920287452</v>
      </c>
      <c r="S7" s="10">
        <f t="shared" si="3"/>
        <v>849.3983648566101</v>
      </c>
      <c r="T7" s="10">
        <f t="shared" si="3"/>
        <v>849.87351051034568</v>
      </c>
      <c r="U7" s="10">
        <f t="shared" si="3"/>
        <v>850.34865616408126</v>
      </c>
      <c r="V7" s="10">
        <f t="shared" si="3"/>
        <v>850.86604613563611</v>
      </c>
      <c r="W7" s="10">
        <f t="shared" si="3"/>
        <v>851.38343610719096</v>
      </c>
      <c r="X7" s="10">
        <f t="shared" si="3"/>
        <v>851.90082607874581</v>
      </c>
      <c r="Y7" s="10">
        <f t="shared" si="3"/>
        <v>852.41821605030066</v>
      </c>
      <c r="Z7" s="10">
        <f t="shared" si="3"/>
        <v>852.93560602185551</v>
      </c>
      <c r="AA7" s="10">
        <f t="shared" si="3"/>
        <v>853.5183894754415</v>
      </c>
      <c r="AB7" s="10">
        <f t="shared" si="3"/>
        <v>854.10117292902748</v>
      </c>
      <c r="AC7" s="10">
        <f t="shared" si="3"/>
        <v>854.68395638261347</v>
      </c>
      <c r="AD7" s="10">
        <f t="shared" si="3"/>
        <v>855.26673983619946</v>
      </c>
      <c r="AE7" s="10">
        <f t="shared" si="3"/>
        <v>855.84952328978545</v>
      </c>
      <c r="AF7" s="10">
        <f t="shared" si="3"/>
        <v>856.49472446089408</v>
      </c>
      <c r="AG7" s="10">
        <f t="shared" si="3"/>
        <v>857.1399256320027</v>
      </c>
      <c r="AH7" s="10">
        <f t="shared" si="3"/>
        <v>857.78512680311132</v>
      </c>
      <c r="AI7" s="10">
        <f t="shared" si="3"/>
        <v>858.43032797421995</v>
      </c>
      <c r="AJ7" s="10">
        <f t="shared" si="3"/>
        <v>859.07552914532857</v>
      </c>
      <c r="AK7" s="10">
        <f>(INDEX($B$16:$I$16,1,MATCH(AJ$3,$B$13:$I$13,1)+1)-INDEX($B$16:$I$16,1,MATCH(AJ$3,$B$13:$I$13,1)))/5+AJ7</f>
        <v>859.7207303164372</v>
      </c>
    </row>
    <row r="8" spans="1:48">
      <c r="A8" s="240" t="s">
        <v>67</v>
      </c>
      <c r="B8" s="10">
        <f>INDEX('FAO Stats'!$L$123:$L$127,MATCH(B3,'FAO Stats'!$J$123:$J$127,0),1)/10^3</f>
        <v>30.004999999999999</v>
      </c>
      <c r="C8" s="10">
        <f>(INDEX($B$16:$I$16,1,MATCH(C$3,$B$13:$I$13,1)+1)-INDEX($B$16:$I$16,1,MATCH(C$3,$B$13:$I$13,1)))/5+B8</f>
        <v>30.369181891552298</v>
      </c>
      <c r="D8" s="10">
        <f t="shared" ref="D8:AJ8" si="4">(INDEX($B$16:$I$16,1,MATCH(D$3,$B$13:$I$13,1)+1)-INDEX($B$16:$I$16,1,MATCH(D$3,$B$13:$I$13,1)))/5+C8</f>
        <v>30.733363783104597</v>
      </c>
      <c r="E8" s="10">
        <f t="shared" si="4"/>
        <v>31.097545674656896</v>
      </c>
      <c r="F8" s="10">
        <f t="shared" si="4"/>
        <v>31.461727566209195</v>
      </c>
      <c r="G8" s="10">
        <f t="shared" si="4"/>
        <v>31.864041111803655</v>
      </c>
      <c r="H8" s="10">
        <f t="shared" si="4"/>
        <v>32.266354657398118</v>
      </c>
      <c r="I8" s="10">
        <f t="shared" si="4"/>
        <v>32.668668202992578</v>
      </c>
      <c r="J8" s="10">
        <f t="shared" si="4"/>
        <v>33.070981748587037</v>
      </c>
      <c r="K8" s="10">
        <f t="shared" si="4"/>
        <v>33.473295294181497</v>
      </c>
      <c r="L8" s="10">
        <f t="shared" si="4"/>
        <v>33.914221814425815</v>
      </c>
      <c r="M8" s="10">
        <f t="shared" si="4"/>
        <v>34.355148334670133</v>
      </c>
      <c r="N8" s="10">
        <f t="shared" si="4"/>
        <v>34.796074854914451</v>
      </c>
      <c r="O8" s="10">
        <f t="shared" si="4"/>
        <v>35.237001375158769</v>
      </c>
      <c r="P8" s="10">
        <f t="shared" si="4"/>
        <v>35.677927895403087</v>
      </c>
      <c r="Q8" s="10">
        <f t="shared" si="4"/>
        <v>36.153073549138668</v>
      </c>
      <c r="R8" s="10">
        <f t="shared" si="4"/>
        <v>36.628219202874249</v>
      </c>
      <c r="S8" s="10">
        <f t="shared" si="4"/>
        <v>37.103364856609829</v>
      </c>
      <c r="T8" s="10">
        <f t="shared" si="4"/>
        <v>37.57851051034541</v>
      </c>
      <c r="U8" s="10">
        <f t="shared" si="4"/>
        <v>38.053656164080991</v>
      </c>
      <c r="V8" s="10">
        <f t="shared" si="4"/>
        <v>38.571046135635868</v>
      </c>
      <c r="W8" s="10">
        <f t="shared" si="4"/>
        <v>39.088436107190745</v>
      </c>
      <c r="X8" s="10">
        <f t="shared" si="4"/>
        <v>39.605826078745622</v>
      </c>
      <c r="Y8" s="10">
        <f t="shared" si="4"/>
        <v>40.123216050300499</v>
      </c>
      <c r="Z8" s="10">
        <f t="shared" si="4"/>
        <v>40.640606021855376</v>
      </c>
      <c r="AA8" s="10">
        <f t="shared" si="4"/>
        <v>41.223389475441415</v>
      </c>
      <c r="AB8" s="10">
        <f t="shared" si="4"/>
        <v>41.806172929027454</v>
      </c>
      <c r="AC8" s="10">
        <f t="shared" si="4"/>
        <v>42.388956382613493</v>
      </c>
      <c r="AD8" s="10">
        <f t="shared" si="4"/>
        <v>42.971739836199532</v>
      </c>
      <c r="AE8" s="10">
        <f t="shared" si="4"/>
        <v>43.554523289785571</v>
      </c>
      <c r="AF8" s="10">
        <f t="shared" si="4"/>
        <v>44.199724460894231</v>
      </c>
      <c r="AG8" s="10">
        <f t="shared" si="4"/>
        <v>44.844925632002891</v>
      </c>
      <c r="AH8" s="10">
        <f t="shared" si="4"/>
        <v>45.490126803111551</v>
      </c>
      <c r="AI8" s="10">
        <f t="shared" si="4"/>
        <v>46.13532797422021</v>
      </c>
      <c r="AJ8" s="10">
        <f t="shared" si="4"/>
        <v>46.78052914532887</v>
      </c>
      <c r="AK8" s="10">
        <f>(INDEX($B$16:$I$16,1,MATCH(AJ$3,$B$13:$I$13,1)+1)-INDEX($B$16:$I$16,1,MATCH(AJ$3,$B$13:$I$13,1)))/5+AJ8</f>
        <v>47.42573031643753</v>
      </c>
    </row>
    <row r="9" spans="1:48" ht="15.75" customHeight="1">
      <c r="A9" s="240" t="s">
        <v>459</v>
      </c>
      <c r="B9" s="10">
        <f>INDEX('FAO Stats'!$L$108:$L$112,MATCH(B3,'FAO Stats'!$J$108:$J$112,0),1)</f>
        <v>167470</v>
      </c>
      <c r="C9" s="10">
        <f>(INDEX($B$17:$I$17,1,MATCH(C$3,$B$13:$I$13,1)+1)-INDEX($B$17:$I$17,1,MATCH(C$3,$B$13:$I$13,1)))/5+B9</f>
        <v>167491.89114855189</v>
      </c>
      <c r="D9" s="10">
        <f t="shared" ref="D9:AJ9" si="5">(INDEX($B$17:$I$17,1,MATCH(D$3,$B$13:$I$13,1)+1)-INDEX($B$17:$I$17,1,MATCH(D$3,$B$13:$I$13,1)))/5+C9</f>
        <v>167513.78229710378</v>
      </c>
      <c r="E9" s="10">
        <f t="shared" si="5"/>
        <v>167535.67344565567</v>
      </c>
      <c r="F9" s="10">
        <f t="shared" si="5"/>
        <v>167557.56459420756</v>
      </c>
      <c r="G9" s="10">
        <f t="shared" si="5"/>
        <v>167577.56110295534</v>
      </c>
      <c r="H9" s="10">
        <f t="shared" si="5"/>
        <v>167597.55761170312</v>
      </c>
      <c r="I9" s="10">
        <f t="shared" si="5"/>
        <v>167617.55412045089</v>
      </c>
      <c r="J9" s="10">
        <f t="shared" si="5"/>
        <v>167637.55062919867</v>
      </c>
      <c r="K9" s="10">
        <f t="shared" si="5"/>
        <v>167657.54713794644</v>
      </c>
      <c r="L9" s="10">
        <f t="shared" si="5"/>
        <v>167677.4100075993</v>
      </c>
      <c r="M9" s="10">
        <f t="shared" si="5"/>
        <v>167697.27287725217</v>
      </c>
      <c r="N9" s="10">
        <f t="shared" si="5"/>
        <v>167717.13574690503</v>
      </c>
      <c r="O9" s="10">
        <f t="shared" si="5"/>
        <v>167736.99861655789</v>
      </c>
      <c r="P9" s="10">
        <f t="shared" si="5"/>
        <v>167756.86148621075</v>
      </c>
      <c r="Q9" s="10">
        <f t="shared" si="5"/>
        <v>167777.24489575057</v>
      </c>
      <c r="R9" s="10">
        <f t="shared" si="5"/>
        <v>167797.62830529039</v>
      </c>
      <c r="S9" s="10">
        <f t="shared" si="5"/>
        <v>167818.01171483021</v>
      </c>
      <c r="T9" s="10">
        <f t="shared" si="5"/>
        <v>167838.39512437003</v>
      </c>
      <c r="U9" s="10">
        <f t="shared" si="5"/>
        <v>167858.77853390985</v>
      </c>
      <c r="V9" s="10">
        <f t="shared" si="5"/>
        <v>167879.2629390177</v>
      </c>
      <c r="W9" s="10">
        <f t="shared" si="5"/>
        <v>167899.74734412556</v>
      </c>
      <c r="X9" s="10">
        <f t="shared" si="5"/>
        <v>167920.23174923341</v>
      </c>
      <c r="Y9" s="10">
        <f t="shared" si="5"/>
        <v>167940.71615434127</v>
      </c>
      <c r="Z9" s="10">
        <f t="shared" si="5"/>
        <v>167961.20055944912</v>
      </c>
      <c r="AA9" s="10">
        <f t="shared" si="5"/>
        <v>167981.96581332694</v>
      </c>
      <c r="AB9" s="10">
        <f t="shared" si="5"/>
        <v>168002.73106720476</v>
      </c>
      <c r="AC9" s="10">
        <f t="shared" si="5"/>
        <v>168023.49632108258</v>
      </c>
      <c r="AD9" s="10">
        <f t="shared" si="5"/>
        <v>168044.2615749604</v>
      </c>
      <c r="AE9" s="10">
        <f t="shared" si="5"/>
        <v>168065.02682883822</v>
      </c>
      <c r="AF9" s="10">
        <f t="shared" si="5"/>
        <v>168085.12797722226</v>
      </c>
      <c r="AG9" s="10">
        <f t="shared" si="5"/>
        <v>168105.2291256063</v>
      </c>
      <c r="AH9" s="10">
        <f t="shared" si="5"/>
        <v>168125.33027399034</v>
      </c>
      <c r="AI9" s="10">
        <f t="shared" si="5"/>
        <v>168145.43142237439</v>
      </c>
      <c r="AJ9" s="10">
        <f t="shared" si="5"/>
        <v>168165.53257075843</v>
      </c>
      <c r="AK9" s="10">
        <f>(INDEX($B$17:$I$17,1,MATCH(AJ$3,$B$13:$I$13,1)+1)-INDEX($B$17:$I$17,1,MATCH(AJ$3,$B$13:$I$13,1)))/5+AJ9</f>
        <v>168185.63371914247</v>
      </c>
    </row>
    <row r="10" spans="1:48" ht="15.75" customHeight="1">
      <c r="A10" s="240" t="s">
        <v>467</v>
      </c>
      <c r="B10">
        <f>INDEX('FAO Stats'!$L$148:$L$152,MATCH(B3,'FAO Stats'!$I$148:$I$152,0),1)</f>
        <v>5680</v>
      </c>
      <c r="C10" s="10">
        <f>(INDEX($B$17:$I$17,1,MATCH(C$3,$B$13:$I$13,1)+1)-INDEX($B$17:$I$17,1,MATCH(C$3,$B$13:$I$13,1)))/5+B10</f>
        <v>5701.8911485519038</v>
      </c>
      <c r="D10" s="10">
        <f t="shared" ref="D10:AJ10" si="6">(INDEX($B$17:$I$17,1,MATCH(D$3,$B$13:$I$13,1)+1)-INDEX($B$17:$I$17,1,MATCH(D$3,$B$13:$I$13,1)))/5+C10</f>
        <v>5723.7822971038077</v>
      </c>
      <c r="E10" s="10">
        <f t="shared" si="6"/>
        <v>5745.6734456557115</v>
      </c>
      <c r="F10" s="10">
        <f t="shared" si="6"/>
        <v>5767.5645942076153</v>
      </c>
      <c r="G10" s="10">
        <f t="shared" si="6"/>
        <v>5787.5611029553911</v>
      </c>
      <c r="H10" s="10">
        <f t="shared" si="6"/>
        <v>5807.5576117031669</v>
      </c>
      <c r="I10" s="10">
        <f t="shared" si="6"/>
        <v>5827.5541204509427</v>
      </c>
      <c r="J10" s="10">
        <f t="shared" si="6"/>
        <v>5847.5506291987185</v>
      </c>
      <c r="K10" s="10">
        <f t="shared" si="6"/>
        <v>5867.5471379464943</v>
      </c>
      <c r="L10" s="10">
        <f t="shared" si="6"/>
        <v>5887.4100075993565</v>
      </c>
      <c r="M10" s="10">
        <f t="shared" si="6"/>
        <v>5907.2728772522187</v>
      </c>
      <c r="N10" s="10">
        <f t="shared" si="6"/>
        <v>5927.1357469050809</v>
      </c>
      <c r="O10" s="10">
        <f t="shared" si="6"/>
        <v>5946.998616557943</v>
      </c>
      <c r="P10" s="10">
        <f t="shared" si="6"/>
        <v>5966.8614862108052</v>
      </c>
      <c r="Q10" s="10">
        <f t="shared" si="6"/>
        <v>5987.2448957506131</v>
      </c>
      <c r="R10" s="10">
        <f t="shared" si="6"/>
        <v>6007.6283052904209</v>
      </c>
      <c r="S10" s="10">
        <f t="shared" si="6"/>
        <v>6028.0117148302288</v>
      </c>
      <c r="T10" s="10">
        <f t="shared" si="6"/>
        <v>6048.3951243700367</v>
      </c>
      <c r="U10" s="10">
        <f t="shared" si="6"/>
        <v>6068.7785339098446</v>
      </c>
      <c r="V10" s="10">
        <f t="shared" si="6"/>
        <v>6089.2629390176944</v>
      </c>
      <c r="W10" s="10">
        <f t="shared" si="6"/>
        <v>6109.7473441255443</v>
      </c>
      <c r="X10" s="10">
        <f t="shared" si="6"/>
        <v>6130.2317492333941</v>
      </c>
      <c r="Y10" s="10">
        <f t="shared" si="6"/>
        <v>6150.716154341244</v>
      </c>
      <c r="Z10" s="10">
        <f t="shared" si="6"/>
        <v>6171.2005594490938</v>
      </c>
      <c r="AA10" s="10">
        <f t="shared" si="6"/>
        <v>6191.9658133269222</v>
      </c>
      <c r="AB10" s="10">
        <f t="shared" si="6"/>
        <v>6212.7310672047506</v>
      </c>
      <c r="AC10" s="10">
        <f t="shared" si="6"/>
        <v>6233.496321082579</v>
      </c>
      <c r="AD10" s="10">
        <f t="shared" si="6"/>
        <v>6254.2615749604074</v>
      </c>
      <c r="AE10" s="10">
        <f t="shared" si="6"/>
        <v>6275.0268288382358</v>
      </c>
      <c r="AF10" s="10">
        <f t="shared" si="6"/>
        <v>6295.1279772222861</v>
      </c>
      <c r="AG10" s="10">
        <f t="shared" si="6"/>
        <v>6315.2291256063363</v>
      </c>
      <c r="AH10" s="10">
        <f t="shared" si="6"/>
        <v>6335.3302739903866</v>
      </c>
      <c r="AI10" s="10">
        <f t="shared" si="6"/>
        <v>6355.4314223744368</v>
      </c>
      <c r="AJ10" s="10">
        <f t="shared" si="6"/>
        <v>6375.5325707584871</v>
      </c>
      <c r="AK10" s="10">
        <f>(INDEX($B$17:$I$17,1,MATCH(AJ$3,$B$13:$I$13,1)+1)-INDEX($B$17:$I$17,1,MATCH(AJ$3,$B$13:$I$13,1)))/5+AJ10</f>
        <v>6395.6337191425373</v>
      </c>
    </row>
    <row r="11" spans="1:48" ht="15.75" customHeight="1">
      <c r="G11" s="10"/>
    </row>
    <row r="12" spans="1:48">
      <c r="A12" s="12" t="s">
        <v>495</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row>
    <row r="13" spans="1:48" ht="15.75" customHeight="1">
      <c r="A13" s="10"/>
      <c r="B13">
        <v>2015</v>
      </c>
      <c r="C13">
        <v>2020</v>
      </c>
      <c r="D13">
        <v>2025</v>
      </c>
      <c r="E13">
        <v>2030</v>
      </c>
      <c r="F13">
        <v>2035</v>
      </c>
      <c r="G13">
        <v>2040</v>
      </c>
      <c r="H13">
        <v>2045</v>
      </c>
      <c r="I13">
        <v>2050</v>
      </c>
    </row>
    <row r="14" spans="1:48" ht="15.75" customHeight="1">
      <c r="A14" s="71" t="s">
        <v>480</v>
      </c>
      <c r="B14">
        <f>SUMIFS('IFPRI Results'!$G$1:$G$50,'IFPRI Results'!$F$1:$F$50,CONCATENATE("'",'Agriculture - EF &amp; Manure Mgmt'!B$13,"'"),'IFPRI Results'!$C$1:$C$50,'Agriculture - EF &amp; Manure Mgmt'!$A14)</f>
        <v>1158.34500969788</v>
      </c>
      <c r="C14">
        <f>SUMIFS('IFPRI Results'!$G$1:$G$50,'IFPRI Results'!$F$1:$F$50,CONCATENATE("'",'Agriculture - EF &amp; Manure Mgmt'!C$13,"'"),'IFPRI Results'!$C$1:$C$50,'Agriculture - EF &amp; Manure Mgmt'!$A14)</f>
        <v>1216.20745356512</v>
      </c>
      <c r="D14">
        <f>SUMIFS('IFPRI Results'!$G$1:$G$50,'IFPRI Results'!$F$1:$F$50,CONCATENATE("'",'Agriculture - EF &amp; Manure Mgmt'!D$13,"'"),'IFPRI Results'!$C$1:$C$50,'Agriculture - EF &amp; Manure Mgmt'!$A14)</f>
        <v>1273.0151579471799</v>
      </c>
      <c r="E14">
        <f>SUMIFS('IFPRI Results'!$G$1:$G$50,'IFPRI Results'!$F$1:$F$50,CONCATENATE("'",'Agriculture - EF &amp; Manure Mgmt'!E$13,"'"),'IFPRI Results'!$C$1:$C$50,'Agriculture - EF &amp; Manure Mgmt'!$A14)</f>
        <v>1327.4912538113001</v>
      </c>
      <c r="F14">
        <f>SUMIFS('IFPRI Results'!$G$1:$G$50,'IFPRI Results'!$F$1:$F$50,CONCATENATE("'",'Agriculture - EF &amp; Manure Mgmt'!F$13,"'"),'IFPRI Results'!$C$1:$C$50,'Agriculture - EF &amp; Manure Mgmt'!$A14)</f>
        <v>1379.57619007469</v>
      </c>
      <c r="G14">
        <f>SUMIFS('IFPRI Results'!$G$1:$G$50,'IFPRI Results'!$F$1:$F$50,CONCATENATE("'",'Agriculture - EF &amp; Manure Mgmt'!G$13,"'"),'IFPRI Results'!$C$1:$C$50,'Agriculture - EF &amp; Manure Mgmt'!$A14)</f>
        <v>1430.33857484595</v>
      </c>
      <c r="H14">
        <f>SUMIFS('IFPRI Results'!$G$1:$G$50,'IFPRI Results'!$F$1:$F$50,CONCATENATE("'",'Agriculture - EF &amp; Manure Mgmt'!H$13,"'"),'IFPRI Results'!$C$1:$C$50,'Agriculture - EF &amp; Manure Mgmt'!$A14)</f>
        <v>1484.76635425021</v>
      </c>
      <c r="I14">
        <f>SUMIFS('IFPRI Results'!$G$1:$G$50,'IFPRI Results'!$F$1:$F$50,CONCATENATE("'",'Agriculture - EF &amp; Manure Mgmt'!I$13,"'"),'IFPRI Results'!$C$1:$C$50,'Agriculture - EF &amp; Manure Mgmt'!$A14)</f>
        <v>1540.42230718219</v>
      </c>
      <c r="K14" s="5"/>
    </row>
    <row r="15" spans="1:48" ht="15.75" customHeight="1">
      <c r="A15" s="71" t="s">
        <v>491</v>
      </c>
      <c r="B15">
        <f>SUMIFS('IFPRI Results'!$G$1:$G$50,'IFPRI Results'!$F$1:$F$50,CONCATENATE("'",'Agriculture - EF &amp; Manure Mgmt'!B$13,"'"),'IFPRI Results'!$C$1:$C$50,'Agriculture - EF &amp; Manure Mgmt'!$A15)</f>
        <v>1071.1082417175501</v>
      </c>
      <c r="C15">
        <f>SUMIFS('IFPRI Results'!$G$1:$G$50,'IFPRI Results'!$F$1:$F$50,CONCATENATE("'",'Agriculture - EF &amp; Manure Mgmt'!C$13,"'"),'IFPRI Results'!$C$1:$C$50,'Agriculture - EF &amp; Manure Mgmt'!$A15)</f>
        <v>1105.2063219532499</v>
      </c>
      <c r="D15">
        <f>SUMIFS('IFPRI Results'!$G$1:$G$50,'IFPRI Results'!$F$1:$F$50,CONCATENATE("'",'Agriculture - EF &amp; Manure Mgmt'!D$13,"'"),'IFPRI Results'!$C$1:$C$50,'Agriculture - EF &amp; Manure Mgmt'!$A15)</f>
        <v>1141.1176170599001</v>
      </c>
      <c r="E15">
        <f>SUMIFS('IFPRI Results'!$G$1:$G$50,'IFPRI Results'!$F$1:$F$50,CONCATENATE("'",'Agriculture - EF &amp; Manure Mgmt'!E$13,"'"),'IFPRI Results'!$C$1:$C$50,'Agriculture - EF &amp; Manure Mgmt'!$A15)</f>
        <v>1174.67145032196</v>
      </c>
      <c r="F15">
        <f>SUMIFS('IFPRI Results'!$G$1:$G$50,'IFPRI Results'!$F$1:$F$50,CONCATENATE("'",'Agriculture - EF &amp; Manure Mgmt'!F$13,"'"),'IFPRI Results'!$C$1:$C$50,'Agriculture - EF &amp; Manure Mgmt'!$A15)</f>
        <v>1205.2910721691201</v>
      </c>
      <c r="G15">
        <f>SUMIFS('IFPRI Results'!$G$1:$G$50,'IFPRI Results'!$F$1:$F$50,CONCATENATE("'",'Agriculture - EF &amp; Manure Mgmt'!G$13,"'"),'IFPRI Results'!$C$1:$C$50,'Agriculture - EF &amp; Manure Mgmt'!$A15)</f>
        <v>1236.0068341374799</v>
      </c>
      <c r="H15">
        <f>SUMIFS('IFPRI Results'!$G$1:$G$50,'IFPRI Results'!$F$1:$F$50,CONCATENATE("'",'Agriculture - EF &amp; Manure Mgmt'!H$13,"'"),'IFPRI Results'!$C$1:$C$50,'Agriculture - EF &amp; Manure Mgmt'!$A15)</f>
        <v>1269.6205077198299</v>
      </c>
      <c r="I15">
        <f>SUMIFS('IFPRI Results'!$G$1:$G$50,'IFPRI Results'!$F$1:$F$50,CONCATENATE("'",'Agriculture - EF &amp; Manure Mgmt'!I$13,"'"),'IFPRI Results'!$C$1:$C$50,'Agriculture - EF &amp; Manure Mgmt'!$A15)</f>
        <v>1306.70785688861</v>
      </c>
      <c r="K15" s="5"/>
    </row>
    <row r="16" spans="1:48" ht="15.75" customHeight="1">
      <c r="A16" s="71" t="s">
        <v>492</v>
      </c>
      <c r="B16">
        <f>SUMIFS('IFPRI Results'!$G$1:$G$50,'IFPRI Results'!$F$1:$F$50,CONCATENATE("'",'Agriculture - EF &amp; Manure Mgmt'!B$13,"'"),'IFPRI Results'!$C$1:$C$50,'Agriculture - EF &amp; Manure Mgmt'!$A16)</f>
        <v>38.092333928899102</v>
      </c>
      <c r="C16">
        <f>SUMIFS('IFPRI Results'!$G$1:$G$50,'IFPRI Results'!$F$1:$F$50,CONCATENATE("'",'Agriculture - EF &amp; Manure Mgmt'!C$13,"'"),'IFPRI Results'!$C$1:$C$50,'Agriculture - EF &amp; Manure Mgmt'!$A16)</f>
        <v>39.913243386660596</v>
      </c>
      <c r="D16">
        <f>SUMIFS('IFPRI Results'!$G$1:$G$50,'IFPRI Results'!$F$1:$F$50,CONCATENATE("'",'Agriculture - EF &amp; Manure Mgmt'!D$13,"'"),'IFPRI Results'!$C$1:$C$50,'Agriculture - EF &amp; Manure Mgmt'!$A16)</f>
        <v>41.924811114632902</v>
      </c>
      <c r="E16">
        <f>SUMIFS('IFPRI Results'!$G$1:$G$50,'IFPRI Results'!$F$1:$F$50,CONCATENATE("'",'Agriculture - EF &amp; Manure Mgmt'!E$13,"'"),'IFPRI Results'!$C$1:$C$50,'Agriculture - EF &amp; Manure Mgmt'!$A16)</f>
        <v>44.129443715854499</v>
      </c>
      <c r="F16">
        <f>SUMIFS('IFPRI Results'!$G$1:$G$50,'IFPRI Results'!$F$1:$F$50,CONCATENATE("'",'Agriculture - EF &amp; Manure Mgmt'!F$13,"'"),'IFPRI Results'!$C$1:$C$50,'Agriculture - EF &amp; Manure Mgmt'!$A16)</f>
        <v>46.505171984532403</v>
      </c>
      <c r="G16">
        <f>SUMIFS('IFPRI Results'!$G$1:$G$50,'IFPRI Results'!$F$1:$F$50,CONCATENATE("'",'Agriculture - EF &amp; Manure Mgmt'!G$13,"'"),'IFPRI Results'!$C$1:$C$50,'Agriculture - EF &amp; Manure Mgmt'!$A16)</f>
        <v>49.092121842306803</v>
      </c>
      <c r="H16">
        <f>SUMIFS('IFPRI Results'!$G$1:$G$50,'IFPRI Results'!$F$1:$F$50,CONCATENATE("'",'Agriculture - EF &amp; Manure Mgmt'!H$13,"'"),'IFPRI Results'!$C$1:$C$50,'Agriculture - EF &amp; Manure Mgmt'!$A16)</f>
        <v>52.006039110236998</v>
      </c>
      <c r="I16">
        <f>SUMIFS('IFPRI Results'!$G$1:$G$50,'IFPRI Results'!$F$1:$F$50,CONCATENATE("'",'Agriculture - EF &amp; Manure Mgmt'!I$13,"'"),'IFPRI Results'!$C$1:$C$50,'Agriculture - EF &amp; Manure Mgmt'!$A16)</f>
        <v>55.232044965780297</v>
      </c>
    </row>
    <row r="17" spans="1:46" ht="15.75" customHeight="1">
      <c r="A17" s="71" t="s">
        <v>493</v>
      </c>
      <c r="B17">
        <f>SUMIFS('IFPRI Results'!$G$1:$G$50,'IFPRI Results'!$F$1:$F$50,CONCATENATE("'",'Agriculture - EF &amp; Manure Mgmt'!B$13,"'"),'IFPRI Results'!$C$1:$C$50,'Agriculture - EF &amp; Manure Mgmt'!$A17)</f>
        <v>1313.47702366261</v>
      </c>
      <c r="C17">
        <f>SUMIFS('IFPRI Results'!$G$1:$G$50,'IFPRI Results'!$F$1:$F$50,CONCATENATE("'",'Agriculture - EF &amp; Manure Mgmt'!C$13,"'"),'IFPRI Results'!$C$1:$C$50,'Agriculture - EF &amp; Manure Mgmt'!$A17)</f>
        <v>1422.93276642213</v>
      </c>
      <c r="D17">
        <f>SUMIFS('IFPRI Results'!$G$1:$G$50,'IFPRI Results'!$F$1:$F$50,CONCATENATE("'",'Agriculture - EF &amp; Manure Mgmt'!D$13,"'"),'IFPRI Results'!$C$1:$C$50,'Agriculture - EF &amp; Manure Mgmt'!$A17)</f>
        <v>1522.91531016101</v>
      </c>
      <c r="E17">
        <f>SUMIFS('IFPRI Results'!$G$1:$G$50,'IFPRI Results'!$F$1:$F$50,CONCATENATE("'",'Agriculture - EF &amp; Manure Mgmt'!E$13,"'"),'IFPRI Results'!$C$1:$C$50,'Agriculture - EF &amp; Manure Mgmt'!$A17)</f>
        <v>1622.2296584253199</v>
      </c>
      <c r="F17">
        <f>SUMIFS('IFPRI Results'!$G$1:$G$50,'IFPRI Results'!$F$1:$F$50,CONCATENATE("'",'Agriculture - EF &amp; Manure Mgmt'!F$13,"'"),'IFPRI Results'!$C$1:$C$50,'Agriculture - EF &amp; Manure Mgmt'!$A17)</f>
        <v>1724.14670612436</v>
      </c>
      <c r="G17">
        <f>SUMIFS('IFPRI Results'!$G$1:$G$50,'IFPRI Results'!$F$1:$F$50,CONCATENATE("'",'Agriculture - EF &amp; Manure Mgmt'!G$13,"'"),'IFPRI Results'!$C$1:$C$50,'Agriculture - EF &amp; Manure Mgmt'!$A17)</f>
        <v>1826.5687316636099</v>
      </c>
      <c r="H17">
        <f>SUMIFS('IFPRI Results'!$G$1:$G$50,'IFPRI Results'!$F$1:$F$50,CONCATENATE("'",'Agriculture - EF &amp; Manure Mgmt'!H$13,"'"),'IFPRI Results'!$C$1:$C$50,'Agriculture - EF &amp; Manure Mgmt'!$A17)</f>
        <v>1930.3950010527501</v>
      </c>
      <c r="I17">
        <f>SUMIFS('IFPRI Results'!$G$1:$G$50,'IFPRI Results'!$F$1:$F$50,CONCATENATE("'",'Agriculture - EF &amp; Manure Mgmt'!I$13,"'"),'IFPRI Results'!$C$1:$C$50,'Agriculture - EF &amp; Manure Mgmt'!$A17)</f>
        <v>2030.900742973</v>
      </c>
      <c r="K17" s="394"/>
    </row>
    <row r="18" spans="1:46" ht="15.75" customHeight="1">
      <c r="A18" s="71" t="s">
        <v>494</v>
      </c>
      <c r="B18">
        <f>SUMIFS('IFPRI Results'!$G$1:$G$50,'IFPRI Results'!$F$1:$F$50,CONCATENATE("'",'Agriculture - EF &amp; Manure Mgmt'!B$13,"'"),'IFPRI Results'!$C$1:$C$50,'Agriculture - EF &amp; Manure Mgmt'!$A18)</f>
        <v>9160.7767704983107</v>
      </c>
      <c r="C18">
        <f>SUMIFS('IFPRI Results'!$G$1:$G$50,'IFPRI Results'!$F$1:$F$50,CONCATENATE("'",'Agriculture - EF &amp; Manure Mgmt'!C$13,"'"),'IFPRI Results'!$C$1:$C$50,'Agriculture - EF &amp; Manure Mgmt'!$A18)</f>
        <v>9640.15222272561</v>
      </c>
      <c r="D18">
        <f>SUMIFS('IFPRI Results'!$G$1:$G$50,'IFPRI Results'!$F$1:$F$50,CONCATENATE("'",'Agriculture - EF &amp; Manure Mgmt'!D$13,"'"),'IFPRI Results'!$C$1:$C$50,'Agriculture - EF &amp; Manure Mgmt'!$A18)</f>
        <v>10104.0072745832</v>
      </c>
      <c r="E18">
        <f>SUMIFS('IFPRI Results'!$G$1:$G$50,'IFPRI Results'!$F$1:$F$50,CONCATENATE("'",'Agriculture - EF &amp; Manure Mgmt'!E$13,"'"),'IFPRI Results'!$C$1:$C$50,'Agriculture - EF &amp; Manure Mgmt'!$A18)</f>
        <v>10538.2869200072</v>
      </c>
      <c r="F18">
        <f>SUMIFS('IFPRI Results'!$G$1:$G$50,'IFPRI Results'!$F$1:$F$50,CONCATENATE("'",'Agriculture - EF &amp; Manure Mgmt'!F$13,"'"),'IFPRI Results'!$C$1:$C$50,'Agriculture - EF &amp; Manure Mgmt'!$A18)</f>
        <v>10954.644320589699</v>
      </c>
      <c r="G18">
        <f>SUMIFS('IFPRI Results'!$G$1:$G$50,'IFPRI Results'!$F$1:$F$50,CONCATENATE("'",'Agriculture - EF &amp; Manure Mgmt'!G$13,"'"),'IFPRI Results'!$C$1:$C$50,'Agriculture - EF &amp; Manure Mgmt'!$A18)</f>
        <v>11369.777765410699</v>
      </c>
      <c r="H18">
        <f>SUMIFS('IFPRI Results'!$G$1:$G$50,'IFPRI Results'!$F$1:$F$50,CONCATENATE("'",'Agriculture - EF &amp; Manure Mgmt'!H$13,"'"),'IFPRI Results'!$C$1:$C$50,'Agriculture - EF &amp; Manure Mgmt'!$A18)</f>
        <v>11787.7709635463</v>
      </c>
      <c r="I18">
        <f>SUMIFS('IFPRI Results'!$G$1:$G$50,'IFPRI Results'!$F$1:$F$50,CONCATENATE("'",'Agriculture - EF &amp; Manure Mgmt'!I$13,"'"),'IFPRI Results'!$C$1:$C$50,'Agriculture - EF &amp; Manure Mgmt'!$A18)</f>
        <v>12205.5389872908</v>
      </c>
    </row>
    <row r="19" spans="1:46" ht="15.75" customHeight="1">
      <c r="A19" s="10"/>
      <c r="G19" s="10"/>
    </row>
    <row r="20" spans="1:46">
      <c r="A20" s="16" t="s">
        <v>27</v>
      </c>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row>
    <row r="21" spans="1:46">
      <c r="A21" s="17" t="s">
        <v>335</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row>
    <row r="22" spans="1:46" ht="15.75" customHeight="1">
      <c r="A22" s="391"/>
      <c r="B22" s="391">
        <v>2015</v>
      </c>
      <c r="C22" s="391">
        <v>2016</v>
      </c>
      <c r="D22" s="391">
        <v>2017</v>
      </c>
      <c r="E22" s="391">
        <v>2018</v>
      </c>
      <c r="F22" s="391">
        <v>2019</v>
      </c>
      <c r="G22" s="391">
        <v>2020</v>
      </c>
      <c r="H22" s="391">
        <v>2021</v>
      </c>
      <c r="I22" s="391">
        <v>2022</v>
      </c>
      <c r="J22" s="391">
        <v>2023</v>
      </c>
      <c r="K22" s="391">
        <v>2024</v>
      </c>
      <c r="L22" s="391">
        <v>2025</v>
      </c>
      <c r="M22" s="391">
        <v>2026</v>
      </c>
      <c r="N22" s="391">
        <v>2027</v>
      </c>
      <c r="O22" s="391">
        <v>2028</v>
      </c>
      <c r="P22" s="391">
        <v>2029</v>
      </c>
      <c r="Q22" s="391">
        <v>2030</v>
      </c>
      <c r="R22" s="391">
        <v>2031</v>
      </c>
      <c r="S22" s="391">
        <v>2032</v>
      </c>
      <c r="T22" s="391">
        <v>2033</v>
      </c>
      <c r="U22" s="391">
        <v>2034</v>
      </c>
      <c r="V22" s="391">
        <v>2035</v>
      </c>
      <c r="W22" s="391">
        <v>2036</v>
      </c>
      <c r="X22" s="391">
        <v>2037</v>
      </c>
      <c r="Y22" s="391">
        <v>2038</v>
      </c>
      <c r="Z22" s="391">
        <v>2039</v>
      </c>
      <c r="AA22" s="391">
        <v>2040</v>
      </c>
      <c r="AB22" s="391">
        <v>2041</v>
      </c>
      <c r="AC22" s="391">
        <v>2042</v>
      </c>
      <c r="AD22" s="391">
        <v>2043</v>
      </c>
      <c r="AE22" s="391">
        <v>2044</v>
      </c>
      <c r="AF22" s="391">
        <v>2045</v>
      </c>
      <c r="AG22" s="391">
        <v>2046</v>
      </c>
      <c r="AH22" s="391">
        <v>2047</v>
      </c>
      <c r="AI22" s="391">
        <v>2048</v>
      </c>
      <c r="AJ22" s="391">
        <v>2049</v>
      </c>
      <c r="AK22" s="391">
        <v>2050</v>
      </c>
    </row>
    <row r="23" spans="1:46" s="391" customFormat="1" ht="15.75" customHeight="1">
      <c r="A23" s="240" t="s">
        <v>64</v>
      </c>
      <c r="B23" s="22">
        <f>Table3s1!C12</f>
        <v>147.49847105453381</v>
      </c>
      <c r="C23" s="391">
        <f t="shared" ref="C23:AK24" si="7">$B23*C4/$B4</f>
        <v>161.22012739663668</v>
      </c>
      <c r="D23" s="391">
        <f t="shared" si="7"/>
        <v>174.94178373873953</v>
      </c>
      <c r="E23" s="391">
        <f t="shared" si="7"/>
        <v>188.66344008084235</v>
      </c>
      <c r="F23" s="391">
        <f t="shared" si="7"/>
        <v>202.38509642294522</v>
      </c>
      <c r="G23" s="391">
        <f t="shared" si="7"/>
        <v>215.66249639110256</v>
      </c>
      <c r="H23" s="391">
        <f t="shared" si="7"/>
        <v>228.9398963592599</v>
      </c>
      <c r="I23" s="391">
        <f t="shared" si="7"/>
        <v>242.21729632741724</v>
      </c>
      <c r="J23" s="391">
        <f t="shared" si="7"/>
        <v>255.49469629557456</v>
      </c>
      <c r="K23" s="391">
        <f t="shared" si="7"/>
        <v>268.77209626373195</v>
      </c>
      <c r="L23" s="391">
        <f t="shared" si="7"/>
        <v>281.20292897156298</v>
      </c>
      <c r="M23" s="391">
        <f t="shared" si="7"/>
        <v>293.63376167939401</v>
      </c>
      <c r="N23" s="391">
        <f t="shared" si="7"/>
        <v>306.06459438722504</v>
      </c>
      <c r="O23" s="391">
        <f t="shared" si="7"/>
        <v>318.49542709505602</v>
      </c>
      <c r="P23" s="391">
        <f t="shared" si="7"/>
        <v>330.92625980288705</v>
      </c>
      <c r="Q23" s="391">
        <f t="shared" si="7"/>
        <v>342.84408567348544</v>
      </c>
      <c r="R23" s="391">
        <f t="shared" si="7"/>
        <v>354.76191154408383</v>
      </c>
      <c r="S23" s="391">
        <f t="shared" si="7"/>
        <v>366.67973741468222</v>
      </c>
      <c r="T23" s="391">
        <f t="shared" si="7"/>
        <v>378.59756328528056</v>
      </c>
      <c r="U23" s="391">
        <f t="shared" si="7"/>
        <v>390.51538915587895</v>
      </c>
      <c r="V23" s="391">
        <f t="shared" si="7"/>
        <v>402.39818048255319</v>
      </c>
      <c r="W23" s="391">
        <f t="shared" si="7"/>
        <v>414.28097180922737</v>
      </c>
      <c r="X23" s="391">
        <f t="shared" si="7"/>
        <v>426.16376313590155</v>
      </c>
      <c r="Y23" s="391">
        <f t="shared" si="7"/>
        <v>438.04655446257573</v>
      </c>
      <c r="Z23" s="391">
        <f t="shared" si="7"/>
        <v>449.92934578924996</v>
      </c>
      <c r="AA23" s="391">
        <f t="shared" si="7"/>
        <v>461.8939947747254</v>
      </c>
      <c r="AB23" s="391">
        <f t="shared" si="7"/>
        <v>473.85864376020095</v>
      </c>
      <c r="AC23" s="391">
        <f t="shared" si="7"/>
        <v>485.82329274567644</v>
      </c>
      <c r="AD23" s="391">
        <f t="shared" si="7"/>
        <v>497.78794173115199</v>
      </c>
      <c r="AE23" s="391">
        <f t="shared" si="7"/>
        <v>509.75259071662742</v>
      </c>
      <c r="AF23" s="391">
        <f t="shared" si="7"/>
        <v>521.71079430403893</v>
      </c>
      <c r="AG23" s="391">
        <f t="shared" si="7"/>
        <v>533.66899789145043</v>
      </c>
      <c r="AH23" s="391">
        <f t="shared" si="7"/>
        <v>545.62720147886193</v>
      </c>
      <c r="AI23" s="391">
        <f t="shared" si="7"/>
        <v>557.58540506627344</v>
      </c>
      <c r="AJ23" s="391">
        <f t="shared" si="7"/>
        <v>569.54360865368494</v>
      </c>
      <c r="AK23" s="391">
        <f t="shared" si="7"/>
        <v>581.50181224109645</v>
      </c>
    </row>
    <row r="24" spans="1:46" s="391" customFormat="1" ht="15.75" customHeight="1">
      <c r="A24" s="240" t="s">
        <v>562</v>
      </c>
      <c r="B24" s="22">
        <f>Table3s1!C13</f>
        <v>808.65900043726128</v>
      </c>
      <c r="C24" s="391">
        <f t="shared" si="7"/>
        <v>809.51799132544056</v>
      </c>
      <c r="D24" s="391">
        <f t="shared" si="7"/>
        <v>810.37698221362007</v>
      </c>
      <c r="E24" s="391">
        <f t="shared" si="7"/>
        <v>811.23597310179935</v>
      </c>
      <c r="F24" s="391">
        <f t="shared" si="7"/>
        <v>812.09496398997874</v>
      </c>
      <c r="G24" s="391">
        <f t="shared" si="7"/>
        <v>812.938296852907</v>
      </c>
      <c r="H24" s="391">
        <f t="shared" si="7"/>
        <v>813.78162971583492</v>
      </c>
      <c r="I24" s="391">
        <f t="shared" si="7"/>
        <v>814.62496257876319</v>
      </c>
      <c r="J24" s="391">
        <f t="shared" si="7"/>
        <v>815.46829544169111</v>
      </c>
      <c r="K24" s="391">
        <f t="shared" si="7"/>
        <v>816.31162830461938</v>
      </c>
      <c r="L24" s="391">
        <f t="shared" si="7"/>
        <v>817.12034751596525</v>
      </c>
      <c r="M24" s="391">
        <f t="shared" si="7"/>
        <v>817.92906672731112</v>
      </c>
      <c r="N24" s="391">
        <f t="shared" si="7"/>
        <v>818.73778593865711</v>
      </c>
      <c r="O24" s="391">
        <f t="shared" si="7"/>
        <v>819.54650515000299</v>
      </c>
      <c r="P24" s="391">
        <f t="shared" si="7"/>
        <v>820.35522436134886</v>
      </c>
      <c r="Q24" s="391">
        <f t="shared" si="7"/>
        <v>821.12844586171116</v>
      </c>
      <c r="R24" s="391">
        <f t="shared" si="7"/>
        <v>821.90166736207334</v>
      </c>
      <c r="S24" s="391">
        <f t="shared" si="7"/>
        <v>822.67488886243564</v>
      </c>
      <c r="T24" s="391">
        <f t="shared" si="7"/>
        <v>823.44811036279782</v>
      </c>
      <c r="U24" s="391">
        <f t="shared" si="7"/>
        <v>824.22133186316012</v>
      </c>
      <c r="V24" s="391">
        <f t="shared" si="7"/>
        <v>824.97491956299552</v>
      </c>
      <c r="W24" s="391">
        <f t="shared" si="7"/>
        <v>825.72850726283082</v>
      </c>
      <c r="X24" s="391">
        <f t="shared" si="7"/>
        <v>826.48209496266622</v>
      </c>
      <c r="Y24" s="391">
        <f t="shared" si="7"/>
        <v>827.23568266250152</v>
      </c>
      <c r="Z24" s="391">
        <f t="shared" si="7"/>
        <v>827.98927036233692</v>
      </c>
      <c r="AA24" s="391">
        <f t="shared" si="7"/>
        <v>828.79727229670652</v>
      </c>
      <c r="AB24" s="391">
        <f t="shared" si="7"/>
        <v>829.60527423107635</v>
      </c>
      <c r="AC24" s="391">
        <f t="shared" si="7"/>
        <v>830.41327616544618</v>
      </c>
      <c r="AD24" s="391">
        <f t="shared" si="7"/>
        <v>831.221278099816</v>
      </c>
      <c r="AE24" s="391">
        <f t="shared" si="7"/>
        <v>832.02928003418572</v>
      </c>
      <c r="AF24" s="391">
        <f t="shared" si="7"/>
        <v>832.85551469083464</v>
      </c>
      <c r="AG24" s="391">
        <f t="shared" si="7"/>
        <v>833.68174934748345</v>
      </c>
      <c r="AH24" s="391">
        <f t="shared" si="7"/>
        <v>834.50798400413225</v>
      </c>
      <c r="AI24" s="391">
        <f t="shared" si="7"/>
        <v>835.33421866078106</v>
      </c>
      <c r="AJ24" s="391">
        <f t="shared" si="7"/>
        <v>836.16045331742987</v>
      </c>
      <c r="AK24" s="391">
        <f t="shared" si="7"/>
        <v>836.98668797407868</v>
      </c>
    </row>
    <row r="25" spans="1:46" s="391" customFormat="1" ht="15.75" customHeight="1">
      <c r="A25" s="240" t="s">
        <v>66</v>
      </c>
      <c r="B25" s="22">
        <f>Table3s1!C20</f>
        <v>7.6715999999999998</v>
      </c>
      <c r="C25" s="391">
        <f t="shared" ref="C25:AK25" si="8">$B25*C7/$B7</f>
        <v>7.6749169390944232</v>
      </c>
      <c r="D25" s="391">
        <f t="shared" si="8"/>
        <v>7.6782338781888466</v>
      </c>
      <c r="E25" s="391">
        <f t="shared" si="8"/>
        <v>7.68155081728327</v>
      </c>
      <c r="F25" s="391">
        <f t="shared" si="8"/>
        <v>7.6848677563776944</v>
      </c>
      <c r="G25" s="391">
        <f t="shared" si="8"/>
        <v>7.6885319954806048</v>
      </c>
      <c r="H25" s="391">
        <f t="shared" si="8"/>
        <v>7.6921962345835171</v>
      </c>
      <c r="I25" s="391">
        <f t="shared" si="8"/>
        <v>7.6958604736864276</v>
      </c>
      <c r="J25" s="391">
        <f t="shared" si="8"/>
        <v>7.6995247127893389</v>
      </c>
      <c r="K25" s="391">
        <f t="shared" si="8"/>
        <v>7.7031889518922512</v>
      </c>
      <c r="L25" s="391">
        <f t="shared" si="8"/>
        <v>7.7072048748326596</v>
      </c>
      <c r="M25" s="391">
        <f t="shared" si="8"/>
        <v>7.7112207977730689</v>
      </c>
      <c r="N25" s="391">
        <f t="shared" si="8"/>
        <v>7.7152367207134791</v>
      </c>
      <c r="O25" s="391">
        <f t="shared" si="8"/>
        <v>7.7192526436538875</v>
      </c>
      <c r="P25" s="391">
        <f t="shared" si="8"/>
        <v>7.7232685665942977</v>
      </c>
      <c r="Q25" s="391">
        <f t="shared" si="8"/>
        <v>7.7275961546237379</v>
      </c>
      <c r="R25" s="391">
        <f t="shared" si="8"/>
        <v>7.7319237426531791</v>
      </c>
      <c r="S25" s="391">
        <f t="shared" si="8"/>
        <v>7.7362513306826193</v>
      </c>
      <c r="T25" s="391">
        <f t="shared" si="8"/>
        <v>7.7405789187120604</v>
      </c>
      <c r="U25" s="391">
        <f t="shared" si="8"/>
        <v>7.7449065067415015</v>
      </c>
      <c r="V25" s="391">
        <f t="shared" si="8"/>
        <v>7.7496188525871377</v>
      </c>
      <c r="W25" s="391">
        <f t="shared" si="8"/>
        <v>7.7543311984327747</v>
      </c>
      <c r="X25" s="391">
        <f t="shared" si="8"/>
        <v>7.7590435442784127</v>
      </c>
      <c r="Y25" s="391">
        <f t="shared" si="8"/>
        <v>7.7637558901240489</v>
      </c>
      <c r="Z25" s="391">
        <f t="shared" si="8"/>
        <v>7.7684682359696859</v>
      </c>
      <c r="AA25" s="391">
        <f t="shared" si="8"/>
        <v>7.7737761803393051</v>
      </c>
      <c r="AB25" s="391">
        <f t="shared" si="8"/>
        <v>7.7790841247089251</v>
      </c>
      <c r="AC25" s="391">
        <f t="shared" si="8"/>
        <v>7.7843920690785442</v>
      </c>
      <c r="AD25" s="391">
        <f t="shared" si="8"/>
        <v>7.7897000134481633</v>
      </c>
      <c r="AE25" s="391">
        <f t="shared" si="8"/>
        <v>7.7950079578177824</v>
      </c>
      <c r="AF25" s="391">
        <f t="shared" si="8"/>
        <v>7.8008843976898916</v>
      </c>
      <c r="AG25" s="391">
        <f t="shared" si="8"/>
        <v>7.806760837561999</v>
      </c>
      <c r="AH25" s="391">
        <f t="shared" si="8"/>
        <v>7.8126372774341082</v>
      </c>
      <c r="AI25" s="391">
        <f t="shared" si="8"/>
        <v>7.8185137173062156</v>
      </c>
      <c r="AJ25" s="391">
        <f t="shared" si="8"/>
        <v>7.8243901571783248</v>
      </c>
      <c r="AK25" s="391">
        <f t="shared" si="8"/>
        <v>7.8302665970504322</v>
      </c>
    </row>
    <row r="26" spans="1:46" s="391" customFormat="1" ht="15.75" customHeight="1">
      <c r="A26" s="240" t="s">
        <v>65</v>
      </c>
      <c r="B26" s="22">
        <f>Table3s1!C21</f>
        <v>19.86375</v>
      </c>
      <c r="C26" s="391">
        <f t="shared" ref="C26:AK26" si="9">$B26*C6/$B6</f>
        <v>19.873975251349677</v>
      </c>
      <c r="D26" s="391">
        <f t="shared" si="9"/>
        <v>19.88420050269935</v>
      </c>
      <c r="E26" s="391">
        <f t="shared" si="9"/>
        <v>19.894425754049024</v>
      </c>
      <c r="F26" s="391">
        <f t="shared" si="9"/>
        <v>19.904651005398701</v>
      </c>
      <c r="G26" s="391">
        <f t="shared" si="9"/>
        <v>19.91541999931917</v>
      </c>
      <c r="H26" s="391">
        <f t="shared" si="9"/>
        <v>19.926188993239638</v>
      </c>
      <c r="I26" s="391">
        <f t="shared" si="9"/>
        <v>19.936957987160106</v>
      </c>
      <c r="J26" s="391">
        <f t="shared" si="9"/>
        <v>19.947726981080578</v>
      </c>
      <c r="K26" s="391">
        <f t="shared" si="9"/>
        <v>19.958495975001046</v>
      </c>
      <c r="L26" s="391">
        <f t="shared" si="9"/>
        <v>19.96855801886035</v>
      </c>
      <c r="M26" s="391">
        <f t="shared" si="9"/>
        <v>19.978620062719653</v>
      </c>
      <c r="N26" s="391">
        <f t="shared" si="9"/>
        <v>19.988682106578956</v>
      </c>
      <c r="O26" s="391">
        <f t="shared" si="9"/>
        <v>19.998744150438259</v>
      </c>
      <c r="P26" s="391">
        <f t="shared" si="9"/>
        <v>20.008806194297563</v>
      </c>
      <c r="Q26" s="391">
        <f t="shared" si="9"/>
        <v>20.017988333803807</v>
      </c>
      <c r="R26" s="391">
        <f t="shared" si="9"/>
        <v>20.027170473310047</v>
      </c>
      <c r="S26" s="391">
        <f t="shared" si="9"/>
        <v>20.036352612816295</v>
      </c>
      <c r="T26" s="391">
        <f t="shared" si="9"/>
        <v>20.045534752322538</v>
      </c>
      <c r="U26" s="391">
        <f t="shared" si="9"/>
        <v>20.054716891828779</v>
      </c>
      <c r="V26" s="391">
        <f t="shared" si="9"/>
        <v>20.063927861606324</v>
      </c>
      <c r="W26" s="391">
        <f t="shared" si="9"/>
        <v>20.073138831383865</v>
      </c>
      <c r="X26" s="391">
        <f t="shared" si="9"/>
        <v>20.082349801161406</v>
      </c>
      <c r="Y26" s="391">
        <f t="shared" si="9"/>
        <v>20.091560770938955</v>
      </c>
      <c r="Z26" s="391">
        <f t="shared" si="9"/>
        <v>20.100771740716496</v>
      </c>
      <c r="AA26" s="391">
        <f t="shared" si="9"/>
        <v>20.110851729348983</v>
      </c>
      <c r="AB26" s="391">
        <f t="shared" si="9"/>
        <v>20.120931717981474</v>
      </c>
      <c r="AC26" s="391">
        <f t="shared" si="9"/>
        <v>20.131011706613958</v>
      </c>
      <c r="AD26" s="391">
        <f t="shared" si="9"/>
        <v>20.141091695246445</v>
      </c>
      <c r="AE26" s="391">
        <f t="shared" si="9"/>
        <v>20.151171683878932</v>
      </c>
      <c r="AF26" s="391">
        <f t="shared" si="9"/>
        <v>20.16229335009951</v>
      </c>
      <c r="AG26" s="391">
        <f t="shared" si="9"/>
        <v>20.173415016320089</v>
      </c>
      <c r="AH26" s="391">
        <f t="shared" si="9"/>
        <v>20.184536682540664</v>
      </c>
      <c r="AI26" s="391">
        <f t="shared" si="9"/>
        <v>20.195658348761246</v>
      </c>
      <c r="AJ26" s="391">
        <f t="shared" si="9"/>
        <v>20.206780014981824</v>
      </c>
      <c r="AK26" s="391">
        <f t="shared" si="9"/>
        <v>20.217901681202399</v>
      </c>
    </row>
    <row r="27" spans="1:46" s="391" customFormat="1" ht="15.75" customHeight="1">
      <c r="A27" s="240" t="s">
        <v>563</v>
      </c>
      <c r="B27" s="22">
        <f>Table3s1!C22</f>
        <v>16.490338999999999</v>
      </c>
      <c r="C27" s="391">
        <f>SUM(C23:C26)/SUM($B$23:$B$26)*$B$27</f>
        <v>16.734991726664219</v>
      </c>
      <c r="D27" s="391">
        <f t="shared" ref="D27:AK27" si="10">SUM(D23:D26)/SUM($B$23:$B$26)*$B$27</f>
        <v>16.979644453328447</v>
      </c>
      <c r="E27" s="391">
        <f t="shared" si="10"/>
        <v>17.224297179992664</v>
      </c>
      <c r="F27" s="391">
        <f t="shared" si="10"/>
        <v>17.468949906656889</v>
      </c>
      <c r="G27" s="391">
        <f t="shared" si="10"/>
        <v>17.70590769990881</v>
      </c>
      <c r="H27" s="391">
        <f t="shared" si="10"/>
        <v>17.942865493160728</v>
      </c>
      <c r="I27" s="391">
        <f t="shared" si="10"/>
        <v>18.179823286412653</v>
      </c>
      <c r="J27" s="391">
        <f t="shared" si="10"/>
        <v>18.416781079664567</v>
      </c>
      <c r="K27" s="391">
        <f t="shared" si="10"/>
        <v>18.653738872916492</v>
      </c>
      <c r="L27" s="391">
        <f t="shared" si="10"/>
        <v>18.875918851284986</v>
      </c>
      <c r="M27" s="391">
        <f t="shared" si="10"/>
        <v>19.098098829653473</v>
      </c>
      <c r="N27" s="391">
        <f t="shared" si="10"/>
        <v>19.320278808021961</v>
      </c>
      <c r="O27" s="391">
        <f t="shared" si="10"/>
        <v>19.542458786390448</v>
      </c>
      <c r="P27" s="391">
        <f t="shared" si="10"/>
        <v>19.764638764758939</v>
      </c>
      <c r="Q27" s="391">
        <f t="shared" si="10"/>
        <v>19.977614247370823</v>
      </c>
      <c r="R27" s="391">
        <f t="shared" si="10"/>
        <v>20.190589729982708</v>
      </c>
      <c r="S27" s="391">
        <f t="shared" si="10"/>
        <v>20.403565212594593</v>
      </c>
      <c r="T27" s="391">
        <f t="shared" si="10"/>
        <v>20.616540695206474</v>
      </c>
      <c r="U27" s="391">
        <f t="shared" si="10"/>
        <v>20.829516177818359</v>
      </c>
      <c r="V27" s="391">
        <f t="shared" si="10"/>
        <v>21.041582149549154</v>
      </c>
      <c r="W27" s="391">
        <f t="shared" si="10"/>
        <v>21.253648121279944</v>
      </c>
      <c r="X27" s="391">
        <f t="shared" si="10"/>
        <v>21.465714093010739</v>
      </c>
      <c r="Y27" s="391">
        <f t="shared" si="10"/>
        <v>21.67778006474153</v>
      </c>
      <c r="Z27" s="391">
        <f t="shared" si="10"/>
        <v>21.889846036472324</v>
      </c>
      <c r="AA27" s="391">
        <f t="shared" si="10"/>
        <v>22.104220982818699</v>
      </c>
      <c r="AB27" s="391">
        <f t="shared" si="10"/>
        <v>22.318595929165085</v>
      </c>
      <c r="AC27" s="391">
        <f t="shared" si="10"/>
        <v>22.532970875511467</v>
      </c>
      <c r="AD27" s="391">
        <f t="shared" si="10"/>
        <v>22.747345821857849</v>
      </c>
      <c r="AE27" s="391">
        <f t="shared" si="10"/>
        <v>22.961720768204227</v>
      </c>
      <c r="AF27" s="391">
        <f t="shared" si="10"/>
        <v>23.176320306280367</v>
      </c>
      <c r="AG27" s="391">
        <f t="shared" si="10"/>
        <v>23.390919844356496</v>
      </c>
      <c r="AH27" s="391">
        <f t="shared" si="10"/>
        <v>23.605519382432625</v>
      </c>
      <c r="AI27" s="391">
        <f t="shared" si="10"/>
        <v>23.820118920508754</v>
      </c>
      <c r="AJ27" s="391">
        <f t="shared" si="10"/>
        <v>24.034718458584891</v>
      </c>
      <c r="AK27" s="391">
        <f t="shared" si="10"/>
        <v>24.249317996661016</v>
      </c>
    </row>
    <row r="28" spans="1:46" s="391" customFormat="1" ht="15.75" customHeight="1">
      <c r="A28" s="395"/>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row>
    <row r="29" spans="1:46" s="391" customFormat="1" ht="15.75" customHeight="1">
      <c r="A29" s="391" t="s">
        <v>935</v>
      </c>
      <c r="B29" s="1">
        <f>SUM(B23:B27)</f>
        <v>1000.1831604917951</v>
      </c>
      <c r="C29" s="1">
        <f t="shared" ref="C29:AK29" si="11">SUM(C23:C27)</f>
        <v>1015.0220026391855</v>
      </c>
      <c r="D29" s="1">
        <f t="shared" si="11"/>
        <v>1029.8608447865763</v>
      </c>
      <c r="E29" s="1">
        <f t="shared" si="11"/>
        <v>1044.6996869339666</v>
      </c>
      <c r="F29" s="1">
        <f t="shared" si="11"/>
        <v>1059.5385290813572</v>
      </c>
      <c r="G29" s="1">
        <f t="shared" si="11"/>
        <v>1073.9106529387179</v>
      </c>
      <c r="H29" s="1">
        <f t="shared" si="11"/>
        <v>1088.2827767960787</v>
      </c>
      <c r="I29" s="1">
        <f t="shared" si="11"/>
        <v>1102.6549006534397</v>
      </c>
      <c r="J29" s="1">
        <f t="shared" si="11"/>
        <v>1117.0270245108002</v>
      </c>
      <c r="K29" s="1">
        <f t="shared" si="11"/>
        <v>1131.3991483681611</v>
      </c>
      <c r="L29" s="1">
        <f t="shared" si="11"/>
        <v>1144.8749582325065</v>
      </c>
      <c r="M29" s="1">
        <f t="shared" si="11"/>
        <v>1158.3507680968514</v>
      </c>
      <c r="N29" s="1">
        <f t="shared" si="11"/>
        <v>1171.8265779611966</v>
      </c>
      <c r="O29" s="1">
        <f t="shared" si="11"/>
        <v>1185.3023878255415</v>
      </c>
      <c r="P29" s="1">
        <f t="shared" si="11"/>
        <v>1198.7781976898866</v>
      </c>
      <c r="Q29" s="1">
        <f t="shared" si="11"/>
        <v>1211.695730270995</v>
      </c>
      <c r="R29" s="1">
        <f t="shared" si="11"/>
        <v>1224.6132628521032</v>
      </c>
      <c r="S29" s="1">
        <f t="shared" si="11"/>
        <v>1237.5307954332113</v>
      </c>
      <c r="T29" s="1">
        <f t="shared" si="11"/>
        <v>1250.4483280143193</v>
      </c>
      <c r="U29" s="1">
        <f t="shared" si="11"/>
        <v>1263.3658605954276</v>
      </c>
      <c r="V29" s="1">
        <f t="shared" si="11"/>
        <v>1276.2282289092914</v>
      </c>
      <c r="W29" s="1">
        <f t="shared" si="11"/>
        <v>1289.0905972231546</v>
      </c>
      <c r="X29" s="1">
        <f t="shared" si="11"/>
        <v>1301.9529655370184</v>
      </c>
      <c r="Y29" s="1">
        <f t="shared" si="11"/>
        <v>1314.8153338508816</v>
      </c>
      <c r="Z29" s="1">
        <f t="shared" si="11"/>
        <v>1327.6777021647454</v>
      </c>
      <c r="AA29" s="1">
        <f t="shared" si="11"/>
        <v>1340.680115963939</v>
      </c>
      <c r="AB29" s="1">
        <f t="shared" si="11"/>
        <v>1353.6825297631328</v>
      </c>
      <c r="AC29" s="1">
        <f t="shared" si="11"/>
        <v>1366.6849435623265</v>
      </c>
      <c r="AD29" s="1">
        <f t="shared" si="11"/>
        <v>1379.6873573615203</v>
      </c>
      <c r="AE29" s="1">
        <f t="shared" si="11"/>
        <v>1392.6897711607139</v>
      </c>
      <c r="AF29" s="1">
        <f t="shared" si="11"/>
        <v>1405.7058070489434</v>
      </c>
      <c r="AG29" s="1">
        <f t="shared" si="11"/>
        <v>1418.7218429371724</v>
      </c>
      <c r="AH29" s="1">
        <f t="shared" si="11"/>
        <v>1431.7378788254016</v>
      </c>
      <c r="AI29" s="1">
        <f t="shared" si="11"/>
        <v>1444.7539147136306</v>
      </c>
      <c r="AJ29" s="1">
        <f t="shared" si="11"/>
        <v>1457.7699506018598</v>
      </c>
      <c r="AK29" s="1">
        <f t="shared" si="11"/>
        <v>1470.7859864900888</v>
      </c>
    </row>
    <row r="30" spans="1:46" ht="15.75" customHeight="1">
      <c r="A30" s="71" t="s">
        <v>111</v>
      </c>
      <c r="B30" s="1">
        <v>380</v>
      </c>
      <c r="C30" s="1">
        <f>B30*C29/B29</f>
        <v>385.6377274070839</v>
      </c>
      <c r="D30" s="1">
        <f t="shared" ref="D30:AK30" si="12">C30*D29/C29</f>
        <v>391.27545481416792</v>
      </c>
      <c r="E30" s="1">
        <f t="shared" si="12"/>
        <v>396.91318222125176</v>
      </c>
      <c r="F30" s="1">
        <f t="shared" si="12"/>
        <v>402.55090962833572</v>
      </c>
      <c r="G30" s="1">
        <f t="shared" si="12"/>
        <v>408.01131656331319</v>
      </c>
      <c r="H30" s="1">
        <f t="shared" si="12"/>
        <v>413.47172349829066</v>
      </c>
      <c r="I30" s="1">
        <f t="shared" si="12"/>
        <v>418.93213043326824</v>
      </c>
      <c r="J30" s="1">
        <f t="shared" si="12"/>
        <v>424.39253736824566</v>
      </c>
      <c r="K30" s="1">
        <f t="shared" si="12"/>
        <v>429.85294430322318</v>
      </c>
      <c r="L30" s="1">
        <f t="shared" si="12"/>
        <v>434.97281429376903</v>
      </c>
      <c r="M30" s="1">
        <f t="shared" si="12"/>
        <v>440.09268428431471</v>
      </c>
      <c r="N30" s="1">
        <f t="shared" si="12"/>
        <v>445.21255427486045</v>
      </c>
      <c r="O30" s="1">
        <f t="shared" si="12"/>
        <v>450.33242426540613</v>
      </c>
      <c r="P30" s="1">
        <f t="shared" si="12"/>
        <v>455.45229425595193</v>
      </c>
      <c r="Q30" s="1">
        <f t="shared" si="12"/>
        <v>460.3600577284019</v>
      </c>
      <c r="R30" s="1">
        <f t="shared" si="12"/>
        <v>465.26782120085176</v>
      </c>
      <c r="S30" s="1">
        <f t="shared" si="12"/>
        <v>470.17558467330167</v>
      </c>
      <c r="T30" s="1">
        <f t="shared" si="12"/>
        <v>475.08334814575147</v>
      </c>
      <c r="U30" s="1">
        <f t="shared" si="12"/>
        <v>479.99111161820139</v>
      </c>
      <c r="V30" s="1">
        <f t="shared" si="12"/>
        <v>484.87791650788273</v>
      </c>
      <c r="W30" s="1">
        <f t="shared" si="12"/>
        <v>489.76472139756385</v>
      </c>
      <c r="X30" s="1">
        <f t="shared" si="12"/>
        <v>494.65152628724519</v>
      </c>
      <c r="Y30" s="1">
        <f t="shared" si="12"/>
        <v>499.53833117692631</v>
      </c>
      <c r="Z30" s="1">
        <f t="shared" si="12"/>
        <v>504.42513606660765</v>
      </c>
      <c r="AA30" s="1">
        <f t="shared" si="12"/>
        <v>509.36514849519529</v>
      </c>
      <c r="AB30" s="1">
        <f t="shared" si="12"/>
        <v>514.30516092378309</v>
      </c>
      <c r="AC30" s="1">
        <f t="shared" si="12"/>
        <v>519.24517335237078</v>
      </c>
      <c r="AD30" s="1">
        <f t="shared" si="12"/>
        <v>524.18518578095859</v>
      </c>
      <c r="AE30" s="1">
        <f t="shared" si="12"/>
        <v>529.12519820954628</v>
      </c>
      <c r="AF30" s="1">
        <f t="shared" si="12"/>
        <v>534.07038608403036</v>
      </c>
      <c r="AG30" s="1">
        <f t="shared" si="12"/>
        <v>539.01557395851432</v>
      </c>
      <c r="AH30" s="1">
        <f t="shared" si="12"/>
        <v>543.9607618329984</v>
      </c>
      <c r="AI30" s="1">
        <f t="shared" si="12"/>
        <v>548.90594970748225</v>
      </c>
      <c r="AJ30" s="1">
        <f t="shared" si="12"/>
        <v>553.85113758196633</v>
      </c>
      <c r="AK30" s="1">
        <f t="shared" si="12"/>
        <v>558.79632545645029</v>
      </c>
    </row>
    <row r="31" spans="1:46">
      <c r="A31" s="5" t="s">
        <v>838</v>
      </c>
    </row>
    <row r="32" spans="1:46" ht="15.75" customHeight="1">
      <c r="A32" s="10" t="s">
        <v>938</v>
      </c>
      <c r="B32" s="22"/>
      <c r="D32" s="391"/>
      <c r="E32" s="391"/>
      <c r="F32" s="391"/>
      <c r="G32" s="391"/>
      <c r="H32" s="391"/>
      <c r="I32" s="391"/>
      <c r="J32" s="391"/>
      <c r="K32" s="391"/>
      <c r="L32" s="391"/>
      <c r="M32" s="391"/>
      <c r="N32" s="391"/>
      <c r="O32" s="391"/>
      <c r="P32" s="391"/>
      <c r="Q32" s="391"/>
      <c r="R32" s="391"/>
      <c r="S32" s="391"/>
      <c r="T32" s="391"/>
      <c r="U32" s="391"/>
      <c r="V32" s="391"/>
      <c r="W32" s="391"/>
      <c r="X32" s="391"/>
      <c r="Y32" s="391"/>
      <c r="Z32" s="391"/>
      <c r="AA32" s="391"/>
      <c r="AB32" s="391"/>
      <c r="AC32" s="391"/>
      <c r="AD32" s="391"/>
      <c r="AE32" s="391"/>
      <c r="AF32" s="391"/>
      <c r="AG32" s="391"/>
      <c r="AH32" s="391"/>
      <c r="AI32" s="391"/>
      <c r="AJ32" s="391"/>
      <c r="AK32" s="391"/>
    </row>
    <row r="33" spans="1:46" ht="15.75" customHeight="1">
      <c r="A33" s="10"/>
      <c r="G33" s="10"/>
    </row>
    <row r="34" spans="1:46">
      <c r="A34" s="16" t="s">
        <v>28</v>
      </c>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row>
    <row r="35" spans="1:46">
      <c r="A35" s="17" t="s">
        <v>564</v>
      </c>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row>
    <row r="36" spans="1:46">
      <c r="B36">
        <v>2015</v>
      </c>
      <c r="C36">
        <v>2016</v>
      </c>
      <c r="D36">
        <v>2017</v>
      </c>
      <c r="E36">
        <v>2018</v>
      </c>
      <c r="F36">
        <v>2019</v>
      </c>
      <c r="G36">
        <v>2020</v>
      </c>
      <c r="H36">
        <v>2021</v>
      </c>
      <c r="I36">
        <v>2022</v>
      </c>
      <c r="J36">
        <v>2023</v>
      </c>
      <c r="K36">
        <v>2024</v>
      </c>
      <c r="L36">
        <v>2025</v>
      </c>
      <c r="M36">
        <v>2026</v>
      </c>
      <c r="N36">
        <v>2027</v>
      </c>
      <c r="O36">
        <v>2028</v>
      </c>
      <c r="P36">
        <v>2029</v>
      </c>
      <c r="Q36">
        <v>2030</v>
      </c>
      <c r="R36">
        <v>2031</v>
      </c>
      <c r="S36">
        <v>2032</v>
      </c>
      <c r="T36">
        <v>2033</v>
      </c>
      <c r="U36">
        <v>2034</v>
      </c>
      <c r="V36">
        <v>2035</v>
      </c>
      <c r="W36">
        <v>2036</v>
      </c>
      <c r="X36">
        <v>2037</v>
      </c>
      <c r="Y36">
        <v>2038</v>
      </c>
      <c r="Z36">
        <v>2039</v>
      </c>
      <c r="AA36">
        <v>2040</v>
      </c>
      <c r="AB36">
        <v>2041</v>
      </c>
      <c r="AC36">
        <v>2042</v>
      </c>
      <c r="AD36">
        <v>2043</v>
      </c>
      <c r="AE36">
        <v>2044</v>
      </c>
      <c r="AF36">
        <v>2045</v>
      </c>
      <c r="AG36">
        <v>2046</v>
      </c>
      <c r="AH36">
        <v>2047</v>
      </c>
      <c r="AI36">
        <v>2048</v>
      </c>
      <c r="AJ36">
        <v>2049</v>
      </c>
      <c r="AK36">
        <v>2050</v>
      </c>
    </row>
    <row r="37" spans="1:46" ht="15.75" customHeight="1">
      <c r="A37" s="240" t="s">
        <v>64</v>
      </c>
      <c r="B37" s="11">
        <v>33.521790075208308</v>
      </c>
      <c r="C37">
        <f t="shared" ref="C37:AK37" si="13">$B37*C4/$B4</f>
        <v>36.640293474569368</v>
      </c>
      <c r="D37">
        <f t="shared" si="13"/>
        <v>39.758796873930429</v>
      </c>
      <c r="E37">
        <f t="shared" si="13"/>
        <v>42.877300273291489</v>
      </c>
      <c r="F37">
        <f t="shared" si="13"/>
        <v>45.995803672652549</v>
      </c>
      <c r="G37">
        <f t="shared" si="13"/>
        <v>49.01334149046891</v>
      </c>
      <c r="H37">
        <f t="shared" si="13"/>
        <v>52.030879308285272</v>
      </c>
      <c r="I37">
        <f t="shared" si="13"/>
        <v>55.048417126101633</v>
      </c>
      <c r="J37">
        <f t="shared" si="13"/>
        <v>58.065954943918001</v>
      </c>
      <c r="K37">
        <f t="shared" si="13"/>
        <v>61.083492761734362</v>
      </c>
      <c r="L37">
        <f t="shared" si="13"/>
        <v>63.908632314115756</v>
      </c>
      <c r="M37">
        <f t="shared" si="13"/>
        <v>66.73377186649715</v>
      </c>
      <c r="N37">
        <f t="shared" si="13"/>
        <v>69.558911418878523</v>
      </c>
      <c r="O37">
        <f t="shared" si="13"/>
        <v>72.384050971259924</v>
      </c>
      <c r="P37">
        <f t="shared" si="13"/>
        <v>75.209190523641297</v>
      </c>
      <c r="Q37">
        <f t="shared" si="13"/>
        <v>77.917739664054963</v>
      </c>
      <c r="R37">
        <f t="shared" si="13"/>
        <v>80.626288804468615</v>
      </c>
      <c r="S37">
        <f t="shared" si="13"/>
        <v>83.334837944882267</v>
      </c>
      <c r="T37">
        <f t="shared" si="13"/>
        <v>86.043387085295919</v>
      </c>
      <c r="U37">
        <f t="shared" si="13"/>
        <v>88.751936225709571</v>
      </c>
      <c r="V37">
        <f t="shared" si="13"/>
        <v>91.452523109847533</v>
      </c>
      <c r="W37">
        <f t="shared" si="13"/>
        <v>94.153109993985524</v>
      </c>
      <c r="X37">
        <f t="shared" si="13"/>
        <v>96.853696878123486</v>
      </c>
      <c r="Y37">
        <f t="shared" si="13"/>
        <v>99.554283762261463</v>
      </c>
      <c r="Z37">
        <f t="shared" si="13"/>
        <v>102.25487064639943</v>
      </c>
      <c r="AA37">
        <f t="shared" si="13"/>
        <v>104.9740612166283</v>
      </c>
      <c r="AB37">
        <f t="shared" si="13"/>
        <v>107.69325178685716</v>
      </c>
      <c r="AC37">
        <f t="shared" si="13"/>
        <v>110.41244235708604</v>
      </c>
      <c r="AD37">
        <f t="shared" si="13"/>
        <v>113.1316329273149</v>
      </c>
      <c r="AE37">
        <f t="shared" si="13"/>
        <v>115.85082349754377</v>
      </c>
      <c r="AF37">
        <f t="shared" si="13"/>
        <v>118.56854923034545</v>
      </c>
      <c r="AG37">
        <f t="shared" si="13"/>
        <v>121.28627496314714</v>
      </c>
      <c r="AH37">
        <f t="shared" si="13"/>
        <v>124.00400069594882</v>
      </c>
      <c r="AI37">
        <f t="shared" si="13"/>
        <v>126.7217264287505</v>
      </c>
      <c r="AJ37">
        <f t="shared" si="13"/>
        <v>129.4394521615522</v>
      </c>
      <c r="AK37">
        <f t="shared" si="13"/>
        <v>132.15717789435385</v>
      </c>
    </row>
    <row r="38" spans="1:46" ht="15.75" customHeight="1">
      <c r="A38" s="240" t="s">
        <v>562</v>
      </c>
      <c r="B38" s="11">
        <v>39.026972476252233</v>
      </c>
      <c r="C38">
        <f t="shared" ref="C38:AK38" si="14">$B38*C5/$B5</f>
        <v>39.068428533418725</v>
      </c>
      <c r="D38">
        <f t="shared" si="14"/>
        <v>39.109884590585224</v>
      </c>
      <c r="E38">
        <f t="shared" si="14"/>
        <v>39.151340647751717</v>
      </c>
      <c r="F38">
        <f t="shared" si="14"/>
        <v>39.192796704918209</v>
      </c>
      <c r="G38">
        <f t="shared" si="14"/>
        <v>39.233497084697596</v>
      </c>
      <c r="H38">
        <f t="shared" si="14"/>
        <v>39.274197464476984</v>
      </c>
      <c r="I38">
        <f t="shared" si="14"/>
        <v>39.314897844256365</v>
      </c>
      <c r="J38">
        <f t="shared" si="14"/>
        <v>39.355598224035752</v>
      </c>
      <c r="K38">
        <f t="shared" si="14"/>
        <v>39.39629860381514</v>
      </c>
      <c r="L38">
        <f t="shared" si="14"/>
        <v>39.435328482150929</v>
      </c>
      <c r="M38">
        <f t="shared" si="14"/>
        <v>39.474358360486733</v>
      </c>
      <c r="N38">
        <f t="shared" si="14"/>
        <v>39.513388238822529</v>
      </c>
      <c r="O38">
        <f t="shared" si="14"/>
        <v>39.552418117158325</v>
      </c>
      <c r="P38">
        <f t="shared" si="14"/>
        <v>39.591447995494121</v>
      </c>
      <c r="Q38">
        <f t="shared" si="14"/>
        <v>39.628764706488951</v>
      </c>
      <c r="R38">
        <f t="shared" si="14"/>
        <v>39.666081417483781</v>
      </c>
      <c r="S38">
        <f t="shared" si="14"/>
        <v>39.703398128478604</v>
      </c>
      <c r="T38">
        <f t="shared" si="14"/>
        <v>39.740714839473434</v>
      </c>
      <c r="U38">
        <f t="shared" si="14"/>
        <v>39.778031550468263</v>
      </c>
      <c r="V38">
        <f t="shared" si="14"/>
        <v>39.814400707806541</v>
      </c>
      <c r="W38">
        <f t="shared" si="14"/>
        <v>39.850769865144819</v>
      </c>
      <c r="X38">
        <f t="shared" si="14"/>
        <v>39.88713902248309</v>
      </c>
      <c r="Y38">
        <f t="shared" si="14"/>
        <v>39.923508179821368</v>
      </c>
      <c r="Z38">
        <f t="shared" si="14"/>
        <v>39.959877337159647</v>
      </c>
      <c r="AA38">
        <f t="shared" si="14"/>
        <v>39.998872598742537</v>
      </c>
      <c r="AB38">
        <f t="shared" si="14"/>
        <v>40.037867860325427</v>
      </c>
      <c r="AC38">
        <f t="shared" si="14"/>
        <v>40.07686312190831</v>
      </c>
      <c r="AD38">
        <f t="shared" si="14"/>
        <v>40.115858383491201</v>
      </c>
      <c r="AE38">
        <f t="shared" si="14"/>
        <v>40.154853645074091</v>
      </c>
      <c r="AF38">
        <f t="shared" si="14"/>
        <v>40.19472884239029</v>
      </c>
      <c r="AG38">
        <f t="shared" si="14"/>
        <v>40.234604039706497</v>
      </c>
      <c r="AH38">
        <f t="shared" si="14"/>
        <v>40.274479237022696</v>
      </c>
      <c r="AI38">
        <f t="shared" si="14"/>
        <v>40.314354434338902</v>
      </c>
      <c r="AJ38">
        <f t="shared" si="14"/>
        <v>40.354229631655102</v>
      </c>
      <c r="AK38">
        <f t="shared" si="14"/>
        <v>40.394104828971308</v>
      </c>
    </row>
    <row r="39" spans="1:46" ht="15.75" customHeight="1">
      <c r="A39" s="240" t="s">
        <v>66</v>
      </c>
      <c r="B39" s="22">
        <v>0.27536735496975001</v>
      </c>
      <c r="C39">
        <f t="shared" ref="C39:AK39" si="15">$B39*C7/$B7</f>
        <v>0.27548641445473709</v>
      </c>
      <c r="D39">
        <f t="shared" si="15"/>
        <v>0.27560547393972423</v>
      </c>
      <c r="E39">
        <f t="shared" si="15"/>
        <v>0.27572453342471137</v>
      </c>
      <c r="F39">
        <f t="shared" si="15"/>
        <v>0.27584359290969845</v>
      </c>
      <c r="G39">
        <f t="shared" si="15"/>
        <v>0.27597511851449347</v>
      </c>
      <c r="H39">
        <f t="shared" si="15"/>
        <v>0.27610664411928854</v>
      </c>
      <c r="I39">
        <f t="shared" si="15"/>
        <v>0.27623816972408355</v>
      </c>
      <c r="J39">
        <f t="shared" si="15"/>
        <v>0.27636969532887856</v>
      </c>
      <c r="K39">
        <f t="shared" si="15"/>
        <v>0.27650122093367357</v>
      </c>
      <c r="L39">
        <f t="shared" si="15"/>
        <v>0.27664537001311756</v>
      </c>
      <c r="M39">
        <f t="shared" si="15"/>
        <v>0.27678951909256161</v>
      </c>
      <c r="N39">
        <f t="shared" si="15"/>
        <v>0.27693366817200565</v>
      </c>
      <c r="O39">
        <f t="shared" si="15"/>
        <v>0.2770778172514497</v>
      </c>
      <c r="P39">
        <f t="shared" si="15"/>
        <v>0.27722196633089369</v>
      </c>
      <c r="Q39">
        <f t="shared" si="15"/>
        <v>0.27737730243666903</v>
      </c>
      <c r="R39">
        <f t="shared" si="15"/>
        <v>0.27753263854244437</v>
      </c>
      <c r="S39">
        <f t="shared" si="15"/>
        <v>0.27768797464821965</v>
      </c>
      <c r="T39">
        <f t="shared" si="15"/>
        <v>0.27784331075399493</v>
      </c>
      <c r="U39">
        <f t="shared" si="15"/>
        <v>0.27799864685977027</v>
      </c>
      <c r="V39">
        <f t="shared" si="15"/>
        <v>0.27816779361028066</v>
      </c>
      <c r="W39">
        <f t="shared" si="15"/>
        <v>0.2783369403607911</v>
      </c>
      <c r="X39">
        <f t="shared" si="15"/>
        <v>0.27850608711130154</v>
      </c>
      <c r="Y39">
        <f t="shared" si="15"/>
        <v>0.27867523386181198</v>
      </c>
      <c r="Z39">
        <f t="shared" si="15"/>
        <v>0.27884438061232236</v>
      </c>
      <c r="AA39">
        <f t="shared" si="15"/>
        <v>0.27903490600485964</v>
      </c>
      <c r="AB39">
        <f t="shared" si="15"/>
        <v>0.27922543139739686</v>
      </c>
      <c r="AC39">
        <f t="shared" si="15"/>
        <v>0.27941595678993408</v>
      </c>
      <c r="AD39">
        <f t="shared" si="15"/>
        <v>0.27960648218247131</v>
      </c>
      <c r="AE39">
        <f t="shared" si="15"/>
        <v>0.27979700757500853</v>
      </c>
      <c r="AF39">
        <f t="shared" si="15"/>
        <v>0.28000793876331626</v>
      </c>
      <c r="AG39">
        <f t="shared" si="15"/>
        <v>0.28021886995162393</v>
      </c>
      <c r="AH39">
        <f t="shared" si="15"/>
        <v>0.2804298011399316</v>
      </c>
      <c r="AI39">
        <f t="shared" si="15"/>
        <v>0.28064073232823933</v>
      </c>
      <c r="AJ39">
        <f t="shared" si="15"/>
        <v>0.280851663516547</v>
      </c>
      <c r="AK39">
        <f t="shared" si="15"/>
        <v>0.28106259470485467</v>
      </c>
    </row>
    <row r="40" spans="1:46" ht="15.75" customHeight="1">
      <c r="A40" s="240" t="s">
        <v>65</v>
      </c>
      <c r="B40" s="11">
        <v>67.785625613240242</v>
      </c>
      <c r="C40">
        <f t="shared" ref="C40:AK40" si="16">$B40*C6/$B6</f>
        <v>67.820519581387771</v>
      </c>
      <c r="D40">
        <f t="shared" si="16"/>
        <v>67.855413549535285</v>
      </c>
      <c r="E40">
        <f t="shared" si="16"/>
        <v>67.890307517682814</v>
      </c>
      <c r="F40">
        <f t="shared" si="16"/>
        <v>67.925201485830343</v>
      </c>
      <c r="G40">
        <f t="shared" si="16"/>
        <v>67.961950991342846</v>
      </c>
      <c r="H40">
        <f t="shared" si="16"/>
        <v>67.998700496855363</v>
      </c>
      <c r="I40">
        <f t="shared" si="16"/>
        <v>68.035450002367881</v>
      </c>
      <c r="J40">
        <f t="shared" si="16"/>
        <v>68.072199507880384</v>
      </c>
      <c r="K40">
        <f t="shared" si="16"/>
        <v>68.108949013392902</v>
      </c>
      <c r="L40">
        <f t="shared" si="16"/>
        <v>68.143286031224406</v>
      </c>
      <c r="M40">
        <f t="shared" si="16"/>
        <v>68.177623049055924</v>
      </c>
      <c r="N40">
        <f t="shared" si="16"/>
        <v>68.211960066887443</v>
      </c>
      <c r="O40">
        <f t="shared" si="16"/>
        <v>68.246297084718961</v>
      </c>
      <c r="P40">
        <f t="shared" si="16"/>
        <v>68.280634102550479</v>
      </c>
      <c r="Q40">
        <f t="shared" si="16"/>
        <v>68.311968421140804</v>
      </c>
      <c r="R40">
        <f t="shared" si="16"/>
        <v>68.343302739731143</v>
      </c>
      <c r="S40">
        <f t="shared" si="16"/>
        <v>68.374637058321468</v>
      </c>
      <c r="T40">
        <f t="shared" si="16"/>
        <v>68.405971376911808</v>
      </c>
      <c r="U40">
        <f t="shared" si="16"/>
        <v>68.437305695502147</v>
      </c>
      <c r="V40">
        <f t="shared" si="16"/>
        <v>68.46873839823327</v>
      </c>
      <c r="W40">
        <f t="shared" si="16"/>
        <v>68.500171100964394</v>
      </c>
      <c r="X40">
        <f t="shared" si="16"/>
        <v>68.531603803695518</v>
      </c>
      <c r="Y40">
        <f t="shared" si="16"/>
        <v>68.563036506426656</v>
      </c>
      <c r="Z40">
        <f t="shared" si="16"/>
        <v>68.594469209157779</v>
      </c>
      <c r="AA40">
        <f t="shared" si="16"/>
        <v>68.628867464050614</v>
      </c>
      <c r="AB40">
        <f t="shared" si="16"/>
        <v>68.663265718943435</v>
      </c>
      <c r="AC40">
        <f t="shared" si="16"/>
        <v>68.697663973836271</v>
      </c>
      <c r="AD40">
        <f t="shared" si="16"/>
        <v>68.732062228729106</v>
      </c>
      <c r="AE40">
        <f t="shared" si="16"/>
        <v>68.766460483621927</v>
      </c>
      <c r="AF40">
        <f t="shared" si="16"/>
        <v>68.804413493633817</v>
      </c>
      <c r="AG40">
        <f t="shared" si="16"/>
        <v>68.842366503645707</v>
      </c>
      <c r="AH40">
        <f t="shared" si="16"/>
        <v>68.880319513657582</v>
      </c>
      <c r="AI40">
        <f t="shared" si="16"/>
        <v>68.918272523669472</v>
      </c>
      <c r="AJ40">
        <f t="shared" si="16"/>
        <v>68.956225533681348</v>
      </c>
      <c r="AK40">
        <f t="shared" si="16"/>
        <v>68.994178543693224</v>
      </c>
    </row>
    <row r="41" spans="1:46" ht="15.75" customHeight="1">
      <c r="A41" s="240" t="s">
        <v>563</v>
      </c>
      <c r="B41" s="11">
        <v>9.5300328350712906</v>
      </c>
      <c r="C41">
        <f>$B$41*SUM(C37:C40)/SUM($B$37:$B$40)</f>
        <v>9.7465767908492023</v>
      </c>
      <c r="D41">
        <f t="shared" ref="D41:AK41" si="17">$B$41*SUM(D37:D40)/SUM($B$37:$B$40)</f>
        <v>9.9631207466271174</v>
      </c>
      <c r="E41">
        <f t="shared" si="17"/>
        <v>10.179664702405031</v>
      </c>
      <c r="F41">
        <f t="shared" si="17"/>
        <v>10.396208658182944</v>
      </c>
      <c r="G41">
        <f t="shared" si="17"/>
        <v>10.605984912818201</v>
      </c>
      <c r="H41">
        <f t="shared" si="17"/>
        <v>10.815761167453463</v>
      </c>
      <c r="I41">
        <f t="shared" si="17"/>
        <v>11.025537422088719</v>
      </c>
      <c r="J41">
        <f t="shared" si="17"/>
        <v>11.235313676723981</v>
      </c>
      <c r="K41">
        <f t="shared" si="17"/>
        <v>11.44508993135924</v>
      </c>
      <c r="L41">
        <f t="shared" si="17"/>
        <v>11.641550235771978</v>
      </c>
      <c r="M41">
        <f t="shared" si="17"/>
        <v>11.838010540184719</v>
      </c>
      <c r="N41">
        <f t="shared" si="17"/>
        <v>12.034470844597456</v>
      </c>
      <c r="O41">
        <f t="shared" si="17"/>
        <v>12.230931149010194</v>
      </c>
      <c r="P41">
        <f t="shared" si="17"/>
        <v>12.427391453422933</v>
      </c>
      <c r="Q41">
        <f t="shared" si="17"/>
        <v>12.615630804739778</v>
      </c>
      <c r="R41">
        <f t="shared" si="17"/>
        <v>12.80387015605662</v>
      </c>
      <c r="S41">
        <f t="shared" si="17"/>
        <v>12.992109507373465</v>
      </c>
      <c r="T41">
        <f t="shared" si="17"/>
        <v>13.180348858690307</v>
      </c>
      <c r="U41">
        <f t="shared" si="17"/>
        <v>13.368588210007154</v>
      </c>
      <c r="V41">
        <f t="shared" si="17"/>
        <v>13.556231290027537</v>
      </c>
      <c r="W41">
        <f t="shared" si="17"/>
        <v>13.743874370047923</v>
      </c>
      <c r="X41">
        <f t="shared" si="17"/>
        <v>13.931517450068309</v>
      </c>
      <c r="Y41">
        <f t="shared" si="17"/>
        <v>14.119160530088696</v>
      </c>
      <c r="Z41">
        <f t="shared" si="17"/>
        <v>14.30680361010908</v>
      </c>
      <c r="AA41">
        <f t="shared" si="17"/>
        <v>14.49608801399609</v>
      </c>
      <c r="AB41">
        <f t="shared" si="17"/>
        <v>14.685372417883102</v>
      </c>
      <c r="AC41">
        <f t="shared" si="17"/>
        <v>14.874656821770111</v>
      </c>
      <c r="AD41">
        <f t="shared" si="17"/>
        <v>15.063941225657121</v>
      </c>
      <c r="AE41">
        <f t="shared" si="17"/>
        <v>15.253225629544129</v>
      </c>
      <c r="AF41">
        <f t="shared" si="17"/>
        <v>15.442712702644636</v>
      </c>
      <c r="AG41">
        <f t="shared" si="17"/>
        <v>15.632199775745145</v>
      </c>
      <c r="AH41">
        <f t="shared" si="17"/>
        <v>15.821686848845651</v>
      </c>
      <c r="AI41">
        <f t="shared" si="17"/>
        <v>16.011173921946156</v>
      </c>
      <c r="AJ41">
        <f t="shared" si="17"/>
        <v>16.200660995046665</v>
      </c>
      <c r="AK41">
        <f t="shared" si="17"/>
        <v>16.390148068147166</v>
      </c>
    </row>
    <row r="42" spans="1:46" ht="15.75" customHeight="1">
      <c r="A42" s="10"/>
      <c r="G42" s="10"/>
    </row>
    <row r="43" spans="1:46">
      <c r="A43" s="329" t="s">
        <v>935</v>
      </c>
      <c r="B43" s="1">
        <f>SUM(B37:B41)</f>
        <v>150.13978835474182</v>
      </c>
      <c r="C43" s="1">
        <f t="shared" ref="C43:AK43" si="18">SUM(C37:C41)</f>
        <v>153.55130479467977</v>
      </c>
      <c r="D43" s="1">
        <f t="shared" si="18"/>
        <v>156.96282123461776</v>
      </c>
      <c r="E43" s="1">
        <f t="shared" si="18"/>
        <v>160.37433767455576</v>
      </c>
      <c r="F43" s="1">
        <f t="shared" si="18"/>
        <v>163.78585411449376</v>
      </c>
      <c r="G43" s="1">
        <f t="shared" si="18"/>
        <v>167.09074959784203</v>
      </c>
      <c r="H43" s="1">
        <f t="shared" si="18"/>
        <v>170.39564508119039</v>
      </c>
      <c r="I43" s="1">
        <f t="shared" si="18"/>
        <v>173.70054056453867</v>
      </c>
      <c r="J43" s="1">
        <f t="shared" si="18"/>
        <v>177.00543604788703</v>
      </c>
      <c r="K43" s="1">
        <f t="shared" si="18"/>
        <v>180.31033153123531</v>
      </c>
      <c r="L43" s="1">
        <f t="shared" si="18"/>
        <v>183.40544243327619</v>
      </c>
      <c r="M43" s="1">
        <f t="shared" si="18"/>
        <v>186.50055333531708</v>
      </c>
      <c r="N43" s="1">
        <f t="shared" si="18"/>
        <v>189.59566423735797</v>
      </c>
      <c r="O43" s="1">
        <f t="shared" si="18"/>
        <v>192.69077513939885</v>
      </c>
      <c r="P43" s="1">
        <f t="shared" si="18"/>
        <v>195.78588604143974</v>
      </c>
      <c r="Q43" s="1">
        <f t="shared" si="18"/>
        <v>198.75148089886116</v>
      </c>
      <c r="R43" s="1">
        <f t="shared" si="18"/>
        <v>201.71707575628261</v>
      </c>
      <c r="S43" s="1">
        <f t="shared" si="18"/>
        <v>204.68267061370403</v>
      </c>
      <c r="T43" s="1">
        <f t="shared" si="18"/>
        <v>207.64826547112546</v>
      </c>
      <c r="U43" s="1">
        <f t="shared" si="18"/>
        <v>210.61386032854691</v>
      </c>
      <c r="V43" s="1">
        <f t="shared" si="18"/>
        <v>213.57006129952515</v>
      </c>
      <c r="W43" s="1">
        <f t="shared" si="18"/>
        <v>216.52626227050345</v>
      </c>
      <c r="X43" s="1">
        <f t="shared" si="18"/>
        <v>219.48246324148172</v>
      </c>
      <c r="Y43" s="1">
        <f t="shared" si="18"/>
        <v>222.43866421246</v>
      </c>
      <c r="Z43" s="1">
        <f t="shared" si="18"/>
        <v>225.39486518343827</v>
      </c>
      <c r="AA43" s="1">
        <f t="shared" si="18"/>
        <v>228.37692419942238</v>
      </c>
      <c r="AB43" s="1">
        <f t="shared" si="18"/>
        <v>231.35898321540657</v>
      </c>
      <c r="AC43" s="1">
        <f t="shared" si="18"/>
        <v>234.34104223139067</v>
      </c>
      <c r="AD43" s="1">
        <f t="shared" si="18"/>
        <v>237.32310124737478</v>
      </c>
      <c r="AE43" s="1">
        <f t="shared" si="18"/>
        <v>240.30516026335891</v>
      </c>
      <c r="AF43" s="1">
        <f t="shared" si="18"/>
        <v>243.29041220777751</v>
      </c>
      <c r="AG43" s="1">
        <f t="shared" si="18"/>
        <v>246.2756641521961</v>
      </c>
      <c r="AH43" s="1">
        <f t="shared" si="18"/>
        <v>249.26091609661469</v>
      </c>
      <c r="AI43" s="1">
        <f t="shared" si="18"/>
        <v>252.24616804103326</v>
      </c>
      <c r="AJ43" s="1">
        <f t="shared" si="18"/>
        <v>255.23141998545188</v>
      </c>
      <c r="AK43" s="1">
        <f t="shared" si="18"/>
        <v>258.21667192987036</v>
      </c>
    </row>
    <row r="44" spans="1:46" s="391" customFormat="1">
      <c r="A44" s="71" t="s">
        <v>111</v>
      </c>
      <c r="B44" s="1">
        <v>29</v>
      </c>
      <c r="C44" s="1">
        <f>B44*C43/B43</f>
        <v>29.658945758764791</v>
      </c>
      <c r="D44" s="1">
        <f t="shared" ref="D44:AK44" si="19">C44*D43/C43</f>
        <v>30.317891517529596</v>
      </c>
      <c r="E44" s="1">
        <f t="shared" si="19"/>
        <v>30.976837276294397</v>
      </c>
      <c r="F44" s="1">
        <f t="shared" si="19"/>
        <v>31.635783035059195</v>
      </c>
      <c r="G44" s="1">
        <f t="shared" si="19"/>
        <v>32.274134601072127</v>
      </c>
      <c r="H44" s="1">
        <f t="shared" si="19"/>
        <v>32.912486167085078</v>
      </c>
      <c r="I44" s="1">
        <f t="shared" si="19"/>
        <v>33.550837733098014</v>
      </c>
      <c r="J44" s="1">
        <f t="shared" si="19"/>
        <v>34.189189299110964</v>
      </c>
      <c r="K44" s="1">
        <f t="shared" si="19"/>
        <v>34.8275408651239</v>
      </c>
      <c r="L44" s="1">
        <f t="shared" si="19"/>
        <v>35.425371840795123</v>
      </c>
      <c r="M44" s="1">
        <f t="shared" si="19"/>
        <v>36.023202816466338</v>
      </c>
      <c r="N44" s="1">
        <f t="shared" si="19"/>
        <v>36.62103379213756</v>
      </c>
      <c r="O44" s="1">
        <f t="shared" si="19"/>
        <v>37.218864767808782</v>
      </c>
      <c r="P44" s="1">
        <f t="shared" si="19"/>
        <v>37.816695743480004</v>
      </c>
      <c r="Q44" s="1">
        <f t="shared" si="19"/>
        <v>38.389510263918915</v>
      </c>
      <c r="R44" s="1">
        <f t="shared" si="19"/>
        <v>38.962324784357833</v>
      </c>
      <c r="S44" s="1">
        <f t="shared" si="19"/>
        <v>39.535139304796743</v>
      </c>
      <c r="T44" s="1">
        <f t="shared" si="19"/>
        <v>40.107953825235654</v>
      </c>
      <c r="U44" s="1">
        <f t="shared" si="19"/>
        <v>40.680768345674572</v>
      </c>
      <c r="V44" s="1">
        <f t="shared" si="19"/>
        <v>41.251768405670738</v>
      </c>
      <c r="W44" s="1">
        <f t="shared" si="19"/>
        <v>41.822768465666911</v>
      </c>
      <c r="X44" s="1">
        <f t="shared" si="19"/>
        <v>42.393768525663077</v>
      </c>
      <c r="Y44" s="1">
        <f t="shared" si="19"/>
        <v>42.96476858565925</v>
      </c>
      <c r="Z44" s="1">
        <f t="shared" si="19"/>
        <v>43.535768645655416</v>
      </c>
      <c r="AA44" s="1">
        <f t="shared" si="19"/>
        <v>44.111763273136901</v>
      </c>
      <c r="AB44" s="1">
        <f t="shared" si="19"/>
        <v>44.687757900618408</v>
      </c>
      <c r="AC44" s="1">
        <f t="shared" si="19"/>
        <v>45.2637525280999</v>
      </c>
      <c r="AD44" s="1">
        <f t="shared" si="19"/>
        <v>45.839747155581385</v>
      </c>
      <c r="AE44" s="1">
        <f t="shared" si="19"/>
        <v>46.415741783062884</v>
      </c>
      <c r="AF44" s="1">
        <f t="shared" si="19"/>
        <v>46.992353135302118</v>
      </c>
      <c r="AG44" s="1">
        <f t="shared" si="19"/>
        <v>47.568964487541344</v>
      </c>
      <c r="AH44" s="1">
        <f t="shared" si="19"/>
        <v>48.14557583978057</v>
      </c>
      <c r="AI44" s="1">
        <f t="shared" si="19"/>
        <v>48.722187192019788</v>
      </c>
      <c r="AJ44" s="1">
        <f t="shared" si="19"/>
        <v>49.298798544259022</v>
      </c>
      <c r="AK44" s="1">
        <f t="shared" si="19"/>
        <v>49.875409896498226</v>
      </c>
    </row>
    <row r="45" spans="1:46" s="329" customFormat="1">
      <c r="A45" s="393" t="s">
        <v>838</v>
      </c>
      <c r="B45" s="396"/>
      <c r="C45" s="396"/>
      <c r="D45" s="396"/>
      <c r="E45" s="396"/>
      <c r="F45" s="396"/>
      <c r="G45" s="396"/>
      <c r="H45" s="396"/>
      <c r="I45" s="396"/>
      <c r="J45" s="396"/>
      <c r="K45" s="396"/>
      <c r="L45" s="396"/>
      <c r="M45" s="396"/>
      <c r="N45" s="396"/>
      <c r="O45" s="396"/>
      <c r="P45" s="396"/>
      <c r="Q45" s="396"/>
      <c r="R45" s="396"/>
      <c r="S45" s="396"/>
      <c r="T45" s="396"/>
      <c r="U45" s="396"/>
      <c r="V45" s="396"/>
      <c r="W45" s="396"/>
      <c r="X45" s="396"/>
      <c r="Y45" s="396"/>
      <c r="Z45" s="396"/>
      <c r="AA45" s="396"/>
      <c r="AB45" s="396"/>
      <c r="AC45" s="396"/>
      <c r="AD45" s="396"/>
      <c r="AE45" s="396"/>
      <c r="AF45" s="396"/>
      <c r="AG45" s="396"/>
      <c r="AH45" s="396"/>
      <c r="AI45" s="396"/>
      <c r="AJ45" s="396"/>
      <c r="AK45" s="396"/>
    </row>
    <row r="46" spans="1:46" s="391" customFormat="1">
      <c r="A46" s="329" t="s">
        <v>938</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46" ht="15.75" customHeight="1">
      <c r="A47" s="10"/>
      <c r="G47" s="10"/>
    </row>
    <row r="48" spans="1:46">
      <c r="A48" s="17" t="s">
        <v>565</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row>
    <row r="49" spans="1:37">
      <c r="B49">
        <v>2015</v>
      </c>
      <c r="C49">
        <v>2016</v>
      </c>
      <c r="D49">
        <v>2017</v>
      </c>
      <c r="E49">
        <v>2018</v>
      </c>
      <c r="F49">
        <v>2019</v>
      </c>
      <c r="G49">
        <v>2020</v>
      </c>
      <c r="H49">
        <v>2021</v>
      </c>
      <c r="I49">
        <v>2022</v>
      </c>
      <c r="J49">
        <v>2023</v>
      </c>
      <c r="K49">
        <v>2024</v>
      </c>
      <c r="L49">
        <v>2025</v>
      </c>
      <c r="M49">
        <v>2026</v>
      </c>
      <c r="N49">
        <v>2027</v>
      </c>
      <c r="O49">
        <v>2028</v>
      </c>
      <c r="P49">
        <v>2029</v>
      </c>
      <c r="Q49">
        <v>2030</v>
      </c>
      <c r="R49">
        <v>2031</v>
      </c>
      <c r="S49">
        <v>2032</v>
      </c>
      <c r="T49">
        <v>2033</v>
      </c>
      <c r="U49">
        <v>2034</v>
      </c>
      <c r="V49">
        <v>2035</v>
      </c>
      <c r="W49">
        <v>2036</v>
      </c>
      <c r="X49">
        <v>2037</v>
      </c>
      <c r="Y49">
        <v>2038</v>
      </c>
      <c r="Z49">
        <v>2039</v>
      </c>
      <c r="AA49">
        <v>2040</v>
      </c>
      <c r="AB49">
        <v>2041</v>
      </c>
      <c r="AC49">
        <v>2042</v>
      </c>
      <c r="AD49">
        <v>2043</v>
      </c>
      <c r="AE49">
        <v>2044</v>
      </c>
      <c r="AF49">
        <v>2045</v>
      </c>
      <c r="AG49">
        <v>2046</v>
      </c>
      <c r="AH49">
        <v>2047</v>
      </c>
      <c r="AI49">
        <v>2048</v>
      </c>
      <c r="AJ49">
        <v>2049</v>
      </c>
      <c r="AK49">
        <v>2050</v>
      </c>
    </row>
    <row r="50" spans="1:37" ht="15.75" customHeight="1">
      <c r="A50" s="240" t="s">
        <v>64</v>
      </c>
      <c r="B50" s="11">
        <v>1.26498358516302</v>
      </c>
      <c r="C50">
        <f t="shared" ref="C50:AK50" si="20">$B50*C4/$B4</f>
        <v>1.3826639238805014</v>
      </c>
      <c r="D50">
        <f t="shared" si="20"/>
        <v>1.5003442625979828</v>
      </c>
      <c r="E50">
        <f t="shared" si="20"/>
        <v>1.6180246013154642</v>
      </c>
      <c r="F50">
        <f t="shared" si="20"/>
        <v>1.7357049400329454</v>
      </c>
      <c r="G50">
        <f t="shared" si="20"/>
        <v>1.8495752255571478</v>
      </c>
      <c r="H50">
        <f t="shared" si="20"/>
        <v>1.96344551108135</v>
      </c>
      <c r="I50">
        <f t="shared" si="20"/>
        <v>2.0773157966055522</v>
      </c>
      <c r="J50">
        <f t="shared" si="20"/>
        <v>2.1911860821297542</v>
      </c>
      <c r="K50">
        <f t="shared" si="20"/>
        <v>2.3050563676539566</v>
      </c>
      <c r="L50">
        <f t="shared" si="20"/>
        <v>2.4116662817289303</v>
      </c>
      <c r="M50">
        <f t="shared" si="20"/>
        <v>2.5182761958039039</v>
      </c>
      <c r="N50">
        <f t="shared" si="20"/>
        <v>2.6248861098788776</v>
      </c>
      <c r="O50">
        <f t="shared" si="20"/>
        <v>2.7314960239538508</v>
      </c>
      <c r="P50">
        <f t="shared" si="20"/>
        <v>2.838105938028824</v>
      </c>
      <c r="Q50">
        <f t="shared" si="20"/>
        <v>2.9403161778323557</v>
      </c>
      <c r="R50">
        <f t="shared" si="20"/>
        <v>3.0425264176358868</v>
      </c>
      <c r="S50">
        <f t="shared" si="20"/>
        <v>3.1447366574394184</v>
      </c>
      <c r="T50">
        <f t="shared" si="20"/>
        <v>3.2469468972429496</v>
      </c>
      <c r="U50">
        <f t="shared" si="20"/>
        <v>3.3491571370464812</v>
      </c>
      <c r="V50">
        <f t="shared" si="20"/>
        <v>3.4510669118847765</v>
      </c>
      <c r="W50">
        <f t="shared" si="20"/>
        <v>3.5529766867230719</v>
      </c>
      <c r="X50">
        <f t="shared" si="20"/>
        <v>3.6548864615613672</v>
      </c>
      <c r="Y50">
        <f t="shared" si="20"/>
        <v>3.7567962363996625</v>
      </c>
      <c r="Z50">
        <f t="shared" si="20"/>
        <v>3.8587060112379579</v>
      </c>
      <c r="AA50">
        <f t="shared" si="20"/>
        <v>3.9613178177241966</v>
      </c>
      <c r="AB50">
        <f t="shared" si="20"/>
        <v>4.0639296242104352</v>
      </c>
      <c r="AC50">
        <f t="shared" si="20"/>
        <v>4.1665414306966735</v>
      </c>
      <c r="AD50">
        <f t="shared" si="20"/>
        <v>4.2691532371829126</v>
      </c>
      <c r="AE50">
        <f t="shared" si="20"/>
        <v>4.3717650436691509</v>
      </c>
      <c r="AF50">
        <f t="shared" si="20"/>
        <v>4.4743215728179875</v>
      </c>
      <c r="AG50">
        <f t="shared" si="20"/>
        <v>4.5768781019668232</v>
      </c>
      <c r="AH50">
        <f t="shared" si="20"/>
        <v>4.6794346311156589</v>
      </c>
      <c r="AI50">
        <f t="shared" si="20"/>
        <v>4.7819911602644956</v>
      </c>
      <c r="AJ50">
        <f t="shared" si="20"/>
        <v>4.8845476894133313</v>
      </c>
      <c r="AK50">
        <f t="shared" si="20"/>
        <v>4.9871042185621679</v>
      </c>
    </row>
    <row r="51" spans="1:37" ht="15.75" customHeight="1">
      <c r="A51" s="240" t="s">
        <v>562</v>
      </c>
      <c r="B51" s="11">
        <v>8.0636331055946204</v>
      </c>
      <c r="C51">
        <f t="shared" ref="C51:AK51" si="21">$B51*C5/$B5</f>
        <v>8.0721986287132417</v>
      </c>
      <c r="D51">
        <f t="shared" si="21"/>
        <v>8.0807641518318647</v>
      </c>
      <c r="E51">
        <f t="shared" si="21"/>
        <v>8.0893296749504877</v>
      </c>
      <c r="F51">
        <f t="shared" si="21"/>
        <v>8.097895198069109</v>
      </c>
      <c r="G51">
        <f t="shared" si="21"/>
        <v>8.1063045854485445</v>
      </c>
      <c r="H51">
        <f t="shared" si="21"/>
        <v>8.1147139728279782</v>
      </c>
      <c r="I51">
        <f t="shared" si="21"/>
        <v>8.123123360207412</v>
      </c>
      <c r="J51">
        <f t="shared" si="21"/>
        <v>8.1315327475868457</v>
      </c>
      <c r="K51">
        <f t="shared" si="21"/>
        <v>8.1399421349662795</v>
      </c>
      <c r="L51">
        <f t="shared" si="21"/>
        <v>8.1480063684716431</v>
      </c>
      <c r="M51">
        <f t="shared" si="21"/>
        <v>8.1560706019770066</v>
      </c>
      <c r="N51">
        <f t="shared" si="21"/>
        <v>8.1641348354823684</v>
      </c>
      <c r="O51">
        <f t="shared" si="21"/>
        <v>8.172199068987732</v>
      </c>
      <c r="P51">
        <f t="shared" si="21"/>
        <v>8.1802633024930937</v>
      </c>
      <c r="Q51">
        <f t="shared" si="21"/>
        <v>8.1879735666278002</v>
      </c>
      <c r="R51">
        <f t="shared" si="21"/>
        <v>8.1956838307625066</v>
      </c>
      <c r="S51">
        <f t="shared" si="21"/>
        <v>8.2033940948972113</v>
      </c>
      <c r="T51">
        <f t="shared" si="21"/>
        <v>8.2111043590319177</v>
      </c>
      <c r="U51">
        <f t="shared" si="21"/>
        <v>8.2188146231666241</v>
      </c>
      <c r="V51">
        <f t="shared" si="21"/>
        <v>8.2263291066770723</v>
      </c>
      <c r="W51">
        <f t="shared" si="21"/>
        <v>8.2338435901875204</v>
      </c>
      <c r="X51">
        <f t="shared" si="21"/>
        <v>8.2413580736979686</v>
      </c>
      <c r="Y51">
        <f t="shared" si="21"/>
        <v>8.2488725572084167</v>
      </c>
      <c r="Z51">
        <f t="shared" si="21"/>
        <v>8.2563870407188649</v>
      </c>
      <c r="AA51">
        <f t="shared" si="21"/>
        <v>8.2644441218171334</v>
      </c>
      <c r="AB51">
        <f t="shared" si="21"/>
        <v>8.2725012029154037</v>
      </c>
      <c r="AC51">
        <f t="shared" si="21"/>
        <v>8.280558284013674</v>
      </c>
      <c r="AD51">
        <f t="shared" si="21"/>
        <v>8.2886153651119425</v>
      </c>
      <c r="AE51">
        <f t="shared" si="21"/>
        <v>8.296672446210211</v>
      </c>
      <c r="AF51">
        <f t="shared" si="21"/>
        <v>8.3049113369252598</v>
      </c>
      <c r="AG51">
        <f t="shared" si="21"/>
        <v>8.3131502276403086</v>
      </c>
      <c r="AH51">
        <f t="shared" si="21"/>
        <v>8.3213891183553574</v>
      </c>
      <c r="AI51">
        <f t="shared" si="21"/>
        <v>8.3296280090704062</v>
      </c>
      <c r="AJ51">
        <f t="shared" si="21"/>
        <v>8.337866899785455</v>
      </c>
      <c r="AK51">
        <f t="shared" si="21"/>
        <v>8.3461057905005038</v>
      </c>
    </row>
    <row r="52" spans="1:37" ht="15.75" customHeight="1">
      <c r="A52" s="240" t="s">
        <v>66</v>
      </c>
      <c r="B52" s="11">
        <v>4.4073032731200001E-2</v>
      </c>
      <c r="C52">
        <f t="shared" ref="C52:AK52" si="22">$B52*C7/$B7</f>
        <v>4.4092088412580152E-2</v>
      </c>
      <c r="D52">
        <f t="shared" si="22"/>
        <v>4.4111144093960296E-2</v>
      </c>
      <c r="E52">
        <f t="shared" si="22"/>
        <v>4.413019977534044E-2</v>
      </c>
      <c r="F52">
        <f t="shared" si="22"/>
        <v>4.4149255456720583E-2</v>
      </c>
      <c r="G52">
        <f t="shared" si="22"/>
        <v>4.4170306362648626E-2</v>
      </c>
      <c r="H52">
        <f t="shared" si="22"/>
        <v>4.4191357268576661E-2</v>
      </c>
      <c r="I52">
        <f t="shared" si="22"/>
        <v>4.4212408174504711E-2</v>
      </c>
      <c r="J52">
        <f t="shared" si="22"/>
        <v>4.4233459080432747E-2</v>
      </c>
      <c r="K52">
        <f t="shared" si="22"/>
        <v>4.4254509986360782E-2</v>
      </c>
      <c r="L52">
        <f t="shared" si="22"/>
        <v>4.4277581301757664E-2</v>
      </c>
      <c r="M52">
        <f t="shared" si="22"/>
        <v>4.4300652617154532E-2</v>
      </c>
      <c r="N52">
        <f t="shared" si="22"/>
        <v>4.43237239325514E-2</v>
      </c>
      <c r="O52">
        <f t="shared" si="22"/>
        <v>4.4346795247948274E-2</v>
      </c>
      <c r="P52">
        <f t="shared" si="22"/>
        <v>4.4369866563345142E-2</v>
      </c>
      <c r="Q52">
        <f t="shared" si="22"/>
        <v>4.4394728382114196E-2</v>
      </c>
      <c r="R52">
        <f t="shared" si="22"/>
        <v>4.4419590200883256E-2</v>
      </c>
      <c r="S52">
        <f t="shared" si="22"/>
        <v>4.4444452019652303E-2</v>
      </c>
      <c r="T52">
        <f t="shared" si="22"/>
        <v>4.4469313838421363E-2</v>
      </c>
      <c r="U52">
        <f t="shared" si="22"/>
        <v>4.4494175657190424E-2</v>
      </c>
      <c r="V52">
        <f t="shared" si="22"/>
        <v>4.4521247894102597E-2</v>
      </c>
      <c r="W52">
        <f t="shared" si="22"/>
        <v>4.4548320131014785E-2</v>
      </c>
      <c r="X52">
        <f t="shared" si="22"/>
        <v>4.4575392367926972E-2</v>
      </c>
      <c r="Y52">
        <f t="shared" si="22"/>
        <v>4.4602464604839152E-2</v>
      </c>
      <c r="Z52">
        <f t="shared" si="22"/>
        <v>4.462953684175134E-2</v>
      </c>
      <c r="AA52">
        <f t="shared" si="22"/>
        <v>4.4660030768173146E-2</v>
      </c>
      <c r="AB52">
        <f t="shared" si="22"/>
        <v>4.4690524694594967E-2</v>
      </c>
      <c r="AC52">
        <f t="shared" si="22"/>
        <v>4.4721018621016788E-2</v>
      </c>
      <c r="AD52">
        <f t="shared" si="22"/>
        <v>4.4751512547438609E-2</v>
      </c>
      <c r="AE52">
        <f t="shared" si="22"/>
        <v>4.4782006473860429E-2</v>
      </c>
      <c r="AF52">
        <f t="shared" si="22"/>
        <v>4.4815766384026012E-2</v>
      </c>
      <c r="AG52">
        <f t="shared" si="22"/>
        <v>4.4849526294191609E-2</v>
      </c>
      <c r="AH52">
        <f t="shared" si="22"/>
        <v>4.4883286204357206E-2</v>
      </c>
      <c r="AI52">
        <f t="shared" si="22"/>
        <v>4.4917046114522789E-2</v>
      </c>
      <c r="AJ52">
        <f t="shared" si="22"/>
        <v>4.4950806024688386E-2</v>
      </c>
      <c r="AK52">
        <f t="shared" si="22"/>
        <v>4.4984565934853983E-2</v>
      </c>
    </row>
    <row r="53" spans="1:37" ht="15.75" customHeight="1">
      <c r="A53" s="240" t="s">
        <v>65</v>
      </c>
      <c r="B53" s="11">
        <v>0.38891002188433998</v>
      </c>
      <c r="C53">
        <f t="shared" ref="C53:AK53" si="23">$B53*C6/$B6</f>
        <v>0.38911022087628133</v>
      </c>
      <c r="D53">
        <f t="shared" si="23"/>
        <v>0.38931041986822268</v>
      </c>
      <c r="E53">
        <f t="shared" si="23"/>
        <v>0.38951061886016403</v>
      </c>
      <c r="F53">
        <f t="shared" si="23"/>
        <v>0.38971081785210543</v>
      </c>
      <c r="G53">
        <f t="shared" si="23"/>
        <v>0.38992166271580347</v>
      </c>
      <c r="H53">
        <f t="shared" si="23"/>
        <v>0.39013250757950146</v>
      </c>
      <c r="I53">
        <f t="shared" si="23"/>
        <v>0.39034335244319951</v>
      </c>
      <c r="J53">
        <f t="shared" si="23"/>
        <v>0.39055419730689761</v>
      </c>
      <c r="K53">
        <f t="shared" si="23"/>
        <v>0.39076504217059566</v>
      </c>
      <c r="L53">
        <f t="shared" si="23"/>
        <v>0.39096204574230403</v>
      </c>
      <c r="M53">
        <f t="shared" si="23"/>
        <v>0.39115904931401246</v>
      </c>
      <c r="N53">
        <f t="shared" si="23"/>
        <v>0.39135605288572084</v>
      </c>
      <c r="O53">
        <f t="shared" si="23"/>
        <v>0.39155305645742927</v>
      </c>
      <c r="P53">
        <f t="shared" si="23"/>
        <v>0.39175006002913765</v>
      </c>
      <c r="Q53">
        <f t="shared" si="23"/>
        <v>0.39192983605714438</v>
      </c>
      <c r="R53">
        <f t="shared" si="23"/>
        <v>0.3921096120851511</v>
      </c>
      <c r="S53">
        <f t="shared" si="23"/>
        <v>0.39228938811315772</v>
      </c>
      <c r="T53">
        <f t="shared" si="23"/>
        <v>0.39246916414116445</v>
      </c>
      <c r="U53">
        <f t="shared" si="23"/>
        <v>0.39264894016917112</v>
      </c>
      <c r="V53">
        <f t="shared" si="23"/>
        <v>0.39282928066166428</v>
      </c>
      <c r="W53">
        <f t="shared" si="23"/>
        <v>0.39300962115415738</v>
      </c>
      <c r="X53">
        <f t="shared" si="23"/>
        <v>0.39318996164665054</v>
      </c>
      <c r="Y53">
        <f t="shared" si="23"/>
        <v>0.39337030213914365</v>
      </c>
      <c r="Z53">
        <f t="shared" si="23"/>
        <v>0.3935506426316368</v>
      </c>
      <c r="AA53">
        <f t="shared" si="23"/>
        <v>0.393747997541946</v>
      </c>
      <c r="AB53">
        <f t="shared" si="23"/>
        <v>0.3939453524522552</v>
      </c>
      <c r="AC53">
        <f t="shared" si="23"/>
        <v>0.39414270736256446</v>
      </c>
      <c r="AD53">
        <f t="shared" si="23"/>
        <v>0.3943400622728736</v>
      </c>
      <c r="AE53">
        <f t="shared" si="23"/>
        <v>0.3945374171831828</v>
      </c>
      <c r="AF53">
        <f t="shared" si="23"/>
        <v>0.39475516697631025</v>
      </c>
      <c r="AG53">
        <f t="shared" si="23"/>
        <v>0.39497291676943769</v>
      </c>
      <c r="AH53">
        <f t="shared" si="23"/>
        <v>0.39519066656256513</v>
      </c>
      <c r="AI53">
        <f t="shared" si="23"/>
        <v>0.39540841635569257</v>
      </c>
      <c r="AJ53">
        <f t="shared" si="23"/>
        <v>0.39562616614882007</v>
      </c>
      <c r="AK53">
        <f t="shared" si="23"/>
        <v>0.39584391594194751</v>
      </c>
    </row>
    <row r="54" spans="1:37" ht="15.75" customHeight="1">
      <c r="A54" s="240" t="s">
        <v>563</v>
      </c>
      <c r="B54" s="11">
        <v>2.3962946603245801</v>
      </c>
      <c r="C54">
        <f>$B$54*(SUM(C50:C53)/SUM($B$50:$B$53))</f>
        <v>2.4273395393724533</v>
      </c>
      <c r="D54">
        <f t="shared" ref="D54:AK54" si="24">$B$54*(SUM(D50:D53)/SUM($B$50:$B$53))</f>
        <v>2.4583844184203265</v>
      </c>
      <c r="E54">
        <f t="shared" si="24"/>
        <v>2.4894292974682002</v>
      </c>
      <c r="F54">
        <f t="shared" si="24"/>
        <v>2.520474176516073</v>
      </c>
      <c r="G54">
        <f t="shared" si="24"/>
        <v>2.5505485316932437</v>
      </c>
      <c r="H54">
        <f t="shared" si="24"/>
        <v>2.580622886870414</v>
      </c>
      <c r="I54">
        <f t="shared" si="24"/>
        <v>2.6106972420475838</v>
      </c>
      <c r="J54">
        <f t="shared" si="24"/>
        <v>2.6407715972247541</v>
      </c>
      <c r="K54">
        <f t="shared" si="24"/>
        <v>2.6708459524019248</v>
      </c>
      <c r="L54">
        <f t="shared" si="24"/>
        <v>2.6990503880459253</v>
      </c>
      <c r="M54">
        <f t="shared" si="24"/>
        <v>2.7272548236899259</v>
      </c>
      <c r="N54">
        <f t="shared" si="24"/>
        <v>2.7554592593339273</v>
      </c>
      <c r="O54">
        <f t="shared" si="24"/>
        <v>2.7836636949779283</v>
      </c>
      <c r="P54">
        <f t="shared" si="24"/>
        <v>2.8118681306219289</v>
      </c>
      <c r="Q54">
        <f t="shared" si="24"/>
        <v>2.8389018439589258</v>
      </c>
      <c r="R54">
        <f t="shared" si="24"/>
        <v>2.8659355572959222</v>
      </c>
      <c r="S54">
        <f t="shared" si="24"/>
        <v>2.8929692706329182</v>
      </c>
      <c r="T54">
        <f t="shared" si="24"/>
        <v>2.9200029839699142</v>
      </c>
      <c r="U54">
        <f t="shared" si="24"/>
        <v>2.9470366973069106</v>
      </c>
      <c r="V54">
        <f t="shared" si="24"/>
        <v>2.9739492725875705</v>
      </c>
      <c r="W54">
        <f t="shared" si="24"/>
        <v>3.0008618478682307</v>
      </c>
      <c r="X54">
        <f t="shared" si="24"/>
        <v>3.0277744231488906</v>
      </c>
      <c r="Y54">
        <f t="shared" si="24"/>
        <v>3.0546869984295513</v>
      </c>
      <c r="Z54">
        <f t="shared" si="24"/>
        <v>3.0815995737102115</v>
      </c>
      <c r="AA54">
        <f t="shared" si="24"/>
        <v>3.1088226994544921</v>
      </c>
      <c r="AB54">
        <f t="shared" si="24"/>
        <v>3.1360458251987731</v>
      </c>
      <c r="AC54">
        <f t="shared" si="24"/>
        <v>3.1632689509430549</v>
      </c>
      <c r="AD54">
        <f t="shared" si="24"/>
        <v>3.1904920766873364</v>
      </c>
      <c r="AE54">
        <f t="shared" si="24"/>
        <v>3.2177152024316173</v>
      </c>
      <c r="AF54">
        <f t="shared" si="24"/>
        <v>3.2449751978533095</v>
      </c>
      <c r="AG54">
        <f t="shared" si="24"/>
        <v>3.2722351932750025</v>
      </c>
      <c r="AH54">
        <f t="shared" si="24"/>
        <v>3.299495188696695</v>
      </c>
      <c r="AI54">
        <f t="shared" si="24"/>
        <v>3.3267551841183876</v>
      </c>
      <c r="AJ54">
        <f t="shared" si="24"/>
        <v>3.3540151795400797</v>
      </c>
      <c r="AK54">
        <f t="shared" si="24"/>
        <v>3.3812751749617727</v>
      </c>
    </row>
    <row r="55" spans="1:37" ht="15.75" customHeight="1">
      <c r="A55" s="240" t="s">
        <v>366</v>
      </c>
      <c r="B55" s="11">
        <v>3.8272274479596602</v>
      </c>
      <c r="C55">
        <f>$B$55*SUM(C50:C53)/SUM($B$50:$B$53)</f>
        <v>3.876810587787094</v>
      </c>
      <c r="D55">
        <f t="shared" ref="D55:AK55" si="25">$B$55*SUM(D50:D53)/SUM($B$50:$B$53)</f>
        <v>3.9263937276145291</v>
      </c>
      <c r="E55">
        <f t="shared" si="25"/>
        <v>3.9759768674419647</v>
      </c>
      <c r="F55">
        <f t="shared" si="25"/>
        <v>4.025560007269398</v>
      </c>
      <c r="G55">
        <f t="shared" si="25"/>
        <v>4.0735930807972442</v>
      </c>
      <c r="H55">
        <f t="shared" si="25"/>
        <v>4.1216261543250887</v>
      </c>
      <c r="I55">
        <f t="shared" si="25"/>
        <v>4.1696592278529341</v>
      </c>
      <c r="J55">
        <f t="shared" si="25"/>
        <v>4.2176923013807786</v>
      </c>
      <c r="K55">
        <f t="shared" si="25"/>
        <v>4.2657253749086248</v>
      </c>
      <c r="L55">
        <f t="shared" si="25"/>
        <v>4.3107719178226382</v>
      </c>
      <c r="M55">
        <f t="shared" si="25"/>
        <v>4.3558184607366517</v>
      </c>
      <c r="N55">
        <f t="shared" si="25"/>
        <v>4.4008650036506651</v>
      </c>
      <c r="O55">
        <f t="shared" si="25"/>
        <v>4.4459115465646777</v>
      </c>
      <c r="P55">
        <f t="shared" si="25"/>
        <v>4.4909580894786911</v>
      </c>
      <c r="Q55">
        <f t="shared" si="25"/>
        <v>4.5341348203777256</v>
      </c>
      <c r="R55">
        <f t="shared" si="25"/>
        <v>4.5773115512767593</v>
      </c>
      <c r="S55">
        <f t="shared" si="25"/>
        <v>4.620488282175792</v>
      </c>
      <c r="T55">
        <f t="shared" si="25"/>
        <v>4.6636650130748256</v>
      </c>
      <c r="U55">
        <f t="shared" si="25"/>
        <v>4.7068417439738583</v>
      </c>
      <c r="V55">
        <f t="shared" si="25"/>
        <v>4.7498249999626996</v>
      </c>
      <c r="W55">
        <f t="shared" si="25"/>
        <v>4.7928082559515399</v>
      </c>
      <c r="X55">
        <f t="shared" si="25"/>
        <v>4.8357915119403803</v>
      </c>
      <c r="Y55">
        <f t="shared" si="25"/>
        <v>4.8787747679292206</v>
      </c>
      <c r="Z55">
        <f t="shared" si="25"/>
        <v>4.9217580239180618</v>
      </c>
      <c r="AA55">
        <f t="shared" si="25"/>
        <v>4.9652372736918178</v>
      </c>
      <c r="AB55">
        <f t="shared" si="25"/>
        <v>5.0087165234655728</v>
      </c>
      <c r="AC55">
        <f t="shared" si="25"/>
        <v>5.0521957732393297</v>
      </c>
      <c r="AD55">
        <f t="shared" si="25"/>
        <v>5.0956750230130865</v>
      </c>
      <c r="AE55">
        <f t="shared" si="25"/>
        <v>5.1391542727868416</v>
      </c>
      <c r="AF55">
        <f t="shared" si="25"/>
        <v>5.1826924087417181</v>
      </c>
      <c r="AG55">
        <f t="shared" si="25"/>
        <v>5.2262305446965946</v>
      </c>
      <c r="AH55">
        <f t="shared" si="25"/>
        <v>5.2697686806514721</v>
      </c>
      <c r="AI55">
        <f t="shared" si="25"/>
        <v>5.3133068166063486</v>
      </c>
      <c r="AJ55">
        <f t="shared" si="25"/>
        <v>5.3568449525612252</v>
      </c>
      <c r="AK55">
        <f t="shared" si="25"/>
        <v>5.4003830885161017</v>
      </c>
    </row>
    <row r="56" spans="1:37" ht="15.75" customHeight="1"/>
    <row r="57" spans="1:37">
      <c r="A57" s="329" t="s">
        <v>936</v>
      </c>
      <c r="B57" s="1">
        <f>SUM(B50:B54)</f>
        <v>12.15789440569776</v>
      </c>
      <c r="C57" s="1">
        <f t="shared" ref="C57:AK57" si="26">SUM(C50:C54)</f>
        <v>12.315404401255059</v>
      </c>
      <c r="D57" s="1">
        <f t="shared" si="26"/>
        <v>12.472914396812357</v>
      </c>
      <c r="E57" s="1">
        <f t="shared" si="26"/>
        <v>12.630424392369658</v>
      </c>
      <c r="F57" s="1">
        <f t="shared" si="26"/>
        <v>12.787934387926953</v>
      </c>
      <c r="G57" s="1">
        <f t="shared" si="26"/>
        <v>12.940520311777387</v>
      </c>
      <c r="H57" s="1">
        <f t="shared" si="26"/>
        <v>13.09310623562782</v>
      </c>
      <c r="I57" s="1">
        <f t="shared" si="26"/>
        <v>13.245692159478251</v>
      </c>
      <c r="J57" s="1">
        <f t="shared" si="26"/>
        <v>13.398278083328684</v>
      </c>
      <c r="K57" s="1">
        <f t="shared" si="26"/>
        <v>13.550864007179118</v>
      </c>
      <c r="L57" s="1">
        <f t="shared" si="26"/>
        <v>13.693962665290561</v>
      </c>
      <c r="M57" s="1">
        <f t="shared" si="26"/>
        <v>13.837061323402002</v>
      </c>
      <c r="N57" s="1">
        <f t="shared" si="26"/>
        <v>13.980159981513445</v>
      </c>
      <c r="O57" s="1">
        <f t="shared" si="26"/>
        <v>14.123258639624888</v>
      </c>
      <c r="P57" s="1">
        <f t="shared" si="26"/>
        <v>14.266357297736327</v>
      </c>
      <c r="Q57" s="1">
        <f t="shared" si="26"/>
        <v>14.403516152858341</v>
      </c>
      <c r="R57" s="1">
        <f t="shared" si="26"/>
        <v>14.540675007980351</v>
      </c>
      <c r="S57" s="1">
        <f t="shared" si="26"/>
        <v>14.677833863102357</v>
      </c>
      <c r="T57" s="1">
        <f t="shared" si="26"/>
        <v>14.814992718224367</v>
      </c>
      <c r="U57" s="1">
        <f t="shared" si="26"/>
        <v>14.952151573346377</v>
      </c>
      <c r="V57" s="1">
        <f t="shared" si="26"/>
        <v>15.088695819705187</v>
      </c>
      <c r="W57" s="1">
        <f t="shared" si="26"/>
        <v>15.225240066063995</v>
      </c>
      <c r="X57" s="1">
        <f t="shared" si="26"/>
        <v>15.361784312422802</v>
      </c>
      <c r="Y57" s="1">
        <f t="shared" si="26"/>
        <v>15.498328558781612</v>
      </c>
      <c r="Z57" s="1">
        <f t="shared" si="26"/>
        <v>15.634872805140422</v>
      </c>
      <c r="AA57" s="1">
        <f t="shared" si="26"/>
        <v>15.772992667305941</v>
      </c>
      <c r="AB57" s="1">
        <f t="shared" si="26"/>
        <v>15.91111252947146</v>
      </c>
      <c r="AC57" s="1">
        <f t="shared" si="26"/>
        <v>16.049232391636984</v>
      </c>
      <c r="AD57" s="1">
        <f t="shared" si="26"/>
        <v>16.187352253802501</v>
      </c>
      <c r="AE57" s="1">
        <f t="shared" si="26"/>
        <v>16.325472115968022</v>
      </c>
      <c r="AF57" s="1">
        <f t="shared" si="26"/>
        <v>16.463779040956894</v>
      </c>
      <c r="AG57" s="1">
        <f t="shared" si="26"/>
        <v>16.602085965945765</v>
      </c>
      <c r="AH57" s="1">
        <f t="shared" si="26"/>
        <v>16.740392890934633</v>
      </c>
      <c r="AI57" s="1">
        <f t="shared" si="26"/>
        <v>16.878699815923504</v>
      </c>
      <c r="AJ57" s="1">
        <f t="shared" si="26"/>
        <v>17.017006740912375</v>
      </c>
      <c r="AK57" s="1">
        <f t="shared" si="26"/>
        <v>17.155313665901247</v>
      </c>
    </row>
    <row r="58" spans="1:37" ht="15.75" customHeight="1">
      <c r="A58" s="240" t="s">
        <v>96</v>
      </c>
      <c r="B58" s="11">
        <v>5</v>
      </c>
      <c r="C58">
        <f>B58*C57/B57</f>
        <v>5.0647768397640798</v>
      </c>
      <c r="D58" s="391">
        <f t="shared" ref="D58:AK58" si="27">C58*D57/C57</f>
        <v>5.1295536795281595</v>
      </c>
      <c r="E58" s="391">
        <f t="shared" si="27"/>
        <v>5.1943305192922411</v>
      </c>
      <c r="F58" s="391">
        <f t="shared" si="27"/>
        <v>5.2591073590563191</v>
      </c>
      <c r="G58" s="391">
        <f t="shared" si="27"/>
        <v>5.321859147630386</v>
      </c>
      <c r="H58" s="391">
        <f t="shared" si="27"/>
        <v>5.3846109362044521</v>
      </c>
      <c r="I58" s="391">
        <f t="shared" si="27"/>
        <v>5.4473627247785172</v>
      </c>
      <c r="J58" s="391">
        <f t="shared" si="27"/>
        <v>5.5101145133525824</v>
      </c>
      <c r="K58" s="391">
        <f t="shared" si="27"/>
        <v>5.5728663019266493</v>
      </c>
      <c r="L58" s="391">
        <f t="shared" si="27"/>
        <v>5.6317164010212677</v>
      </c>
      <c r="M58" s="391">
        <f t="shared" si="27"/>
        <v>5.6905665001158852</v>
      </c>
      <c r="N58" s="391">
        <f t="shared" si="27"/>
        <v>5.7494165992105026</v>
      </c>
      <c r="O58" s="391">
        <f t="shared" si="27"/>
        <v>5.8082666983051201</v>
      </c>
      <c r="P58" s="391">
        <f t="shared" si="27"/>
        <v>5.8671167973997367</v>
      </c>
      <c r="Q58" s="391">
        <f t="shared" si="27"/>
        <v>5.9235241203066273</v>
      </c>
      <c r="R58" s="391">
        <f t="shared" si="27"/>
        <v>5.9799314432135162</v>
      </c>
      <c r="S58" s="391">
        <f t="shared" si="27"/>
        <v>6.0363387661204033</v>
      </c>
      <c r="T58" s="391">
        <f t="shared" si="27"/>
        <v>6.0927460890272922</v>
      </c>
      <c r="U58" s="391">
        <f t="shared" si="27"/>
        <v>6.1491534119341802</v>
      </c>
      <c r="V58" s="391">
        <f t="shared" si="27"/>
        <v>6.2053079736545138</v>
      </c>
      <c r="W58" s="391">
        <f t="shared" si="27"/>
        <v>6.2614625353748457</v>
      </c>
      <c r="X58" s="391">
        <f t="shared" si="27"/>
        <v>6.3176170970951784</v>
      </c>
      <c r="Y58" s="391">
        <f t="shared" si="27"/>
        <v>6.373771658815512</v>
      </c>
      <c r="Z58" s="391">
        <f t="shared" si="27"/>
        <v>6.4299262205358456</v>
      </c>
      <c r="AA58" s="391">
        <f t="shared" si="27"/>
        <v>6.4867287628003965</v>
      </c>
      <c r="AB58" s="391">
        <f t="shared" si="27"/>
        <v>6.5435313050649473</v>
      </c>
      <c r="AC58" s="391">
        <f t="shared" si="27"/>
        <v>6.6003338473295008</v>
      </c>
      <c r="AD58" s="391">
        <f t="shared" si="27"/>
        <v>6.6571363895940507</v>
      </c>
      <c r="AE58" s="391">
        <f t="shared" si="27"/>
        <v>6.7139389318586025</v>
      </c>
      <c r="AF58" s="391">
        <f t="shared" si="27"/>
        <v>6.770818404723598</v>
      </c>
      <c r="AG58" s="391">
        <f t="shared" si="27"/>
        <v>6.8276978775885926</v>
      </c>
      <c r="AH58" s="391">
        <f t="shared" si="27"/>
        <v>6.8845773504535854</v>
      </c>
      <c r="AI58" s="391">
        <f t="shared" si="27"/>
        <v>6.9414568233185809</v>
      </c>
      <c r="AJ58" s="391">
        <f t="shared" si="27"/>
        <v>6.9983362961835756</v>
      </c>
      <c r="AK58" s="391">
        <f t="shared" si="27"/>
        <v>7.0552157690485711</v>
      </c>
    </row>
    <row r="59" spans="1:37" ht="15.75" customHeight="1">
      <c r="A59" s="397" t="s">
        <v>838</v>
      </c>
      <c r="G59" s="10"/>
    </row>
    <row r="60" spans="1:37">
      <c r="A60" t="s">
        <v>937</v>
      </c>
    </row>
  </sheetData>
  <dataValidations count="1">
    <dataValidation allowBlank="1" showInputMessage="1" showErrorMessage="1" sqref="B55:B56" xr:uid="{00000000-0002-0000-1400-000000000000}"/>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4"/>
  <dimension ref="A1:AK3"/>
  <sheetViews>
    <sheetView workbookViewId="0">
      <selection activeCell="A3" sqref="A3"/>
    </sheetView>
  </sheetViews>
  <sheetFormatPr baseColWidth="10" defaultColWidth="8.6640625" defaultRowHeight="15"/>
  <cols>
    <col min="1" max="1" width="28.5" customWidth="1"/>
  </cols>
  <sheetData>
    <row r="1" spans="1:37">
      <c r="A1" s="6" t="s">
        <v>61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c r="A3" s="71" t="s">
        <v>51</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5"/>
  <dimension ref="A1:AT116"/>
  <sheetViews>
    <sheetView topLeftCell="A87" zoomScale="85" zoomScaleNormal="85" zoomScalePageLayoutView="85" workbookViewId="0">
      <selection activeCell="C106" sqref="C106"/>
    </sheetView>
  </sheetViews>
  <sheetFormatPr baseColWidth="10" defaultColWidth="8.6640625" defaultRowHeight="15"/>
  <cols>
    <col min="1" max="1" width="56.1640625" style="8" customWidth="1"/>
    <col min="2" max="2" width="20.6640625" bestFit="1" customWidth="1"/>
    <col min="4" max="4" width="11.6640625" bestFit="1" customWidth="1"/>
  </cols>
  <sheetData>
    <row r="1" spans="1:46">
      <c r="A1" s="18" t="s">
        <v>74</v>
      </c>
      <c r="B1" s="16"/>
      <c r="C1" s="16"/>
      <c r="D1" s="16"/>
      <c r="E1" s="16"/>
      <c r="F1" s="16"/>
      <c r="G1" s="16"/>
      <c r="H1" s="16"/>
      <c r="I1" s="16"/>
      <c r="J1" s="16"/>
      <c r="K1" s="16"/>
      <c r="L1" s="16"/>
      <c r="M1" s="16"/>
      <c r="N1" s="16"/>
      <c r="O1" s="16"/>
      <c r="P1" s="16"/>
      <c r="Q1" s="16"/>
    </row>
    <row r="2" spans="1:46">
      <c r="A2" s="17" t="s">
        <v>76</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row>
    <row r="3" spans="1:46">
      <c r="B3">
        <v>2011</v>
      </c>
      <c r="C3">
        <v>2012</v>
      </c>
      <c r="D3">
        <v>2013</v>
      </c>
      <c r="E3">
        <v>2014</v>
      </c>
      <c r="F3">
        <v>2015</v>
      </c>
    </row>
    <row r="4" spans="1:46">
      <c r="A4" s="399" t="s">
        <v>362</v>
      </c>
      <c r="B4">
        <v>2296.6999999999998</v>
      </c>
      <c r="C4">
        <v>2479.1</v>
      </c>
      <c r="D4">
        <v>2457.4</v>
      </c>
      <c r="E4">
        <v>2574</v>
      </c>
      <c r="F4">
        <v>2538</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6">
      <c r="A5" s="72" t="s">
        <v>361</v>
      </c>
    </row>
    <row r="6" spans="1:46">
      <c r="A6" s="72"/>
      <c r="G6" s="5"/>
    </row>
    <row r="7" spans="1:46">
      <c r="A7" s="17" t="s">
        <v>364</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row>
    <row r="8" spans="1:46">
      <c r="B8">
        <v>2015</v>
      </c>
      <c r="C8">
        <v>2030</v>
      </c>
    </row>
    <row r="9" spans="1:46">
      <c r="A9" s="399" t="s">
        <v>363</v>
      </c>
      <c r="B9">
        <v>21.2</v>
      </c>
      <c r="C9">
        <v>28.1</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row>
    <row r="10" spans="1:46">
      <c r="A10" s="72"/>
    </row>
    <row r="11" spans="1:46">
      <c r="A11" s="17" t="s">
        <v>367</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row>
    <row r="12" spans="1:46">
      <c r="B12">
        <v>2015</v>
      </c>
      <c r="C12">
        <v>2016</v>
      </c>
      <c r="D12">
        <v>2017</v>
      </c>
      <c r="E12">
        <v>2018</v>
      </c>
      <c r="F12">
        <v>2019</v>
      </c>
      <c r="G12">
        <v>2020</v>
      </c>
      <c r="H12">
        <v>2021</v>
      </c>
      <c r="I12">
        <v>2022</v>
      </c>
      <c r="J12">
        <v>2023</v>
      </c>
      <c r="K12">
        <v>2024</v>
      </c>
      <c r="L12">
        <v>2025</v>
      </c>
      <c r="M12">
        <v>2026</v>
      </c>
      <c r="N12">
        <v>2027</v>
      </c>
      <c r="O12">
        <v>2028</v>
      </c>
      <c r="P12">
        <v>2029</v>
      </c>
      <c r="Q12">
        <v>2030</v>
      </c>
      <c r="R12">
        <v>2031</v>
      </c>
      <c r="S12">
        <v>2032</v>
      </c>
      <c r="T12">
        <v>2033</v>
      </c>
      <c r="U12">
        <v>2034</v>
      </c>
      <c r="V12">
        <v>2035</v>
      </c>
      <c r="W12">
        <v>2036</v>
      </c>
      <c r="X12">
        <v>2037</v>
      </c>
      <c r="Y12">
        <v>2038</v>
      </c>
      <c r="Z12">
        <v>2039</v>
      </c>
      <c r="AA12">
        <v>2040</v>
      </c>
      <c r="AB12">
        <v>2041</v>
      </c>
      <c r="AC12">
        <v>2042</v>
      </c>
      <c r="AD12">
        <v>2043</v>
      </c>
      <c r="AE12">
        <v>2044</v>
      </c>
      <c r="AF12">
        <v>2045</v>
      </c>
      <c r="AG12">
        <v>2046</v>
      </c>
      <c r="AH12">
        <v>2047</v>
      </c>
      <c r="AI12">
        <v>2048</v>
      </c>
      <c r="AJ12">
        <v>2049</v>
      </c>
      <c r="AK12">
        <v>2050</v>
      </c>
    </row>
    <row r="13" spans="1:46">
      <c r="A13" s="399" t="s">
        <v>363</v>
      </c>
      <c r="B13">
        <f>TREND($B$9:$C$9,$B$8:$C$8,B12)/$B$9*$F$4</f>
        <v>2538.0000000000055</v>
      </c>
      <c r="C13">
        <f t="shared" ref="C13:E13" si="0">TREND($B$9:$C$9,$B$8:$C$8,C12)/$B$9*$F$4</f>
        <v>2593.0698113207513</v>
      </c>
      <c r="D13">
        <f t="shared" si="0"/>
        <v>2648.1396226415104</v>
      </c>
      <c r="E13">
        <f t="shared" si="0"/>
        <v>2703.2094339622695</v>
      </c>
      <c r="F13">
        <f t="shared" ref="F13" si="1">TREND($B$9:$C$9,$B$8:$C$8,F12)/$B$9*$F$4</f>
        <v>2758.2792452830149</v>
      </c>
      <c r="G13">
        <f t="shared" ref="G13:H13" si="2">TREND($B$9:$C$9,$B$8:$C$8,G12)/$B$9*$F$4</f>
        <v>2813.349056603774</v>
      </c>
      <c r="H13">
        <f t="shared" si="2"/>
        <v>2868.4188679245331</v>
      </c>
      <c r="I13">
        <f t="shared" ref="I13" si="3">TREND($B$9:$C$9,$B$8:$C$8,I12)/$B$9*$F$4</f>
        <v>2923.488679245278</v>
      </c>
      <c r="J13">
        <f t="shared" ref="J13:K13" si="4">TREND($B$9:$C$9,$B$8:$C$8,J12)/$B$9*$F$4</f>
        <v>2978.5584905660371</v>
      </c>
      <c r="K13">
        <f t="shared" si="4"/>
        <v>3033.6283018867962</v>
      </c>
      <c r="L13">
        <f t="shared" ref="L13" si="5">TREND($B$9:$C$9,$B$8:$C$8,L12)/$B$9*$F$4</f>
        <v>3088.6981132075416</v>
      </c>
      <c r="M13">
        <f t="shared" ref="M13:N13" si="6">TREND($B$9:$C$9,$B$8:$C$8,M12)/$B$9*$F$4</f>
        <v>3143.7679245283007</v>
      </c>
      <c r="N13">
        <f t="shared" si="6"/>
        <v>3198.8377358490598</v>
      </c>
      <c r="O13">
        <f t="shared" ref="O13" si="7">TREND($B$9:$C$9,$B$8:$C$8,O12)/$B$9*$F$4</f>
        <v>3253.9075471698052</v>
      </c>
      <c r="P13">
        <f t="shared" ref="P13:Q13" si="8">TREND($B$9:$C$9,$B$8:$C$8,P12)/$B$9*$F$4</f>
        <v>3308.9773584905643</v>
      </c>
      <c r="Q13">
        <f t="shared" si="8"/>
        <v>3364.0471698113233</v>
      </c>
      <c r="R13">
        <f t="shared" ref="R13" si="9">TREND($B$9:$C$9,$B$8:$C$8,R12)/$B$9*$F$4</f>
        <v>3419.1169811320692</v>
      </c>
      <c r="S13">
        <f t="shared" ref="S13:T13" si="10">TREND($B$9:$C$9,$B$8:$C$8,S12)/$B$9*$F$4</f>
        <v>3474.1867924528283</v>
      </c>
      <c r="T13">
        <f t="shared" si="10"/>
        <v>3529.2566037735874</v>
      </c>
      <c r="U13">
        <f t="shared" ref="U13" si="11">TREND($B$9:$C$9,$B$8:$C$8,U12)/$B$9*$F$4</f>
        <v>3584.3264150943328</v>
      </c>
      <c r="V13">
        <f t="shared" ref="V13:W13" si="12">TREND($B$9:$C$9,$B$8:$C$8,V12)/$B$9*$F$4</f>
        <v>3639.3962264150919</v>
      </c>
      <c r="W13">
        <f t="shared" si="12"/>
        <v>3694.4660377358509</v>
      </c>
      <c r="X13">
        <f t="shared" ref="X13" si="13">TREND($B$9:$C$9,$B$8:$C$8,X12)/$B$9*$F$4</f>
        <v>3749.53584905661</v>
      </c>
      <c r="Y13">
        <f t="shared" ref="Y13:Z13" si="14">TREND($B$9:$C$9,$B$8:$C$8,Y12)/$B$9*$F$4</f>
        <v>3804.6056603773554</v>
      </c>
      <c r="Z13">
        <f t="shared" si="14"/>
        <v>3859.6754716981145</v>
      </c>
      <c r="AA13">
        <f t="shared" ref="AA13" si="15">TREND($B$9:$C$9,$B$8:$C$8,AA12)/$B$9*$F$4</f>
        <v>3914.7452830188736</v>
      </c>
      <c r="AB13">
        <f t="shared" ref="AB13:AC13" si="16">TREND($B$9:$C$9,$B$8:$C$8,AB12)/$B$9*$F$4</f>
        <v>3969.815094339619</v>
      </c>
      <c r="AC13">
        <f t="shared" si="16"/>
        <v>4024.8849056603781</v>
      </c>
      <c r="AD13">
        <f t="shared" ref="AD13" si="17">TREND($B$9:$C$9,$B$8:$C$8,AD12)/$B$9*$F$4</f>
        <v>4079.9547169811372</v>
      </c>
      <c r="AE13">
        <f t="shared" ref="AE13:AF13" si="18">TREND($B$9:$C$9,$B$8:$C$8,AE12)/$B$9*$F$4</f>
        <v>4135.0245283018821</v>
      </c>
      <c r="AF13">
        <f t="shared" si="18"/>
        <v>4190.0943396226412</v>
      </c>
      <c r="AG13">
        <f t="shared" ref="AG13" si="19">TREND($B$9:$C$9,$B$8:$C$8,AG12)/$B$9*$F$4</f>
        <v>4245.1641509434003</v>
      </c>
      <c r="AH13">
        <f t="shared" ref="AH13:AI13" si="20">TREND($B$9:$C$9,$B$8:$C$8,AH12)/$B$9*$F$4</f>
        <v>4300.2339622641457</v>
      </c>
      <c r="AI13">
        <f t="shared" si="20"/>
        <v>4355.3037735849048</v>
      </c>
      <c r="AJ13">
        <f t="shared" ref="AJ13" si="21">TREND($B$9:$C$9,$B$8:$C$8,AJ12)/$B$9*$F$4</f>
        <v>4410.3735849056638</v>
      </c>
      <c r="AK13">
        <f t="shared" ref="AK13" si="22">TREND($B$9:$C$9,$B$8:$C$8,AK12)/$B$9*$F$4</f>
        <v>4465.4433962264102</v>
      </c>
      <c r="AL13" s="1"/>
      <c r="AM13" s="1"/>
      <c r="AN13" s="1"/>
      <c r="AO13" s="1"/>
    </row>
    <row r="14" spans="1:46">
      <c r="A14" s="72"/>
    </row>
    <row r="15" spans="1:46">
      <c r="A15" s="17" t="s">
        <v>84</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row>
    <row r="16" spans="1:46">
      <c r="B16">
        <v>2015</v>
      </c>
      <c r="C16">
        <v>2016</v>
      </c>
      <c r="D16">
        <v>2017</v>
      </c>
      <c r="E16">
        <v>2018</v>
      </c>
      <c r="F16">
        <v>2019</v>
      </c>
      <c r="G16">
        <v>2020</v>
      </c>
      <c r="H16">
        <v>2021</v>
      </c>
      <c r="I16">
        <v>2022</v>
      </c>
      <c r="J16">
        <v>2023</v>
      </c>
      <c r="K16">
        <v>2024</v>
      </c>
      <c r="L16">
        <v>2025</v>
      </c>
      <c r="M16">
        <v>2026</v>
      </c>
      <c r="N16">
        <v>2027</v>
      </c>
      <c r="O16">
        <v>2028</v>
      </c>
      <c r="P16">
        <v>2029</v>
      </c>
      <c r="Q16">
        <v>2030</v>
      </c>
      <c r="R16">
        <v>2031</v>
      </c>
      <c r="S16">
        <v>2032</v>
      </c>
      <c r="T16">
        <v>2033</v>
      </c>
      <c r="U16">
        <v>2034</v>
      </c>
      <c r="V16">
        <v>2035</v>
      </c>
      <c r="W16">
        <v>2036</v>
      </c>
      <c r="X16">
        <v>2037</v>
      </c>
      <c r="Y16">
        <v>2038</v>
      </c>
      <c r="Z16">
        <v>2039</v>
      </c>
      <c r="AA16">
        <v>2040</v>
      </c>
      <c r="AB16">
        <v>2041</v>
      </c>
      <c r="AC16">
        <v>2042</v>
      </c>
      <c r="AD16">
        <v>2043</v>
      </c>
      <c r="AE16">
        <v>2044</v>
      </c>
      <c r="AF16">
        <v>2045</v>
      </c>
      <c r="AG16">
        <v>2046</v>
      </c>
      <c r="AH16">
        <v>2047</v>
      </c>
      <c r="AI16">
        <v>2048</v>
      </c>
      <c r="AJ16">
        <v>2049</v>
      </c>
      <c r="AK16">
        <v>2050</v>
      </c>
    </row>
    <row r="17" spans="1:46">
      <c r="A17" s="399" t="s">
        <v>365</v>
      </c>
      <c r="B17" s="20">
        <f>B13*0.01*44/28</f>
        <v>39.882857142857233</v>
      </c>
      <c r="C17" s="20">
        <f t="shared" ref="C17:AK17" si="23">C13*0.01*44/28</f>
        <v>40.748239892183229</v>
      </c>
      <c r="D17" s="20">
        <f t="shared" si="23"/>
        <v>41.613622641509444</v>
      </c>
      <c r="E17" s="20">
        <f t="shared" si="23"/>
        <v>42.47900539083566</v>
      </c>
      <c r="F17" s="20">
        <f t="shared" si="23"/>
        <v>43.344388140161655</v>
      </c>
      <c r="G17" s="20">
        <f t="shared" si="23"/>
        <v>44.209770889487871</v>
      </c>
      <c r="H17" s="20">
        <f t="shared" si="23"/>
        <v>45.075153638814086</v>
      </c>
      <c r="I17" s="20">
        <f t="shared" si="23"/>
        <v>45.940536388140082</v>
      </c>
      <c r="J17" s="20">
        <f t="shared" si="23"/>
        <v>46.805919137466297</v>
      </c>
      <c r="K17" s="20">
        <f t="shared" si="23"/>
        <v>47.671301886792513</v>
      </c>
      <c r="L17" s="20">
        <f t="shared" si="23"/>
        <v>48.536684636118515</v>
      </c>
      <c r="M17" s="20">
        <f t="shared" si="23"/>
        <v>49.402067385444731</v>
      </c>
      <c r="N17" s="20">
        <f t="shared" si="23"/>
        <v>50.267450134770947</v>
      </c>
      <c r="O17" s="20">
        <f t="shared" si="23"/>
        <v>51.132832884096942</v>
      </c>
      <c r="P17" s="20">
        <f t="shared" si="23"/>
        <v>51.998215633423158</v>
      </c>
      <c r="Q17" s="20">
        <f t="shared" si="23"/>
        <v>52.863598382749366</v>
      </c>
      <c r="R17" s="20">
        <f t="shared" si="23"/>
        <v>53.728981132075369</v>
      </c>
      <c r="S17" s="20">
        <f t="shared" si="23"/>
        <v>54.594363881401591</v>
      </c>
      <c r="T17" s="20">
        <f t="shared" si="23"/>
        <v>55.4597466307278</v>
      </c>
      <c r="U17" s="20">
        <f t="shared" si="23"/>
        <v>56.325129380053795</v>
      </c>
      <c r="V17" s="20">
        <f t="shared" si="23"/>
        <v>57.190512129380018</v>
      </c>
      <c r="W17" s="20">
        <f t="shared" si="23"/>
        <v>58.055894878706226</v>
      </c>
      <c r="X17" s="20">
        <f t="shared" si="23"/>
        <v>58.921277628032442</v>
      </c>
      <c r="Y17" s="20">
        <f t="shared" si="23"/>
        <v>59.786660377358444</v>
      </c>
      <c r="Z17" s="20">
        <f t="shared" si="23"/>
        <v>60.652043126684653</v>
      </c>
      <c r="AA17" s="20">
        <f t="shared" si="23"/>
        <v>61.517425876010869</v>
      </c>
      <c r="AB17" s="20">
        <f t="shared" si="23"/>
        <v>62.382808625336871</v>
      </c>
      <c r="AC17" s="20">
        <f t="shared" si="23"/>
        <v>63.24819137466308</v>
      </c>
      <c r="AD17" s="20">
        <f t="shared" si="23"/>
        <v>64.113574123989295</v>
      </c>
      <c r="AE17" s="20">
        <f t="shared" si="23"/>
        <v>64.978956873315298</v>
      </c>
      <c r="AF17" s="20">
        <f t="shared" si="23"/>
        <v>65.844339622641499</v>
      </c>
      <c r="AG17" s="20">
        <f t="shared" si="23"/>
        <v>66.709722371967729</v>
      </c>
      <c r="AH17" s="20">
        <f t="shared" si="23"/>
        <v>67.575105121293717</v>
      </c>
      <c r="AI17" s="20">
        <f t="shared" si="23"/>
        <v>68.440487870619933</v>
      </c>
      <c r="AJ17" s="20">
        <f t="shared" si="23"/>
        <v>69.305870619946148</v>
      </c>
      <c r="AK17" s="20">
        <f t="shared" si="23"/>
        <v>70.171253369272151</v>
      </c>
    </row>
    <row r="18" spans="1:46">
      <c r="A18" s="399" t="s">
        <v>366</v>
      </c>
      <c r="B18" s="20">
        <f>((B13*0.1*0.01)+(B13*0.3*0.0075))*44/28</f>
        <v>12.961928571428599</v>
      </c>
      <c r="C18" s="20">
        <f t="shared" ref="C18:AK18" si="24">((C13*0.1*0.01)+(C13*0.3*0.0075))*44/28</f>
        <v>13.243177964959553</v>
      </c>
      <c r="D18" s="20">
        <f t="shared" si="24"/>
        <v>13.524427358490572</v>
      </c>
      <c r="E18" s="20">
        <f t="shared" si="24"/>
        <v>13.805676752021592</v>
      </c>
      <c r="F18" s="20">
        <f t="shared" si="24"/>
        <v>14.086926145552541</v>
      </c>
      <c r="G18" s="20">
        <f t="shared" si="24"/>
        <v>14.368175539083557</v>
      </c>
      <c r="H18" s="20">
        <f t="shared" si="24"/>
        <v>14.649424932614579</v>
      </c>
      <c r="I18" s="20">
        <f t="shared" si="24"/>
        <v>14.930674326145526</v>
      </c>
      <c r="J18" s="20">
        <f t="shared" si="24"/>
        <v>15.211923719676546</v>
      </c>
      <c r="K18" s="20">
        <f t="shared" si="24"/>
        <v>15.493173113207567</v>
      </c>
      <c r="L18" s="20">
        <f t="shared" si="24"/>
        <v>15.774422506738516</v>
      </c>
      <c r="M18" s="20">
        <f t="shared" si="24"/>
        <v>16.055671900269537</v>
      </c>
      <c r="N18" s="20">
        <f t="shared" si="24"/>
        <v>16.336921293800554</v>
      </c>
      <c r="O18" s="20">
        <f t="shared" si="24"/>
        <v>16.618170687331503</v>
      </c>
      <c r="P18" s="20">
        <f t="shared" si="24"/>
        <v>16.899420080862523</v>
      </c>
      <c r="Q18" s="20">
        <f t="shared" si="24"/>
        <v>17.180669474393543</v>
      </c>
      <c r="R18" s="20">
        <f t="shared" si="24"/>
        <v>17.461918867924492</v>
      </c>
      <c r="S18" s="20">
        <f t="shared" si="24"/>
        <v>17.743168261455516</v>
      </c>
      <c r="T18" s="20">
        <f t="shared" si="24"/>
        <v>18.024417654986536</v>
      </c>
      <c r="U18" s="20">
        <f t="shared" si="24"/>
        <v>18.305667048517481</v>
      </c>
      <c r="V18" s="20">
        <f t="shared" si="24"/>
        <v>18.586916442048505</v>
      </c>
      <c r="W18" s="20">
        <f t="shared" si="24"/>
        <v>18.868165835579525</v>
      </c>
      <c r="X18" s="20">
        <f t="shared" si="24"/>
        <v>19.149415229110542</v>
      </c>
      <c r="Y18" s="20">
        <f t="shared" si="24"/>
        <v>19.430664622641494</v>
      </c>
      <c r="Z18" s="20">
        <f t="shared" si="24"/>
        <v>19.711914016172511</v>
      </c>
      <c r="AA18" s="20">
        <f t="shared" si="24"/>
        <v>19.993163409703531</v>
      </c>
      <c r="AB18" s="20">
        <f t="shared" si="24"/>
        <v>20.27441280323448</v>
      </c>
      <c r="AC18" s="20">
        <f t="shared" si="24"/>
        <v>20.5556621967655</v>
      </c>
      <c r="AD18" s="20">
        <f t="shared" si="24"/>
        <v>20.83691159029652</v>
      </c>
      <c r="AE18" s="20">
        <f t="shared" si="24"/>
        <v>21.118160983827472</v>
      </c>
      <c r="AF18" s="20">
        <f t="shared" si="24"/>
        <v>21.399410377358489</v>
      </c>
      <c r="AG18" s="20">
        <f t="shared" si="24"/>
        <v>21.680659770889509</v>
      </c>
      <c r="AH18" s="20">
        <f t="shared" si="24"/>
        <v>21.961909164420462</v>
      </c>
      <c r="AI18" s="20">
        <f t="shared" si="24"/>
        <v>22.243158557951482</v>
      </c>
      <c r="AJ18" s="20">
        <f t="shared" si="24"/>
        <v>22.524407951482495</v>
      </c>
      <c r="AK18" s="20">
        <f t="shared" si="24"/>
        <v>22.805657345013451</v>
      </c>
    </row>
    <row r="19" spans="1:46">
      <c r="B19" s="20"/>
    </row>
    <row r="20" spans="1:46">
      <c r="A20" s="18" t="s">
        <v>85</v>
      </c>
      <c r="B20" s="16"/>
      <c r="C20" s="16"/>
      <c r="D20" s="16"/>
      <c r="E20" s="16"/>
      <c r="F20" s="16"/>
      <c r="G20" s="16"/>
      <c r="H20" s="16"/>
      <c r="I20" s="16"/>
      <c r="J20" s="16"/>
      <c r="K20" s="16"/>
      <c r="L20" s="16"/>
      <c r="M20" s="16"/>
      <c r="N20" s="16"/>
      <c r="O20" s="16"/>
      <c r="P20" s="16"/>
      <c r="Q20" s="16"/>
    </row>
    <row r="21" spans="1:46">
      <c r="A21" s="17" t="s">
        <v>394</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row>
    <row r="22" spans="1:46">
      <c r="A22" s="8" t="s">
        <v>393</v>
      </c>
      <c r="B22">
        <v>2015</v>
      </c>
      <c r="C22">
        <v>2016</v>
      </c>
      <c r="D22">
        <v>2017</v>
      </c>
      <c r="E22">
        <v>2018</v>
      </c>
      <c r="F22">
        <v>2019</v>
      </c>
      <c r="G22">
        <v>2020</v>
      </c>
      <c r="H22">
        <v>2021</v>
      </c>
      <c r="I22">
        <v>2022</v>
      </c>
      <c r="J22">
        <v>2023</v>
      </c>
      <c r="K22">
        <v>2024</v>
      </c>
      <c r="L22">
        <v>2025</v>
      </c>
      <c r="M22">
        <v>2026</v>
      </c>
      <c r="N22">
        <v>2027</v>
      </c>
      <c r="O22">
        <v>2028</v>
      </c>
      <c r="P22">
        <v>2029</v>
      </c>
      <c r="Q22">
        <v>2030</v>
      </c>
      <c r="R22">
        <v>2031</v>
      </c>
      <c r="S22">
        <v>2032</v>
      </c>
      <c r="T22">
        <v>2033</v>
      </c>
      <c r="U22">
        <v>2034</v>
      </c>
      <c r="V22">
        <v>2035</v>
      </c>
      <c r="W22">
        <v>2036</v>
      </c>
      <c r="X22">
        <v>2037</v>
      </c>
      <c r="Y22">
        <v>2038</v>
      </c>
      <c r="Z22">
        <v>2039</v>
      </c>
      <c r="AA22">
        <v>2040</v>
      </c>
      <c r="AB22">
        <v>2041</v>
      </c>
      <c r="AC22">
        <v>2042</v>
      </c>
      <c r="AD22">
        <v>2043</v>
      </c>
      <c r="AE22">
        <v>2044</v>
      </c>
      <c r="AF22">
        <v>2045</v>
      </c>
      <c r="AG22">
        <v>2046</v>
      </c>
      <c r="AH22">
        <v>2047</v>
      </c>
      <c r="AI22">
        <v>2048</v>
      </c>
      <c r="AJ22">
        <v>2049</v>
      </c>
      <c r="AK22">
        <v>2050</v>
      </c>
    </row>
    <row r="23" spans="1:46">
      <c r="A23" s="329" t="s">
        <v>80</v>
      </c>
      <c r="B23">
        <f>SUMIFS('FAO Stats'!$L$2:$L$97,'FAO Stats'!$H$2:$H$97,'Agriculture - Soil Mgmt'!$A23,'FAO Stats'!$I$2:$I$97,'Agriculture - Soil Mgmt'!B$22,'FAO Stats'!$K$2:$K$97,"ha")</f>
        <v>2353500</v>
      </c>
      <c r="C23">
        <f>SUMIFS('FAO Stats'!$L$2:$L$97,'FAO Stats'!$H$2:$H$97,'Agriculture - Soil Mgmt'!$A23,'FAO Stats'!$I$2:$I$97,'Agriculture - Soil Mgmt'!C$22,'FAO Stats'!$K$2:$K$97,"ha")</f>
        <v>2336800</v>
      </c>
      <c r="D23">
        <f>'FAPRI Projections'!Q48/'FAPRI Projections'!P48*C23</f>
        <v>2339201.5974096558</v>
      </c>
      <c r="E23">
        <f>'FAPRI Projections'!R48/'FAPRI Projections'!Q48*D23</f>
        <v>2374889.1055740472</v>
      </c>
      <c r="F23">
        <f>'FAPRI Projections'!S48/'FAPRI Projections'!R48*E23</f>
        <v>2392826.5192420441</v>
      </c>
      <c r="G23">
        <f>'FAPRI Projections'!T48/'FAPRI Projections'!S48*F23</f>
        <v>2426842.1174410977</v>
      </c>
      <c r="H23">
        <f>'FAPRI Projections'!U48/'FAPRI Projections'!T48*G23</f>
        <v>2439250.8774904953</v>
      </c>
      <c r="I23">
        <f>'FAPRI Projections'!V48/'FAPRI Projections'!U48*H23</f>
        <v>2469644.0248990213</v>
      </c>
      <c r="J23">
        <f>(($I$23-$C$23)/$C$23/COUNT($D$22:$I$22)+1)*I23</f>
        <v>2493043.363905027</v>
      </c>
      <c r="K23">
        <f t="shared" ref="K23:AK30" si="25">(($I$23-$C$23)/$C$23/COUNT($D$22:$I$22)+1)*J23</f>
        <v>2516664.4065494509</v>
      </c>
      <c r="L23">
        <f t="shared" si="25"/>
        <v>2540509.2534259586</v>
      </c>
      <c r="M23">
        <f t="shared" si="25"/>
        <v>2564580.0250308821</v>
      </c>
      <c r="N23">
        <f t="shared" si="25"/>
        <v>2588878.8619517949</v>
      </c>
      <c r="O23">
        <f t="shared" si="25"/>
        <v>2613407.9250578713</v>
      </c>
      <c r="P23">
        <f t="shared" si="25"/>
        <v>2638169.3956920495</v>
      </c>
      <c r="Q23">
        <f t="shared" si="25"/>
        <v>2663165.4758650176</v>
      </c>
      <c r="R23">
        <f t="shared" si="25"/>
        <v>2688398.3884510347</v>
      </c>
      <c r="S23">
        <f t="shared" si="25"/>
        <v>2713870.3773856089</v>
      </c>
      <c r="T23">
        <f t="shared" si="25"/>
        <v>2739583.7078650487</v>
      </c>
      <c r="U23">
        <f t="shared" si="25"/>
        <v>2765540.6665479043</v>
      </c>
      <c r="V23">
        <f t="shared" si="25"/>
        <v>2791743.5617583166</v>
      </c>
      <c r="W23">
        <f t="shared" si="25"/>
        <v>2818194.7236912954</v>
      </c>
      <c r="X23">
        <f t="shared" si="25"/>
        <v>2844896.5046199397</v>
      </c>
      <c r="Y23">
        <f t="shared" si="25"/>
        <v>2871851.2791046249</v>
      </c>
      <c r="Z23">
        <f t="shared" si="25"/>
        <v>2899061.444204167</v>
      </c>
      <c r="AA23">
        <f t="shared" si="25"/>
        <v>2926529.4196889931</v>
      </c>
      <c r="AB23">
        <f t="shared" si="25"/>
        <v>2954257.648256328</v>
      </c>
      <c r="AC23">
        <f t="shared" si="25"/>
        <v>2982248.5957474192</v>
      </c>
      <c r="AD23">
        <f t="shared" si="25"/>
        <v>3010504.7513668234</v>
      </c>
      <c r="AE23">
        <f t="shared" si="25"/>
        <v>3039028.6279037683</v>
      </c>
      <c r="AF23">
        <f t="shared" si="25"/>
        <v>3067822.7619556119</v>
      </c>
      <c r="AG23">
        <f t="shared" si="25"/>
        <v>3096889.7141534192</v>
      </c>
      <c r="AH23">
        <f t="shared" si="25"/>
        <v>3126232.0693896771</v>
      </c>
      <c r="AI23">
        <f t="shared" si="25"/>
        <v>3155852.4370481647</v>
      </c>
      <c r="AJ23">
        <f t="shared" si="25"/>
        <v>3185753.4512360045</v>
      </c>
      <c r="AK23">
        <f t="shared" si="25"/>
        <v>3215937.77101791</v>
      </c>
    </row>
    <row r="24" spans="1:46">
      <c r="A24" s="329" t="s">
        <v>388</v>
      </c>
      <c r="B24">
        <f>SUMIFS('FAO Stats'!$L$2:$L$97,'FAO Stats'!$H$2:$H$97,'Agriculture - Soil Mgmt'!$A24,'FAO Stats'!$I$2:$I$97,'Agriculture - Soil Mgmt'!B$22,'FAO Stats'!$K$2:$K$97,"ha")</f>
        <v>104400</v>
      </c>
      <c r="C24">
        <f>SUMIFS('FAO Stats'!$L$2:$L$97,'FAO Stats'!$H$2:$H$97,'Agriculture - Soil Mgmt'!$A24,'FAO Stats'!$I$2:$I$97,'Agriculture - Soil Mgmt'!C$22,'FAO Stats'!$K$2:$K$97,"ha")</f>
        <v>110500</v>
      </c>
      <c r="D24">
        <f>C24*AVERAGE('FAPRI Projections'!Q$7/'FAPRI Projections'!P$7,'FAPRI Projections'!Q$30/'FAPRI Projections'!P$30,'FAPRI Projections'!Q$48/'FAPRI Projections'!P$48,'FAPRI Projections'!Q$71/'FAPRI Projections'!P$71)</f>
        <v>110830.90146536367</v>
      </c>
      <c r="E24">
        <f>D24*AVERAGE('FAPRI Projections'!R$7/'FAPRI Projections'!Q$7,'FAPRI Projections'!R$30/'FAPRI Projections'!Q$30,'FAPRI Projections'!R$48/'FAPRI Projections'!Q$48,'FAPRI Projections'!R$71/'FAPRI Projections'!Q$71)</f>
        <v>111266.90940565344</v>
      </c>
      <c r="F24">
        <f>E24*AVERAGE('FAPRI Projections'!S$7/'FAPRI Projections'!R$7,'FAPRI Projections'!S$30/'FAPRI Projections'!R$30,'FAPRI Projections'!S$48/'FAPRI Projections'!R$48,'FAPRI Projections'!S$71/'FAPRI Projections'!R$71)</f>
        <v>111624.76405582832</v>
      </c>
      <c r="G24">
        <f>F24*AVERAGE('FAPRI Projections'!T$7/'FAPRI Projections'!S$7,'FAPRI Projections'!T$30/'FAPRI Projections'!S$30,'FAPRI Projections'!T$48/'FAPRI Projections'!S$48,'FAPRI Projections'!T$71/'FAPRI Projections'!S$71)</f>
        <v>112314.98408325434</v>
      </c>
      <c r="H24">
        <f>G24*AVERAGE('FAPRI Projections'!U$7/'FAPRI Projections'!T$7,'FAPRI Projections'!U$30/'FAPRI Projections'!T$30,'FAPRI Projections'!U$48/'FAPRI Projections'!T$48,'FAPRI Projections'!U$71/'FAPRI Projections'!T$71)</f>
        <v>112703.28954630884</v>
      </c>
      <c r="I24">
        <f>H24*AVERAGE('FAPRI Projections'!V$7/'FAPRI Projections'!U$7,'FAPRI Projections'!V$30/'FAPRI Projections'!U$30,'FAPRI Projections'!V$48/'FAPRI Projections'!U$48,'FAPRI Projections'!V$71/'FAPRI Projections'!U$71)</f>
        <v>113202.23082541869</v>
      </c>
      <c r="J24">
        <f t="shared" ref="J24:Y30" si="26">(($I$23-$C$23)/$C$23/COUNT($D$22:$I$22)+1)*I24</f>
        <v>114274.79729597649</v>
      </c>
      <c r="K24">
        <f t="shared" si="26"/>
        <v>115357.52610013298</v>
      </c>
      <c r="L24">
        <f t="shared" si="26"/>
        <v>116450.51352378467</v>
      </c>
      <c r="M24">
        <f t="shared" si="26"/>
        <v>117553.85676511594</v>
      </c>
      <c r="N24">
        <f t="shared" si="26"/>
        <v>118667.65394324281</v>
      </c>
      <c r="O24">
        <f t="shared" si="26"/>
        <v>119792.00410693852</v>
      </c>
      <c r="P24">
        <f t="shared" si="26"/>
        <v>120927.00724344185</v>
      </c>
      <c r="Q24">
        <f t="shared" si="26"/>
        <v>122072.76428734891</v>
      </c>
      <c r="R24">
        <f t="shared" si="26"/>
        <v>123229.37712958909</v>
      </c>
      <c r="S24">
        <f t="shared" si="26"/>
        <v>124396.94862648613</v>
      </c>
      <c r="T24">
        <f t="shared" si="26"/>
        <v>125575.58260890507</v>
      </c>
      <c r="U24">
        <f t="shared" si="26"/>
        <v>126765.3838914857</v>
      </c>
      <c r="V24">
        <f t="shared" si="26"/>
        <v>127966.45828196376</v>
      </c>
      <c r="W24">
        <f t="shared" si="26"/>
        <v>129178.91259058016</v>
      </c>
      <c r="X24">
        <f t="shared" si="26"/>
        <v>130402.85463957963</v>
      </c>
      <c r="Y24">
        <f t="shared" si="26"/>
        <v>131638.39327279912</v>
      </c>
      <c r="Z24">
        <f t="shared" si="25"/>
        <v>132885.63836534726</v>
      </c>
      <c r="AA24">
        <f t="shared" si="25"/>
        <v>134144.70083337539</v>
      </c>
      <c r="AB24">
        <f t="shared" si="25"/>
        <v>135415.69264394118</v>
      </c>
      <c r="AC24">
        <f t="shared" si="25"/>
        <v>136698.72682496579</v>
      </c>
      <c r="AD24">
        <f t="shared" si="25"/>
        <v>137993.91747528536</v>
      </c>
      <c r="AE24">
        <f t="shared" si="25"/>
        <v>139301.37977479753</v>
      </c>
      <c r="AF24">
        <f t="shared" si="25"/>
        <v>140621.22999470448</v>
      </c>
      <c r="AG24">
        <f t="shared" si="25"/>
        <v>141953.58550785264</v>
      </c>
      <c r="AH24">
        <f t="shared" si="25"/>
        <v>143298.56479917059</v>
      </c>
      <c r="AI24">
        <f t="shared" si="25"/>
        <v>144656.28747620579</v>
      </c>
      <c r="AJ24">
        <f t="shared" si="25"/>
        <v>146026.87427976116</v>
      </c>
      <c r="AK24">
        <f t="shared" si="25"/>
        <v>147410.44709463243</v>
      </c>
    </row>
    <row r="25" spans="1:46">
      <c r="A25" s="329" t="s">
        <v>389</v>
      </c>
      <c r="B25">
        <f>SUMIFS('FAO Stats'!$L$2:$L$97,'FAO Stats'!$H$2:$H$97,'Agriculture - Soil Mgmt'!$A25,'FAO Stats'!$I$2:$I$97,'Agriculture - Soil Mgmt'!B$22,'FAO Stats'!$K$2:$K$97,"ha")</f>
        <v>0</v>
      </c>
      <c r="C25">
        <f>SUMIFS('FAO Stats'!$L$2:$L$97,'FAO Stats'!$H$2:$H$97,'Agriculture - Soil Mgmt'!$A25,'FAO Stats'!$I$2:$I$97,'Agriculture - Soil Mgmt'!C$22,'FAO Stats'!$K$2:$K$97,"ha")</f>
        <v>0</v>
      </c>
      <c r="D25">
        <f>C25*AVERAGE('FAPRI Projections'!Q$7/'FAPRI Projections'!P$7,'FAPRI Projections'!Q$30/'FAPRI Projections'!P$30,'FAPRI Projections'!Q$48/'FAPRI Projections'!P$48,'FAPRI Projections'!Q$71/'FAPRI Projections'!P$71)</f>
        <v>0</v>
      </c>
      <c r="E25">
        <f>D25*AVERAGE('FAPRI Projections'!R$7/'FAPRI Projections'!Q$7,'FAPRI Projections'!R$30/'FAPRI Projections'!Q$30,'FAPRI Projections'!R$48/'FAPRI Projections'!Q$48,'FAPRI Projections'!R$71/'FAPRI Projections'!Q$71)</f>
        <v>0</v>
      </c>
      <c r="F25">
        <f>E25*AVERAGE('FAPRI Projections'!S$7/'FAPRI Projections'!R$7,'FAPRI Projections'!S$30/'FAPRI Projections'!R$30,'FAPRI Projections'!S$48/'FAPRI Projections'!R$48,'FAPRI Projections'!S$71/'FAPRI Projections'!R$71)</f>
        <v>0</v>
      </c>
      <c r="G25">
        <f>F25*AVERAGE('FAPRI Projections'!T$7/'FAPRI Projections'!S$7,'FAPRI Projections'!T$30/'FAPRI Projections'!S$30,'FAPRI Projections'!T$48/'FAPRI Projections'!S$48,'FAPRI Projections'!T$71/'FAPRI Projections'!S$71)</f>
        <v>0</v>
      </c>
      <c r="H25">
        <f>G25*AVERAGE('FAPRI Projections'!U$7/'FAPRI Projections'!T$7,'FAPRI Projections'!U$30/'FAPRI Projections'!T$30,'FAPRI Projections'!U$48/'FAPRI Projections'!T$48,'FAPRI Projections'!U$71/'FAPRI Projections'!T$71)</f>
        <v>0</v>
      </c>
      <c r="I25">
        <f>H25*AVERAGE('FAPRI Projections'!V$7/'FAPRI Projections'!U$7,'FAPRI Projections'!V$30/'FAPRI Projections'!U$30,'FAPRI Projections'!V$48/'FAPRI Projections'!U$48,'FAPRI Projections'!V$71/'FAPRI Projections'!U$71)</f>
        <v>0</v>
      </c>
      <c r="J25">
        <f t="shared" si="26"/>
        <v>0</v>
      </c>
      <c r="K25">
        <f t="shared" si="25"/>
        <v>0</v>
      </c>
      <c r="L25">
        <f t="shared" si="25"/>
        <v>0</v>
      </c>
      <c r="M25">
        <f t="shared" si="25"/>
        <v>0</v>
      </c>
      <c r="N25">
        <f t="shared" si="25"/>
        <v>0</v>
      </c>
      <c r="O25">
        <f t="shared" si="25"/>
        <v>0</v>
      </c>
      <c r="P25">
        <f t="shared" si="25"/>
        <v>0</v>
      </c>
      <c r="Q25">
        <f t="shared" si="25"/>
        <v>0</v>
      </c>
      <c r="R25">
        <f t="shared" si="25"/>
        <v>0</v>
      </c>
      <c r="S25">
        <f t="shared" si="25"/>
        <v>0</v>
      </c>
      <c r="T25">
        <f t="shared" si="25"/>
        <v>0</v>
      </c>
      <c r="U25">
        <f t="shared" si="25"/>
        <v>0</v>
      </c>
      <c r="V25">
        <f t="shared" si="25"/>
        <v>0</v>
      </c>
      <c r="W25">
        <f t="shared" si="25"/>
        <v>0</v>
      </c>
      <c r="X25">
        <f t="shared" si="25"/>
        <v>0</v>
      </c>
      <c r="Y25">
        <f t="shared" si="25"/>
        <v>0</v>
      </c>
      <c r="Z25">
        <f t="shared" si="25"/>
        <v>0</v>
      </c>
      <c r="AA25">
        <f t="shared" si="25"/>
        <v>0</v>
      </c>
      <c r="AB25">
        <f t="shared" si="25"/>
        <v>0</v>
      </c>
      <c r="AC25">
        <f t="shared" si="25"/>
        <v>0</v>
      </c>
      <c r="AD25">
        <f t="shared" si="25"/>
        <v>0</v>
      </c>
      <c r="AE25">
        <f t="shared" si="25"/>
        <v>0</v>
      </c>
      <c r="AF25">
        <f t="shared" si="25"/>
        <v>0</v>
      </c>
      <c r="AG25">
        <f t="shared" si="25"/>
        <v>0</v>
      </c>
      <c r="AH25">
        <f t="shared" si="25"/>
        <v>0</v>
      </c>
      <c r="AI25">
        <f t="shared" si="25"/>
        <v>0</v>
      </c>
      <c r="AJ25">
        <f t="shared" si="25"/>
        <v>0</v>
      </c>
      <c r="AK25">
        <f t="shared" si="25"/>
        <v>0</v>
      </c>
    </row>
    <row r="26" spans="1:46">
      <c r="A26" s="329" t="s">
        <v>391</v>
      </c>
      <c r="B26">
        <f>SUMIFS('FAO Stats'!$L$2:$L$97,'FAO Stats'!$H$2:$H$97,'Agriculture - Soil Mgmt'!$A26,'FAO Stats'!$I$2:$I$97,'Agriculture - Soil Mgmt'!B$22,'FAO Stats'!$K$2:$K$97,"ha")</f>
        <v>46500</v>
      </c>
      <c r="C26">
        <f>SUMIFS('FAO Stats'!$L$2:$L$97,'FAO Stats'!$H$2:$H$97,'Agriculture - Soil Mgmt'!$A26,'FAO Stats'!$I$2:$I$97,'Agriculture - Soil Mgmt'!C$22,'FAO Stats'!$K$2:$K$97,"ha")</f>
        <v>59800</v>
      </c>
      <c r="D26">
        <f>C26*AVERAGE('FAPRI Projections'!Q$7/'FAPRI Projections'!P$7,'FAPRI Projections'!Q$30/'FAPRI Projections'!P$30,'FAPRI Projections'!Q$48/'FAPRI Projections'!P$48,'FAPRI Projections'!Q$71/'FAPRI Projections'!P$71)</f>
        <v>59979.076087137983</v>
      </c>
      <c r="E26">
        <f>D26*AVERAGE('FAPRI Projections'!R$7/'FAPRI Projections'!Q$7,'FAPRI Projections'!R$30/'FAPRI Projections'!Q$30,'FAPRI Projections'!R$48/'FAPRI Projections'!Q$48,'FAPRI Projections'!R$71/'FAPRI Projections'!Q$71)</f>
        <v>60215.033325412449</v>
      </c>
      <c r="F26">
        <f>E26*AVERAGE('FAPRI Projections'!S$7/'FAPRI Projections'!R$7,'FAPRI Projections'!S$30/'FAPRI Projections'!R$30,'FAPRI Projections'!S$48/'FAPRI Projections'!R$48,'FAPRI Projections'!S$71/'FAPRI Projections'!R$71)</f>
        <v>60408.695841977678</v>
      </c>
      <c r="G26">
        <f>F26*AVERAGE('FAPRI Projections'!T$7/'FAPRI Projections'!S$7,'FAPRI Projections'!T$30/'FAPRI Projections'!S$30,'FAPRI Projections'!T$48/'FAPRI Projections'!S$48,'FAPRI Projections'!T$71/'FAPRI Projections'!S$71)</f>
        <v>60782.226680349406</v>
      </c>
      <c r="H26">
        <f>G26*AVERAGE('FAPRI Projections'!U$7/'FAPRI Projections'!T$7,'FAPRI Projections'!U$30/'FAPRI Projections'!T$30,'FAPRI Projections'!U$48/'FAPRI Projections'!T$48,'FAPRI Projections'!U$71/'FAPRI Projections'!T$71)</f>
        <v>60992.368460355363</v>
      </c>
      <c r="I26">
        <f>H26*AVERAGE('FAPRI Projections'!V$7/'FAPRI Projections'!U$7,'FAPRI Projections'!V$30/'FAPRI Projections'!U$30,'FAPRI Projections'!V$48/'FAPRI Projections'!U$48,'FAPRI Projections'!V$71/'FAPRI Projections'!U$71)</f>
        <v>61262.383740814817</v>
      </c>
      <c r="J26">
        <f t="shared" si="26"/>
        <v>61842.831477822569</v>
      </c>
      <c r="K26">
        <f t="shared" si="25"/>
        <v>62428.778830660201</v>
      </c>
      <c r="L26">
        <f t="shared" si="25"/>
        <v>63020.277906989351</v>
      </c>
      <c r="M26">
        <f t="shared" si="25"/>
        <v>63617.381308180396</v>
      </c>
      <c r="N26">
        <f t="shared" si="25"/>
        <v>64220.14213399023</v>
      </c>
      <c r="O26">
        <f t="shared" si="25"/>
        <v>64828.613987284378</v>
      </c>
      <c r="P26">
        <f t="shared" si="25"/>
        <v>65442.850978803828</v>
      </c>
      <c r="Q26">
        <f t="shared" si="25"/>
        <v>66062.907731977059</v>
      </c>
      <c r="R26">
        <f t="shared" si="25"/>
        <v>66688.839387777625</v>
      </c>
      <c r="S26">
        <f t="shared" si="25"/>
        <v>67320.701609627795</v>
      </c>
      <c r="T26">
        <f t="shared" si="25"/>
        <v>67958.550588348633</v>
      </c>
      <c r="U26">
        <f t="shared" si="25"/>
        <v>68602.443047156979</v>
      </c>
      <c r="V26">
        <f t="shared" si="25"/>
        <v>69252.436246709811</v>
      </c>
      <c r="W26">
        <f t="shared" si="25"/>
        <v>69908.587990196334</v>
      </c>
      <c r="X26">
        <f t="shared" si="25"/>
        <v>70570.956628478394</v>
      </c>
      <c r="Y26">
        <f t="shared" si="25"/>
        <v>71239.601065279538</v>
      </c>
      <c r="Z26">
        <f t="shared" si="25"/>
        <v>71914.58076242324</v>
      </c>
      <c r="AA26">
        <f t="shared" si="25"/>
        <v>72595.955745120809</v>
      </c>
      <c r="AB26">
        <f t="shared" si="25"/>
        <v>73283.786607309346</v>
      </c>
      <c r="AC26">
        <f t="shared" si="25"/>
        <v>73978.134517040322</v>
      </c>
      <c r="AD26">
        <f t="shared" si="25"/>
        <v>74679.061221919139</v>
      </c>
      <c r="AE26">
        <f t="shared" si="25"/>
        <v>75386.629054596327</v>
      </c>
      <c r="AF26">
        <f t="shared" si="25"/>
        <v>76100.900938310675</v>
      </c>
      <c r="AG26">
        <f t="shared" si="25"/>
        <v>76821.940392484976</v>
      </c>
      <c r="AH26">
        <f t="shared" si="25"/>
        <v>77549.811538374692</v>
      </c>
      <c r="AI26">
        <f t="shared" si="25"/>
        <v>78284.579104770208</v>
      </c>
      <c r="AJ26">
        <f t="shared" si="25"/>
        <v>79026.308433753118</v>
      </c>
      <c r="AK26">
        <f t="shared" si="25"/>
        <v>79775.065486506981</v>
      </c>
    </row>
    <row r="27" spans="1:46">
      <c r="A27" s="329" t="s">
        <v>392</v>
      </c>
      <c r="B27">
        <f>SUMIFS('FAO Stats'!$L$2:$L$97,'FAO Stats'!$H$2:$H$97,'Agriculture - Soil Mgmt'!$A27,'FAO Stats'!$I$2:$I$97,'Agriculture - Soil Mgmt'!B$22,'FAO Stats'!$K$2:$K$97,"ha")</f>
        <v>1630000</v>
      </c>
      <c r="C27">
        <f>SUMIFS('FAO Stats'!$L$2:$L$97,'FAO Stats'!$H$2:$H$97,'Agriculture - Soil Mgmt'!$A27,'FAO Stats'!$I$2:$I$97,'Agriculture - Soil Mgmt'!C$22,'FAO Stats'!$K$2:$K$97,"ha")</f>
        <v>2175200</v>
      </c>
      <c r="D27">
        <f>C27*AVERAGE('FAPRI Projections'!Q$7/'FAPRI Projections'!P$7,'FAPRI Projections'!Q$30/'FAPRI Projections'!P$30,'FAPRI Projections'!Q$48/'FAPRI Projections'!P$48,'FAPRI Projections'!Q$71/'FAPRI Projections'!P$71)</f>
        <v>2181713.8178050593</v>
      </c>
      <c r="E27">
        <f>D27*AVERAGE('FAPRI Projections'!R$7/'FAPRI Projections'!Q$7,'FAPRI Projections'!R$30/'FAPRI Projections'!Q$30,'FAPRI Projections'!R$48/'FAPRI Projections'!Q$48,'FAPRI Projections'!R$71/'FAPRI Projections'!Q$71)</f>
        <v>2190296.6637029625</v>
      </c>
      <c r="F27">
        <f>E27*AVERAGE('FAPRI Projections'!S$7/'FAPRI Projections'!R$7,'FAPRI Projections'!S$30/'FAPRI Projections'!R$30,'FAPRI Projections'!S$48/'FAPRI Projections'!R$48,'FAPRI Projections'!S$71/'FAPRI Projections'!R$71)</f>
        <v>2197341.0567804324</v>
      </c>
      <c r="G27">
        <f>F27*AVERAGE('FAPRI Projections'!T$7/'FAPRI Projections'!S$7,'FAPRI Projections'!T$30/'FAPRI Projections'!S$30,'FAPRI Projections'!T$48/'FAPRI Projections'!S$48,'FAPRI Projections'!T$71/'FAPRI Projections'!S$71)</f>
        <v>2210928.0848678267</v>
      </c>
      <c r="H27">
        <f>G27*AVERAGE('FAPRI Projections'!U$7/'FAPRI Projections'!T$7,'FAPRI Projections'!U$30/'FAPRI Projections'!T$30,'FAPRI Projections'!U$48/'FAPRI Projections'!T$48,'FAPRI Projections'!U$71/'FAPRI Projections'!T$71)</f>
        <v>2218571.9042636286</v>
      </c>
      <c r="I27">
        <f>H27*AVERAGE('FAPRI Projections'!V$7/'FAPRI Projections'!U$7,'FAPRI Projections'!V$30/'FAPRI Projections'!U$30,'FAPRI Projections'!V$48/'FAPRI Projections'!U$48,'FAPRI Projections'!V$71/'FAPRI Projections'!U$71)</f>
        <v>2228393.597207699</v>
      </c>
      <c r="J27">
        <f t="shared" si="26"/>
        <v>2249507.1409792583</v>
      </c>
      <c r="K27">
        <f t="shared" si="25"/>
        <v>2270820.7309774593</v>
      </c>
      <c r="L27">
        <f t="shared" si="25"/>
        <v>2292336.2625967097</v>
      </c>
      <c r="M27">
        <f t="shared" si="25"/>
        <v>2314055.6491898661</v>
      </c>
      <c r="N27">
        <f t="shared" si="25"/>
        <v>2335980.8222383871</v>
      </c>
      <c r="O27">
        <f t="shared" si="25"/>
        <v>2358113.7315240963</v>
      </c>
      <c r="P27">
        <f t="shared" si="25"/>
        <v>2380456.3453025762</v>
      </c>
      <c r="Q27">
        <f t="shared" si="25"/>
        <v>2403010.6504782019</v>
      </c>
      <c r="R27">
        <f t="shared" si="25"/>
        <v>2425778.6527808337</v>
      </c>
      <c r="S27">
        <f t="shared" si="25"/>
        <v>2448762.3769441862</v>
      </c>
      <c r="T27">
        <f t="shared" si="25"/>
        <v>2471963.8668858842</v>
      </c>
      <c r="U27">
        <f t="shared" si="25"/>
        <v>2495385.1858892273</v>
      </c>
      <c r="V27">
        <f t="shared" si="25"/>
        <v>2519028.4167866739</v>
      </c>
      <c r="W27">
        <f t="shared" si="25"/>
        <v>2542895.6621450665</v>
      </c>
      <c r="X27">
        <f t="shared" si="25"/>
        <v>2566989.0444526104</v>
      </c>
      <c r="Y27">
        <f t="shared" si="25"/>
        <v>2591310.7063076245</v>
      </c>
      <c r="Z27">
        <f t="shared" si="25"/>
        <v>2615862.810609079</v>
      </c>
      <c r="AA27">
        <f t="shared" si="25"/>
        <v>2640647.5407489412</v>
      </c>
      <c r="AB27">
        <f t="shared" si="25"/>
        <v>2665667.100806341</v>
      </c>
      <c r="AC27">
        <f t="shared" si="25"/>
        <v>2690923.7157435785</v>
      </c>
      <c r="AD27">
        <f t="shared" si="25"/>
        <v>2716419.6316039865</v>
      </c>
      <c r="AE27">
        <f t="shared" si="25"/>
        <v>2742157.115711669</v>
      </c>
      <c r="AF27">
        <f t="shared" si="25"/>
        <v>2768138.4568731315</v>
      </c>
      <c r="AG27">
        <f t="shared" si="25"/>
        <v>2794365.9655808224</v>
      </c>
      <c r="AH27">
        <f t="shared" si="25"/>
        <v>2820841.9742186032</v>
      </c>
      <c r="AI27">
        <f t="shared" si="25"/>
        <v>2847568.8372691642</v>
      </c>
      <c r="AJ27">
        <f t="shared" si="25"/>
        <v>2874548.9315234055</v>
      </c>
      <c r="AK27">
        <f t="shared" si="25"/>
        <v>2901784.6562918033</v>
      </c>
    </row>
    <row r="28" spans="1:46">
      <c r="A28" s="329" t="s">
        <v>387</v>
      </c>
      <c r="B28">
        <f>SUMIFS('FAO Stats'!$L$2:$L$97,'FAO Stats'!$H$2:$H$97,'Agriculture - Soil Mgmt'!$A28,'FAO Stats'!$I$2:$I$97,'Agriculture - Soil Mgmt'!B$22,'FAO Stats'!$K$2:$K$97,"ha")</f>
        <v>1311700</v>
      </c>
      <c r="C28">
        <f>SUMIFS('FAO Stats'!$L$2:$L$97,'FAO Stats'!$H$2:$H$97,'Agriculture - Soil Mgmt'!$A28,'FAO Stats'!$I$2:$I$97,'Agriculture - Soil Mgmt'!C$22,'FAO Stats'!$K$2:$K$97,"ha")</f>
        <v>1317700</v>
      </c>
      <c r="D28">
        <f>C28*'FAPRI Projections'!Q30/'FAPRI Projections'!P30</f>
        <v>1313792.3034460533</v>
      </c>
      <c r="E28">
        <f>D28*'FAPRI Projections'!R30/'FAPRI Projections'!Q30</f>
        <v>1302406.569502064</v>
      </c>
      <c r="F28">
        <f>E28*'FAPRI Projections'!S30/'FAPRI Projections'!R30</f>
        <v>1303234.0366573089</v>
      </c>
      <c r="G28">
        <f>F28*'FAPRI Projections'!T30/'FAPRI Projections'!S30</f>
        <v>1300664.3885287782</v>
      </c>
      <c r="H28">
        <f>G28*'FAPRI Projections'!U30/'FAPRI Projections'!T30</f>
        <v>1297025.3711057496</v>
      </c>
      <c r="I28">
        <f>H28*'FAPRI Projections'!V30/'FAPRI Projections'!U30</f>
        <v>1288960.0403272975</v>
      </c>
      <c r="J28">
        <f t="shared" si="26"/>
        <v>1301172.6558478873</v>
      </c>
      <c r="K28">
        <f t="shared" si="25"/>
        <v>1313500.983239433</v>
      </c>
      <c r="L28">
        <f t="shared" si="25"/>
        <v>1325946.1188466987</v>
      </c>
      <c r="M28">
        <f t="shared" si="25"/>
        <v>1338509.1694020759</v>
      </c>
      <c r="N28">
        <f t="shared" si="25"/>
        <v>1351191.2521240048</v>
      </c>
      <c r="O28">
        <f t="shared" si="25"/>
        <v>1363993.4948163263</v>
      </c>
      <c r="P28">
        <f t="shared" si="25"/>
        <v>1376917.0359685775</v>
      </c>
      <c r="Q28">
        <f t="shared" si="25"/>
        <v>1389963.0248572356</v>
      </c>
      <c r="R28">
        <f t="shared" si="25"/>
        <v>1403132.6216479219</v>
      </c>
      <c r="S28">
        <f t="shared" si="25"/>
        <v>1416426.9974985742</v>
      </c>
      <c r="T28">
        <f t="shared" si="25"/>
        <v>1429847.3346635967</v>
      </c>
      <c r="U28">
        <f t="shared" si="25"/>
        <v>1443394.8265989963</v>
      </c>
      <c r="V28">
        <f t="shared" si="25"/>
        <v>1457070.6780685156</v>
      </c>
      <c r="W28">
        <f t="shared" si="25"/>
        <v>1470876.1052507712</v>
      </c>
      <c r="X28">
        <f t="shared" si="25"/>
        <v>1484812.3358474069</v>
      </c>
      <c r="Y28">
        <f t="shared" si="25"/>
        <v>1498880.6091922722</v>
      </c>
      <c r="Z28">
        <f t="shared" si="25"/>
        <v>1513082.1763616349</v>
      </c>
      <c r="AA28">
        <f t="shared" si="25"/>
        <v>1527418.3002854374</v>
      </c>
      <c r="AB28">
        <f t="shared" si="25"/>
        <v>1541890.2558596088</v>
      </c>
      <c r="AC28">
        <f t="shared" si="25"/>
        <v>1556499.3300594385</v>
      </c>
      <c r="AD28">
        <f t="shared" si="25"/>
        <v>1571246.8220540271</v>
      </c>
      <c r="AE28">
        <f t="shared" si="25"/>
        <v>1586134.0433218188</v>
      </c>
      <c r="AF28">
        <f t="shared" si="25"/>
        <v>1601162.3177672306</v>
      </c>
      <c r="AG28">
        <f t="shared" si="25"/>
        <v>1616332.9818383853</v>
      </c>
      <c r="AH28">
        <f t="shared" si="25"/>
        <v>1631647.3846459605</v>
      </c>
      <c r="AI28">
        <f t="shared" si="25"/>
        <v>1647106.8880831632</v>
      </c>
      <c r="AJ28">
        <f t="shared" si="25"/>
        <v>1662712.8669468423</v>
      </c>
      <c r="AK28">
        <f t="shared" si="25"/>
        <v>1678466.7090597467</v>
      </c>
    </row>
    <row r="29" spans="1:46">
      <c r="A29" s="329" t="s">
        <v>82</v>
      </c>
      <c r="B29">
        <f>SUMIFS('FAO Stats'!$L$2:$L$97,'FAO Stats'!$H$2:$H$97,'Agriculture - Soil Mgmt'!$A29,'FAO Stats'!$I$2:$I$97,'Agriculture - Soil Mgmt'!B$22,'FAO Stats'!$K$2:$K$97,"ha")</f>
        <v>2197400</v>
      </c>
      <c r="C29">
        <f>SUMIFS('FAO Stats'!$L$2:$L$97,'FAO Stats'!$H$2:$H$97,'Agriculture - Soil Mgmt'!$A29,'FAO Stats'!$I$2:$I$97,'Agriculture - Soil Mgmt'!C$22,'FAO Stats'!$K$2:$K$97,"ha")</f>
        <v>2190500</v>
      </c>
      <c r="D29">
        <f>C29*'FAPRI Projections'!Q71/'FAPRI Projections'!P71</f>
        <v>2211263.873589044</v>
      </c>
      <c r="E29">
        <f>D29*'FAPRI Projections'!R71/'FAPRI Projections'!Q71</f>
        <v>2229629.6345432065</v>
      </c>
      <c r="F29">
        <f>E29*'FAPRI Projections'!S71/'FAPRI Projections'!R71</f>
        <v>2250062.9655889077</v>
      </c>
      <c r="G29">
        <f>F29*'FAPRI Projections'!T71/'FAPRI Projections'!S71</f>
        <v>2276138.392856658</v>
      </c>
      <c r="H29">
        <f>G29*'FAPRI Projections'!U71/'FAPRI Projections'!T71</f>
        <v>2302889.6235399558</v>
      </c>
      <c r="I29">
        <f>H29*'FAPRI Projections'!V71/'FAPRI Projections'!U71</f>
        <v>2329978.4479117431</v>
      </c>
      <c r="J29">
        <f t="shared" si="26"/>
        <v>2352054.4860086115</v>
      </c>
      <c r="K29">
        <f t="shared" si="25"/>
        <v>2374339.6897561285</v>
      </c>
      <c r="L29">
        <f t="shared" si="25"/>
        <v>2396836.0409532571</v>
      </c>
      <c r="M29">
        <f t="shared" si="25"/>
        <v>2419545.540176074</v>
      </c>
      <c r="N29">
        <f t="shared" si="25"/>
        <v>2442470.2069556778</v>
      </c>
      <c r="O29">
        <f t="shared" si="25"/>
        <v>2465612.0799577846</v>
      </c>
      <c r="P29">
        <f t="shared" si="25"/>
        <v>2488973.2171640242</v>
      </c>
      <c r="Q29">
        <f t="shared" si="25"/>
        <v>2512555.6960549532</v>
      </c>
      <c r="R29">
        <f t="shared" si="25"/>
        <v>2536361.6137948041</v>
      </c>
      <c r="S29">
        <f t="shared" si="25"/>
        <v>2560393.0874179839</v>
      </c>
      <c r="T29">
        <f t="shared" si="25"/>
        <v>2584652.2540173391</v>
      </c>
      <c r="U29">
        <f t="shared" si="25"/>
        <v>2609141.270934205</v>
      </c>
      <c r="V29">
        <f t="shared" si="25"/>
        <v>2633862.3159502563</v>
      </c>
      <c r="W29">
        <f t="shared" si="25"/>
        <v>2658817.5874811742</v>
      </c>
      <c r="X29">
        <f t="shared" si="25"/>
        <v>2684009.3047721493</v>
      </c>
      <c r="Y29">
        <f t="shared" si="25"/>
        <v>2709439.7080952376</v>
      </c>
      <c r="Z29">
        <f t="shared" si="25"/>
        <v>2735111.0589485844</v>
      </c>
      <c r="AA29">
        <f t="shared" si="25"/>
        <v>2761025.6402575364</v>
      </c>
      <c r="AB29">
        <f t="shared" si="25"/>
        <v>2787185.7565776617</v>
      </c>
      <c r="AC29">
        <f t="shared" si="25"/>
        <v>2813593.7342996891</v>
      </c>
      <c r="AD29">
        <f t="shared" si="25"/>
        <v>2840251.9218563936</v>
      </c>
      <c r="AE29">
        <f t="shared" si="25"/>
        <v>2867162.6899314383</v>
      </c>
      <c r="AF29">
        <f t="shared" si="25"/>
        <v>2894328.4316701978</v>
      </c>
      <c r="AG29">
        <f t="shared" si="25"/>
        <v>2921751.5628925776</v>
      </c>
      <c r="AH29">
        <f t="shared" si="25"/>
        <v>2949434.5223078504</v>
      </c>
      <c r="AI29">
        <f t="shared" si="25"/>
        <v>2977379.771731528</v>
      </c>
      <c r="AJ29">
        <f t="shared" si="25"/>
        <v>3005589.7963042874</v>
      </c>
      <c r="AK29">
        <f t="shared" si="25"/>
        <v>3034067.1047129724</v>
      </c>
    </row>
    <row r="30" spans="1:46">
      <c r="A30" s="329" t="s">
        <v>81</v>
      </c>
      <c r="B30">
        <f>SUMIFS('FAO Stats'!$L$2:$L$97,'FAO Stats'!$H$2:$H$97,'Agriculture - Soil Mgmt'!$A30,'FAO Stats'!$I$2:$I$97,'Agriculture - Soil Mgmt'!B$22,'FAO Stats'!$K$2:$K$97,"ha")</f>
        <v>9577400</v>
      </c>
      <c r="C30">
        <f>SUMIFS('FAO Stats'!$L$2:$L$97,'FAO Stats'!$H$2:$H$97,'Agriculture - Soil Mgmt'!$A30,'FAO Stats'!$I$2:$I$97,'Agriculture - Soil Mgmt'!C$22,'FAO Stats'!$K$2:$K$97,"ha")</f>
        <v>9261600</v>
      </c>
      <c r="D30">
        <f>C30*'FAPRI Projections'!Q7/'FAPRI Projections'!P7</f>
        <v>9302694.5641375072</v>
      </c>
      <c r="E30">
        <f>D30*'FAPRI Projections'!R7/'FAPRI Projections'!Q7</f>
        <v>9310513.0662692059</v>
      </c>
      <c r="F30">
        <f>E30*'FAPRI Projections'!S7/'FAPRI Projections'!R7</f>
        <v>9268727.4179943539</v>
      </c>
      <c r="G30">
        <f>F30*'FAPRI Projections'!T7/'FAPRI Projections'!S7</f>
        <v>9277077.7782650962</v>
      </c>
      <c r="H30">
        <f>G30*'FAPRI Projections'!U7/'FAPRI Projections'!T7</f>
        <v>9274860.0187337641</v>
      </c>
      <c r="I30">
        <f>H30*'FAPRI Projections'!V7/'FAPRI Projections'!U7</f>
        <v>9272109.6522230562</v>
      </c>
      <c r="J30">
        <f t="shared" si="26"/>
        <v>9359960.8708059024</v>
      </c>
      <c r="K30">
        <f t="shared" si="25"/>
        <v>9448644.4605422374</v>
      </c>
      <c r="L30">
        <f t="shared" si="25"/>
        <v>9538168.3079673685</v>
      </c>
      <c r="M30">
        <f t="shared" si="25"/>
        <v>9628540.3743398059</v>
      </c>
      <c r="N30">
        <f t="shared" si="25"/>
        <v>9719768.696349252</v>
      </c>
      <c r="O30">
        <f t="shared" si="25"/>
        <v>9811861.3868312892</v>
      </c>
      <c r="P30">
        <f t="shared" si="25"/>
        <v>9904826.6354888529</v>
      </c>
      <c r="Q30">
        <f t="shared" si="25"/>
        <v>9998672.7096205279</v>
      </c>
      <c r="R30">
        <f t="shared" si="25"/>
        <v>10093407.954855749</v>
      </c>
      <c r="S30">
        <f t="shared" si="25"/>
        <v>10189040.795896977</v>
      </c>
      <c r="T30">
        <f t="shared" si="25"/>
        <v>10285579.737268887</v>
      </c>
      <c r="U30">
        <f t="shared" si="25"/>
        <v>10383033.364074677</v>
      </c>
      <c r="V30">
        <f t="shared" si="25"/>
        <v>10481410.342759525</v>
      </c>
      <c r="W30">
        <f t="shared" si="25"/>
        <v>10580719.421881288</v>
      </c>
      <c r="X30">
        <f t="shared" si="25"/>
        <v>10680969.432888504</v>
      </c>
      <c r="Y30">
        <f t="shared" si="25"/>
        <v>10782169.290905759</v>
      </c>
      <c r="Z30">
        <f t="shared" si="25"/>
        <v>10884327.995526506</v>
      </c>
      <c r="AA30">
        <f t="shared" si="25"/>
        <v>10987454.631613379</v>
      </c>
      <c r="AB30">
        <f t="shared" si="25"/>
        <v>11091558.370106114</v>
      </c>
      <c r="AC30">
        <f t="shared" si="25"/>
        <v>11196648.468837095</v>
      </c>
      <c r="AD30">
        <f t="shared" si="25"/>
        <v>11302734.273354655</v>
      </c>
      <c r="AE30">
        <f t="shared" si="25"/>
        <v>11409825.217754159</v>
      </c>
      <c r="AF30">
        <f t="shared" si="25"/>
        <v>11517930.825516971</v>
      </c>
      <c r="AG30">
        <f t="shared" si="25"/>
        <v>11627060.710357364</v>
      </c>
      <c r="AH30">
        <f t="shared" si="25"/>
        <v>11737224.577077463</v>
      </c>
      <c r="AI30">
        <f t="shared" si="25"/>
        <v>11848432.222430274</v>
      </c>
      <c r="AJ30">
        <f t="shared" si="25"/>
        <v>11960693.535990905</v>
      </c>
      <c r="AK30">
        <f t="shared" si="25"/>
        <v>12074018.501036035</v>
      </c>
    </row>
    <row r="32" spans="1:46">
      <c r="A32" s="17" t="s">
        <v>75</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row>
    <row r="33" spans="1:46">
      <c r="A33" s="8" t="s">
        <v>386</v>
      </c>
      <c r="B33">
        <v>2015</v>
      </c>
      <c r="C33">
        <v>2016</v>
      </c>
      <c r="D33">
        <v>2017</v>
      </c>
      <c r="E33">
        <v>2018</v>
      </c>
      <c r="F33">
        <v>2019</v>
      </c>
      <c r="G33">
        <v>2020</v>
      </c>
      <c r="H33">
        <v>2021</v>
      </c>
      <c r="I33">
        <v>2022</v>
      </c>
      <c r="J33">
        <v>2023</v>
      </c>
      <c r="K33">
        <v>2024</v>
      </c>
      <c r="L33">
        <v>2025</v>
      </c>
      <c r="M33">
        <v>2026</v>
      </c>
      <c r="N33">
        <v>2027</v>
      </c>
      <c r="O33">
        <v>2028</v>
      </c>
      <c r="P33">
        <v>2029</v>
      </c>
      <c r="Q33">
        <v>2030</v>
      </c>
      <c r="R33">
        <v>2031</v>
      </c>
      <c r="S33">
        <v>2032</v>
      </c>
      <c r="T33">
        <v>2033</v>
      </c>
      <c r="U33">
        <v>2034</v>
      </c>
      <c r="V33">
        <v>2035</v>
      </c>
      <c r="W33">
        <v>2036</v>
      </c>
      <c r="X33">
        <v>2037</v>
      </c>
      <c r="Y33">
        <v>2038</v>
      </c>
      <c r="Z33">
        <v>2039</v>
      </c>
      <c r="AA33">
        <v>2040</v>
      </c>
      <c r="AB33">
        <v>2041</v>
      </c>
      <c r="AC33">
        <v>2042</v>
      </c>
      <c r="AD33">
        <v>2043</v>
      </c>
      <c r="AE33">
        <v>2044</v>
      </c>
      <c r="AF33">
        <v>2045</v>
      </c>
      <c r="AG33">
        <v>2046</v>
      </c>
      <c r="AH33">
        <v>2047</v>
      </c>
      <c r="AI33">
        <v>2048</v>
      </c>
      <c r="AJ33">
        <v>2049</v>
      </c>
      <c r="AK33">
        <v>2050</v>
      </c>
    </row>
    <row r="34" spans="1:46">
      <c r="A34" s="329" t="s">
        <v>80</v>
      </c>
      <c r="B34">
        <f>SUMIFS('FAO Stats'!$L$2:$L$97,'FAO Stats'!$H$2:$H$97,'Agriculture - Soil Mgmt'!$A34,'FAO Stats'!$I$2:$I$97,'Agriculture - Soil Mgmt'!B$33,'FAO Stats'!$K$2:$K$97,"tonnes")</f>
        <v>8225700</v>
      </c>
      <c r="C34">
        <f>SUMIFS('FAO Stats'!$L$2:$L$97,'FAO Stats'!$H$2:$H$97,'Agriculture - Soil Mgmt'!$A34,'FAO Stats'!$I$2:$I$97,'Agriculture - Soil Mgmt'!C$33,'FAO Stats'!$K$2:$K$97,"tonnes")</f>
        <v>8704300</v>
      </c>
      <c r="D34">
        <f>C34*'FAPRI Projections'!Q54/'FAPRI Projections'!P54</f>
        <v>8809794.667735938</v>
      </c>
      <c r="E34">
        <f>D34*'FAPRI Projections'!R54/'FAPRI Projections'!Q54</f>
        <v>9023170.3671603836</v>
      </c>
      <c r="F34">
        <f>E34*'FAPRI Projections'!S54/'FAPRI Projections'!R54</f>
        <v>9167907.8205825016</v>
      </c>
      <c r="G34">
        <f>F34*'FAPRI Projections'!T54/'FAPRI Projections'!S54</f>
        <v>9374158.3675448075</v>
      </c>
      <c r="H34">
        <f>G34*'FAPRI Projections'!U54/'FAPRI Projections'!T54</f>
        <v>9509954.0599649902</v>
      </c>
      <c r="I34">
        <f>H34*'FAPRI Projections'!V54/'FAPRI Projections'!U54</f>
        <v>9707042.5107950978</v>
      </c>
      <c r="J34">
        <f>(($I$34-$C$34)/$C$34/COUNT($E$33:$J$33)+1)*I34</f>
        <v>9893419.0560977925</v>
      </c>
      <c r="K34">
        <f t="shared" ref="K34:AK41" si="27">(($I$34-$C$34)/$C$34/COUNT($E$33:$J$33)+1)*J34</f>
        <v>10083374.056589114</v>
      </c>
      <c r="L34">
        <f t="shared" si="27"/>
        <v>10276976.219098646</v>
      </c>
      <c r="M34">
        <f t="shared" si="27"/>
        <v>10474295.569636513</v>
      </c>
      <c r="N34">
        <f t="shared" si="27"/>
        <v>10675403.478721818</v>
      </c>
      <c r="O34">
        <f t="shared" si="27"/>
        <v>10880372.687197404</v>
      </c>
      <c r="P34">
        <f t="shared" si="27"/>
        <v>11089277.332540257</v>
      </c>
      <c r="Q34">
        <f t="shared" si="27"/>
        <v>11302192.975677071</v>
      </c>
      <c r="R34">
        <f t="shared" si="27"/>
        <v>11519196.628314679</v>
      </c>
      <c r="S34">
        <f t="shared" si="27"/>
        <v>11740366.78079523</v>
      </c>
      <c r="T34">
        <f t="shared" si="27"/>
        <v>11965783.430486187</v>
      </c>
      <c r="U34">
        <f t="shared" si="27"/>
        <v>12195528.110715425</v>
      </c>
      <c r="V34">
        <f t="shared" si="27"/>
        <v>12429683.920261875</v>
      </c>
      <c r="W34">
        <f t="shared" si="27"/>
        <v>12668335.553412404</v>
      </c>
      <c r="X34">
        <f t="shared" si="27"/>
        <v>12911569.33059578</v>
      </c>
      <c r="Y34">
        <f t="shared" si="27"/>
        <v>13159473.229604825</v>
      </c>
      <c r="Z34">
        <f t="shared" si="27"/>
        <v>13412136.917418029</v>
      </c>
      <c r="AA34">
        <f t="shared" si="27"/>
        <v>13669651.782632146</v>
      </c>
      <c r="AB34">
        <f t="shared" si="27"/>
        <v>13932110.968517499</v>
      </c>
      <c r="AC34">
        <f t="shared" si="27"/>
        <v>14199609.406707956</v>
      </c>
      <c r="AD34">
        <f t="shared" si="27"/>
        <v>14472243.851537753</v>
      </c>
      <c r="AE34">
        <f t="shared" si="27"/>
        <v>14750112.915037593</v>
      </c>
      <c r="AF34">
        <f t="shared" si="27"/>
        <v>15033317.102602666</v>
      </c>
      <c r="AG34">
        <f t="shared" si="27"/>
        <v>15321958.849345516</v>
      </c>
      <c r="AH34">
        <f t="shared" si="27"/>
        <v>15616142.55714687</v>
      </c>
      <c r="AI34">
        <f t="shared" si="27"/>
        <v>15915974.63241786</v>
      </c>
      <c r="AJ34">
        <f t="shared" si="27"/>
        <v>16221563.524587281</v>
      </c>
      <c r="AK34">
        <f t="shared" si="27"/>
        <v>16533019.765327813</v>
      </c>
    </row>
    <row r="35" spans="1:46">
      <c r="A35" s="329" t="s">
        <v>388</v>
      </c>
      <c r="B35">
        <f>SUMIFS('FAO Stats'!$L$2:$L$97,'FAO Stats'!$H$2:$H$97,'Agriculture - Soil Mgmt'!$A35,'FAO Stats'!$I$2:$I$97,'Agriculture - Soil Mgmt'!B$33,'FAO Stats'!$K$2:$K$97,"tonnes")</f>
        <v>243300</v>
      </c>
      <c r="C35">
        <f>SUMIFS('FAO Stats'!$L$2:$L$97,'FAO Stats'!$H$2:$H$97,'Agriculture - Soil Mgmt'!$A35,'FAO Stats'!$I$2:$I$97,'Agriculture - Soil Mgmt'!C$33,'FAO Stats'!$K$2:$K$97,"tonnes")</f>
        <v>249400</v>
      </c>
      <c r="D35">
        <f>AVERAGE('FAPRI Projections'!Q$13/'FAPRI Projections'!P$13,'FAPRI Projections'!Q$36/'FAPRI Projections'!P$36,'FAPRI Projections'!Q$54/'FAPRI Projections'!P$54,'FAPRI Projections'!Q$77/'FAPRI Projections'!P$77)*C35</f>
        <v>252152.95452453863</v>
      </c>
      <c r="E35">
        <f>AVERAGE('FAPRI Projections'!R$13/'FAPRI Projections'!Q$13,'FAPRI Projections'!R$36/'FAPRI Projections'!Q$36,'FAPRI Projections'!R$54/'FAPRI Projections'!Q$54,'FAPRI Projections'!R$77/'FAPRI Projections'!Q$77)*D35</f>
        <v>254604.25768407929</v>
      </c>
      <c r="F35">
        <f>AVERAGE('FAPRI Projections'!S$13/'FAPRI Projections'!R$13,'FAPRI Projections'!S$36/'FAPRI Projections'!R$36,'FAPRI Projections'!S$54/'FAPRI Projections'!R$54,'FAPRI Projections'!S$77/'FAPRI Projections'!R$77)*E35</f>
        <v>256500.51898809971</v>
      </c>
      <c r="G35">
        <f>AVERAGE('FAPRI Projections'!T$13/'FAPRI Projections'!S$13,'FAPRI Projections'!T$36/'FAPRI Projections'!S$36,'FAPRI Projections'!T$54/'FAPRI Projections'!S$54,'FAPRI Projections'!T$77/'FAPRI Projections'!S$77)*F35</f>
        <v>259514.10203112938</v>
      </c>
      <c r="H35">
        <f>AVERAGE('FAPRI Projections'!U$13/'FAPRI Projections'!T$13,'FAPRI Projections'!U$36/'FAPRI Projections'!T$36,'FAPRI Projections'!U$54/'FAPRI Projections'!T$54,'FAPRI Projections'!U$77/'FAPRI Projections'!T$77)*G35</f>
        <v>262216.02236632985</v>
      </c>
      <c r="I35">
        <f>AVERAGE('FAPRI Projections'!V$13/'FAPRI Projections'!U$13,'FAPRI Projections'!V$36/'FAPRI Projections'!U$36,'FAPRI Projections'!V$54/'FAPRI Projections'!U$54,'FAPRI Projections'!V$77/'FAPRI Projections'!U$77)*H35</f>
        <v>264753.2750797153</v>
      </c>
      <c r="J35">
        <f t="shared" ref="J35:Y41" si="28">(($I$34-$C$34)/$C$34/COUNT($E$33:$J$33)+1)*I35</f>
        <v>269836.57421145972</v>
      </c>
      <c r="K35">
        <f t="shared" si="28"/>
        <v>275017.47338254272</v>
      </c>
      <c r="L35">
        <f t="shared" si="28"/>
        <v>280297.84652708308</v>
      </c>
      <c r="M35">
        <f t="shared" si="28"/>
        <v>285679.60355899122</v>
      </c>
      <c r="N35">
        <f t="shared" si="28"/>
        <v>291164.69106278609</v>
      </c>
      <c r="O35">
        <f t="shared" si="28"/>
        <v>296755.09299767611</v>
      </c>
      <c r="P35">
        <f t="shared" si="28"/>
        <v>302452.83141515794</v>
      </c>
      <c r="Q35">
        <f t="shared" si="28"/>
        <v>308259.967190394</v>
      </c>
      <c r="R35">
        <f t="shared" si="28"/>
        <v>314178.6007676319</v>
      </c>
      <c r="S35">
        <f t="shared" si="28"/>
        <v>320210.87291993643</v>
      </c>
      <c r="T35">
        <f t="shared" si="28"/>
        <v>326358.96552350838</v>
      </c>
      <c r="U35">
        <f t="shared" si="28"/>
        <v>332625.10234687029</v>
      </c>
      <c r="V35">
        <f t="shared" si="28"/>
        <v>339011.54985520482</v>
      </c>
      <c r="W35">
        <f t="shared" si="28"/>
        <v>345520.61803013651</v>
      </c>
      <c r="X35">
        <f t="shared" si="28"/>
        <v>352154.66120525327</v>
      </c>
      <c r="Y35">
        <f t="shared" si="28"/>
        <v>358916.07891767035</v>
      </c>
      <c r="Z35">
        <f t="shared" si="27"/>
        <v>365807.3167759442</v>
      </c>
      <c r="AA35">
        <f t="shared" si="27"/>
        <v>372830.86734465027</v>
      </c>
      <c r="AB35">
        <f t="shared" si="27"/>
        <v>379989.27104594524</v>
      </c>
      <c r="AC35">
        <f t="shared" si="27"/>
        <v>387285.11707843898</v>
      </c>
      <c r="AD35">
        <f t="shared" si="27"/>
        <v>394721.04435370921</v>
      </c>
      <c r="AE35">
        <f t="shared" si="27"/>
        <v>402299.74245079729</v>
      </c>
      <c r="AF35">
        <f t="shared" si="27"/>
        <v>410023.95258903038</v>
      </c>
      <c r="AG35">
        <f t="shared" si="27"/>
        <v>417896.46861952211</v>
      </c>
      <c r="AH35">
        <f t="shared" si="27"/>
        <v>425920.13803571003</v>
      </c>
      <c r="AI35">
        <f t="shared" si="27"/>
        <v>434097.86300329544</v>
      </c>
      <c r="AJ35">
        <f t="shared" si="27"/>
        <v>442432.60140995868</v>
      </c>
      <c r="AK35">
        <f t="shared" si="27"/>
        <v>450927.36793522834</v>
      </c>
    </row>
    <row r="36" spans="1:46">
      <c r="A36" s="329" t="s">
        <v>389</v>
      </c>
      <c r="B36">
        <f>SUMIFS('FAO Stats'!$L$2:$L$97,'FAO Stats'!$H$2:$H$97,'Agriculture - Soil Mgmt'!$A36,'FAO Stats'!$I$2:$I$97,'Agriculture - Soil Mgmt'!B$33,'FAO Stats'!$K$2:$K$97,"tonnes")</f>
        <v>0</v>
      </c>
      <c r="C36">
        <f>SUMIFS('FAO Stats'!$L$2:$L$97,'FAO Stats'!$H$2:$H$97,'Agriculture - Soil Mgmt'!$A36,'FAO Stats'!$I$2:$I$97,'Agriculture - Soil Mgmt'!C$33,'FAO Stats'!$K$2:$K$97,"tonnes")</f>
        <v>0</v>
      </c>
      <c r="D36">
        <f>AVERAGE('FAPRI Projections'!Q$13/'FAPRI Projections'!P$13,'FAPRI Projections'!Q$36/'FAPRI Projections'!P$36,'FAPRI Projections'!Q$54/'FAPRI Projections'!P$54,'FAPRI Projections'!Q$77/'FAPRI Projections'!P$77)*C36</f>
        <v>0</v>
      </c>
      <c r="E36">
        <f>AVERAGE('FAPRI Projections'!R$13/'FAPRI Projections'!Q$13,'FAPRI Projections'!R$36/'FAPRI Projections'!Q$36,'FAPRI Projections'!R$54/'FAPRI Projections'!Q$54,'FAPRI Projections'!R$77/'FAPRI Projections'!Q$77)*D36</f>
        <v>0</v>
      </c>
      <c r="F36">
        <f>AVERAGE('FAPRI Projections'!S$13/'FAPRI Projections'!R$13,'FAPRI Projections'!S$36/'FAPRI Projections'!R$36,'FAPRI Projections'!S$54/'FAPRI Projections'!R$54,'FAPRI Projections'!S$77/'FAPRI Projections'!R$77)*E36</f>
        <v>0</v>
      </c>
      <c r="G36">
        <f>AVERAGE('FAPRI Projections'!T$13/'FAPRI Projections'!S$13,'FAPRI Projections'!T$36/'FAPRI Projections'!S$36,'FAPRI Projections'!T$54/'FAPRI Projections'!S$54,'FAPRI Projections'!T$77/'FAPRI Projections'!S$77)*F36</f>
        <v>0</v>
      </c>
      <c r="H36">
        <f>AVERAGE('FAPRI Projections'!U$13/'FAPRI Projections'!T$13,'FAPRI Projections'!U$36/'FAPRI Projections'!T$36,'FAPRI Projections'!U$54/'FAPRI Projections'!T$54,'FAPRI Projections'!U$77/'FAPRI Projections'!T$77)*G36</f>
        <v>0</v>
      </c>
      <c r="I36">
        <f>AVERAGE('FAPRI Projections'!V$13/'FAPRI Projections'!U$13,'FAPRI Projections'!V$36/'FAPRI Projections'!U$36,'FAPRI Projections'!V$54/'FAPRI Projections'!U$54,'FAPRI Projections'!V$77/'FAPRI Projections'!U$77)*H36</f>
        <v>0</v>
      </c>
      <c r="J36">
        <f t="shared" si="28"/>
        <v>0</v>
      </c>
      <c r="K36">
        <f t="shared" si="27"/>
        <v>0</v>
      </c>
      <c r="L36">
        <f t="shared" si="27"/>
        <v>0</v>
      </c>
      <c r="M36">
        <f t="shared" si="27"/>
        <v>0</v>
      </c>
      <c r="N36">
        <f t="shared" si="27"/>
        <v>0</v>
      </c>
      <c r="O36">
        <f t="shared" si="27"/>
        <v>0</v>
      </c>
      <c r="P36">
        <f t="shared" si="27"/>
        <v>0</v>
      </c>
      <c r="Q36">
        <f t="shared" si="27"/>
        <v>0</v>
      </c>
      <c r="R36">
        <f t="shared" si="27"/>
        <v>0</v>
      </c>
      <c r="S36">
        <f t="shared" si="27"/>
        <v>0</v>
      </c>
      <c r="T36">
        <f t="shared" si="27"/>
        <v>0</v>
      </c>
      <c r="U36">
        <f t="shared" si="27"/>
        <v>0</v>
      </c>
      <c r="V36">
        <f t="shared" si="27"/>
        <v>0</v>
      </c>
      <c r="W36">
        <f t="shared" si="27"/>
        <v>0</v>
      </c>
      <c r="X36">
        <f t="shared" si="27"/>
        <v>0</v>
      </c>
      <c r="Y36">
        <f t="shared" si="27"/>
        <v>0</v>
      </c>
      <c r="Z36">
        <f t="shared" si="27"/>
        <v>0</v>
      </c>
      <c r="AA36">
        <f t="shared" si="27"/>
        <v>0</v>
      </c>
      <c r="AB36">
        <f t="shared" si="27"/>
        <v>0</v>
      </c>
      <c r="AC36">
        <f t="shared" si="27"/>
        <v>0</v>
      </c>
      <c r="AD36">
        <f t="shared" si="27"/>
        <v>0</v>
      </c>
      <c r="AE36">
        <f t="shared" si="27"/>
        <v>0</v>
      </c>
      <c r="AF36">
        <f t="shared" si="27"/>
        <v>0</v>
      </c>
      <c r="AG36">
        <f t="shared" si="27"/>
        <v>0</v>
      </c>
      <c r="AH36">
        <f t="shared" si="27"/>
        <v>0</v>
      </c>
      <c r="AI36">
        <f t="shared" si="27"/>
        <v>0</v>
      </c>
      <c r="AJ36">
        <f t="shared" si="27"/>
        <v>0</v>
      </c>
      <c r="AK36">
        <f t="shared" si="27"/>
        <v>0</v>
      </c>
    </row>
    <row r="37" spans="1:46">
      <c r="A37" s="329" t="s">
        <v>391</v>
      </c>
      <c r="B37">
        <f>SUMIFS('FAO Stats'!$L$2:$L$97,'FAO Stats'!$H$2:$H$97,'Agriculture - Soil Mgmt'!$A37,'FAO Stats'!$I$2:$I$97,'Agriculture - Soil Mgmt'!B$33,'FAO Stats'!$K$2:$K$97,"tonnes")</f>
        <v>83500</v>
      </c>
      <c r="C37">
        <f>SUMIFS('FAO Stats'!$L$2:$L$97,'FAO Stats'!$H$2:$H$97,'Agriculture - Soil Mgmt'!$A37,'FAO Stats'!$I$2:$I$97,'Agriculture - Soil Mgmt'!C$33,'FAO Stats'!$K$2:$K$97,"tonnes")</f>
        <v>106900</v>
      </c>
      <c r="D37">
        <f>AVERAGE('FAPRI Projections'!Q$13/'FAPRI Projections'!P$13,'FAPRI Projections'!Q$36/'FAPRI Projections'!P$36,'FAPRI Projections'!Q$54/'FAPRI Projections'!P$54,'FAPRI Projections'!Q$77/'FAPRI Projections'!P$77)*C37</f>
        <v>108079.99534351716</v>
      </c>
      <c r="E37">
        <f>AVERAGE('FAPRI Projections'!R$13/'FAPRI Projections'!Q$13,'FAPRI Projections'!R$36/'FAPRI Projections'!Q$36,'FAPRI Projections'!R$54/'FAPRI Projections'!Q$54,'FAPRI Projections'!R$77/'FAPRI Projections'!Q$77)*D37</f>
        <v>109130.69425191691</v>
      </c>
      <c r="F37">
        <f>AVERAGE('FAPRI Projections'!S$13/'FAPRI Projections'!R$13,'FAPRI Projections'!S$36/'FAPRI Projections'!R$36,'FAPRI Projections'!S$54/'FAPRI Projections'!R$54,'FAPRI Projections'!S$77/'FAPRI Projections'!R$77)*E37</f>
        <v>109943.48628639879</v>
      </c>
      <c r="G37">
        <f>AVERAGE('FAPRI Projections'!T$13/'FAPRI Projections'!S$13,'FAPRI Projections'!T$36/'FAPRI Projections'!S$36,'FAPRI Projections'!T$54/'FAPRI Projections'!S$54,'FAPRI Projections'!T$77/'FAPRI Projections'!S$77)*F37</f>
        <v>111235.19449529966</v>
      </c>
      <c r="H37">
        <f>AVERAGE('FAPRI Projections'!U$13/'FAPRI Projections'!T$13,'FAPRI Projections'!U$36/'FAPRI Projections'!T$36,'FAPRI Projections'!U$54/'FAPRI Projections'!T$54,'FAPRI Projections'!U$77/'FAPRI Projections'!T$77)*G37</f>
        <v>112393.31512013097</v>
      </c>
      <c r="I37">
        <f>AVERAGE('FAPRI Projections'!V$13/'FAPRI Projections'!U$13,'FAPRI Projections'!V$36/'FAPRI Projections'!U$36,'FAPRI Projections'!V$54/'FAPRI Projections'!U$54,'FAPRI Projections'!V$77/'FAPRI Projections'!U$77)*H37</f>
        <v>113480.85447482584</v>
      </c>
      <c r="J37">
        <f t="shared" si="28"/>
        <v>115659.70241862489</v>
      </c>
      <c r="K37">
        <f t="shared" si="27"/>
        <v>117880.38454127434</v>
      </c>
      <c r="L37">
        <f t="shared" si="27"/>
        <v>120143.7040647361</v>
      </c>
      <c r="M37">
        <f t="shared" si="27"/>
        <v>122450.47963294371</v>
      </c>
      <c r="N37">
        <f t="shared" si="27"/>
        <v>124801.54560790632</v>
      </c>
      <c r="O37">
        <f t="shared" si="27"/>
        <v>127197.75237149789</v>
      </c>
      <c r="P37">
        <f t="shared" si="27"/>
        <v>129639.96663304082</v>
      </c>
      <c r="Q37">
        <f t="shared" si="27"/>
        <v>132129.07174279517</v>
      </c>
      <c r="R37">
        <f t="shared" si="27"/>
        <v>134665.9680114669</v>
      </c>
      <c r="S37">
        <f t="shared" si="27"/>
        <v>137251.57303585086</v>
      </c>
      <c r="T37">
        <f t="shared" si="27"/>
        <v>139886.82203072592</v>
      </c>
      <c r="U37">
        <f t="shared" si="27"/>
        <v>142572.66816712281</v>
      </c>
      <c r="V37">
        <f t="shared" si="27"/>
        <v>145310.08291708658</v>
      </c>
      <c r="W37">
        <f t="shared" si="27"/>
        <v>148100.05640505848</v>
      </c>
      <c r="X37">
        <f t="shared" si="27"/>
        <v>150943.59776600468</v>
      </c>
      <c r="Y37">
        <f t="shared" si="27"/>
        <v>153841.73551042084</v>
      </c>
      <c r="Z37">
        <f t="shared" si="27"/>
        <v>156795.51789634494</v>
      </c>
      <c r="AA37">
        <f t="shared" si="27"/>
        <v>159806.01330851286</v>
      </c>
      <c r="AB37">
        <f t="shared" si="27"/>
        <v>162874.31064479364</v>
      </c>
      <c r="AC37">
        <f t="shared" si="27"/>
        <v>166001.51971004455</v>
      </c>
      <c r="AD37">
        <f t="shared" si="27"/>
        <v>169188.77161752805</v>
      </c>
      <c r="AE37">
        <f t="shared" si="27"/>
        <v>172437.21919803612</v>
      </c>
      <c r="AF37">
        <f t="shared" si="27"/>
        <v>175748.0374168698</v>
      </c>
      <c r="AG37">
        <f t="shared" si="27"/>
        <v>179122.42379882475</v>
      </c>
      <c r="AH37">
        <f t="shared" si="27"/>
        <v>182561.59886133671</v>
      </c>
      <c r="AI37">
        <f t="shared" si="27"/>
        <v>186066.8065559433</v>
      </c>
      <c r="AJ37">
        <f t="shared" si="27"/>
        <v>189639.31471822195</v>
      </c>
      <c r="AK37">
        <f t="shared" si="27"/>
        <v>193280.41552636682</v>
      </c>
    </row>
    <row r="38" spans="1:46">
      <c r="A38" s="329" t="s">
        <v>392</v>
      </c>
      <c r="B38">
        <f>SUMIFS('FAO Stats'!$L$2:$L$97,'FAO Stats'!$H$2:$H$97,'Agriculture - Soil Mgmt'!$A38,'FAO Stats'!$I$2:$I$97,'Agriculture - Soil Mgmt'!B$33,'FAO Stats'!$K$2:$K$97,"tonnes")</f>
        <v>2540500</v>
      </c>
      <c r="C38">
        <f>SUMIFS('FAO Stats'!$L$2:$L$97,'FAO Stats'!$H$2:$H$97,'Agriculture - Soil Mgmt'!$A38,'FAO Stats'!$I$2:$I$97,'Agriculture - Soil Mgmt'!C$33,'FAO Stats'!$K$2:$K$97,"tonnes")</f>
        <v>3233800</v>
      </c>
      <c r="D38">
        <f>AVERAGE('FAPRI Projections'!Q$13/'FAPRI Projections'!P$13,'FAPRI Projections'!Q$36/'FAPRI Projections'!P$36,'FAPRI Projections'!Q$54/'FAPRI Projections'!P$54,'FAPRI Projections'!Q$77/'FAPRI Projections'!P$77)*C38</f>
        <v>3269495.6870146473</v>
      </c>
      <c r="E38">
        <f>AVERAGE('FAPRI Projections'!R$13/'FAPRI Projections'!Q$13,'FAPRI Projections'!R$36/'FAPRI Projections'!Q$36,'FAPRI Projections'!R$54/'FAPRI Projections'!Q$54,'FAPRI Projections'!R$77/'FAPRI Projections'!Q$77)*D38</f>
        <v>3301280.0661538718</v>
      </c>
      <c r="F38">
        <f>AVERAGE('FAPRI Projections'!S$13/'FAPRI Projections'!R$13,'FAPRI Projections'!S$36/'FAPRI Projections'!R$36,'FAPRI Projections'!S$54/'FAPRI Projections'!R$54,'FAPRI Projections'!S$77/'FAPRI Projections'!R$77)*E38</f>
        <v>3325867.5954439328</v>
      </c>
      <c r="G38">
        <f>AVERAGE('FAPRI Projections'!T$13/'FAPRI Projections'!S$13,'FAPRI Projections'!T$36/'FAPRI Projections'!S$36,'FAPRI Projections'!T$54/'FAPRI Projections'!S$54,'FAPRI Projections'!T$77/'FAPRI Projections'!S$77)*F38</f>
        <v>3364942.6750130965</v>
      </c>
      <c r="H38">
        <f>AVERAGE('FAPRI Projections'!U$13/'FAPRI Projections'!T$13,'FAPRI Projections'!U$36/'FAPRI Projections'!T$36,'FAPRI Projections'!U$54/'FAPRI Projections'!T$54,'FAPRI Projections'!U$77/'FAPRI Projections'!T$77)*G38</f>
        <v>3399976.636440407</v>
      </c>
      <c r="I38">
        <f>AVERAGE('FAPRI Projections'!V$13/'FAPRI Projections'!U$13,'FAPRI Projections'!V$36/'FAPRI Projections'!U$36,'FAPRI Projections'!V$54/'FAPRI Projections'!U$54,'FAPRI Projections'!V$77/'FAPRI Projections'!U$77)*H38</f>
        <v>3432875.4649269581</v>
      </c>
      <c r="J38">
        <f t="shared" si="28"/>
        <v>3498787.1438853992</v>
      </c>
      <c r="K38">
        <f t="shared" si="27"/>
        <v>3565964.3361045183</v>
      </c>
      <c r="L38">
        <f t="shared" si="27"/>
        <v>3634431.3396121953</v>
      </c>
      <c r="M38">
        <f t="shared" si="27"/>
        <v>3704212.9189617722</v>
      </c>
      <c r="N38">
        <f t="shared" si="27"/>
        <v>3775334.3141894061</v>
      </c>
      <c r="O38">
        <f t="shared" si="27"/>
        <v>3847821.2499434049</v>
      </c>
      <c r="P38">
        <f t="shared" si="27"/>
        <v>3921699.9447888453</v>
      </c>
      <c r="Q38">
        <f t="shared" si="27"/>
        <v>3996997.1206908436</v>
      </c>
      <c r="R38">
        <f t="shared" si="27"/>
        <v>4073740.0126799052</v>
      </c>
      <c r="S38">
        <f t="shared" si="27"/>
        <v>4151956.3787028501</v>
      </c>
      <c r="T38">
        <f t="shared" si="27"/>
        <v>4231674.5096628778</v>
      </c>
      <c r="U38">
        <f t="shared" si="27"/>
        <v>4312923.2396524036</v>
      </c>
      <c r="V38">
        <f t="shared" si="27"/>
        <v>4395731.956382364</v>
      </c>
      <c r="W38">
        <f t="shared" si="27"/>
        <v>4480130.6118117711</v>
      </c>
      <c r="X38">
        <f t="shared" si="27"/>
        <v>4566149.7329813484</v>
      </c>
      <c r="Y38">
        <f t="shared" si="27"/>
        <v>4653820.4330551839</v>
      </c>
      <c r="Z38">
        <f t="shared" si="27"/>
        <v>4743174.4225743739</v>
      </c>
      <c r="AA38">
        <f t="shared" si="27"/>
        <v>4834244.0209267465</v>
      </c>
      <c r="AB38">
        <f t="shared" si="27"/>
        <v>4927062.1680368008</v>
      </c>
      <c r="AC38">
        <f t="shared" si="27"/>
        <v>5021662.4362800978</v>
      </c>
      <c r="AD38">
        <f t="shared" si="27"/>
        <v>5118079.0426264042</v>
      </c>
      <c r="AE38">
        <f t="shared" si="27"/>
        <v>5216346.8610159932</v>
      </c>
      <c r="AF38">
        <f t="shared" si="27"/>
        <v>5316501.434973564</v>
      </c>
      <c r="AG38">
        <f t="shared" si="27"/>
        <v>5418578.9904643586</v>
      </c>
      <c r="AH38">
        <f t="shared" si="27"/>
        <v>5522616.4489971111</v>
      </c>
      <c r="AI38">
        <f t="shared" si="27"/>
        <v>5628651.4409785774</v>
      </c>
      <c r="AJ38">
        <f t="shared" si="27"/>
        <v>5736722.3193244776</v>
      </c>
      <c r="AK38">
        <f t="shared" si="27"/>
        <v>5846868.1733317636</v>
      </c>
    </row>
    <row r="39" spans="1:46">
      <c r="A39" s="329" t="s">
        <v>387</v>
      </c>
      <c r="B39">
        <f>SUMIFS('FAO Stats'!$L$2:$L$97,'FAO Stats'!$H$2:$H$97,'Agriculture - Soil Mgmt'!$A39,'FAO Stats'!$I$2:$I$97,'Agriculture - Soil Mgmt'!B$33,'FAO Stats'!$K$2:$K$97,"tonnes")</f>
        <v>13559100</v>
      </c>
      <c r="C39">
        <f>SUMIFS('FAO Stats'!$L$2:$L$97,'FAO Stats'!$H$2:$H$97,'Agriculture - Soil Mgmt'!$A39,'FAO Stats'!$I$2:$I$97,'Agriculture - Soil Mgmt'!C$33,'FAO Stats'!$K$2:$K$97,"tonnes")</f>
        <v>12349400</v>
      </c>
      <c r="D39">
        <f>C39*'FAPRI Projections'!Q36/'FAPRI Projections'!P36</f>
        <v>12454009.108427579</v>
      </c>
      <c r="E39">
        <f>D39*'FAPRI Projections'!R36/'FAPRI Projections'!Q36</f>
        <v>12444213.326735465</v>
      </c>
      <c r="F39">
        <f>E39*'FAPRI Projections'!S36/'FAPRI Projections'!R36</f>
        <v>12534179.153607892</v>
      </c>
      <c r="G39">
        <f>F39*'FAPRI Projections'!T36/'FAPRI Projections'!S36</f>
        <v>12594940.129933916</v>
      </c>
      <c r="H39">
        <f>G39*'FAPRI Projections'!U36/'FAPRI Projections'!T36</f>
        <v>12691988.254463399</v>
      </c>
      <c r="I39">
        <f>H39*'FAPRI Projections'!V36/'FAPRI Projections'!U36</f>
        <v>12662526.246155607</v>
      </c>
      <c r="J39">
        <f t="shared" si="28"/>
        <v>12905648.483844237</v>
      </c>
      <c r="K39">
        <f t="shared" si="27"/>
        <v>13153438.701784967</v>
      </c>
      <c r="L39">
        <f t="shared" si="27"/>
        <v>13405986.525837777</v>
      </c>
      <c r="M39">
        <f t="shared" si="27"/>
        <v>13663383.302691437</v>
      </c>
      <c r="N39">
        <f t="shared" si="27"/>
        <v>13925722.132903643</v>
      </c>
      <c r="O39">
        <f t="shared" si="27"/>
        <v>14193097.904575551</v>
      </c>
      <c r="P39">
        <f t="shared" si="27"/>
        <v>14465607.327672847</v>
      </c>
      <c r="Q39">
        <f t="shared" si="27"/>
        <v>14743348.969005803</v>
      </c>
      <c r="R39">
        <f t="shared" si="27"/>
        <v>15026423.287880942</v>
      </c>
      <c r="S39">
        <f t="shared" si="27"/>
        <v>15314932.672437228</v>
      </c>
      <c r="T39">
        <f t="shared" si="27"/>
        <v>15608981.476679914</v>
      </c>
      <c r="U39">
        <f t="shared" si="27"/>
        <v>15908676.058225438</v>
      </c>
      <c r="V39">
        <f t="shared" si="27"/>
        <v>16214124.81677104</v>
      </c>
      <c r="W39">
        <f t="shared" si="27"/>
        <v>16525438.233302986</v>
      </c>
      <c r="X39">
        <f t="shared" si="27"/>
        <v>16842728.910057608</v>
      </c>
      <c r="Y39">
        <f t="shared" si="27"/>
        <v>17166111.611249592</v>
      </c>
      <c r="Z39">
        <f t="shared" si="27"/>
        <v>17495703.304582261</v>
      </c>
      <c r="AA39">
        <f t="shared" si="27"/>
        <v>17831623.203554854</v>
      </c>
      <c r="AB39">
        <f t="shared" si="27"/>
        <v>18173992.810582124</v>
      </c>
      <c r="AC39">
        <f t="shared" si="27"/>
        <v>18522935.960941818</v>
      </c>
      <c r="AD39">
        <f t="shared" si="27"/>
        <v>18878578.867565971</v>
      </c>
      <c r="AE39">
        <f t="shared" si="27"/>
        <v>19241050.166692197</v>
      </c>
      <c r="AF39">
        <f t="shared" si="27"/>
        <v>19610480.964391485</v>
      </c>
      <c r="AG39">
        <f t="shared" si="27"/>
        <v>19987004.883989334</v>
      </c>
      <c r="AH39">
        <f t="shared" si="27"/>
        <v>20370758.114397395</v>
      </c>
      <c r="AI39">
        <f t="shared" si="27"/>
        <v>20761879.459373068</v>
      </c>
      <c r="AJ39">
        <f t="shared" si="27"/>
        <v>21160510.387724899</v>
      </c>
      <c r="AK39">
        <f t="shared" si="27"/>
        <v>21566795.084481925</v>
      </c>
    </row>
    <row r="40" spans="1:46">
      <c r="A40" s="329" t="s">
        <v>82</v>
      </c>
      <c r="B40">
        <f>SUMIFS('FAO Stats'!$L$2:$L$97,'FAO Stats'!$H$2:$H$97,'Agriculture - Soil Mgmt'!$A40,'FAO Stats'!$I$2:$I$97,'Agriculture - Soil Mgmt'!B$33,'FAO Stats'!$K$2:$K$97,"tonnes")</f>
        <v>6371000</v>
      </c>
      <c r="C40">
        <f>SUMIFS('FAO Stats'!$L$2:$L$97,'FAO Stats'!$H$2:$H$97,'Agriculture - Soil Mgmt'!$A40,'FAO Stats'!$I$2:$I$97,'Agriculture - Soil Mgmt'!C$33,'FAO Stats'!$K$2:$K$97,"tonnes")</f>
        <v>5827100</v>
      </c>
      <c r="D40">
        <f>C40*'FAPRI Projections'!Q77/'FAPRI Projections'!P77</f>
        <v>5892352.0922223171</v>
      </c>
      <c r="E40">
        <f>D40*'FAPRI Projections'!R77/'FAPRI Projections'!Q77</f>
        <v>5939862.6538189705</v>
      </c>
      <c r="F40">
        <f>E40*'FAPRI Projections'!S77/'FAPRI Projections'!R77</f>
        <v>5982607.6636565216</v>
      </c>
      <c r="G40">
        <f>F40*'FAPRI Projections'!T77/'FAPRI Projections'!S77</f>
        <v>6068010.8786387369</v>
      </c>
      <c r="H40">
        <f>G40*'FAPRI Projections'!U77/'FAPRI Projections'!T77</f>
        <v>6137534.4645239292</v>
      </c>
      <c r="I40">
        <f>H40*'FAPRI Projections'!V77/'FAPRI Projections'!U77</f>
        <v>6227795.8114947053</v>
      </c>
      <c r="J40">
        <f t="shared" si="28"/>
        <v>6347370.3437898047</v>
      </c>
      <c r="K40">
        <f t="shared" si="27"/>
        <v>6469240.7234772034</v>
      </c>
      <c r="L40">
        <f t="shared" si="27"/>
        <v>6593451.0311411824</v>
      </c>
      <c r="M40">
        <f t="shared" si="27"/>
        <v>6720046.1937192772</v>
      </c>
      <c r="N40">
        <f t="shared" si="27"/>
        <v>6849072.0007523745</v>
      </c>
      <c r="O40">
        <f t="shared" si="27"/>
        <v>6980575.1209468162</v>
      </c>
      <c r="P40">
        <f t="shared" si="27"/>
        <v>7114603.1190544954</v>
      </c>
      <c r="Q40">
        <f t="shared" si="27"/>
        <v>7251204.4730770541</v>
      </c>
      <c r="R40">
        <f t="shared" si="27"/>
        <v>7390428.5918004047</v>
      </c>
      <c r="S40">
        <f t="shared" si="27"/>
        <v>7532325.8326659128</v>
      </c>
      <c r="T40">
        <f t="shared" si="27"/>
        <v>7676947.5199847128</v>
      </c>
      <c r="U40">
        <f t="shared" si="27"/>
        <v>7824345.9635017421</v>
      </c>
      <c r="V40">
        <f t="shared" si="27"/>
        <v>7974574.4773162026</v>
      </c>
      <c r="W40">
        <f t="shared" si="27"/>
        <v>8127687.3991652997</v>
      </c>
      <c r="X40">
        <f t="shared" si="27"/>
        <v>8283740.1100782333</v>
      </c>
      <c r="Y40">
        <f t="shared" si="27"/>
        <v>8442789.0544075482</v>
      </c>
      <c r="Z40">
        <f t="shared" si="27"/>
        <v>8604891.7602450848</v>
      </c>
      <c r="AA40">
        <f t="shared" si="27"/>
        <v>8770106.8602299243</v>
      </c>
      <c r="AB40">
        <f t="shared" si="27"/>
        <v>8938494.1127558462</v>
      </c>
      <c r="AC40">
        <f t="shared" si="27"/>
        <v>9110114.4235859718</v>
      </c>
      <c r="AD40">
        <f t="shared" si="27"/>
        <v>9285029.8678824157</v>
      </c>
      <c r="AE40">
        <f t="shared" si="27"/>
        <v>9463303.7126589045</v>
      </c>
      <c r="AF40">
        <f t="shared" si="27"/>
        <v>9645000.4396644868</v>
      </c>
      <c r="AG40">
        <f t="shared" si="27"/>
        <v>9830185.7687066272</v>
      </c>
      <c r="AH40">
        <f t="shared" si="27"/>
        <v>10018926.681422088</v>
      </c>
      <c r="AI40">
        <f t="shared" si="27"/>
        <v>10211291.445504231</v>
      </c>
      <c r="AJ40">
        <f t="shared" si="27"/>
        <v>10407349.639395477</v>
      </c>
      <c r="AK40">
        <f t="shared" si="27"/>
        <v>10607172.177453868</v>
      </c>
    </row>
    <row r="41" spans="1:46">
      <c r="A41" s="329" t="s">
        <v>81</v>
      </c>
      <c r="B41">
        <f>SUMIFS('FAO Stats'!$L$2:$L$97,'FAO Stats'!$H$2:$H$97,'Agriculture - Soil Mgmt'!$A41,'FAO Stats'!$I$2:$I$97,'Agriculture - Soil Mgmt'!B$33,'FAO Stats'!$K$2:$K$97,"tonnes")</f>
        <v>27594100</v>
      </c>
      <c r="C41">
        <f>SUMIFS('FAO Stats'!$L$2:$L$97,'FAO Stats'!$H$2:$H$97,'Agriculture - Soil Mgmt'!$A41,'FAO Stats'!$I$2:$I$97,'Agriculture - Soil Mgmt'!C$33,'FAO Stats'!$K$2:$K$97,"tonnes")</f>
        <v>30486700</v>
      </c>
      <c r="D41">
        <f>'FAPRI Projections'!Q13/'FAPRI Projections'!P13*C41</f>
        <v>30863655.332821015</v>
      </c>
      <c r="E41">
        <f>'FAPRI Projections'!R13/'FAPRI Projections'!Q13*D41</f>
        <v>31091711.761112552</v>
      </c>
      <c r="F41">
        <f>'FAPRI Projections'!S13/'FAPRI Projections'!R13*E41</f>
        <v>31070726.092432726</v>
      </c>
      <c r="G41">
        <f>'FAPRI Projections'!T13/'FAPRI Projections'!S13*F41</f>
        <v>31237745.728057452</v>
      </c>
      <c r="H41">
        <f>'FAPRI Projections'!U13/'FAPRI Projections'!T13*G41</f>
        <v>31487552.127444513</v>
      </c>
      <c r="I41">
        <f>'FAPRI Projections'!V13/'FAPRI Projections'!U13*H41</f>
        <v>31663730.94406211</v>
      </c>
      <c r="J41">
        <f t="shared" si="28"/>
        <v>32271678.913609523</v>
      </c>
      <c r="K41">
        <f t="shared" si="27"/>
        <v>32891299.567412931</v>
      </c>
      <c r="L41">
        <f t="shared" si="27"/>
        <v>33522817.022608284</v>
      </c>
      <c r="M41">
        <f t="shared" si="27"/>
        <v>34166459.699411221</v>
      </c>
      <c r="N41">
        <f t="shared" si="27"/>
        <v>34822460.403736807</v>
      </c>
      <c r="O41">
        <f t="shared" si="27"/>
        <v>35491056.411405548</v>
      </c>
      <c r="P41">
        <f t="shared" si="27"/>
        <v>36172489.553966187</v>
      </c>
      <c r="Q41">
        <f t="shared" si="27"/>
        <v>36867006.306166321</v>
      </c>
      <c r="R41">
        <f t="shared" si="27"/>
        <v>37574857.875102438</v>
      </c>
      <c r="S41">
        <f t="shared" si="27"/>
        <v>38296300.291081689</v>
      </c>
      <c r="T41">
        <f t="shared" si="27"/>
        <v>39031594.500228174</v>
      </c>
      <c r="U41">
        <f t="shared" si="27"/>
        <v>39781006.458867297</v>
      </c>
      <c r="V41">
        <f t="shared" si="27"/>
        <v>40544807.229722328</v>
      </c>
      <c r="W41">
        <f t="shared" si="27"/>
        <v>41323273.07995794</v>
      </c>
      <c r="X41">
        <f t="shared" si="27"/>
        <v>42116685.581106193</v>
      </c>
      <c r="Y41">
        <f t="shared" si="27"/>
        <v>42925331.710911125</v>
      </c>
      <c r="Z41">
        <f t="shared" si="27"/>
        <v>43749503.957128733</v>
      </c>
      <c r="AA41">
        <f t="shared" si="27"/>
        <v>44589500.423319995</v>
      </c>
      <c r="AB41">
        <f t="shared" si="27"/>
        <v>45445624.936675064</v>
      </c>
      <c r="AC41">
        <f t="shared" si="27"/>
        <v>46318187.157907747</v>
      </c>
      <c r="AD41">
        <f t="shared" si="27"/>
        <v>47207502.693259962</v>
      </c>
      <c r="AE41">
        <f t="shared" si="27"/>
        <v>48113893.208656684</v>
      </c>
      <c r="AF41">
        <f t="shared" si="27"/>
        <v>49037686.546052679</v>
      </c>
      <c r="AG41">
        <f t="shared" si="27"/>
        <v>49979216.842013143</v>
      </c>
      <c r="AH41">
        <f t="shared" si="27"/>
        <v>50938824.648571074</v>
      </c>
      <c r="AI41">
        <f t="shared" si="27"/>
        <v>51916857.05640512</v>
      </c>
      <c r="AJ41">
        <f t="shared" si="27"/>
        <v>52913667.820382498</v>
      </c>
      <c r="AK41">
        <f t="shared" si="27"/>
        <v>53929617.487512313</v>
      </c>
    </row>
    <row r="43" spans="1:46">
      <c r="A43" s="17" t="s">
        <v>83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row>
    <row r="44" spans="1:46">
      <c r="A44" s="399" t="s">
        <v>79</v>
      </c>
      <c r="B44">
        <v>0.87</v>
      </c>
    </row>
    <row r="45" spans="1:46">
      <c r="A45" s="399" t="s">
        <v>446</v>
      </c>
      <c r="B45">
        <v>0.91</v>
      </c>
    </row>
    <row r="46" spans="1:46">
      <c r="A46" s="399" t="s">
        <v>447</v>
      </c>
      <c r="B46">
        <v>0.9</v>
      </c>
    </row>
    <row r="47" spans="1:46">
      <c r="A47" s="399" t="s">
        <v>80</v>
      </c>
      <c r="B47">
        <v>0.89</v>
      </c>
    </row>
    <row r="48" spans="1:46">
      <c r="A48" s="399" t="s">
        <v>81</v>
      </c>
      <c r="B48">
        <v>0.89</v>
      </c>
    </row>
    <row r="49" spans="1:46">
      <c r="A49" s="399" t="s">
        <v>82</v>
      </c>
      <c r="B49">
        <v>0.91</v>
      </c>
    </row>
    <row r="51" spans="1:46">
      <c r="A51" s="17" t="s">
        <v>86</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row>
    <row r="52" spans="1:46">
      <c r="A52" s="399" t="s">
        <v>79</v>
      </c>
      <c r="B52">
        <v>6.0000000000000001E-3</v>
      </c>
    </row>
    <row r="53" spans="1:46">
      <c r="A53" s="399" t="s">
        <v>446</v>
      </c>
      <c r="B53">
        <v>8.0000000000000002E-3</v>
      </c>
    </row>
    <row r="54" spans="1:46">
      <c r="A54" s="399" t="s">
        <v>447</v>
      </c>
      <c r="B54">
        <v>0.01</v>
      </c>
    </row>
    <row r="55" spans="1:46">
      <c r="A55" s="399" t="s">
        <v>80</v>
      </c>
      <c r="B55">
        <v>7.0000000000000001E-3</v>
      </c>
    </row>
    <row r="56" spans="1:46">
      <c r="A56" s="399" t="s">
        <v>81</v>
      </c>
      <c r="B56">
        <v>6.0000000000000001E-3</v>
      </c>
    </row>
    <row r="57" spans="1:46">
      <c r="A57" s="399" t="s">
        <v>82</v>
      </c>
      <c r="B57">
        <v>8.0000000000000002E-3</v>
      </c>
    </row>
    <row r="59" spans="1:46">
      <c r="A59" s="17" t="s">
        <v>87</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row>
    <row r="60" spans="1:46">
      <c r="A60" s="399" t="s">
        <v>79</v>
      </c>
      <c r="B60">
        <v>0.22</v>
      </c>
    </row>
    <row r="61" spans="1:46">
      <c r="A61" s="399" t="s">
        <v>446</v>
      </c>
      <c r="B61">
        <v>0.19</v>
      </c>
    </row>
    <row r="62" spans="1:46">
      <c r="A62" s="399" t="s">
        <v>447</v>
      </c>
      <c r="B62">
        <f>B61</f>
        <v>0.19</v>
      </c>
    </row>
    <row r="63" spans="1:46">
      <c r="A63" s="399" t="s">
        <v>80</v>
      </c>
      <c r="B63">
        <v>0.22</v>
      </c>
    </row>
    <row r="64" spans="1:46">
      <c r="A64" s="399" t="s">
        <v>81</v>
      </c>
      <c r="B64">
        <v>0.24</v>
      </c>
    </row>
    <row r="65" spans="1:46">
      <c r="A65" s="399" t="s">
        <v>82</v>
      </c>
      <c r="B65">
        <v>0.19</v>
      </c>
    </row>
    <row r="67" spans="1:46">
      <c r="A67" s="17" t="s">
        <v>88</v>
      </c>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row>
    <row r="68" spans="1:46">
      <c r="A68" s="399" t="s">
        <v>79</v>
      </c>
      <c r="B68">
        <v>7.0000000000000001E-3</v>
      </c>
    </row>
    <row r="69" spans="1:46">
      <c r="A69" s="399" t="s">
        <v>446</v>
      </c>
      <c r="B69">
        <v>8.0000000000000002E-3</v>
      </c>
    </row>
    <row r="70" spans="1:46">
      <c r="A70" s="399" t="s">
        <v>447</v>
      </c>
      <c r="B70">
        <v>0.01</v>
      </c>
    </row>
    <row r="71" spans="1:46">
      <c r="A71" s="399" t="s">
        <v>80</v>
      </c>
      <c r="B71">
        <v>1.4E-2</v>
      </c>
    </row>
    <row r="72" spans="1:46">
      <c r="A72" s="399" t="s">
        <v>81</v>
      </c>
      <c r="B72">
        <v>8.9999999999999993E-3</v>
      </c>
    </row>
    <row r="73" spans="1:46">
      <c r="A73" s="399" t="s">
        <v>82</v>
      </c>
      <c r="B73">
        <v>8.0000000000000002E-3</v>
      </c>
    </row>
    <row r="75" spans="1:46">
      <c r="A75" s="17" t="s">
        <v>442</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row>
    <row r="76" spans="1:46">
      <c r="A76" s="399" t="s">
        <v>445</v>
      </c>
      <c r="B76" t="s">
        <v>443</v>
      </c>
      <c r="C76" t="s">
        <v>444</v>
      </c>
    </row>
    <row r="77" spans="1:46">
      <c r="A77" s="399" t="s">
        <v>79</v>
      </c>
      <c r="B77">
        <v>1.03</v>
      </c>
      <c r="C77">
        <v>0.61</v>
      </c>
    </row>
    <row r="78" spans="1:46">
      <c r="A78" s="399" t="s">
        <v>446</v>
      </c>
      <c r="B78">
        <v>1.1299999999999999</v>
      </c>
      <c r="C78">
        <v>0.85</v>
      </c>
    </row>
    <row r="79" spans="1:46">
      <c r="A79" s="399" t="s">
        <v>447</v>
      </c>
      <c r="B79">
        <v>0.36</v>
      </c>
      <c r="C79">
        <v>0.68</v>
      </c>
    </row>
    <row r="80" spans="1:46">
      <c r="A80" s="399" t="s">
        <v>80</v>
      </c>
      <c r="B80">
        <v>0.98</v>
      </c>
      <c r="C80">
        <v>0.59</v>
      </c>
    </row>
    <row r="81" spans="1:46">
      <c r="A81" s="399" t="s">
        <v>81</v>
      </c>
      <c r="B81">
        <v>1.51</v>
      </c>
      <c r="C81">
        <v>0.52</v>
      </c>
    </row>
    <row r="82" spans="1:46">
      <c r="A82" s="399" t="s">
        <v>82</v>
      </c>
      <c r="B82">
        <v>0.93</v>
      </c>
      <c r="C82">
        <v>1.35</v>
      </c>
    </row>
    <row r="84" spans="1:46">
      <c r="A84" s="17" t="s">
        <v>89</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row>
    <row r="85" spans="1:46">
      <c r="A85" s="8" t="s">
        <v>91</v>
      </c>
      <c r="B85">
        <v>2015</v>
      </c>
      <c r="C85">
        <v>2016</v>
      </c>
      <c r="D85">
        <v>2017</v>
      </c>
      <c r="E85">
        <v>2018</v>
      </c>
      <c r="F85">
        <v>2019</v>
      </c>
      <c r="G85">
        <v>2020</v>
      </c>
      <c r="H85">
        <v>2021</v>
      </c>
      <c r="I85">
        <v>2022</v>
      </c>
      <c r="J85">
        <v>2023</v>
      </c>
      <c r="K85">
        <v>2024</v>
      </c>
      <c r="L85">
        <v>2025</v>
      </c>
      <c r="M85">
        <v>2026</v>
      </c>
      <c r="N85">
        <v>2027</v>
      </c>
      <c r="O85">
        <v>2028</v>
      </c>
      <c r="P85">
        <v>2029</v>
      </c>
      <c r="Q85">
        <v>2030</v>
      </c>
      <c r="R85">
        <v>2031</v>
      </c>
      <c r="S85">
        <v>2032</v>
      </c>
      <c r="T85">
        <v>2033</v>
      </c>
      <c r="U85">
        <v>2034</v>
      </c>
      <c r="V85">
        <v>2035</v>
      </c>
      <c r="W85">
        <v>2036</v>
      </c>
      <c r="X85">
        <v>2037</v>
      </c>
      <c r="Y85">
        <v>2038</v>
      </c>
      <c r="Z85">
        <v>2039</v>
      </c>
      <c r="AA85">
        <v>2040</v>
      </c>
      <c r="AB85">
        <v>2041</v>
      </c>
      <c r="AC85">
        <v>2042</v>
      </c>
      <c r="AD85">
        <v>2043</v>
      </c>
      <c r="AE85">
        <v>2044</v>
      </c>
      <c r="AF85">
        <v>2045</v>
      </c>
      <c r="AG85">
        <v>2046</v>
      </c>
      <c r="AH85">
        <v>2047</v>
      </c>
      <c r="AI85">
        <v>2048</v>
      </c>
      <c r="AJ85">
        <v>2049</v>
      </c>
      <c r="AK85">
        <v>2050</v>
      </c>
    </row>
    <row r="86" spans="1:46">
      <c r="A86" s="399" t="s">
        <v>79</v>
      </c>
      <c r="B86" s="21">
        <f>0.01*44/28/10^6*((B39*10^3/B28*$B44*$B77+$C77)*B28*($B52+$B60*$B68))</f>
        <v>1.4397329058888286</v>
      </c>
      <c r="C86" s="21">
        <f t="shared" ref="C86:AK86" si="29">0.01*44/28/10^6*((C39*10^3/C28*$B44*$B77+$C77)*C28*($B52+$B60*$B68))</f>
        <v>1.3112933832896858</v>
      </c>
      <c r="D86" s="21">
        <f t="shared" si="29"/>
        <v>1.3223999780242051</v>
      </c>
      <c r="E86" s="21">
        <f t="shared" si="29"/>
        <v>1.3213590875086902</v>
      </c>
      <c r="F86" s="21">
        <f t="shared" si="29"/>
        <v>1.3309112733528914</v>
      </c>
      <c r="G86" s="21">
        <f t="shared" si="29"/>
        <v>1.3373623872409324</v>
      </c>
      <c r="H86" s="21">
        <f t="shared" si="29"/>
        <v>1.3476662135619528</v>
      </c>
      <c r="I86" s="21">
        <f t="shared" si="29"/>
        <v>1.3445375004667097</v>
      </c>
      <c r="J86" s="21">
        <f t="shared" si="29"/>
        <v>1.3703518985445833</v>
      </c>
      <c r="K86" s="21">
        <f t="shared" si="29"/>
        <v>1.396661928015678</v>
      </c>
      <c r="L86" s="21">
        <f t="shared" si="29"/>
        <v>1.4234771049892707</v>
      </c>
      <c r="M86" s="21">
        <f t="shared" si="29"/>
        <v>1.4508071282844683</v>
      </c>
      <c r="N86" s="21">
        <f t="shared" si="29"/>
        <v>1.4786618829382554</v>
      </c>
      <c r="O86" s="21">
        <f t="shared" si="29"/>
        <v>1.5070514437808937</v>
      </c>
      <c r="P86" s="21">
        <f t="shared" si="29"/>
        <v>1.535986079079974</v>
      </c>
      <c r="Q86" s="21">
        <f t="shared" si="29"/>
        <v>1.5654762542544296</v>
      </c>
      <c r="R86" s="21">
        <f t="shared" si="29"/>
        <v>1.5955326356598616</v>
      </c>
      <c r="S86" s="21">
        <f t="shared" si="29"/>
        <v>1.6261660944465461</v>
      </c>
      <c r="T86" s="21">
        <f t="shared" si="29"/>
        <v>1.6573877104915069</v>
      </c>
      <c r="U86" s="21">
        <f t="shared" si="29"/>
        <v>1.6892087764060943</v>
      </c>
      <c r="V86" s="21">
        <f t="shared" si="29"/>
        <v>1.7216408016205047</v>
      </c>
      <c r="W86" s="21">
        <f t="shared" si="29"/>
        <v>1.7546955165467206</v>
      </c>
      <c r="X86" s="21">
        <f t="shared" si="29"/>
        <v>1.7883848768213886</v>
      </c>
      <c r="Y86" s="21">
        <f t="shared" si="29"/>
        <v>1.8227210676301508</v>
      </c>
      <c r="Z86" s="21">
        <f t="shared" si="29"/>
        <v>1.8577165081150129</v>
      </c>
      <c r="AA86" s="21">
        <f t="shared" si="29"/>
        <v>1.8933838558663263</v>
      </c>
      <c r="AB86" s="21">
        <f t="shared" si="29"/>
        <v>1.9297360115010234</v>
      </c>
      <c r="AC86" s="21">
        <f t="shared" si="29"/>
        <v>1.9667861233287522</v>
      </c>
      <c r="AD86" s="21">
        <f t="shared" si="29"/>
        <v>2.0045475921076004</v>
      </c>
      <c r="AE86" s="21">
        <f t="shared" si="29"/>
        <v>2.0430340758911343</v>
      </c>
      <c r="AF86" s="21">
        <f t="shared" si="29"/>
        <v>2.0822594949684952</v>
      </c>
      <c r="AG86" s="21">
        <f t="shared" si="29"/>
        <v>2.1222380368993523</v>
      </c>
      <c r="AH86" s="21">
        <f t="shared" si="29"/>
        <v>2.1629841616455243</v>
      </c>
      <c r="AI86" s="21">
        <f t="shared" si="29"/>
        <v>2.2045126068011256</v>
      </c>
      <c r="AJ86" s="21">
        <f t="shared" si="29"/>
        <v>2.2468383929231424</v>
      </c>
      <c r="AK86" s="21">
        <f t="shared" si="29"/>
        <v>2.2899768289643418</v>
      </c>
    </row>
    <row r="87" spans="1:46">
      <c r="A87" s="399" t="s">
        <v>446</v>
      </c>
      <c r="B87" s="21">
        <f>0.01*44/28/10^6*((SUM(B37:B38)*10^3/SUM(B26:B27)*$B45*$B78+$C78)*SUM(B26:B27)*($B53+$B61*$B69))</f>
        <v>0.40387276006</v>
      </c>
      <c r="C87" s="21">
        <f t="shared" ref="C87:AK87" si="30">0.01*44/28/10^6*((SUM(C37:C38)*10^3/SUM(C26:C27)*$B45*$B78+$C78)*SUM(C26:C27)*($B53+$B61*$B69))</f>
        <v>0.5141963773760001</v>
      </c>
      <c r="D87" s="21">
        <f t="shared" si="30"/>
        <v>0.51986995036405481</v>
      </c>
      <c r="E87" s="21">
        <f t="shared" si="30"/>
        <v>0.52492221265221484</v>
      </c>
      <c r="F87" s="21">
        <f t="shared" si="30"/>
        <v>0.52883055794590117</v>
      </c>
      <c r="G87" s="21">
        <f t="shared" si="30"/>
        <v>0.53504210468425284</v>
      </c>
      <c r="H87" s="21">
        <f t="shared" si="30"/>
        <v>0.54061066456289886</v>
      </c>
      <c r="I87" s="21">
        <f t="shared" si="30"/>
        <v>0.54584019585936916</v>
      </c>
      <c r="J87" s="21">
        <f t="shared" si="30"/>
        <v>0.55631757079384003</v>
      </c>
      <c r="K87" s="21">
        <f t="shared" si="30"/>
        <v>0.5669960859331814</v>
      </c>
      <c r="L87" s="21">
        <f t="shared" si="30"/>
        <v>0.5778796029426736</v>
      </c>
      <c r="M87" s="21">
        <f t="shared" si="30"/>
        <v>0.58897205762969007</v>
      </c>
      <c r="N87" s="21">
        <f t="shared" si="30"/>
        <v>0.60027746136721416</v>
      </c>
      <c r="O87" s="21">
        <f t="shared" si="30"/>
        <v>0.61179990254468519</v>
      </c>
      <c r="P87" s="21">
        <f t="shared" si="30"/>
        <v>0.62354354804670176</v>
      </c>
      <c r="Q87" s="21">
        <f t="shared" si="30"/>
        <v>0.63551264476011671</v>
      </c>
      <c r="R87" s="21">
        <f t="shared" si="30"/>
        <v>0.64771152111006691</v>
      </c>
      <c r="S87" s="21">
        <f t="shared" si="30"/>
        <v>0.66014458862549574</v>
      </c>
      <c r="T87" s="21">
        <f t="shared" si="30"/>
        <v>0.67281634353473363</v>
      </c>
      <c r="U87" s="21">
        <f t="shared" si="30"/>
        <v>0.68573136839171411</v>
      </c>
      <c r="V87" s="21">
        <f t="shared" si="30"/>
        <v>0.69889433373341092</v>
      </c>
      <c r="W87" s="21">
        <f t="shared" si="30"/>
        <v>0.71230999976910114</v>
      </c>
      <c r="X87" s="21">
        <f t="shared" si="30"/>
        <v>0.7259832181020599</v>
      </c>
      <c r="Y87" s="21">
        <f t="shared" si="30"/>
        <v>0.73991893348431281</v>
      </c>
      <c r="Z87" s="21">
        <f t="shared" si="30"/>
        <v>0.75412218560507838</v>
      </c>
      <c r="AA87" s="21">
        <f t="shared" si="30"/>
        <v>0.76859811091355024</v>
      </c>
      <c r="AB87" s="21">
        <f t="shared" si="30"/>
        <v>0.78335194447667467</v>
      </c>
      <c r="AC87" s="21">
        <f t="shared" si="30"/>
        <v>0.79838902187260063</v>
      </c>
      <c r="AD87" s="21">
        <f t="shared" si="30"/>
        <v>0.81371478112048035</v>
      </c>
      <c r="AE87" s="21">
        <f t="shared" si="30"/>
        <v>0.8293347646473237</v>
      </c>
      <c r="AF87" s="21">
        <f t="shared" si="30"/>
        <v>0.84525462129261797</v>
      </c>
      <c r="AG87" s="21">
        <f t="shared" si="30"/>
        <v>0.86148010835143363</v>
      </c>
      <c r="AH87" s="21">
        <f t="shared" si="30"/>
        <v>0.87801709365675795</v>
      </c>
      <c r="AI87" s="21">
        <f t="shared" si="30"/>
        <v>0.89487155770181237</v>
      </c>
      <c r="AJ87" s="21">
        <f t="shared" si="30"/>
        <v>0.91204959580311473</v>
      </c>
      <c r="AK87" s="21">
        <f t="shared" si="30"/>
        <v>0.92955742030507449</v>
      </c>
    </row>
    <row r="88" spans="1:46">
      <c r="A88" s="399" t="s">
        <v>447</v>
      </c>
      <c r="B88" s="21">
        <f>0.01*44/28/10^6*((SUM(B36:B37)*10^3/SUM(B24:B25)*$B46*$B79+$C79)*SUM(B24:B25)*($B54+$B62*$B70))</f>
        <v>5.0723735039999995E-3</v>
      </c>
      <c r="C88" s="21">
        <f t="shared" ref="C88:AK88" si="31">0.01*44/28/10^6*((SUM(C36:C37)*10^3/SUM(C24:C25)*$B46*$B79+$C79)*SUM(C24:C25)*($B54+$B62*$B70))</f>
        <v>6.4909083800000012E-3</v>
      </c>
      <c r="D88" s="21">
        <f t="shared" si="31"/>
        <v>6.5624440153033555E-3</v>
      </c>
      <c r="E88" s="21">
        <f t="shared" si="31"/>
        <v>6.6261592035351674E-3</v>
      </c>
      <c r="F88" s="21">
        <f t="shared" si="31"/>
        <v>6.6754501521176695E-3</v>
      </c>
      <c r="G88" s="21">
        <f t="shared" si="31"/>
        <v>6.7537999374572416E-3</v>
      </c>
      <c r="H88" s="21">
        <f t="shared" si="31"/>
        <v>6.8240175267972065E-3</v>
      </c>
      <c r="I88" s="21">
        <f t="shared" si="31"/>
        <v>6.8899728065925092E-3</v>
      </c>
      <c r="J88" s="21">
        <f t="shared" si="31"/>
        <v>7.0221212333638023E-3</v>
      </c>
      <c r="K88" s="21">
        <f t="shared" si="31"/>
        <v>7.1568056016056225E-3</v>
      </c>
      <c r="L88" s="21">
        <f t="shared" si="31"/>
        <v>7.2940745891739156E-3</v>
      </c>
      <c r="M88" s="21">
        <f t="shared" si="31"/>
        <v>7.4339778084270454E-3</v>
      </c>
      <c r="N88" s="21">
        <f t="shared" si="31"/>
        <v>7.5765658241672522E-3</v>
      </c>
      <c r="O88" s="21">
        <f t="shared" si="31"/>
        <v>7.7218901719265532E-3</v>
      </c>
      <c r="P88" s="21">
        <f t="shared" si="31"/>
        <v>7.8700033766037538E-3</v>
      </c>
      <c r="Q88" s="21">
        <f t="shared" si="31"/>
        <v>8.020958971459255E-3</v>
      </c>
      <c r="R88" s="21">
        <f t="shared" si="31"/>
        <v>8.1748115174745551E-3</v>
      </c>
      <c r="S88" s="21">
        <f t="shared" si="31"/>
        <v>8.3316166230834755E-3</v>
      </c>
      <c r="T88" s="21">
        <f t="shared" si="31"/>
        <v>8.4914309642821727E-3</v>
      </c>
      <c r="U88" s="21">
        <f t="shared" si="31"/>
        <v>8.6543123051252765E-3</v>
      </c>
      <c r="V88" s="21">
        <f t="shared" si="31"/>
        <v>8.8203195186155759E-3</v>
      </c>
      <c r="W88" s="21">
        <f t="shared" si="31"/>
        <v>8.9895126079947013E-3</v>
      </c>
      <c r="X88" s="21">
        <f t="shared" si="31"/>
        <v>9.1619527284426613E-3</v>
      </c>
      <c r="Y88" s="21">
        <f t="shared" si="31"/>
        <v>9.3377022091939484E-3</v>
      </c>
      <c r="Z88" s="21">
        <f t="shared" si="31"/>
        <v>9.5168245760782876E-3</v>
      </c>
      <c r="AA88" s="21">
        <f t="shared" si="31"/>
        <v>9.699384574494152E-3</v>
      </c>
      <c r="AB88" s="21">
        <f t="shared" si="31"/>
        <v>9.8854481928233612E-3</v>
      </c>
      <c r="AC88" s="21">
        <f t="shared" si="31"/>
        <v>1.0075082686295245E-2</v>
      </c>
      <c r="AD88" s="21">
        <f t="shared" si="31"/>
        <v>1.0268356601308948E-2</v>
      </c>
      <c r="AE88" s="21">
        <f t="shared" si="31"/>
        <v>1.0465339800222778E-2</v>
      </c>
      <c r="AF88" s="21">
        <f t="shared" si="31"/>
        <v>1.0666103486619434E-2</v>
      </c>
      <c r="AG88" s="21">
        <f t="shared" si="31"/>
        <v>1.0870720231056374E-2</v>
      </c>
      <c r="AH88" s="21">
        <f t="shared" si="31"/>
        <v>1.107926399731053E-2</v>
      </c>
      <c r="AI88" s="21">
        <f t="shared" si="31"/>
        <v>1.1291810169126969E-2</v>
      </c>
      <c r="AJ88" s="21">
        <f t="shared" si="31"/>
        <v>1.1508435577481048E-2</v>
      </c>
      <c r="AK88" s="21">
        <f t="shared" si="31"/>
        <v>1.1729218528364069E-2</v>
      </c>
    </row>
    <row r="89" spans="1:46">
      <c r="A89" s="399" t="s">
        <v>80</v>
      </c>
      <c r="B89" s="21">
        <f>0.01*44/28/10^6*((B34*10^3/B23*$B47*$B80+$C80)*B23*($B55+$B63*$B71))</f>
        <v>1.1366537062320003</v>
      </c>
      <c r="C89" s="21">
        <f t="shared" ref="C89:AK89" si="32">0.01*44/28/10^6*((C34*10^3/C23*$B47*$B80+$C80)*C23*($B55+$B63*$B71))</f>
        <v>1.2027738368448002</v>
      </c>
      <c r="D89" s="21">
        <f t="shared" si="32"/>
        <v>1.2173488332416544</v>
      </c>
      <c r="E89" s="21">
        <f t="shared" si="32"/>
        <v>1.2468314040034367</v>
      </c>
      <c r="F89" s="21">
        <f t="shared" si="32"/>
        <v>1.2668294974513323</v>
      </c>
      <c r="G89" s="21">
        <f t="shared" si="32"/>
        <v>1.2953275259794645</v>
      </c>
      <c r="H89" s="21">
        <f t="shared" si="32"/>
        <v>1.3140897405164789</v>
      </c>
      <c r="I89" s="21">
        <f t="shared" si="32"/>
        <v>1.3413216275538038</v>
      </c>
      <c r="J89" s="21">
        <f t="shared" si="32"/>
        <v>1.3670729418160106</v>
      </c>
      <c r="K89" s="21">
        <f t="shared" si="32"/>
        <v>1.3933186635704513</v>
      </c>
      <c r="L89" s="21">
        <f t="shared" si="32"/>
        <v>1.420068285307166</v>
      </c>
      <c r="M89" s="21">
        <f t="shared" si="32"/>
        <v>1.4473314817713949</v>
      </c>
      <c r="N89" s="21">
        <f t="shared" si="32"/>
        <v>1.4751181134628837</v>
      </c>
      <c r="O89" s="21">
        <f t="shared" si="32"/>
        <v>1.5034382302023792</v>
      </c>
      <c r="P89" s="21">
        <f t="shared" si="32"/>
        <v>1.5323020747665952</v>
      </c>
      <c r="Q89" s="21">
        <f t="shared" si="32"/>
        <v>1.5617200865929823</v>
      </c>
      <c r="R89" s="21">
        <f t="shared" si="32"/>
        <v>1.5917029055556156</v>
      </c>
      <c r="S89" s="21">
        <f t="shared" si="32"/>
        <v>1.6222613758135893</v>
      </c>
      <c r="T89" s="21">
        <f t="shared" si="32"/>
        <v>1.6534065497332988</v>
      </c>
      <c r="U89" s="21">
        <f t="shared" si="32"/>
        <v>1.6851496918860263</v>
      </c>
      <c r="V89" s="21">
        <f t="shared" si="32"/>
        <v>1.717502283122289</v>
      </c>
      <c r="W89" s="21">
        <f t="shared" si="32"/>
        <v>1.7504760247244069</v>
      </c>
      <c r="X89" s="21">
        <f t="shared" si="32"/>
        <v>1.7840828426388053</v>
      </c>
      <c r="Y89" s="21">
        <f t="shared" si="32"/>
        <v>1.8183348917895747</v>
      </c>
      <c r="Z89" s="21">
        <f t="shared" si="32"/>
        <v>1.8532445604748555</v>
      </c>
      <c r="AA89" s="21">
        <f t="shared" si="32"/>
        <v>1.8888244748476293</v>
      </c>
      <c r="AB89" s="21">
        <f t="shared" si="32"/>
        <v>1.9250875034825445</v>
      </c>
      <c r="AC89" s="21">
        <f t="shared" si="32"/>
        <v>1.9620467620304236</v>
      </c>
      <c r="AD89" s="21">
        <f t="shared" si="32"/>
        <v>1.9997156179621425</v>
      </c>
      <c r="AE89" s="21">
        <f t="shared" si="32"/>
        <v>2.0381076954035824</v>
      </c>
      <c r="AF89" s="21">
        <f t="shared" si="32"/>
        <v>2.0772368800634249</v>
      </c>
      <c r="AG89" s="21">
        <f t="shared" si="32"/>
        <v>2.117117324255553</v>
      </c>
      <c r="AH89" s="21">
        <f t="shared" si="32"/>
        <v>2.1577634520178872</v>
      </c>
      <c r="AI89" s="21">
        <f t="shared" si="32"/>
        <v>2.1991899643295025</v>
      </c>
      <c r="AJ89" s="21">
        <f t="shared" si="32"/>
        <v>2.241411844427911</v>
      </c>
      <c r="AK89" s="21">
        <f t="shared" si="32"/>
        <v>2.2844443632284452</v>
      </c>
    </row>
    <row r="90" spans="1:46">
      <c r="A90" s="399" t="s">
        <v>81</v>
      </c>
      <c r="B90" s="21">
        <f>0.01*44/28/10^6*((B41*10^3/B30*$B48*$B81+$C81)*B30*($B56+$B64*$B72))</f>
        <v>4.7558298936041146</v>
      </c>
      <c r="C90" s="21">
        <f t="shared" ref="C90:AK90" si="33">0.01*44/28/10^6*((C41*10^3/C30*$B48*$B81+$C81)*C30*($B56+$B64*$B72))</f>
        <v>5.254280114944458</v>
      </c>
      <c r="D90" s="21">
        <f t="shared" si="33"/>
        <v>5.319242201932755</v>
      </c>
      <c r="E90" s="21">
        <f t="shared" si="33"/>
        <v>5.358542861333162</v>
      </c>
      <c r="F90" s="21">
        <f t="shared" si="33"/>
        <v>5.3549236908583762</v>
      </c>
      <c r="G90" s="21">
        <f t="shared" si="33"/>
        <v>5.383706136369784</v>
      </c>
      <c r="H90" s="21">
        <f t="shared" si="33"/>
        <v>5.426754220285587</v>
      </c>
      <c r="I90" s="21">
        <f t="shared" si="33"/>
        <v>5.4571142940913182</v>
      </c>
      <c r="J90" s="21">
        <f t="shared" si="33"/>
        <v>5.5618856229936346</v>
      </c>
      <c r="K90" s="21">
        <f t="shared" si="33"/>
        <v>5.6686685187868742</v>
      </c>
      <c r="L90" s="21">
        <f t="shared" si="33"/>
        <v>5.7775016032909994</v>
      </c>
      <c r="M90" s="21">
        <f t="shared" si="33"/>
        <v>5.888424239865083</v>
      </c>
      <c r="N90" s="21">
        <f t="shared" si="33"/>
        <v>6.0014765476449252</v>
      </c>
      <c r="O90" s="21">
        <f t="shared" si="33"/>
        <v>6.1166994160540105</v>
      </c>
      <c r="P90" s="21">
        <f t="shared" si="33"/>
        <v>6.2341345195930913</v>
      </c>
      <c r="Q90" s="21">
        <f t="shared" si="33"/>
        <v>6.3538243329137343</v>
      </c>
      <c r="R90" s="21">
        <f t="shared" si="33"/>
        <v>6.4758121461812674</v>
      </c>
      <c r="S90" s="21">
        <f t="shared" si="33"/>
        <v>6.6001420807327058</v>
      </c>
      <c r="T90" s="21">
        <f t="shared" si="33"/>
        <v>6.7268591050353237</v>
      </c>
      <c r="U90" s="21">
        <f t="shared" si="33"/>
        <v>6.8560090509515952</v>
      </c>
      <c r="V90" s="21">
        <f t="shared" si="33"/>
        <v>6.9876386303164724</v>
      </c>
      <c r="W90" s="21">
        <f t="shared" si="33"/>
        <v>7.1217954518329094</v>
      </c>
      <c r="X90" s="21">
        <f t="shared" si="33"/>
        <v>7.2585280382918036</v>
      </c>
      <c r="Y90" s="21">
        <f t="shared" si="33"/>
        <v>7.3978858441225572</v>
      </c>
      <c r="Z90" s="21">
        <f t="shared" si="33"/>
        <v>7.5399192732805975</v>
      </c>
      <c r="AA90" s="21">
        <f t="shared" si="33"/>
        <v>7.6846796974783746</v>
      </c>
      <c r="AB90" s="21">
        <f t="shared" si="33"/>
        <v>7.8322194747663554</v>
      </c>
      <c r="AC90" s="21">
        <f t="shared" si="33"/>
        <v>7.9825919684707873</v>
      </c>
      <c r="AD90" s="21">
        <f t="shared" si="33"/>
        <v>8.1358515664950986</v>
      </c>
      <c r="AE90" s="21">
        <f t="shared" si="33"/>
        <v>8.2920537009918451</v>
      </c>
      <c r="AF90" s="21">
        <f t="shared" si="33"/>
        <v>8.4512548684123825</v>
      </c>
      <c r="AG90" s="21">
        <f t="shared" si="33"/>
        <v>8.6135126499414927</v>
      </c>
      <c r="AH90" s="21">
        <f t="shared" si="33"/>
        <v>8.7788857323243583</v>
      </c>
      <c r="AI90" s="21">
        <f t="shared" si="33"/>
        <v>8.947433929093398</v>
      </c>
      <c r="AJ90" s="21">
        <f t="shared" si="33"/>
        <v>9.1192182022027151</v>
      </c>
      <c r="AK90" s="21">
        <f t="shared" si="33"/>
        <v>9.2943006840778413</v>
      </c>
    </row>
    <row r="91" spans="1:46">
      <c r="A91" s="399" t="s">
        <v>82</v>
      </c>
      <c r="B91" s="21">
        <f>0.01*44/28/10^6*((B40*10^3/B29*$B49*$B82+$C82)*B29*($B57+$B65*$B73))</f>
        <v>0.80705367098400027</v>
      </c>
      <c r="C91" s="21">
        <f t="shared" ref="C91:AK91" si="34">0.01*44/28/10^6*((C40*10^3/C29*$B49*$B82+$C82)*C29*($B57+$B65*$B73))</f>
        <v>0.73819101298800005</v>
      </c>
      <c r="D91" s="21">
        <f t="shared" si="34"/>
        <v>0.74645654416881302</v>
      </c>
      <c r="E91" s="21">
        <f t="shared" si="34"/>
        <v>0.75247539828447096</v>
      </c>
      <c r="F91" s="21">
        <f t="shared" si="34"/>
        <v>0.75789132023310668</v>
      </c>
      <c r="G91" s="21">
        <f t="shared" si="34"/>
        <v>0.76870918685597911</v>
      </c>
      <c r="H91" s="21">
        <f t="shared" si="34"/>
        <v>0.77751672602042987</v>
      </c>
      <c r="I91" s="21">
        <f t="shared" si="34"/>
        <v>0.7889498682994287</v>
      </c>
      <c r="J91" s="21">
        <f t="shared" si="34"/>
        <v>0.80409323740761152</v>
      </c>
      <c r="K91" s="21">
        <f t="shared" si="34"/>
        <v>0.81952731791584543</v>
      </c>
      <c r="L91" s="21">
        <f t="shared" si="34"/>
        <v>0.83525769111198644</v>
      </c>
      <c r="M91" s="21">
        <f t="shared" si="34"/>
        <v>0.85129004544148978</v>
      </c>
      <c r="N91" s="21">
        <f t="shared" si="34"/>
        <v>0.86763017856481239</v>
      </c>
      <c r="O91" s="21">
        <f t="shared" si="34"/>
        <v>0.88428399945431901</v>
      </c>
      <c r="P91" s="21">
        <f t="shared" si="34"/>
        <v>0.90125753053144908</v>
      </c>
      <c r="Q91" s="21">
        <f t="shared" si="34"/>
        <v>0.918556909844916</v>
      </c>
      <c r="R91" s="21">
        <f t="shared" si="34"/>
        <v>0.93618839329072823</v>
      </c>
      <c r="S91" s="21">
        <f t="shared" si="34"/>
        <v>0.9541583568748353</v>
      </c>
      <c r="T91" s="21">
        <f t="shared" si="34"/>
        <v>0.97247329901921553</v>
      </c>
      <c r="U91" s="21">
        <f t="shared" si="34"/>
        <v>0.991139842912242</v>
      </c>
      <c r="V91" s="21">
        <f t="shared" si="34"/>
        <v>1.0101647389041739</v>
      </c>
      <c r="W91" s="21">
        <f t="shared" si="34"/>
        <v>1.0295548669486414</v>
      </c>
      <c r="X91" s="21">
        <f t="shared" si="34"/>
        <v>1.0493172390910097</v>
      </c>
      <c r="Y91" s="21">
        <f t="shared" si="34"/>
        <v>1.0694590020045149</v>
      </c>
      <c r="Z91" s="21">
        <f t="shared" si="34"/>
        <v>1.0899874395750995</v>
      </c>
      <c r="AA91" s="21">
        <f t="shared" si="34"/>
        <v>1.1109099755358696</v>
      </c>
      <c r="AB91" s="21">
        <f t="shared" si="34"/>
        <v>1.1322341761521395</v>
      </c>
      <c r="AC91" s="21">
        <f t="shared" si="34"/>
        <v>1.1539677529580281</v>
      </c>
      <c r="AD91" s="21">
        <f t="shared" si="34"/>
        <v>1.1761185655455959</v>
      </c>
      <c r="AE91" s="21">
        <f t="shared" si="34"/>
        <v>1.198694624407534</v>
      </c>
      <c r="AF91" s="21">
        <f t="shared" si="34"/>
        <v>1.2217040938344332</v>
      </c>
      <c r="AG91" s="21">
        <f t="shared" si="34"/>
        <v>1.2451552948676823</v>
      </c>
      <c r="AH91" s="21">
        <f t="shared" si="34"/>
        <v>1.2690567083090571</v>
      </c>
      <c r="AI91" s="21">
        <f t="shared" si="34"/>
        <v>1.2934169777881015</v>
      </c>
      <c r="AJ91" s="21">
        <f t="shared" si="34"/>
        <v>1.3182449128883926</v>
      </c>
      <c r="AK91" s="21">
        <f t="shared" si="34"/>
        <v>1.3435494923338376</v>
      </c>
    </row>
    <row r="92" spans="1:46">
      <c r="A92" s="17" t="s">
        <v>90</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row>
    <row r="93" spans="1:46">
      <c r="B93">
        <v>2015</v>
      </c>
      <c r="C93">
        <v>2016</v>
      </c>
      <c r="D93">
        <v>2017</v>
      </c>
      <c r="E93">
        <v>2018</v>
      </c>
      <c r="F93">
        <v>2019</v>
      </c>
      <c r="G93">
        <v>2020</v>
      </c>
      <c r="H93">
        <v>2021</v>
      </c>
      <c r="I93">
        <v>2022</v>
      </c>
      <c r="J93">
        <v>2023</v>
      </c>
      <c r="K93">
        <v>2024</v>
      </c>
      <c r="L93">
        <v>2025</v>
      </c>
      <c r="M93">
        <v>2026</v>
      </c>
      <c r="N93">
        <v>2027</v>
      </c>
      <c r="O93">
        <v>2028</v>
      </c>
      <c r="P93">
        <v>2029</v>
      </c>
      <c r="Q93">
        <v>2030</v>
      </c>
      <c r="R93">
        <v>2031</v>
      </c>
      <c r="S93">
        <v>2032</v>
      </c>
      <c r="T93">
        <v>2033</v>
      </c>
      <c r="U93">
        <v>2034</v>
      </c>
      <c r="V93">
        <v>2035</v>
      </c>
      <c r="W93">
        <v>2036</v>
      </c>
      <c r="X93">
        <v>2037</v>
      </c>
      <c r="Y93">
        <v>2038</v>
      </c>
      <c r="Z93">
        <v>2039</v>
      </c>
      <c r="AA93">
        <v>2040</v>
      </c>
      <c r="AB93">
        <v>2041</v>
      </c>
      <c r="AC93">
        <v>2042</v>
      </c>
      <c r="AD93">
        <v>2043</v>
      </c>
      <c r="AE93">
        <v>2044</v>
      </c>
      <c r="AF93">
        <v>2045</v>
      </c>
      <c r="AG93">
        <v>2046</v>
      </c>
      <c r="AH93">
        <v>2047</v>
      </c>
      <c r="AI93">
        <v>2048</v>
      </c>
      <c r="AJ93">
        <v>2049</v>
      </c>
      <c r="AK93">
        <v>2050</v>
      </c>
    </row>
    <row r="94" spans="1:46">
      <c r="A94" s="399" t="s">
        <v>91</v>
      </c>
      <c r="B94" s="11">
        <f>SUM(B86:B91)</f>
        <v>8.5482153102729441</v>
      </c>
      <c r="C94" s="11">
        <f t="shared" ref="C94:AK94" si="35">SUM(C86:C91)</f>
        <v>9.027225633822944</v>
      </c>
      <c r="D94" s="11">
        <f t="shared" si="35"/>
        <v>9.1318799517467859</v>
      </c>
      <c r="E94" s="11">
        <f t="shared" si="35"/>
        <v>9.210757122985509</v>
      </c>
      <c r="F94" s="11">
        <f t="shared" si="35"/>
        <v>9.2460617899937247</v>
      </c>
      <c r="G94" s="11">
        <f t="shared" si="35"/>
        <v>9.3269011410678697</v>
      </c>
      <c r="H94" s="11">
        <f t="shared" si="35"/>
        <v>9.4134615824741452</v>
      </c>
      <c r="I94" s="11">
        <f t="shared" si="35"/>
        <v>9.4846534590772222</v>
      </c>
      <c r="J94" s="11">
        <f t="shared" si="35"/>
        <v>9.6667433927890443</v>
      </c>
      <c r="K94" s="11">
        <f t="shared" si="35"/>
        <v>9.8523293198236352</v>
      </c>
      <c r="L94" s="11">
        <f t="shared" si="35"/>
        <v>10.041478362231269</v>
      </c>
      <c r="M94" s="11">
        <f t="shared" si="35"/>
        <v>10.234258930800552</v>
      </c>
      <c r="N94" s="11">
        <f t="shared" si="35"/>
        <v>10.430740749802258</v>
      </c>
      <c r="O94" s="11">
        <f t="shared" si="35"/>
        <v>10.630994882208213</v>
      </c>
      <c r="P94" s="11">
        <f t="shared" si="35"/>
        <v>10.835093755394416</v>
      </c>
      <c r="Q94" s="11">
        <f t="shared" si="35"/>
        <v>11.043111187337638</v>
      </c>
      <c r="R94" s="11">
        <f t="shared" si="35"/>
        <v>11.255122413315014</v>
      </c>
      <c r="S94" s="11">
        <f t="shared" si="35"/>
        <v>11.471204113116254</v>
      </c>
      <c r="T94" s="11">
        <f t="shared" si="35"/>
        <v>11.69143443877836</v>
      </c>
      <c r="U94" s="11">
        <f t="shared" si="35"/>
        <v>11.915893042852797</v>
      </c>
      <c r="V94" s="11">
        <f t="shared" si="35"/>
        <v>12.144661107215466</v>
      </c>
      <c r="W94" s="11">
        <f t="shared" si="35"/>
        <v>12.377821372429775</v>
      </c>
      <c r="X94" s="11">
        <f t="shared" si="35"/>
        <v>12.615458167673509</v>
      </c>
      <c r="Y94" s="11">
        <f t="shared" si="35"/>
        <v>12.857657441240303</v>
      </c>
      <c r="Z94" s="11">
        <f t="shared" si="35"/>
        <v>13.10450679162672</v>
      </c>
      <c r="AA94" s="11">
        <f t="shared" si="35"/>
        <v>13.356095499216245</v>
      </c>
      <c r="AB94" s="11">
        <f t="shared" si="35"/>
        <v>13.612514558571561</v>
      </c>
      <c r="AC94" s="11">
        <f t="shared" si="35"/>
        <v>13.873856711346887</v>
      </c>
      <c r="AD94" s="11">
        <f t="shared" si="35"/>
        <v>14.140216479832226</v>
      </c>
      <c r="AE94" s="11">
        <f t="shared" si="35"/>
        <v>14.411690201141642</v>
      </c>
      <c r="AF94" s="11">
        <f t="shared" si="35"/>
        <v>14.688376062057973</v>
      </c>
      <c r="AG94" s="11">
        <f t="shared" si="35"/>
        <v>14.970374134546571</v>
      </c>
      <c r="AH94" s="11">
        <f t="shared" si="35"/>
        <v>15.257786411950894</v>
      </c>
      <c r="AI94" s="11">
        <f t="shared" si="35"/>
        <v>15.550716845883066</v>
      </c>
      <c r="AJ94" s="11">
        <f t="shared" si="35"/>
        <v>15.849271383822757</v>
      </c>
      <c r="AK94" s="11">
        <f t="shared" si="35"/>
        <v>16.153558007437905</v>
      </c>
    </row>
    <row r="95" spans="1:46">
      <c r="A95" s="399" t="s">
        <v>611</v>
      </c>
      <c r="B95" s="21">
        <f>Table3.D!E15</f>
        <v>18.439892134408481</v>
      </c>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row>
    <row r="96" spans="1:46">
      <c r="A96" s="399" t="s">
        <v>612</v>
      </c>
      <c r="B96" s="21">
        <f>B95</f>
        <v>18.439892134408481</v>
      </c>
      <c r="C96">
        <f>C94*$B$95/$B$94</f>
        <v>19.473195388587754</v>
      </c>
      <c r="D96">
        <f t="shared" ref="D96:AK96" si="36">D94*$B$95/$B$94</f>
        <v>19.698951790815546</v>
      </c>
      <c r="E96">
        <f t="shared" si="36"/>
        <v>19.86910269094102</v>
      </c>
      <c r="F96">
        <f t="shared" si="36"/>
        <v>19.945260605528215</v>
      </c>
      <c r="G96">
        <f t="shared" si="36"/>
        <v>20.119644247015508</v>
      </c>
      <c r="H96">
        <f t="shared" si="36"/>
        <v>20.306369211783331</v>
      </c>
      <c r="I96">
        <f t="shared" si="36"/>
        <v>20.459941680159183</v>
      </c>
      <c r="J96">
        <f t="shared" si="36"/>
        <v>20.852739312709733</v>
      </c>
      <c r="K96">
        <f t="shared" si="36"/>
        <v>21.253078372030036</v>
      </c>
      <c r="L96">
        <f t="shared" si="36"/>
        <v>21.661103651310469</v>
      </c>
      <c r="M96">
        <f t="shared" si="36"/>
        <v>22.076962723759827</v>
      </c>
      <c r="N96">
        <f t="shared" si="36"/>
        <v>22.500805995981779</v>
      </c>
      <c r="O96">
        <f t="shared" si="36"/>
        <v>22.932786762376097</v>
      </c>
      <c r="P96">
        <f t="shared" si="36"/>
        <v>23.37306126058451</v>
      </c>
      <c r="Q96">
        <f t="shared" si="36"/>
        <v>23.821788728001003</v>
      </c>
      <c r="R96">
        <f t="shared" si="36"/>
        <v>24.279131459367193</v>
      </c>
      <c r="S96">
        <f t="shared" si="36"/>
        <v>24.745254865473502</v>
      </c>
      <c r="T96">
        <f t="shared" si="36"/>
        <v>25.22032753298744</v>
      </c>
      <c r="U96">
        <f t="shared" si="36"/>
        <v>25.70452128543053</v>
      </c>
      <c r="V96">
        <f t="shared" si="36"/>
        <v>26.198011245326072</v>
      </c>
      <c r="W96">
        <f t="shared" si="36"/>
        <v>26.700975897540083</v>
      </c>
      <c r="X96">
        <f t="shared" si="36"/>
        <v>27.213597153838439</v>
      </c>
      <c r="Y96">
        <f t="shared" si="36"/>
        <v>27.736060418683504</v>
      </c>
      <c r="Z96">
        <f t="shared" si="36"/>
        <v>28.268554656294022</v>
      </c>
      <c r="AA96">
        <f t="shared" si="36"/>
        <v>28.811272458992647</v>
      </c>
      <c r="AB96">
        <f t="shared" si="36"/>
        <v>29.364410116865649</v>
      </c>
      <c r="AC96">
        <f t="shared" si="36"/>
        <v>29.928167688760176</v>
      </c>
      <c r="AD96">
        <f t="shared" si="36"/>
        <v>30.502749074644672</v>
      </c>
      <c r="AE96">
        <f t="shared" si="36"/>
        <v>31.088362089358526</v>
      </c>
      <c r="AF96">
        <f t="shared" si="36"/>
        <v>31.685218537777839</v>
      </c>
      <c r="AG96">
        <f t="shared" si="36"/>
        <v>32.293534291424294</v>
      </c>
      <c r="AH96">
        <f t="shared" si="36"/>
        <v>32.913529366544971</v>
      </c>
      <c r="AI96">
        <f t="shared" si="36"/>
        <v>33.545428003691292</v>
      </c>
      <c r="AJ96">
        <f t="shared" si="36"/>
        <v>34.189458748825885</v>
      </c>
      <c r="AK96">
        <f t="shared" si="36"/>
        <v>34.845854535986689</v>
      </c>
    </row>
    <row r="98" spans="1:37">
      <c r="A98" s="18" t="s">
        <v>93</v>
      </c>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row>
    <row r="99" spans="1:37">
      <c r="B99">
        <v>2015</v>
      </c>
      <c r="C99">
        <v>2016</v>
      </c>
      <c r="D99">
        <v>2017</v>
      </c>
      <c r="E99">
        <v>2018</v>
      </c>
      <c r="F99">
        <v>2019</v>
      </c>
      <c r="G99">
        <v>2020</v>
      </c>
      <c r="H99">
        <v>2021</v>
      </c>
      <c r="I99">
        <v>2022</v>
      </c>
      <c r="J99">
        <v>2023</v>
      </c>
      <c r="K99">
        <v>2024</v>
      </c>
      <c r="L99">
        <v>2025</v>
      </c>
      <c r="M99">
        <v>2026</v>
      </c>
      <c r="N99">
        <v>2027</v>
      </c>
      <c r="O99">
        <v>2028</v>
      </c>
      <c r="P99">
        <v>2029</v>
      </c>
      <c r="Q99">
        <v>2030</v>
      </c>
      <c r="R99">
        <v>2031</v>
      </c>
      <c r="S99">
        <v>2032</v>
      </c>
      <c r="T99">
        <v>2033</v>
      </c>
      <c r="U99">
        <v>2034</v>
      </c>
      <c r="V99">
        <v>2035</v>
      </c>
      <c r="W99">
        <v>2036</v>
      </c>
      <c r="X99">
        <v>2037</v>
      </c>
      <c r="Y99">
        <v>2038</v>
      </c>
      <c r="Z99">
        <v>2039</v>
      </c>
      <c r="AA99">
        <v>2040</v>
      </c>
      <c r="AB99">
        <v>2041</v>
      </c>
      <c r="AC99">
        <v>2042</v>
      </c>
      <c r="AD99">
        <v>2043</v>
      </c>
      <c r="AE99">
        <v>2044</v>
      </c>
      <c r="AF99">
        <v>2045</v>
      </c>
      <c r="AG99">
        <v>2046</v>
      </c>
      <c r="AH99">
        <v>2047</v>
      </c>
      <c r="AI99">
        <v>2048</v>
      </c>
      <c r="AJ99">
        <v>2049</v>
      </c>
      <c r="AK99">
        <v>2050</v>
      </c>
    </row>
    <row r="100" spans="1:37">
      <c r="A100" s="399" t="s">
        <v>74</v>
      </c>
      <c r="B100" s="20">
        <f>SUM(B17:B18)</f>
        <v>52.844785714285834</v>
      </c>
      <c r="C100" s="20">
        <f t="shared" ref="C100:AK100" si="37">SUM(C17:C18)</f>
        <v>53.991417857142778</v>
      </c>
      <c r="D100" s="20">
        <f t="shared" si="37"/>
        <v>55.138050000000014</v>
      </c>
      <c r="E100" s="20">
        <f t="shared" si="37"/>
        <v>56.28468214285725</v>
      </c>
      <c r="F100" s="20">
        <f t="shared" si="37"/>
        <v>57.431314285714194</v>
      </c>
      <c r="G100" s="20">
        <f t="shared" si="37"/>
        <v>58.57794642857143</v>
      </c>
      <c r="H100" s="20">
        <f t="shared" si="37"/>
        <v>59.724578571428665</v>
      </c>
      <c r="I100" s="20">
        <f t="shared" si="37"/>
        <v>60.87121071428561</v>
      </c>
      <c r="J100" s="20">
        <f t="shared" si="37"/>
        <v>62.017842857142846</v>
      </c>
      <c r="K100" s="20">
        <f t="shared" si="37"/>
        <v>63.164475000000081</v>
      </c>
      <c r="L100" s="20">
        <f t="shared" si="37"/>
        <v>64.311107142857026</v>
      </c>
      <c r="M100" s="20">
        <f t="shared" si="37"/>
        <v>65.457739285714268</v>
      </c>
      <c r="N100" s="20">
        <f t="shared" si="37"/>
        <v>66.604371428571497</v>
      </c>
      <c r="O100" s="20">
        <f t="shared" si="37"/>
        <v>67.751003571428441</v>
      </c>
      <c r="P100" s="20">
        <f t="shared" si="37"/>
        <v>68.897635714285684</v>
      </c>
      <c r="Q100" s="20">
        <f t="shared" si="37"/>
        <v>70.044267857142913</v>
      </c>
      <c r="R100" s="20">
        <f t="shared" si="37"/>
        <v>71.190899999999857</v>
      </c>
      <c r="S100" s="20">
        <f t="shared" si="37"/>
        <v>72.3375321428571</v>
      </c>
      <c r="T100" s="20">
        <f t="shared" si="37"/>
        <v>73.484164285714343</v>
      </c>
      <c r="U100" s="20">
        <f t="shared" si="37"/>
        <v>74.630796428571273</v>
      </c>
      <c r="V100" s="20">
        <f t="shared" si="37"/>
        <v>75.777428571428516</v>
      </c>
      <c r="W100" s="20">
        <f t="shared" si="37"/>
        <v>76.924060714285758</v>
      </c>
      <c r="X100" s="20">
        <f t="shared" si="37"/>
        <v>78.070692857142987</v>
      </c>
      <c r="Y100" s="20">
        <f t="shared" si="37"/>
        <v>79.217324999999931</v>
      </c>
      <c r="Z100" s="20">
        <f t="shared" si="37"/>
        <v>80.36395714285716</v>
      </c>
      <c r="AA100" s="20">
        <f t="shared" si="37"/>
        <v>81.510589285714403</v>
      </c>
      <c r="AB100" s="20">
        <f t="shared" si="37"/>
        <v>82.657221428571347</v>
      </c>
      <c r="AC100" s="20">
        <f t="shared" si="37"/>
        <v>83.803853571428576</v>
      </c>
      <c r="AD100" s="20">
        <f t="shared" si="37"/>
        <v>84.950485714285819</v>
      </c>
      <c r="AE100" s="20">
        <f t="shared" si="37"/>
        <v>86.097117857142763</v>
      </c>
      <c r="AF100" s="20">
        <f t="shared" si="37"/>
        <v>87.243749999999991</v>
      </c>
      <c r="AG100" s="20">
        <f t="shared" si="37"/>
        <v>88.390382142857234</v>
      </c>
      <c r="AH100" s="20">
        <f t="shared" si="37"/>
        <v>89.537014285714179</v>
      </c>
      <c r="AI100" s="20">
        <f t="shared" si="37"/>
        <v>90.683646428571421</v>
      </c>
      <c r="AJ100" s="20">
        <f t="shared" si="37"/>
        <v>91.830278571428636</v>
      </c>
      <c r="AK100" s="20">
        <f t="shared" si="37"/>
        <v>92.976910714285594</v>
      </c>
    </row>
    <row r="101" spans="1:37">
      <c r="A101" s="399" t="s">
        <v>613</v>
      </c>
      <c r="B101" s="11">
        <f>B96</f>
        <v>18.439892134408481</v>
      </c>
      <c r="C101" s="11">
        <f t="shared" ref="C101:AK101" si="38">C96</f>
        <v>19.473195388587754</v>
      </c>
      <c r="D101" s="11">
        <f t="shared" si="38"/>
        <v>19.698951790815546</v>
      </c>
      <c r="E101" s="11">
        <f t="shared" si="38"/>
        <v>19.86910269094102</v>
      </c>
      <c r="F101" s="11">
        <f t="shared" si="38"/>
        <v>19.945260605528215</v>
      </c>
      <c r="G101" s="11">
        <f t="shared" si="38"/>
        <v>20.119644247015508</v>
      </c>
      <c r="H101" s="11">
        <f t="shared" si="38"/>
        <v>20.306369211783331</v>
      </c>
      <c r="I101" s="11">
        <f t="shared" si="38"/>
        <v>20.459941680159183</v>
      </c>
      <c r="J101" s="11">
        <f t="shared" si="38"/>
        <v>20.852739312709733</v>
      </c>
      <c r="K101" s="11">
        <f t="shared" si="38"/>
        <v>21.253078372030036</v>
      </c>
      <c r="L101" s="11">
        <f t="shared" si="38"/>
        <v>21.661103651310469</v>
      </c>
      <c r="M101" s="11">
        <f t="shared" si="38"/>
        <v>22.076962723759827</v>
      </c>
      <c r="N101" s="11">
        <f t="shared" si="38"/>
        <v>22.500805995981779</v>
      </c>
      <c r="O101" s="11">
        <f t="shared" si="38"/>
        <v>22.932786762376097</v>
      </c>
      <c r="P101" s="11">
        <f t="shared" si="38"/>
        <v>23.37306126058451</v>
      </c>
      <c r="Q101" s="11">
        <f t="shared" si="38"/>
        <v>23.821788728001003</v>
      </c>
      <c r="R101" s="11">
        <f t="shared" si="38"/>
        <v>24.279131459367193</v>
      </c>
      <c r="S101" s="11">
        <f t="shared" si="38"/>
        <v>24.745254865473502</v>
      </c>
      <c r="T101" s="11">
        <f t="shared" si="38"/>
        <v>25.22032753298744</v>
      </c>
      <c r="U101" s="11">
        <f t="shared" si="38"/>
        <v>25.70452128543053</v>
      </c>
      <c r="V101" s="11">
        <f t="shared" si="38"/>
        <v>26.198011245326072</v>
      </c>
      <c r="W101" s="11">
        <f t="shared" si="38"/>
        <v>26.700975897540083</v>
      </c>
      <c r="X101" s="11">
        <f t="shared" si="38"/>
        <v>27.213597153838439</v>
      </c>
      <c r="Y101" s="11">
        <f t="shared" si="38"/>
        <v>27.736060418683504</v>
      </c>
      <c r="Z101" s="11">
        <f t="shared" si="38"/>
        <v>28.268554656294022</v>
      </c>
      <c r="AA101" s="11">
        <f t="shared" si="38"/>
        <v>28.811272458992647</v>
      </c>
      <c r="AB101" s="11">
        <f t="shared" si="38"/>
        <v>29.364410116865649</v>
      </c>
      <c r="AC101" s="11">
        <f t="shared" si="38"/>
        <v>29.928167688760176</v>
      </c>
      <c r="AD101" s="11">
        <f t="shared" si="38"/>
        <v>30.502749074644672</v>
      </c>
      <c r="AE101" s="11">
        <f t="shared" si="38"/>
        <v>31.088362089358526</v>
      </c>
      <c r="AF101" s="11">
        <f t="shared" si="38"/>
        <v>31.685218537777839</v>
      </c>
      <c r="AG101" s="11">
        <f t="shared" si="38"/>
        <v>32.293534291424294</v>
      </c>
      <c r="AH101" s="11">
        <f t="shared" si="38"/>
        <v>32.913529366544971</v>
      </c>
      <c r="AI101" s="11">
        <f t="shared" si="38"/>
        <v>33.545428003691292</v>
      </c>
      <c r="AJ101" s="11">
        <f t="shared" si="38"/>
        <v>34.189458748825885</v>
      </c>
      <c r="AK101" s="11">
        <f t="shared" si="38"/>
        <v>34.845854535986689</v>
      </c>
    </row>
    <row r="102" spans="1:37">
      <c r="A102" s="399" t="s">
        <v>94</v>
      </c>
      <c r="B102" s="11">
        <f>SUM(Table3.D!E14,Table3.D!E16,Table3.D!E17)</f>
        <v>3.43891152091174</v>
      </c>
      <c r="C102" s="11">
        <f>B102*C96/B96</f>
        <v>3.6316153848764343</v>
      </c>
      <c r="D102" s="11">
        <f t="shared" ref="D102:AK102" si="39">C102*D96/C96</f>
        <v>3.6737173823763039</v>
      </c>
      <c r="E102" s="11">
        <f t="shared" si="39"/>
        <v>3.7054493408102225</v>
      </c>
      <c r="F102" s="11">
        <f t="shared" si="39"/>
        <v>3.7196522617369574</v>
      </c>
      <c r="G102" s="11">
        <f t="shared" si="39"/>
        <v>3.7521735969702683</v>
      </c>
      <c r="H102" s="11">
        <f t="shared" si="39"/>
        <v>3.7869965030860637</v>
      </c>
      <c r="I102" s="11">
        <f t="shared" si="39"/>
        <v>3.8156366994029991</v>
      </c>
      <c r="J102" s="11">
        <f t="shared" si="39"/>
        <v>3.8888907235653409</v>
      </c>
      <c r="K102" s="11">
        <f t="shared" si="39"/>
        <v>3.963551171323525</v>
      </c>
      <c r="L102" s="11">
        <f t="shared" si="39"/>
        <v>4.0396450455996353</v>
      </c>
      <c r="M102" s="11">
        <f t="shared" si="39"/>
        <v>4.1171998677698376</v>
      </c>
      <c r="N102" s="11">
        <f t="shared" si="39"/>
        <v>4.1962436876187201</v>
      </c>
      <c r="O102" s="11">
        <f t="shared" si="39"/>
        <v>4.2768050934847395</v>
      </c>
      <c r="P102" s="11">
        <f t="shared" si="39"/>
        <v>4.3589132226004912</v>
      </c>
      <c r="Q102" s="11">
        <f t="shared" si="39"/>
        <v>4.4425977716314842</v>
      </c>
      <c r="R102" s="11">
        <f t="shared" si="39"/>
        <v>4.5278890074172775</v>
      </c>
      <c r="S102" s="11">
        <f t="shared" si="39"/>
        <v>4.6148177779188426</v>
      </c>
      <c r="T102" s="11">
        <f t="shared" si="39"/>
        <v>4.703415523376119</v>
      </c>
      <c r="U102" s="11">
        <f t="shared" si="39"/>
        <v>4.793714287679788</v>
      </c>
      <c r="V102" s="11">
        <f t="shared" si="39"/>
        <v>4.8857467299613973</v>
      </c>
      <c r="W102" s="11">
        <f t="shared" si="39"/>
        <v>4.9795461364060056</v>
      </c>
      <c r="X102" s="11">
        <f t="shared" si="39"/>
        <v>5.0751464322916418</v>
      </c>
      <c r="Y102" s="11">
        <f t="shared" si="39"/>
        <v>5.1725821942599151</v>
      </c>
      <c r="Z102" s="11">
        <f t="shared" si="39"/>
        <v>5.2718886628222199</v>
      </c>
      <c r="AA102" s="11">
        <f t="shared" si="39"/>
        <v>5.3731017551060738</v>
      </c>
      <c r="AB102" s="11">
        <f t="shared" si="39"/>
        <v>5.47625807784617</v>
      </c>
      <c r="AC102" s="11">
        <f t="shared" si="39"/>
        <v>5.5813949406248691</v>
      </c>
      <c r="AD102" s="11">
        <f t="shared" si="39"/>
        <v>5.6885503693669159</v>
      </c>
      <c r="AE102" s="11">
        <f t="shared" si="39"/>
        <v>5.7977631200932329</v>
      </c>
      <c r="AF102" s="11">
        <f t="shared" si="39"/>
        <v>5.9090726929388158</v>
      </c>
      <c r="AG102" s="11">
        <f t="shared" si="39"/>
        <v>6.0225193464397533</v>
      </c>
      <c r="AH102" s="11">
        <f t="shared" si="39"/>
        <v>6.138144112094567</v>
      </c>
      <c r="AI102" s="11">
        <f t="shared" si="39"/>
        <v>6.2559888092051352</v>
      </c>
      <c r="AJ102" s="11">
        <f t="shared" si="39"/>
        <v>6.3760960600025527</v>
      </c>
      <c r="AK102" s="11">
        <f t="shared" si="39"/>
        <v>6.4985093050634157</v>
      </c>
    </row>
    <row r="103" spans="1:37">
      <c r="A103" s="399" t="s">
        <v>95</v>
      </c>
      <c r="B103" s="11">
        <f>Table3.D!E19</f>
        <v>13.36222279374781</v>
      </c>
      <c r="C103">
        <f>B103*C96/B96</f>
        <v>14.11099226567352</v>
      </c>
      <c r="D103">
        <f t="shared" ref="D103:AK103" si="40">C103*D96/C96</f>
        <v>14.274583642547885</v>
      </c>
      <c r="E103">
        <f t="shared" si="40"/>
        <v>14.397881231246402</v>
      </c>
      <c r="F103">
        <f t="shared" si="40"/>
        <v>14.453068052015404</v>
      </c>
      <c r="G103">
        <f t="shared" si="40"/>
        <v>14.579432840494302</v>
      </c>
      <c r="H103">
        <f t="shared" si="40"/>
        <v>14.714740604888792</v>
      </c>
      <c r="I103">
        <f t="shared" si="40"/>
        <v>14.826024853325082</v>
      </c>
      <c r="J103">
        <f t="shared" si="40"/>
        <v>15.110660437998773</v>
      </c>
      <c r="K103">
        <f t="shared" si="40"/>
        <v>15.400760817365711</v>
      </c>
      <c r="L103">
        <f t="shared" si="40"/>
        <v>15.696430913887195</v>
      </c>
      <c r="M103">
        <f t="shared" si="40"/>
        <v>15.997777664527931</v>
      </c>
      <c r="N103">
        <f t="shared" si="40"/>
        <v>16.304910059434562</v>
      </c>
      <c r="O103">
        <f t="shared" si="40"/>
        <v>16.617939181356807</v>
      </c>
      <c r="P103">
        <f t="shared" si="40"/>
        <v>16.936978245825557</v>
      </c>
      <c r="Q103">
        <f t="shared" si="40"/>
        <v>17.262142642102312</v>
      </c>
      <c r="R103">
        <f t="shared" si="40"/>
        <v>17.5935499749149</v>
      </c>
      <c r="S103">
        <f t="shared" si="40"/>
        <v>17.931320106994519</v>
      </c>
      <c r="T103">
        <f t="shared" si="40"/>
        <v>18.27557520242949</v>
      </c>
      <c r="U103">
        <f t="shared" si="40"/>
        <v>18.626439770851377</v>
      </c>
      <c r="V103">
        <f t="shared" si="40"/>
        <v>18.984040712469543</v>
      </c>
      <c r="W103">
        <f t="shared" si="40"/>
        <v>19.348507363970327</v>
      </c>
      <c r="X103">
        <f t="shared" si="40"/>
        <v>19.719971545297504</v>
      </c>
      <c r="Y103">
        <f t="shared" si="40"/>
        <v>20.098567607330956</v>
      </c>
      <c r="Z103">
        <f t="shared" si="40"/>
        <v>20.484432480480706</v>
      </c>
      <c r="AA103">
        <f t="shared" si="40"/>
        <v>20.877705724214074</v>
      </c>
      <c r="AB103">
        <f t="shared" si="40"/>
        <v>21.27852957753365</v>
      </c>
      <c r="AC103">
        <f t="shared" si="40"/>
        <v>21.687049010424499</v>
      </c>
      <c r="AD103">
        <f t="shared" si="40"/>
        <v>22.103411776289196</v>
      </c>
      <c r="AE103">
        <f t="shared" si="40"/>
        <v>22.527768465389528</v>
      </c>
      <c r="AF103">
        <f t="shared" si="40"/>
        <v>22.960272559314355</v>
      </c>
      <c r="AG103">
        <f t="shared" si="40"/>
        <v>23.401080486493225</v>
      </c>
      <c r="AH103">
        <f t="shared" si="40"/>
        <v>23.850351678775858</v>
      </c>
      <c r="AI103">
        <f t="shared" si="40"/>
        <v>24.308248629097992</v>
      </c>
      <c r="AJ103">
        <f t="shared" si="40"/>
        <v>24.774936950254371</v>
      </c>
      <c r="AK103">
        <f t="shared" si="40"/>
        <v>25.250585434800211</v>
      </c>
    </row>
    <row r="105" spans="1:37">
      <c r="A105" s="282" t="s">
        <v>936</v>
      </c>
      <c r="B105" s="20">
        <f t="shared" ref="B105:AK105" si="41">SUM(B100:B103)</f>
        <v>88.085812163353864</v>
      </c>
      <c r="C105" s="20">
        <f t="shared" si="41"/>
        <v>91.207220896280489</v>
      </c>
      <c r="D105" s="20">
        <f t="shared" si="41"/>
        <v>92.785302815739755</v>
      </c>
      <c r="E105" s="20">
        <f t="shared" si="41"/>
        <v>94.25711540585489</v>
      </c>
      <c r="F105" s="20">
        <f t="shared" si="41"/>
        <v>95.549295204994763</v>
      </c>
      <c r="G105" s="20">
        <f t="shared" si="41"/>
        <v>97.029197113051509</v>
      </c>
      <c r="H105" s="20">
        <f t="shared" si="41"/>
        <v>98.532684891186847</v>
      </c>
      <c r="I105" s="20">
        <f t="shared" si="41"/>
        <v>99.972813947172867</v>
      </c>
      <c r="J105" s="20">
        <f t="shared" si="41"/>
        <v>101.8701333314167</v>
      </c>
      <c r="K105" s="20">
        <f t="shared" si="41"/>
        <v>103.78186536071935</v>
      </c>
      <c r="L105" s="20">
        <f t="shared" si="41"/>
        <v>105.70828675365433</v>
      </c>
      <c r="M105" s="20">
        <f t="shared" si="41"/>
        <v>107.64967954177187</v>
      </c>
      <c r="N105" s="20">
        <f t="shared" si="41"/>
        <v>109.60633117160656</v>
      </c>
      <c r="O105" s="20">
        <f t="shared" si="41"/>
        <v>111.57853460864608</v>
      </c>
      <c r="P105" s="20">
        <f t="shared" si="41"/>
        <v>113.56658844329624</v>
      </c>
      <c r="Q105" s="20">
        <f t="shared" si="41"/>
        <v>115.57079699887771</v>
      </c>
      <c r="R105" s="20">
        <f t="shared" si="41"/>
        <v>117.59147044169922</v>
      </c>
      <c r="S105" s="20">
        <f t="shared" si="41"/>
        <v>119.62892489324396</v>
      </c>
      <c r="T105" s="20">
        <f t="shared" si="41"/>
        <v>121.6834825445074</v>
      </c>
      <c r="U105" s="20">
        <f t="shared" si="41"/>
        <v>123.75547177253297</v>
      </c>
      <c r="V105" s="20">
        <f t="shared" si="41"/>
        <v>125.84522725918552</v>
      </c>
      <c r="W105" s="20">
        <f t="shared" si="41"/>
        <v>127.95309011220216</v>
      </c>
      <c r="X105" s="20">
        <f t="shared" si="41"/>
        <v>130.07940798857058</v>
      </c>
      <c r="Y105" s="20">
        <f t="shared" si="41"/>
        <v>132.2245352202743</v>
      </c>
      <c r="Z105" s="20">
        <f t="shared" si="41"/>
        <v>134.38883294245412</v>
      </c>
      <c r="AA105" s="20">
        <f t="shared" si="41"/>
        <v>136.57266922402721</v>
      </c>
      <c r="AB105" s="20">
        <f t="shared" si="41"/>
        <v>138.77641920081683</v>
      </c>
      <c r="AC105" s="20">
        <f t="shared" si="41"/>
        <v>141.00046521123812</v>
      </c>
      <c r="AD105" s="20">
        <f t="shared" si="41"/>
        <v>143.2451969345866</v>
      </c>
      <c r="AE105" s="20">
        <f t="shared" si="41"/>
        <v>145.51101153198405</v>
      </c>
      <c r="AF105" s="20">
        <f t="shared" si="41"/>
        <v>147.79831379003102</v>
      </c>
      <c r="AG105" s="20">
        <f t="shared" si="41"/>
        <v>150.10751626721449</v>
      </c>
      <c r="AH105" s="20">
        <f t="shared" si="41"/>
        <v>152.43903944312959</v>
      </c>
      <c r="AI105" s="20">
        <f t="shared" si="41"/>
        <v>154.79331187056584</v>
      </c>
      <c r="AJ105" s="20">
        <f t="shared" si="41"/>
        <v>157.17077033051146</v>
      </c>
      <c r="AK105" s="20">
        <f t="shared" si="41"/>
        <v>159.57185999013589</v>
      </c>
    </row>
    <row r="106" spans="1:37">
      <c r="A106" s="400" t="s">
        <v>96</v>
      </c>
      <c r="B106">
        <v>19</v>
      </c>
      <c r="C106">
        <f>B106*C105/B105</f>
        <v>19.6732839769431</v>
      </c>
      <c r="D106" s="391">
        <f t="shared" ref="D106:AK106" si="42">C106*D105/C105</f>
        <v>20.01367428195751</v>
      </c>
      <c r="E106" s="391">
        <f t="shared" si="42"/>
        <v>20.331142424957974</v>
      </c>
      <c r="F106" s="391">
        <f t="shared" si="42"/>
        <v>20.609863998622156</v>
      </c>
      <c r="G106" s="391">
        <f t="shared" si="42"/>
        <v>20.929076997429881</v>
      </c>
      <c r="H106" s="391">
        <f t="shared" si="42"/>
        <v>21.253377439044652</v>
      </c>
      <c r="I106" s="391">
        <f t="shared" si="42"/>
        <v>21.564011483185507</v>
      </c>
      <c r="J106" s="391">
        <f t="shared" si="42"/>
        <v>21.97326091184242</v>
      </c>
      <c r="K106" s="391">
        <f t="shared" si="42"/>
        <v>22.385619130092028</v>
      </c>
      <c r="L106" s="391">
        <f t="shared" si="42"/>
        <v>22.801145825786072</v>
      </c>
      <c r="M106" s="391">
        <f t="shared" si="42"/>
        <v>23.219901832778749</v>
      </c>
      <c r="N106" s="391">
        <f t="shared" si="42"/>
        <v>23.641949152929644</v>
      </c>
      <c r="O106" s="391">
        <f t="shared" si="42"/>
        <v>24.067350978529664</v>
      </c>
      <c r="P106" s="391">
        <f t="shared" si="42"/>
        <v>24.496171715157526</v>
      </c>
      <c r="Q106" s="391">
        <f t="shared" si="42"/>
        <v>24.928477004974564</v>
      </c>
      <c r="R106" s="391">
        <f t="shared" si="42"/>
        <v>25.364333750467353</v>
      </c>
      <c r="S106" s="391">
        <f t="shared" si="42"/>
        <v>25.803810138646188</v>
      </c>
      <c r="T106" s="391">
        <f t="shared" si="42"/>
        <v>26.246975665707602</v>
      </c>
      <c r="U106" s="391">
        <f t="shared" si="42"/>
        <v>26.693901162170967</v>
      </c>
      <c r="V106" s="391">
        <f t="shared" si="42"/>
        <v>27.144658818497792</v>
      </c>
      <c r="W106" s="391">
        <f t="shared" si="42"/>
        <v>27.599322211202228</v>
      </c>
      <c r="X106" s="391">
        <f t="shared" si="42"/>
        <v>28.057966329463618</v>
      </c>
      <c r="Y106" s="391">
        <f t="shared" si="42"/>
        <v>28.520667602249599</v>
      </c>
      <c r="Z106" s="391">
        <f t="shared" si="42"/>
        <v>28.987503925960358</v>
      </c>
      <c r="AA106" s="391">
        <f t="shared" si="42"/>
        <v>29.458554692603013</v>
      </c>
      <c r="AB106" s="391">
        <f t="shared" si="42"/>
        <v>29.933900818507524</v>
      </c>
      <c r="AC106" s="391">
        <f t="shared" si="42"/>
        <v>30.413624773593956</v>
      </c>
      <c r="AD106" s="391">
        <f t="shared" si="42"/>
        <v>30.897810611201123</v>
      </c>
      <c r="AE106" s="391">
        <f t="shared" si="42"/>
        <v>31.386543998488452</v>
      </c>
      <c r="AF106" s="391">
        <f t="shared" si="42"/>
        <v>31.879912247421647</v>
      </c>
      <c r="AG106" s="391">
        <f t="shared" si="42"/>
        <v>32.37800434635264</v>
      </c>
      <c r="AH106" s="391">
        <f t="shared" si="42"/>
        <v>32.880910992206516</v>
      </c>
      <c r="AI106" s="391">
        <f t="shared" si="42"/>
        <v>33.38872462328635</v>
      </c>
      <c r="AJ106" s="391">
        <f t="shared" si="42"/>
        <v>33.901539452707418</v>
      </c>
      <c r="AK106" s="391">
        <f t="shared" si="42"/>
        <v>34.419451502473855</v>
      </c>
    </row>
    <row r="107" spans="1:37">
      <c r="B107">
        <f>B106/B105</f>
        <v>0.21569875480928499</v>
      </c>
    </row>
    <row r="108" spans="1:37">
      <c r="A108" s="398" t="s">
        <v>838</v>
      </c>
    </row>
    <row r="109" spans="1:37">
      <c r="A109" s="8" t="s">
        <v>939</v>
      </c>
    </row>
    <row r="110" spans="1:37">
      <c r="A110" s="8" t="s">
        <v>940</v>
      </c>
    </row>
    <row r="111" spans="1:37">
      <c r="A111" s="8" t="s">
        <v>941</v>
      </c>
    </row>
    <row r="114" spans="1:1">
      <c r="A114" s="399"/>
    </row>
    <row r="115" spans="1:1">
      <c r="A115" s="399"/>
    </row>
    <row r="116" spans="1:1">
      <c r="A116" s="399"/>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K5"/>
  <sheetViews>
    <sheetView workbookViewId="0">
      <selection activeCell="B3" sqref="B3"/>
    </sheetView>
  </sheetViews>
  <sheetFormatPr baseColWidth="10" defaultColWidth="8.6640625" defaultRowHeight="15"/>
  <cols>
    <col min="1" max="1" width="39.1640625" customWidth="1"/>
    <col min="2" max="2" width="12" bestFit="1" customWidth="1"/>
  </cols>
  <sheetData>
    <row r="1" spans="1:37">
      <c r="A1" s="6" t="s">
        <v>61</v>
      </c>
      <c r="B1" s="6"/>
      <c r="C1" s="6"/>
      <c r="D1" s="6"/>
      <c r="E1" s="6"/>
      <c r="F1" s="6"/>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c r="A3" s="71" t="s">
        <v>51</v>
      </c>
      <c r="B3" s="11">
        <f>SUM('15'!G65:G66)</f>
        <v>68.492255377685609</v>
      </c>
      <c r="C3" s="11">
        <f>$B$3*'Macro Indicators'!M10/'Macro Indicators'!$L$10</f>
        <v>69.6917752220875</v>
      </c>
      <c r="D3" s="11">
        <f>$B$3*'Macro Indicators'!N10/'Macro Indicators'!$L$10</f>
        <v>70.609440676821194</v>
      </c>
      <c r="E3" s="11">
        <f>$B$3*'Macro Indicators'!O10/'Macro Indicators'!$L$10</f>
        <v>71.569712027667521</v>
      </c>
      <c r="F3" s="11">
        <f>$B$3*'Macro Indicators'!P10/'Macro Indicators'!$L$10</f>
        <v>72.723348599332724</v>
      </c>
      <c r="G3" s="11">
        <f>$B$3*'Macro Indicators'!Q10/'Macro Indicators'!$L$10</f>
        <v>74.037576625576321</v>
      </c>
      <c r="H3" s="11">
        <f>$B$3*'Macro Indicators'!R10/'Macro Indicators'!$L$10</f>
        <v>75.441932508981282</v>
      </c>
      <c r="I3" s="11">
        <f>$B$3*'Macro Indicators'!S10/'Macro Indicators'!$L$10</f>
        <v>76.946248379419714</v>
      </c>
      <c r="J3" s="11">
        <f>$B$3*'Macro Indicators'!T10/'Macro Indicators'!$L$10</f>
        <v>78.517750470651151</v>
      </c>
      <c r="K3" s="11">
        <f>$B$3*'Macro Indicators'!U10/'Macro Indicators'!$L$10</f>
        <v>80.085975185258548</v>
      </c>
      <c r="L3" s="11">
        <f>$B$3*'Macro Indicators'!V10/'Macro Indicators'!$L$10</f>
        <v>81.54932384789636</v>
      </c>
      <c r="M3" s="11">
        <f>$B$3*'Macro Indicators'!W10/'Macro Indicators'!$L$10</f>
        <v>82.947124978053225</v>
      </c>
      <c r="N3" s="11">
        <f>$B$3*'Macro Indicators'!X10/'Macro Indicators'!$L$10</f>
        <v>84.282655952353139</v>
      </c>
      <c r="O3" s="11">
        <f>$B$3*'Macro Indicators'!Y10/'Macro Indicators'!$L$10</f>
        <v>85.570664965604351</v>
      </c>
      <c r="P3" s="11">
        <f>$B$3*'Macro Indicators'!Z10/'Macro Indicators'!$L$10</f>
        <v>86.765268745070159</v>
      </c>
      <c r="Q3" s="11">
        <f>$B$3*'Macro Indicators'!AA10/'Macro Indicators'!$L$10</f>
        <v>87.859912537502495</v>
      </c>
      <c r="R3" s="11">
        <f>$B$3*'Macro Indicators'!AB10/'Macro Indicators'!$L$10</f>
        <v>88.792326187044409</v>
      </c>
      <c r="S3" s="11">
        <f>$B$3*'Macro Indicators'!AC10/'Macro Indicators'!$L$10</f>
        <v>89.613309031368658</v>
      </c>
      <c r="T3" s="11">
        <f>$B$3*'Macro Indicators'!AD10/'Macro Indicators'!$L$10</f>
        <v>90.426098434132768</v>
      </c>
      <c r="U3" s="11">
        <f>$B$3*'Macro Indicators'!AE10/'Macro Indicators'!$L$10</f>
        <v>91.304435369377885</v>
      </c>
      <c r="V3" s="11">
        <f>$B$3*'Macro Indicators'!AF10/'Macro Indicators'!$L$10</f>
        <v>92.233571642295729</v>
      </c>
      <c r="W3" s="11">
        <f>$B$3*'Macro Indicators'!AG10/'Macro Indicators'!$L$10</f>
        <v>93.20203643470218</v>
      </c>
      <c r="X3" s="11">
        <f>$B$3*'Macro Indicators'!AH10/'Macro Indicators'!$L$10</f>
        <v>94.203274993349112</v>
      </c>
      <c r="Y3" s="11">
        <f>$B$3*'Macro Indicators'!AI10/'Macro Indicators'!$L$10</f>
        <v>95.227455188364388</v>
      </c>
      <c r="Z3" s="11">
        <f>$B$3*'Macro Indicators'!AJ10/'Macro Indicators'!$L$10</f>
        <v>96.271299643123953</v>
      </c>
      <c r="AA3" s="11">
        <f>$B$3*'Macro Indicators'!AK10/'Macro Indicators'!$L$10</f>
        <v>97.326614916067697</v>
      </c>
      <c r="AB3" s="11">
        <f>AA3*((($Z$3/$R$3)-1)/10+1)</f>
        <v>98.14639653547701</v>
      </c>
      <c r="AC3" s="11">
        <f t="shared" ref="AC3:AK3" si="0">AB3*((($Z$3/$R$3)-1)/10+1)</f>
        <v>98.973083171608636</v>
      </c>
      <c r="AD3" s="11">
        <f t="shared" si="0"/>
        <v>99.806732985385921</v>
      </c>
      <c r="AE3" s="11">
        <f t="shared" si="0"/>
        <v>100.64740462762141</v>
      </c>
      <c r="AF3" s="11">
        <f t="shared" si="0"/>
        <v>101.49515724314317</v>
      </c>
      <c r="AG3" s="11">
        <f t="shared" si="0"/>
        <v>102.35005047495586</v>
      </c>
      <c r="AH3" s="11">
        <f t="shared" si="0"/>
        <v>103.2121444684369</v>
      </c>
      <c r="AI3" s="11">
        <f t="shared" si="0"/>
        <v>104.08149987556793</v>
      </c>
      <c r="AJ3" s="11">
        <f t="shared" si="0"/>
        <v>104.95817785920195</v>
      </c>
      <c r="AK3" s="11">
        <f t="shared" si="0"/>
        <v>105.84224009736639</v>
      </c>
    </row>
    <row r="4" spans="1:37">
      <c r="A4" s="71" t="s">
        <v>92</v>
      </c>
      <c r="B4" s="22">
        <f>SUM('15'!I66)</f>
        <v>6.1401360000000002E-2</v>
      </c>
      <c r="C4" s="11">
        <f>$B$4*'Macro Indicators'!M10/'Macro Indicators'!$L$10</f>
        <v>6.2476695443213624E-2</v>
      </c>
      <c r="D4" s="11">
        <f>$B$4*'Macro Indicators'!N10/'Macro Indicators'!$L$10</f>
        <v>6.329935643802187E-2</v>
      </c>
      <c r="E4" s="11">
        <f>$B$4*'Macro Indicators'!O10/'Macro Indicators'!$L$10</f>
        <v>6.4160212407589068E-2</v>
      </c>
      <c r="F4" s="11">
        <f>$B$4*'Macro Indicators'!P10/'Macro Indicators'!$L$10</f>
        <v>6.5194414801062278E-2</v>
      </c>
      <c r="G4" s="11">
        <f>$B$4*'Macro Indicators'!Q10/'Macro Indicators'!$L$10</f>
        <v>6.6372582868626948E-2</v>
      </c>
      <c r="H4" s="11">
        <f>$B$4*'Macro Indicators'!R10/'Macro Indicators'!$L$10</f>
        <v>6.763154799818169E-2</v>
      </c>
      <c r="I4" s="11">
        <f>$B$4*'Macro Indicators'!S10/'Macro Indicators'!$L$10</f>
        <v>6.8980124414670926E-2</v>
      </c>
      <c r="J4" s="11">
        <f>$B$4*'Macro Indicators'!T10/'Macro Indicators'!$L$10</f>
        <v>7.0388931368280019E-2</v>
      </c>
      <c r="K4" s="11">
        <f>$B$4*'Macro Indicators'!U10/'Macro Indicators'!$L$10</f>
        <v>7.1794800246907681E-2</v>
      </c>
      <c r="L4" s="11">
        <f>$B$4*'Macro Indicators'!V10/'Macro Indicators'!$L$10</f>
        <v>7.3106650726128666E-2</v>
      </c>
      <c r="M4" s="11">
        <f>$B$4*'Macro Indicators'!W10/'Macro Indicators'!$L$10</f>
        <v>7.4359739705720504E-2</v>
      </c>
      <c r="N4" s="11">
        <f>$B$4*'Macro Indicators'!X10/'Macro Indicators'!$L$10</f>
        <v>7.5557005260664653E-2</v>
      </c>
      <c r="O4" s="11">
        <f>$B$4*'Macro Indicators'!Y10/'Macro Indicators'!$L$10</f>
        <v>7.6711668728377633E-2</v>
      </c>
      <c r="P4" s="11">
        <f>$B$4*'Macro Indicators'!Z10/'Macro Indicators'!$L$10</f>
        <v>7.778259705911908E-2</v>
      </c>
      <c r="Q4" s="11">
        <f>$B$4*'Macro Indicators'!AA10/'Macro Indicators'!$L$10</f>
        <v>7.8763914102926047E-2</v>
      </c>
      <c r="R4" s="11">
        <f>$B$4*'Macro Indicators'!AB10/'Macro Indicators'!$L$10</f>
        <v>7.9599796435150846E-2</v>
      </c>
      <c r="S4" s="11">
        <f>$B$4*'Macro Indicators'!AC10/'Macro Indicators'!$L$10</f>
        <v>8.0335784218006093E-2</v>
      </c>
      <c r="T4" s="11">
        <f>$B$4*'Macro Indicators'!AD10/'Macro Indicators'!$L$10</f>
        <v>8.1064426813407656E-2</v>
      </c>
      <c r="U4" s="11">
        <f>$B$4*'Macro Indicators'!AE10/'Macro Indicators'!$L$10</f>
        <v>8.1851830908438422E-2</v>
      </c>
      <c r="V4" s="11">
        <f>$B$4*'Macro Indicators'!AF10/'Macro Indicators'!$L$10</f>
        <v>8.2684775165681762E-2</v>
      </c>
      <c r="W4" s="11">
        <f>$B$4*'Macro Indicators'!AG10/'Macro Indicators'!$L$10</f>
        <v>8.3552976322702602E-2</v>
      </c>
      <c r="X4" s="11">
        <f>$B$4*'Macro Indicators'!AH10/'Macro Indicators'!$L$10</f>
        <v>8.4450558229538009E-2</v>
      </c>
      <c r="Y4" s="11">
        <f>$B$4*'Macro Indicators'!AI10/'Macro Indicators'!$L$10</f>
        <v>8.5368706661243632E-2</v>
      </c>
      <c r="Z4" s="11">
        <f>$B$4*'Macro Indicators'!AJ10/'Macro Indicators'!$L$10</f>
        <v>8.6304483542837998E-2</v>
      </c>
      <c r="AA4" s="11">
        <f>$B$4*'Macro Indicators'!AK10/'Macro Indicators'!$L$10</f>
        <v>8.7250543686867479E-2</v>
      </c>
      <c r="AB4" s="11">
        <f>AA4*((($Z$4/$R$4)-1)/10+1)</f>
        <v>8.7985454605732233E-2</v>
      </c>
      <c r="AC4" s="11">
        <f t="shared" ref="AC4:AK4" si="1">AB4*((($Z$4/$R$4)-1)/10+1)</f>
        <v>8.8726555675808019E-2</v>
      </c>
      <c r="AD4" s="11">
        <f t="shared" si="1"/>
        <v>8.9473899036709353E-2</v>
      </c>
      <c r="AE4" s="11">
        <f t="shared" si="1"/>
        <v>9.0227537267222491E-2</v>
      </c>
      <c r="AF4" s="11">
        <f t="shared" si="1"/>
        <v>9.0987523389004538E-2</v>
      </c>
      <c r="AG4" s="11">
        <f t="shared" si="1"/>
        <v>9.1753910870313787E-2</v>
      </c>
      <c r="AH4" s="11">
        <f t="shared" si="1"/>
        <v>9.2526753629771405E-2</v>
      </c>
      <c r="AI4" s="11">
        <f t="shared" si="1"/>
        <v>9.3306106040154865E-2</v>
      </c>
      <c r="AJ4" s="11">
        <f t="shared" si="1"/>
        <v>9.4092022932223282E-2</v>
      </c>
      <c r="AK4" s="11">
        <f t="shared" si="1"/>
        <v>9.4884559598574988E-2</v>
      </c>
    </row>
    <row r="5" spans="1:37">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K36"/>
  <sheetViews>
    <sheetView topLeftCell="A10" workbookViewId="0">
      <selection activeCell="J22" sqref="J22"/>
    </sheetView>
  </sheetViews>
  <sheetFormatPr baseColWidth="10" defaultColWidth="8.6640625" defaultRowHeight="15"/>
  <cols>
    <col min="1" max="1" width="45.5" customWidth="1"/>
    <col min="2" max="2" width="12" bestFit="1" customWidth="1"/>
    <col min="8" max="8" width="12" bestFit="1" customWidth="1"/>
  </cols>
  <sheetData>
    <row r="1" spans="1:37">
      <c r="A1" s="6" t="s">
        <v>106</v>
      </c>
      <c r="B1" s="6" t="s">
        <v>930</v>
      </c>
      <c r="C1" s="6" t="s">
        <v>930</v>
      </c>
      <c r="D1" s="6" t="s">
        <v>930</v>
      </c>
      <c r="E1" s="6" t="s">
        <v>930</v>
      </c>
      <c r="F1" s="6" t="s">
        <v>930</v>
      </c>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row>
    <row r="2" spans="1:37">
      <c r="A2" t="s">
        <v>660</v>
      </c>
      <c r="B2">
        <v>2011</v>
      </c>
      <c r="C2">
        <v>2012</v>
      </c>
      <c r="D2">
        <v>2013</v>
      </c>
      <c r="E2">
        <v>2014</v>
      </c>
      <c r="F2">
        <v>2015</v>
      </c>
      <c r="H2" s="392"/>
      <c r="I2" s="392"/>
      <c r="J2" s="392"/>
      <c r="K2" s="392"/>
      <c r="L2" s="392"/>
      <c r="M2" s="392"/>
      <c r="N2" s="392"/>
      <c r="O2" s="392"/>
      <c r="P2" s="392"/>
      <c r="Q2" s="392"/>
      <c r="R2" s="392"/>
      <c r="S2" s="392"/>
      <c r="T2" s="392"/>
      <c r="U2" s="392"/>
      <c r="V2" s="392"/>
    </row>
    <row r="3" spans="1:37">
      <c r="A3" s="235" t="s">
        <v>647</v>
      </c>
      <c r="B3" s="22">
        <f>'Table 5'!C127</f>
        <v>14.648976851940001</v>
      </c>
      <c r="C3" s="22">
        <f>'Table 5'!C100</f>
        <v>14.80183988562</v>
      </c>
      <c r="D3" s="22">
        <f>'Table 5'!C73</f>
        <v>14.948452681199999</v>
      </c>
      <c r="E3" s="22">
        <f>'Table 5'!C46</f>
        <v>15.092020912500001</v>
      </c>
      <c r="F3" s="22">
        <f>'Table 5'!C19</f>
        <v>15.20293061988</v>
      </c>
      <c r="H3" s="392"/>
      <c r="I3" s="392"/>
      <c r="J3" s="392"/>
      <c r="K3" s="392"/>
      <c r="L3" s="392"/>
      <c r="M3" s="392"/>
      <c r="N3" s="392"/>
      <c r="O3" s="392"/>
      <c r="P3" s="392"/>
      <c r="Q3" s="392"/>
      <c r="R3" s="392"/>
      <c r="S3" s="392"/>
      <c r="T3" s="392"/>
      <c r="U3" s="392"/>
      <c r="V3" s="392"/>
    </row>
    <row r="4" spans="1:37">
      <c r="A4" s="235" t="s">
        <v>648</v>
      </c>
      <c r="B4" s="22">
        <f>'Table 5'!C128</f>
        <v>0.68200000000000005</v>
      </c>
      <c r="C4" s="22">
        <f>'Table 5'!C101</f>
        <v>0.69099999999999995</v>
      </c>
      <c r="D4" s="22">
        <f>'Table 5'!C74</f>
        <v>0.72299999999999998</v>
      </c>
      <c r="E4" s="22">
        <f>'Table 5'!C47</f>
        <v>0.54400000000000004</v>
      </c>
      <c r="F4" s="22">
        <f>'Table 5'!C20</f>
        <v>0.55700000000000005</v>
      </c>
      <c r="G4" s="392"/>
      <c r="H4" s="392"/>
      <c r="I4" s="392"/>
      <c r="J4" s="392"/>
      <c r="K4" s="392"/>
      <c r="L4" s="392"/>
      <c r="M4" s="392"/>
      <c r="N4" s="392"/>
      <c r="O4" s="392"/>
      <c r="P4" s="392"/>
      <c r="Q4" s="392"/>
      <c r="R4" s="392"/>
      <c r="S4" s="392"/>
      <c r="T4" s="392"/>
      <c r="U4" s="392"/>
      <c r="V4" s="392"/>
    </row>
    <row r="5" spans="1:37">
      <c r="A5" s="235" t="s">
        <v>649</v>
      </c>
      <c r="B5" s="22">
        <f>'Table 5'!D127</f>
        <v>2.1881669255756</v>
      </c>
      <c r="C5" s="22">
        <f>'Table 5'!D100</f>
        <v>2.2032694914565698</v>
      </c>
      <c r="D5" s="22">
        <f>'Table 5'!D73</f>
        <v>2.2179904591713901</v>
      </c>
      <c r="E5" s="22">
        <f>'Table 5'!C47</f>
        <v>0.54400000000000004</v>
      </c>
      <c r="F5" s="22">
        <f>'Table 5'!D19</f>
        <v>2.2395528686640098</v>
      </c>
      <c r="G5" s="392"/>
      <c r="H5" s="392"/>
      <c r="I5" s="392"/>
      <c r="J5" s="392"/>
      <c r="K5" s="392"/>
      <c r="L5" s="392"/>
      <c r="M5" s="392"/>
      <c r="N5" s="392"/>
      <c r="O5" s="392"/>
      <c r="P5" s="392"/>
      <c r="Q5" s="392"/>
      <c r="R5" s="392"/>
      <c r="S5" s="392"/>
      <c r="T5" s="392"/>
      <c r="U5" s="392"/>
      <c r="V5" s="392"/>
    </row>
    <row r="6" spans="1:37" s="392" customFormat="1">
      <c r="A6" s="235" t="s">
        <v>942</v>
      </c>
      <c r="B6" s="22">
        <f>B3/SUM(B3:B4)</f>
        <v>0.95551490250187809</v>
      </c>
      <c r="C6" s="22">
        <f t="shared" ref="C6:F6" si="0">C3/SUM(C3:C4)</f>
        <v>0.95539875161032506</v>
      </c>
      <c r="D6" s="22">
        <f t="shared" si="0"/>
        <v>0.95386515757614887</v>
      </c>
      <c r="E6" s="22">
        <f t="shared" si="0"/>
        <v>0.96520853975290433</v>
      </c>
      <c r="F6" s="22">
        <f t="shared" si="0"/>
        <v>0.96465720481679118</v>
      </c>
    </row>
    <row r="7" spans="1:37" s="392" customFormat="1">
      <c r="A7" s="235" t="s">
        <v>943</v>
      </c>
      <c r="B7" s="22">
        <f>B4/SUM(B3:B4)</f>
        <v>4.4485097498121844E-2</v>
      </c>
      <c r="C7" s="22">
        <f t="shared" ref="C7:F7" si="1">C4/SUM(C3:C4)</f>
        <v>4.4601248389674893E-2</v>
      </c>
      <c r="D7" s="22">
        <f t="shared" si="1"/>
        <v>4.6134842423851047E-2</v>
      </c>
      <c r="E7" s="22">
        <f t="shared" si="1"/>
        <v>3.4791460247095653E-2</v>
      </c>
      <c r="F7" s="22">
        <f t="shared" si="1"/>
        <v>3.5342795183208819E-2</v>
      </c>
    </row>
    <row r="9" spans="1:37">
      <c r="A9" s="6" t="s">
        <v>650</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row>
    <row r="10" spans="1:37">
      <c r="B10">
        <v>2015</v>
      </c>
      <c r="C10">
        <v>2016</v>
      </c>
      <c r="D10">
        <v>2017</v>
      </c>
      <c r="E10">
        <v>2018</v>
      </c>
      <c r="F10">
        <v>2019</v>
      </c>
      <c r="G10">
        <v>2020</v>
      </c>
      <c r="H10">
        <v>2021</v>
      </c>
      <c r="I10">
        <v>2022</v>
      </c>
      <c r="J10">
        <v>2023</v>
      </c>
      <c r="K10">
        <v>2024</v>
      </c>
      <c r="L10">
        <v>2025</v>
      </c>
      <c r="M10">
        <v>2026</v>
      </c>
      <c r="N10">
        <v>2027</v>
      </c>
      <c r="O10">
        <v>2028</v>
      </c>
      <c r="P10">
        <v>2029</v>
      </c>
      <c r="Q10">
        <v>2030</v>
      </c>
      <c r="R10">
        <v>2031</v>
      </c>
      <c r="S10">
        <v>2032</v>
      </c>
      <c r="T10">
        <v>2033</v>
      </c>
      <c r="U10">
        <v>2034</v>
      </c>
      <c r="V10">
        <v>2035</v>
      </c>
      <c r="W10">
        <v>2036</v>
      </c>
      <c r="X10">
        <v>2037</v>
      </c>
      <c r="Y10">
        <v>2038</v>
      </c>
      <c r="Z10">
        <v>2039</v>
      </c>
      <c r="AA10">
        <v>2040</v>
      </c>
      <c r="AB10">
        <v>2041</v>
      </c>
      <c r="AC10">
        <v>2042</v>
      </c>
      <c r="AD10">
        <v>2043</v>
      </c>
      <c r="AE10">
        <v>2044</v>
      </c>
      <c r="AF10">
        <v>2045</v>
      </c>
      <c r="AG10">
        <v>2046</v>
      </c>
      <c r="AH10">
        <v>2047</v>
      </c>
      <c r="AI10">
        <v>2048</v>
      </c>
      <c r="AJ10">
        <v>2049</v>
      </c>
      <c r="AK10">
        <v>2050</v>
      </c>
    </row>
    <row r="11" spans="1:37">
      <c r="A11" s="71" t="s">
        <v>51</v>
      </c>
      <c r="B11" s="401">
        <f>F23</f>
        <v>1.4911311369371416</v>
      </c>
      <c r="C11" s="234">
        <f>B11*'Macro Indicators'!M$10/'Macro Indicators'!L$10</f>
        <v>1.5172456425772112</v>
      </c>
      <c r="D11" s="234">
        <f>C11*'Macro Indicators'!N$10/'Macro Indicators'!M$10</f>
        <v>1.5372239529029474</v>
      </c>
      <c r="E11" s="234">
        <f>D11*'Macro Indicators'!O$10/'Macro Indicators'!N$10</f>
        <v>1.5581298276366646</v>
      </c>
      <c r="F11" s="234">
        <f>E11*'Macro Indicators'!P$10/'Macro Indicators'!O$10</f>
        <v>1.5832454177604474</v>
      </c>
      <c r="G11" s="234">
        <f>F11*'Macro Indicators'!Q$10/'Macro Indicators'!P$10</f>
        <v>1.6118572121912342</v>
      </c>
      <c r="H11" s="234">
        <f>G11*'Macro Indicators'!R$10/'Macro Indicators'!Q$10</f>
        <v>1.6424311621004413</v>
      </c>
      <c r="I11" s="234">
        <f>H11*'Macro Indicators'!S$10/'Macro Indicators'!R$10</f>
        <v>1.6751813208129875</v>
      </c>
      <c r="J11" s="234">
        <f>I11*'Macro Indicators'!T$10/'Macro Indicators'!S$10</f>
        <v>1.7093941772458108</v>
      </c>
      <c r="K11" s="234">
        <f>J11*'Macro Indicators'!U$10/'Macro Indicators'!T$10</f>
        <v>1.7435356825703279</v>
      </c>
      <c r="L11" s="234">
        <f>K11*'Macro Indicators'!V$10/'Macro Indicators'!U$10</f>
        <v>1.7753939524290467</v>
      </c>
      <c r="M11" s="234">
        <f>L11*'Macro Indicators'!W$10/'Macro Indicators'!V$10</f>
        <v>1.8058252001216417</v>
      </c>
      <c r="N11" s="234">
        <f>M11*'Macro Indicators'!X$10/'Macro Indicators'!W$10</f>
        <v>1.8349007767564187</v>
      </c>
      <c r="O11" s="234">
        <f>N11*'Macro Indicators'!Y$10/'Macro Indicators'!X$10</f>
        <v>1.8629417623207556</v>
      </c>
      <c r="P11" s="234">
        <f>O11*'Macro Indicators'!Z$10/'Macro Indicators'!Y$10</f>
        <v>1.8889492412983662</v>
      </c>
      <c r="Q11" s="234">
        <f>P11*'Macro Indicators'!AA$10/'Macro Indicators'!Z$10</f>
        <v>1.9127805114726375</v>
      </c>
      <c r="R11" s="234">
        <f>Q11*'Macro Indicators'!AB$10/'Macro Indicators'!AA$10</f>
        <v>1.9330799017857516</v>
      </c>
      <c r="S11" s="234">
        <f>R11*'Macro Indicators'!AC$10/'Macro Indicators'!AB$10</f>
        <v>1.9509533544164552</v>
      </c>
      <c r="T11" s="234">
        <f>S11*'Macro Indicators'!AD$10/'Macro Indicators'!AC$10</f>
        <v>1.9686484292763928</v>
      </c>
      <c r="U11" s="234">
        <f>T11*'Macro Indicators'!AE$10/'Macro Indicators'!AD$10</f>
        <v>1.9877705263024548</v>
      </c>
      <c r="V11" s="234">
        <f>U11*'Macro Indicators'!AF$10/'Macro Indicators'!AE$10</f>
        <v>2.007998565507263</v>
      </c>
      <c r="W11" s="234">
        <f>V11*'Macro Indicators'!AG$10/'Macro Indicators'!AF$10</f>
        <v>2.0290828180117457</v>
      </c>
      <c r="X11" s="234">
        <f>W11*'Macro Indicators'!AH$10/'Macro Indicators'!AG$10</f>
        <v>2.0508805815992899</v>
      </c>
      <c r="Y11" s="234">
        <f>X11*'Macro Indicators'!AI$10/'Macro Indicators'!AH$10</f>
        <v>2.0731778029449779</v>
      </c>
      <c r="Z11" s="234">
        <f>Y11*'Macro Indicators'!AJ$10/'Macro Indicators'!AI$10</f>
        <v>2.0959031309405027</v>
      </c>
      <c r="AA11" s="234">
        <f>Z11*'Macro Indicators'!AK$10/'Macro Indicators'!AJ$10</f>
        <v>2.1188781878151</v>
      </c>
      <c r="AB11" s="403">
        <f>AA11*((($AA$11/$R$11)-1)/10+1)</f>
        <v>2.1392438196359747</v>
      </c>
      <c r="AC11" s="403">
        <f t="shared" ref="AC11:AK11" si="2">AB11*((($AA$11/$R$11)-1)/10+1)</f>
        <v>2.1598051960550282</v>
      </c>
      <c r="AD11" s="403">
        <f t="shared" si="2"/>
        <v>2.1805641984746176</v>
      </c>
      <c r="AE11" s="403">
        <f t="shared" si="2"/>
        <v>2.2015227263802295</v>
      </c>
      <c r="AF11" s="403">
        <f t="shared" si="2"/>
        <v>2.2226826975142853</v>
      </c>
      <c r="AG11" s="403">
        <f t="shared" si="2"/>
        <v>2.2440460480516191</v>
      </c>
      <c r="AH11" s="403">
        <f t="shared" si="2"/>
        <v>2.2656147327766405</v>
      </c>
      <c r="AI11" s="403">
        <f t="shared" si="2"/>
        <v>2.2873907252622008</v>
      </c>
      <c r="AJ11" s="403">
        <f t="shared" si="2"/>
        <v>2.3093760180501781</v>
      </c>
      <c r="AK11" s="403">
        <f t="shared" si="2"/>
        <v>2.3315726228337996</v>
      </c>
    </row>
    <row r="12" spans="1:37">
      <c r="A12" s="71" t="s">
        <v>92</v>
      </c>
      <c r="B12" s="401">
        <f>F24</f>
        <v>0.26335767165968588</v>
      </c>
      <c r="C12" s="234">
        <f>B12*'Macro Indicators'!M$10/'Macro Indicators'!L$10</f>
        <v>0.26796991214715843</v>
      </c>
      <c r="D12" s="234">
        <f>C12*'Macro Indicators'!N$10/'Macro Indicators'!M$10</f>
        <v>0.27149840213757459</v>
      </c>
      <c r="E12" s="234">
        <f>D12*'Macro Indicators'!O$10/'Macro Indicators'!N$10</f>
        <v>0.27519071487754582</v>
      </c>
      <c r="F12" s="234">
        <f>E12*'Macro Indicators'!P$10/'Macro Indicators'!O$10</f>
        <v>0.27962653086549755</v>
      </c>
      <c r="G12" s="234">
        <f>F12*'Macro Indicators'!Q$10/'Macro Indicators'!P$10</f>
        <v>0.28467983260177215</v>
      </c>
      <c r="H12" s="234">
        <f>G12*'Macro Indicators'!R$10/'Macro Indicators'!Q$10</f>
        <v>0.29007968246210547</v>
      </c>
      <c r="I12" s="234">
        <f>H12*'Macro Indicators'!S$10/'Macro Indicators'!R$10</f>
        <v>0.29586388569639482</v>
      </c>
      <c r="J12" s="234">
        <f>I12*'Macro Indicators'!T$10/'Macro Indicators'!S$10</f>
        <v>0.30190642480498248</v>
      </c>
      <c r="K12" s="234">
        <f>J12*'Macro Indicators'!U$10/'Macro Indicators'!T$10</f>
        <v>0.30793636216360437</v>
      </c>
      <c r="L12" s="234">
        <f>K12*'Macro Indicators'!V$10/'Macro Indicators'!U$10</f>
        <v>0.31356304352332159</v>
      </c>
      <c r="M12" s="234">
        <f>L12*'Macro Indicators'!W$10/'Macro Indicators'!V$10</f>
        <v>0.31893768988372334</v>
      </c>
      <c r="N12" s="234">
        <f>M12*'Macro Indicators'!X$10/'Macro Indicators'!W$10</f>
        <v>0.32407290299477542</v>
      </c>
      <c r="O12" s="234">
        <f>N12*'Macro Indicators'!Y$10/'Macro Indicators'!X$10</f>
        <v>0.32902539073132381</v>
      </c>
      <c r="P12" s="234">
        <f>O12*'Macro Indicators'!Z$10/'Macro Indicators'!Y$10</f>
        <v>0.33361872859384772</v>
      </c>
      <c r="Q12" s="234">
        <f>P12*'Macro Indicators'!AA$10/'Macro Indicators'!Z$10</f>
        <v>0.33782771308241555</v>
      </c>
      <c r="R12" s="234">
        <f>Q12*'Macro Indicators'!AB$10/'Macro Indicators'!AA$10</f>
        <v>0.34141291094767767</v>
      </c>
      <c r="S12" s="234">
        <f>R12*'Macro Indicators'!AC$10/'Macro Indicators'!AB$10</f>
        <v>0.34456964931410355</v>
      </c>
      <c r="T12" s="234">
        <f>S12*'Macro Indicators'!AD$10/'Macro Indicators'!AC$10</f>
        <v>0.34769488330561499</v>
      </c>
      <c r="U12" s="234">
        <f>T12*'Macro Indicators'!AE$10/'Macro Indicators'!AD$10</f>
        <v>0.3510721522964419</v>
      </c>
      <c r="V12" s="234">
        <f>U12*'Macro Indicators'!AF$10/'Macro Indicators'!AE$10</f>
        <v>0.35464474841173826</v>
      </c>
      <c r="W12" s="234">
        <f>V12*'Macro Indicators'!AG$10/'Macro Indicators'!AF$10</f>
        <v>0.35836856552662388</v>
      </c>
      <c r="X12" s="234">
        <f>W12*'Macro Indicators'!AH$10/'Macro Indicators'!AG$10</f>
        <v>0.36221840014116718</v>
      </c>
      <c r="Y12" s="234">
        <f>X12*'Macro Indicators'!AI$10/'Macro Indicators'!AH$10</f>
        <v>0.3661564470054709</v>
      </c>
      <c r="Z12" s="234">
        <f>Y12*'Macro Indicators'!AJ$10/'Macro Indicators'!AI$10</f>
        <v>0.37017010436956932</v>
      </c>
      <c r="AA12" s="234">
        <f>Z12*'Macro Indicators'!AK$10/'Macro Indicators'!AJ$10</f>
        <v>0.37422786785854795</v>
      </c>
      <c r="AB12" s="403">
        <f>AA12*((($AA$12/$R$12)-1)/10+1)</f>
        <v>0.37782476503637819</v>
      </c>
      <c r="AC12" s="403">
        <f t="shared" ref="AC12:AK12" si="3">AB12*((($AA$12/$R$12)-1)/10+1)</f>
        <v>0.38145623384935123</v>
      </c>
      <c r="AD12" s="403">
        <f t="shared" si="3"/>
        <v>0.385122606583295</v>
      </c>
      <c r="AE12" s="403">
        <f t="shared" si="3"/>
        <v>0.38882421871780787</v>
      </c>
      <c r="AF12" s="403">
        <f t="shared" si="3"/>
        <v>0.39256140895695585</v>
      </c>
      <c r="AG12" s="403">
        <f t="shared" si="3"/>
        <v>0.39633451926026458</v>
      </c>
      <c r="AH12" s="403">
        <f t="shared" si="3"/>
        <v>0.40014389487400909</v>
      </c>
      <c r="AI12" s="403">
        <f t="shared" si="3"/>
        <v>0.40398988436280459</v>
      </c>
      <c r="AJ12" s="403">
        <f t="shared" si="3"/>
        <v>0.40787283964150067</v>
      </c>
      <c r="AK12" s="403">
        <f t="shared" si="3"/>
        <v>0.41179311600738228</v>
      </c>
    </row>
    <row r="14" spans="1:37" s="7" customFormat="1">
      <c r="A14" s="6" t="s">
        <v>242</v>
      </c>
    </row>
    <row r="15" spans="1:37">
      <c r="B15">
        <v>2015</v>
      </c>
      <c r="C15">
        <v>2016</v>
      </c>
      <c r="D15">
        <v>2017</v>
      </c>
      <c r="E15">
        <v>2018</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row>
    <row r="16" spans="1:37">
      <c r="A16" s="71" t="s">
        <v>51</v>
      </c>
      <c r="B16" s="401">
        <f>F26</f>
        <v>0.16964541687940232</v>
      </c>
      <c r="C16" s="234">
        <f>(($F$26/$B$26-1)/4+1)*B16</f>
        <v>0.16399250063139326</v>
      </c>
      <c r="D16" s="234">
        <f t="shared" ref="D16:AK16" si="4">(($F$26/$B$26-1)/4+1)*C16</f>
        <v>0.15852795058092034</v>
      </c>
      <c r="E16" s="234">
        <f t="shared" si="4"/>
        <v>0.15324548999880208</v>
      </c>
      <c r="F16" s="234">
        <f t="shared" si="4"/>
        <v>0.14813905130871852</v>
      </c>
      <c r="G16" s="234">
        <f t="shared" si="4"/>
        <v>0.1432027691178297</v>
      </c>
      <c r="H16" s="234">
        <f t="shared" si="4"/>
        <v>0.13843097347962782</v>
      </c>
      <c r="I16" s="234">
        <f t="shared" si="4"/>
        <v>0.13381818338128409</v>
      </c>
      <c r="J16" s="234">
        <f t="shared" si="4"/>
        <v>0.12935910044800997</v>
      </c>
      <c r="K16" s="234">
        <f t="shared" si="4"/>
        <v>0.12504860285720132</v>
      </c>
      <c r="L16" s="234">
        <f t="shared" si="4"/>
        <v>0.12088173945537527</v>
      </c>
      <c r="M16" s="234">
        <f t="shared" si="4"/>
        <v>0.11685372407114206</v>
      </c>
      <c r="N16" s="234">
        <f t="shared" si="4"/>
        <v>0.1129599300176799</v>
      </c>
      <c r="O16" s="234">
        <f t="shared" si="4"/>
        <v>0.10919588477839799</v>
      </c>
      <c r="P16" s="234">
        <f t="shared" si="4"/>
        <v>0.10555726486968368</v>
      </c>
      <c r="Q16" s="234">
        <f t="shared" si="4"/>
        <v>0.10203989087483289</v>
      </c>
      <c r="R16" s="234">
        <f t="shared" si="4"/>
        <v>9.8639722643459646E-2</v>
      </c>
      <c r="S16" s="234">
        <f t="shared" si="4"/>
        <v>9.5352854650870678E-2</v>
      </c>
      <c r="T16" s="234">
        <f t="shared" si="4"/>
        <v>9.2175511512074704E-2</v>
      </c>
      <c r="U16" s="234">
        <f t="shared" si="4"/>
        <v>8.9104043645273648E-2</v>
      </c>
      <c r="V16" s="234">
        <f t="shared" si="4"/>
        <v>8.6134923079854875E-2</v>
      </c>
      <c r="W16" s="234">
        <f t="shared" si="4"/>
        <v>8.3264739404069171E-2</v>
      </c>
      <c r="X16" s="234">
        <f t="shared" si="4"/>
        <v>8.0490195847740115E-2</v>
      </c>
      <c r="Y16" s="234">
        <f t="shared" si="4"/>
        <v>7.7808105495505167E-2</v>
      </c>
      <c r="Z16" s="234">
        <f t="shared" si="4"/>
        <v>7.5215387626238944E-2</v>
      </c>
      <c r="AA16" s="234">
        <f t="shared" si="4"/>
        <v>7.270906417445408E-2</v>
      </c>
      <c r="AB16" s="234">
        <f t="shared" si="4"/>
        <v>7.0286256309615089E-2</v>
      </c>
      <c r="AC16" s="234">
        <f t="shared" si="4"/>
        <v>6.7944181129436176E-2</v>
      </c>
      <c r="AD16" s="234">
        <f t="shared" si="4"/>
        <v>6.5680148463364812E-2</v>
      </c>
      <c r="AE16" s="234">
        <f t="shared" si="4"/>
        <v>6.3491557782579477E-2</v>
      </c>
      <c r="AF16" s="234">
        <f t="shared" si="4"/>
        <v>6.1375895212952301E-2</v>
      </c>
      <c r="AG16" s="234">
        <f t="shared" si="4"/>
        <v>5.9330730647545613E-2</v>
      </c>
      <c r="AH16" s="234">
        <f t="shared" si="4"/>
        <v>5.7353714955325749E-2</v>
      </c>
      <c r="AI16" s="234">
        <f t="shared" si="4"/>
        <v>5.5442577282887949E-2</v>
      </c>
      <c r="AJ16" s="234">
        <f t="shared" si="4"/>
        <v>5.3595122446093074E-2</v>
      </c>
      <c r="AK16" s="234">
        <f t="shared" si="4"/>
        <v>5.1809228408620026E-2</v>
      </c>
    </row>
    <row r="17" spans="1:37">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row>
    <row r="19" spans="1:37">
      <c r="A19" t="s">
        <v>947</v>
      </c>
      <c r="B19" t="s">
        <v>838</v>
      </c>
      <c r="C19" t="s">
        <v>960</v>
      </c>
      <c r="J19" t="s">
        <v>162</v>
      </c>
      <c r="K19" t="s">
        <v>163</v>
      </c>
      <c r="M19" t="s">
        <v>952</v>
      </c>
    </row>
    <row r="20" spans="1:37">
      <c r="A20" t="s">
        <v>945</v>
      </c>
      <c r="B20">
        <v>2011</v>
      </c>
      <c r="C20">
        <v>2012</v>
      </c>
      <c r="D20">
        <v>2013</v>
      </c>
      <c r="E20">
        <v>2014</v>
      </c>
      <c r="F20">
        <v>2015</v>
      </c>
      <c r="J20">
        <v>25</v>
      </c>
      <c r="K20">
        <v>298</v>
      </c>
    </row>
    <row r="21" spans="1:37">
      <c r="A21" t="s">
        <v>946</v>
      </c>
      <c r="B21" s="71">
        <v>110</v>
      </c>
      <c r="C21" s="71">
        <v>110</v>
      </c>
      <c r="D21" s="71">
        <v>120</v>
      </c>
      <c r="E21" s="71">
        <v>110</v>
      </c>
      <c r="F21" s="71">
        <v>120</v>
      </c>
    </row>
    <row r="22" spans="1:37" s="392" customFormat="1">
      <c r="A22" s="392" t="s">
        <v>956</v>
      </c>
      <c r="B22" s="234">
        <f>B21*B6</f>
        <v>105.10663927520659</v>
      </c>
      <c r="C22" s="234">
        <f t="shared" ref="C22:F22" si="5">C21*C6</f>
        <v>105.09386267713576</v>
      </c>
      <c r="D22" s="234">
        <f t="shared" si="5"/>
        <v>114.46381890913787</v>
      </c>
      <c r="E22" s="234">
        <f t="shared" si="5"/>
        <v>106.17293937281947</v>
      </c>
      <c r="F22" s="234">
        <f t="shared" si="5"/>
        <v>115.75886457801494</v>
      </c>
    </row>
    <row r="23" spans="1:37" s="392" customFormat="1">
      <c r="A23" s="392" t="s">
        <v>958</v>
      </c>
      <c r="B23" s="234">
        <f>B22*$B$31/$J$20</f>
        <v>1.3539160313416441</v>
      </c>
      <c r="C23" s="234">
        <f t="shared" ref="C23:F23" si="6">C22*$B$31/$J$20</f>
        <v>1.353751451434291</v>
      </c>
      <c r="D23" s="234">
        <f t="shared" si="6"/>
        <v>1.4744491927278776</v>
      </c>
      <c r="E23" s="234">
        <f t="shared" si="6"/>
        <v>1.3676514224295389</v>
      </c>
      <c r="F23" s="234">
        <f t="shared" si="6"/>
        <v>1.4911311369371416</v>
      </c>
    </row>
    <row r="24" spans="1:37" s="392" customFormat="1">
      <c r="A24" s="392" t="s">
        <v>959</v>
      </c>
      <c r="B24" s="234">
        <f>B22*$B$32/$K$20</f>
        <v>0.2391232835290788</v>
      </c>
      <c r="C24" s="234">
        <f t="shared" ref="C24:F24" si="7">C22*$B$32/$K$20</f>
        <v>0.23909421607811571</v>
      </c>
      <c r="D24" s="234">
        <f t="shared" si="7"/>
        <v>0.26041137278839238</v>
      </c>
      <c r="E24" s="234">
        <f t="shared" si="7"/>
        <v>0.2415491738660436</v>
      </c>
      <c r="F24" s="234">
        <f t="shared" si="7"/>
        <v>0.26335767165968588</v>
      </c>
    </row>
    <row r="25" spans="1:37" s="392" customFormat="1">
      <c r="A25" s="392" t="s">
        <v>957</v>
      </c>
      <c r="B25" s="234">
        <f>B21*B7</f>
        <v>4.8933607247934026</v>
      </c>
      <c r="C25" s="234">
        <f t="shared" ref="C25:F25" si="8">C21*C7</f>
        <v>4.9061373228642378</v>
      </c>
      <c r="D25" s="234">
        <f t="shared" si="8"/>
        <v>5.5361810908621258</v>
      </c>
      <c r="E25" s="234">
        <f t="shared" si="8"/>
        <v>3.8270606271805216</v>
      </c>
      <c r="F25" s="234">
        <f t="shared" si="8"/>
        <v>4.2411354219850583</v>
      </c>
    </row>
    <row r="26" spans="1:37" s="392" customFormat="1">
      <c r="A26" s="392" t="s">
        <v>958</v>
      </c>
      <c r="B26" s="234">
        <f>B25/$J$20</f>
        <v>0.1957344289917361</v>
      </c>
      <c r="C26" s="234">
        <f t="shared" ref="C26:F26" si="9">C25/$J$20</f>
        <v>0.1962454929145695</v>
      </c>
      <c r="D26" s="234">
        <f t="shared" si="9"/>
        <v>0.22144724363448504</v>
      </c>
      <c r="E26" s="234">
        <f t="shared" si="9"/>
        <v>0.15308242508722086</v>
      </c>
      <c r="F26" s="234">
        <f t="shared" si="9"/>
        <v>0.16964541687940232</v>
      </c>
      <c r="G26" s="329"/>
    </row>
    <row r="28" spans="1:37">
      <c r="A28" t="s">
        <v>944</v>
      </c>
      <c r="B28" t="s">
        <v>162</v>
      </c>
      <c r="C28" t="s">
        <v>949</v>
      </c>
      <c r="D28" t="s">
        <v>951</v>
      </c>
      <c r="E28" t="s">
        <v>950</v>
      </c>
    </row>
    <row r="29" spans="1:37">
      <c r="A29" t="s">
        <v>948</v>
      </c>
      <c r="B29" s="71">
        <v>2</v>
      </c>
      <c r="C29" s="71">
        <v>38</v>
      </c>
      <c r="D29" s="71">
        <v>0</v>
      </c>
      <c r="E29" s="71">
        <v>80</v>
      </c>
    </row>
    <row r="30" spans="1:37">
      <c r="A30" t="s">
        <v>953</v>
      </c>
      <c r="B30" s="234">
        <f>C29/J20</f>
        <v>1.52</v>
      </c>
      <c r="D30" s="234">
        <f>E29/K20</f>
        <v>0.26845637583892618</v>
      </c>
    </row>
    <row r="31" spans="1:37">
      <c r="A31" t="s">
        <v>954</v>
      </c>
      <c r="B31" s="234">
        <f>C29/(C29+E29)</f>
        <v>0.32203389830508472</v>
      </c>
    </row>
    <row r="32" spans="1:37">
      <c r="A32" t="s">
        <v>955</v>
      </c>
      <c r="B32" s="234">
        <f>E29/(C29+E29)</f>
        <v>0.67796610169491522</v>
      </c>
    </row>
    <row r="34" spans="1:1">
      <c r="A34" s="5" t="s">
        <v>838</v>
      </c>
    </row>
    <row r="35" spans="1:1">
      <c r="A35" t="s">
        <v>961</v>
      </c>
    </row>
    <row r="36" spans="1:1">
      <c r="A36" t="s">
        <v>962</v>
      </c>
    </row>
  </sheetData>
  <pageMargins left="0.7" right="0.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8">
    <tabColor theme="3"/>
  </sheetPr>
  <dimension ref="A1:I37"/>
  <sheetViews>
    <sheetView tabSelected="1" workbookViewId="0">
      <selection activeCell="B1" sqref="B1"/>
    </sheetView>
  </sheetViews>
  <sheetFormatPr baseColWidth="10" defaultColWidth="10.33203125" defaultRowHeight="15"/>
  <cols>
    <col min="1" max="1" width="10.33203125" style="27"/>
    <col min="2" max="9" width="20.1640625" style="27" customWidth="1"/>
    <col min="10" max="16384" width="10.33203125" style="25"/>
  </cols>
  <sheetData>
    <row r="1" spans="1:9">
      <c r="A1" s="27" t="s">
        <v>5</v>
      </c>
      <c r="B1" s="27" t="s">
        <v>142</v>
      </c>
      <c r="C1" s="27" t="s">
        <v>143</v>
      </c>
      <c r="D1" s="27" t="s">
        <v>144</v>
      </c>
      <c r="E1" s="27" t="s">
        <v>145</v>
      </c>
      <c r="F1" s="27" t="s">
        <v>146</v>
      </c>
      <c r="G1" s="27" t="s">
        <v>147</v>
      </c>
      <c r="H1" s="27" t="s">
        <v>148</v>
      </c>
      <c r="I1" s="27" t="s">
        <v>149</v>
      </c>
    </row>
    <row r="2" spans="1:9">
      <c r="A2" s="27">
        <v>2015</v>
      </c>
      <c r="B2" s="67">
        <f>INDEX('Combined Data'!$B$4:$AK$4,1,MATCH('BPEiC-CO2'!$A2,'Combined Data'!$B$2:$AK$2))*10^12</f>
        <v>1215565328670.0957</v>
      </c>
      <c r="C2" s="67">
        <f>INDEX('Combined Data'!$B$10:$AK$10,1,MATCH('BPEiC-CO2'!$A2,'Combined Data'!$B$2:$AK$2))*10^12</f>
        <v>8383069110136.8164</v>
      </c>
      <c r="D2" s="67">
        <f>INDEX('Combined Data'!$B$19:$AK$19,1,MATCH('BPEiC-CO2'!$A2,'Combined Data'!$B$2:$AK$2))*10^12</f>
        <v>2182267717.3745809</v>
      </c>
      <c r="E2" s="67">
        <f>INDEX('Combined Data'!$B$28:$AK$28,1,MATCH('BPEiC-CO2'!$A2,'Combined Data'!$B$2:$AK$2))*10^12</f>
        <v>0</v>
      </c>
      <c r="F2" s="67">
        <v>0</v>
      </c>
      <c r="G2" s="67">
        <v>0</v>
      </c>
      <c r="H2" s="67">
        <f>INDEX('Combined Data'!$B$50:$AK$50,1,MATCH('BPEiC-CO2'!$A2,'Combined Data'!$B$2:$AK$2))*10^12</f>
        <v>870781652331.68506</v>
      </c>
      <c r="I2" s="67">
        <f>INDEX('Combined Data'!$B$66:$AK$66,1,MATCH('BPEiC-CO2'!$A2,'Combined Data'!$B$2:$AK$2))*10^12</f>
        <v>6775862060.3560095</v>
      </c>
    </row>
    <row r="3" spans="1:9">
      <c r="A3" s="27">
        <v>2016</v>
      </c>
      <c r="B3" s="67">
        <f>INDEX('Combined Data'!$B$4:$AK$4,1,MATCH('BPEiC-CO2'!$A3,'Combined Data'!$B$2:$AK$2))*10^12</f>
        <v>1222715712956.3904</v>
      </c>
      <c r="C3" s="67">
        <f>INDEX('Combined Data'!$B$10:$AK$10,1,MATCH('BPEiC-CO2'!$A3,'Combined Data'!$B$2:$AK$2))*10^12</f>
        <v>8578107039570.7002</v>
      </c>
      <c r="D3" s="67">
        <f>INDEX('Combined Data'!$B$19:$AK$19,1,MATCH('BPEiC-CO2'!$A3,'Combined Data'!$B$2:$AK$2))*10^12</f>
        <v>701840749.38108146</v>
      </c>
      <c r="E3" s="67">
        <f>INDEX('Combined Data'!$B$28:$AK$28,1,MATCH('BPEiC-CO2'!$A3,'Combined Data'!$B$2:$AK$2))*10^12</f>
        <v>2679677977220.0293</v>
      </c>
      <c r="F3" s="67">
        <v>0</v>
      </c>
      <c r="G3" s="67">
        <v>0</v>
      </c>
      <c r="H3" s="67">
        <f>INDEX('Combined Data'!$B$50:$AK$50,1,MATCH('BPEiC-CO2'!$A3,'Combined Data'!$B$2:$AK$2))*10^12</f>
        <v>924224662294.46472</v>
      </c>
      <c r="I3" s="67">
        <f>INDEX('Combined Data'!$B$66:$AK$66,1,MATCH('BPEiC-CO2'!$A3,'Combined Data'!$B$2:$AK$2))*10^12</f>
        <v>7528735622.6177893</v>
      </c>
    </row>
    <row r="4" spans="1:9">
      <c r="A4" s="27">
        <v>2017</v>
      </c>
      <c r="B4" s="67">
        <f>INDEX('Combined Data'!$B$4:$AK$4,1,MATCH('BPEiC-CO2'!$A4,'Combined Data'!$B$2:$AK$2))*10^12</f>
        <v>1229908158326.7219</v>
      </c>
      <c r="C4" s="67">
        <f>INDEX('Combined Data'!$B$10:$AK$10,1,MATCH('BPEiC-CO2'!$A4,'Combined Data'!$B$2:$AK$2))*10^12</f>
        <v>8812898082553.1934</v>
      </c>
      <c r="D4" s="67">
        <f>INDEX('Combined Data'!$B$19:$AK$19,1,MATCH('BPEiC-CO2'!$A4,'Combined Data'!$B$2:$AK$2))*10^12</f>
        <v>706245232.77673674</v>
      </c>
      <c r="E4" s="67">
        <f>INDEX('Combined Data'!$B$28:$AK$28,1,MATCH('BPEiC-CO2'!$A4,'Combined Data'!$B$2:$AK$2))*10^12</f>
        <v>2708642455153.0088</v>
      </c>
      <c r="F4" s="67">
        <v>0</v>
      </c>
      <c r="G4" s="67">
        <v>0</v>
      </c>
      <c r="H4" s="67">
        <f>INDEX('Combined Data'!$B$50:$AK$50,1,MATCH('BPEiC-CO2'!$A4,'Combined Data'!$B$2:$AK$2))*10^12</f>
        <v>977667672257.24463</v>
      </c>
      <c r="I4" s="67">
        <f>INDEX('Combined Data'!$B$66:$AK$66,1,MATCH('BPEiC-CO2'!$A4,'Combined Data'!$B$2:$AK$2))*10^12</f>
        <v>8281609184.8795671</v>
      </c>
    </row>
    <row r="5" spans="1:9">
      <c r="A5" s="27">
        <v>2018</v>
      </c>
      <c r="B5" s="67">
        <f>INDEX('Combined Data'!$B$4:$AK$4,1,MATCH('BPEiC-CO2'!$A5,'Combined Data'!$B$2:$AK$2))*10^12</f>
        <v>1237142912199.2322</v>
      </c>
      <c r="C5" s="67">
        <f>INDEX('Combined Data'!$B$10:$AK$10,1,MATCH('BPEiC-CO2'!$A5,'Combined Data'!$B$2:$AK$2))*10^12</f>
        <v>8951959470453.1836</v>
      </c>
      <c r="D5" s="67">
        <f>INDEX('Combined Data'!$B$19:$AK$19,1,MATCH('BPEiC-CO2'!$A5,'Combined Data'!$B$2:$AK$2))*10^12</f>
        <v>707067942.49237311</v>
      </c>
      <c r="E5" s="67">
        <f>INDEX('Combined Data'!$B$28:$AK$28,1,MATCH('BPEiC-CO2'!$A5,'Combined Data'!$B$2:$AK$2))*10^12</f>
        <v>2737640760779.0796</v>
      </c>
      <c r="F5" s="67">
        <v>0</v>
      </c>
      <c r="G5" s="67">
        <v>0</v>
      </c>
      <c r="H5" s="67">
        <f>INDEX('Combined Data'!$B$50:$AK$50,1,MATCH('BPEiC-CO2'!$A5,'Combined Data'!$B$2:$AK$2))*10^12</f>
        <v>1031110682220.0242</v>
      </c>
      <c r="I5" s="67">
        <f>INDEX('Combined Data'!$B$66:$AK$66,1,MATCH('BPEiC-CO2'!$A5,'Combined Data'!$B$2:$AK$2))*10^12</f>
        <v>9034482747.1413479</v>
      </c>
    </row>
    <row r="6" spans="1:9">
      <c r="A6" s="27">
        <v>2019</v>
      </c>
      <c r="B6" s="67">
        <f>INDEX('Combined Data'!$B$4:$AK$4,1,MATCH('BPEiC-CO2'!$A6,'Combined Data'!$B$2:$AK$2))*10^12</f>
        <v>1244420223447.4629</v>
      </c>
      <c r="C6" s="67">
        <f>INDEX('Combined Data'!$B$10:$AK$10,1,MATCH('BPEiC-CO2'!$A6,'Combined Data'!$B$2:$AK$2))*10^12</f>
        <v>9071268112765.1172</v>
      </c>
      <c r="D6" s="67">
        <f>INDEX('Combined Data'!$B$19:$AK$19,1,MATCH('BPEiC-CO2'!$A6,'Combined Data'!$B$2:$AK$2))*10^12</f>
        <v>706247159.49738228</v>
      </c>
      <c r="E6" s="67">
        <f>INDEX('Combined Data'!$B$28:$AK$28,1,MATCH('BPEiC-CO2'!$A6,'Combined Data'!$B$2:$AK$2))*10^12</f>
        <v>2766673082808.394</v>
      </c>
      <c r="F6" s="67">
        <v>0</v>
      </c>
      <c r="G6" s="67">
        <v>0</v>
      </c>
      <c r="H6" s="67">
        <f>INDEX('Combined Data'!$B$50:$AK$50,1,MATCH('BPEiC-CO2'!$A6,'Combined Data'!$B$2:$AK$2))*10^12</f>
        <v>1084553692182.8041</v>
      </c>
      <c r="I6" s="67">
        <f>INDEX('Combined Data'!$B$66:$AK$66,1,MATCH('BPEiC-CO2'!$A6,'Combined Data'!$B$2:$AK$2))*10^12</f>
        <v>9787356309.4031277</v>
      </c>
    </row>
    <row r="7" spans="1:9">
      <c r="A7" s="27">
        <v>2020</v>
      </c>
      <c r="B7" s="67">
        <f>INDEX('Combined Data'!$B$4:$AK$4,1,MATCH('BPEiC-CO2'!$A7,'Combined Data'!$B$2:$AK$2))*10^12</f>
        <v>1251740342408.9185</v>
      </c>
      <c r="C7" s="67">
        <f>INDEX('Combined Data'!$B$10:$AK$10,1,MATCH('BPEiC-CO2'!$A7,'Combined Data'!$B$2:$AK$2))*10^12</f>
        <v>9093636736738.6738</v>
      </c>
      <c r="D7" s="67">
        <f>INDEX('Combined Data'!$B$19:$AK$19,1,MATCH('BPEiC-CO2'!$A7,'Combined Data'!$B$2:$AK$2))*10^12</f>
        <v>711543714.55191267</v>
      </c>
      <c r="E7" s="67">
        <f>INDEX('Combined Data'!$B$28:$AK$28,1,MATCH('BPEiC-CO2'!$A7,'Combined Data'!$B$2:$AK$2))*10^12</f>
        <v>2795739611003.8379</v>
      </c>
      <c r="F7" s="67">
        <v>0</v>
      </c>
      <c r="G7" s="67">
        <v>0</v>
      </c>
      <c r="H7" s="67">
        <f>INDEX('Combined Data'!$B$50:$AK$50,1,MATCH('BPEiC-CO2'!$A7,'Combined Data'!$B$2:$AK$2))*10^12</f>
        <v>1137996702145.584</v>
      </c>
      <c r="I7" s="67">
        <f>INDEX('Combined Data'!$B$66:$AK$66,1,MATCH('BPEiC-CO2'!$A7,'Combined Data'!$B$2:$AK$2))*10^12</f>
        <v>10540229871.664906</v>
      </c>
    </row>
    <row r="8" spans="1:9">
      <c r="A8" s="27">
        <v>2021</v>
      </c>
      <c r="B8" s="67">
        <f>INDEX('Combined Data'!$B$4:$AK$4,1,MATCH('BPEiC-CO2'!$A8,'Combined Data'!$B$2:$AK$2))*10^12</f>
        <v>1259103520893.6768</v>
      </c>
      <c r="C8" s="67">
        <f>INDEX('Combined Data'!$B$10:$AK$10,1,MATCH('BPEiC-CO2'!$A8,'Combined Data'!$B$2:$AK$2))*10^12</f>
        <v>9093900994921.8574</v>
      </c>
      <c r="D8" s="67">
        <f>INDEX('Combined Data'!$B$19:$AK$19,1,MATCH('BPEiC-CO2'!$A8,'Combined Data'!$B$2:$AK$2))*10^12</f>
        <v>711865476.89971411</v>
      </c>
      <c r="E8" s="67">
        <f>INDEX('Combined Data'!$B$28:$AK$28,1,MATCH('BPEiC-CO2'!$A8,'Combined Data'!$B$2:$AK$2))*10^12</f>
        <v>2824840536186.9033</v>
      </c>
      <c r="F8" s="67">
        <v>0</v>
      </c>
      <c r="G8" s="67">
        <v>0</v>
      </c>
      <c r="H8" s="67">
        <f>INDEX('Combined Data'!$B$50:$AK$50,1,MATCH('BPEiC-CO2'!$A8,'Combined Data'!$B$2:$AK$2))*10^12</f>
        <v>1191439712108.3638</v>
      </c>
      <c r="I8" s="67">
        <f>INDEX('Combined Data'!$B$66:$AK$66,1,MATCH('BPEiC-CO2'!$A8,'Combined Data'!$B$2:$AK$2))*10^12</f>
        <v>11293103433.926685</v>
      </c>
    </row>
    <row r="9" spans="1:9">
      <c r="A9" s="27">
        <v>2022</v>
      </c>
      <c r="B9" s="67">
        <f>INDEX('Combined Data'!$B$4:$AK$4,1,MATCH('BPEiC-CO2'!$A9,'Combined Data'!$B$2:$AK$2))*10^12</f>
        <v>1266510012193.051</v>
      </c>
      <c r="C9" s="67">
        <f>INDEX('Combined Data'!$B$10:$AK$10,1,MATCH('BPEiC-CO2'!$A9,'Combined Data'!$B$2:$AK$2))*10^12</f>
        <v>9126132024457.498</v>
      </c>
      <c r="D9" s="67">
        <f>INDEX('Combined Data'!$B$19:$AK$19,1,MATCH('BPEiC-CO2'!$A9,'Combined Data'!$B$2:$AK$2))*10^12</f>
        <v>712975267.9915328</v>
      </c>
      <c r="E9" s="67">
        <f>INDEX('Combined Data'!$B$28:$AK$28,1,MATCH('BPEiC-CO2'!$A9,'Combined Data'!$B$2:$AK$2))*10^12</f>
        <v>2853976050243.5913</v>
      </c>
      <c r="F9" s="67">
        <v>0</v>
      </c>
      <c r="G9" s="67">
        <v>0</v>
      </c>
      <c r="H9" s="67">
        <f>INDEX('Combined Data'!$B$50:$AK$50,1,MATCH('BPEiC-CO2'!$A9,'Combined Data'!$B$2:$AK$2))*10^12</f>
        <v>1244882722071.1433</v>
      </c>
      <c r="I9" s="67">
        <f>INDEX('Combined Data'!$B$66:$AK$66,1,MATCH('BPEiC-CO2'!$A9,'Combined Data'!$B$2:$AK$2))*10^12</f>
        <v>12045976996.188465</v>
      </c>
    </row>
    <row r="10" spans="1:9">
      <c r="A10" s="27">
        <v>2023</v>
      </c>
      <c r="B10" s="67">
        <f>INDEX('Combined Data'!$B$4:$AK$4,1,MATCH('BPEiC-CO2'!$A10,'Combined Data'!$B$2:$AK$2))*10^12</f>
        <v>1273960071088.3044</v>
      </c>
      <c r="C10" s="67">
        <f>INDEX('Combined Data'!$B$10:$AK$10,1,MATCH('BPEiC-CO2'!$A10,'Combined Data'!$B$2:$AK$2))*10^12</f>
        <v>9213768485867.4434</v>
      </c>
      <c r="D10" s="67">
        <f>INDEX('Combined Data'!$B$19:$AK$19,1,MATCH('BPEiC-CO2'!$A10,'Combined Data'!$B$2:$AK$2))*10^12</f>
        <v>714923182.564152</v>
      </c>
      <c r="E10" s="67">
        <f>INDEX('Combined Data'!$B$28:$AK$28,1,MATCH('BPEiC-CO2'!$A10,'Combined Data'!$B$2:$AK$2))*10^12</f>
        <v>2883146346130.355</v>
      </c>
      <c r="F10" s="67">
        <v>0</v>
      </c>
      <c r="G10" s="67">
        <v>0</v>
      </c>
      <c r="H10" s="67">
        <f>INDEX('Combined Data'!$B$50:$AK$50,1,MATCH('BPEiC-CO2'!$A10,'Combined Data'!$B$2:$AK$2))*10^12</f>
        <v>1298325732033.9231</v>
      </c>
      <c r="I10" s="67">
        <f>INDEX('Combined Data'!$B$66:$AK$66,1,MATCH('BPEiC-CO2'!$A10,'Combined Data'!$B$2:$AK$2))*10^12</f>
        <v>12798850558.450245</v>
      </c>
    </row>
    <row r="11" spans="1:9">
      <c r="A11" s="27">
        <v>2024</v>
      </c>
      <c r="B11" s="67">
        <f>INDEX('Combined Data'!$B$4:$AK$4,1,MATCH('BPEiC-CO2'!$A11,'Combined Data'!$B$2:$AK$2))*10^12</f>
        <v>1281453953859.4121</v>
      </c>
      <c r="C11" s="67">
        <f>INDEX('Combined Data'!$B$10:$AK$10,1,MATCH('BPEiC-CO2'!$A11,'Combined Data'!$B$2:$AK$2))*10^12</f>
        <v>9280294482272.4355</v>
      </c>
      <c r="D11" s="67">
        <f>INDEX('Combined Data'!$B$19:$AK$19,1,MATCH('BPEiC-CO2'!$A11,'Combined Data'!$B$2:$AK$2))*10^12</f>
        <v>721689825.47121298</v>
      </c>
      <c r="E11" s="67">
        <f>INDEX('Combined Data'!$B$28:$AK$28,1,MATCH('BPEiC-CO2'!$A11,'Combined Data'!$B$2:$AK$2))*10^12</f>
        <v>2912351617880.0669</v>
      </c>
      <c r="F11" s="67">
        <v>0</v>
      </c>
      <c r="G11" s="67">
        <v>0</v>
      </c>
      <c r="H11" s="67">
        <f>INDEX('Combined Data'!$B$50:$AK$50,1,MATCH('BPEiC-CO2'!$A11,'Combined Data'!$B$2:$AK$2))*10^12</f>
        <v>1351768741996.7031</v>
      </c>
      <c r="I11" s="67">
        <f>INDEX('Combined Data'!$B$66:$AK$66,1,MATCH('BPEiC-CO2'!$A11,'Combined Data'!$B$2:$AK$2))*10^12</f>
        <v>13551724120.712023</v>
      </c>
    </row>
    <row r="12" spans="1:9">
      <c r="A12" s="27">
        <v>2025</v>
      </c>
      <c r="B12" s="67">
        <f>INDEX('Combined Data'!$B$4:$AK$4,1,MATCH('BPEiC-CO2'!$A12,'Combined Data'!$B$2:$AK$2))*10^12</f>
        <v>1288991918293.8792</v>
      </c>
      <c r="C12" s="67">
        <f>INDEX('Combined Data'!$B$10:$AK$10,1,MATCH('BPEiC-CO2'!$A12,'Combined Data'!$B$2:$AK$2))*10^12</f>
        <v>9306985972538.4219</v>
      </c>
      <c r="D12" s="67">
        <f>INDEX('Combined Data'!$B$19:$AK$19,1,MATCH('BPEiC-CO2'!$A12,'Combined Data'!$B$2:$AK$2))*10^12</f>
        <v>727477694.29035044</v>
      </c>
      <c r="E12" s="67">
        <f>INDEX('Combined Data'!$B$28:$AK$28,1,MATCH('BPEiC-CO2'!$A12,'Combined Data'!$B$2:$AK$2))*10^12</f>
        <v>2941592060608.0259</v>
      </c>
      <c r="F12" s="67">
        <v>0</v>
      </c>
      <c r="G12" s="67">
        <v>0</v>
      </c>
      <c r="H12" s="67">
        <f>INDEX('Combined Data'!$B$50:$AK$50,1,MATCH('BPEiC-CO2'!$A12,'Combined Data'!$B$2:$AK$2))*10^12</f>
        <v>1405211751959.4829</v>
      </c>
      <c r="I12" s="67">
        <f>INDEX('Combined Data'!$B$66:$AK$66,1,MATCH('BPEiC-CO2'!$A12,'Combined Data'!$B$2:$AK$2))*10^12</f>
        <v>14304597682.973803</v>
      </c>
    </row>
    <row r="13" spans="1:9">
      <c r="A13" s="27">
        <v>2026</v>
      </c>
      <c r="B13" s="67">
        <f>INDEX('Combined Data'!$B$4:$AK$4,1,MATCH('BPEiC-CO2'!$A13,'Combined Data'!$B$2:$AK$2))*10^12</f>
        <v>1296574223695.6077</v>
      </c>
      <c r="C13" s="67">
        <f>INDEX('Combined Data'!$B$10:$AK$10,1,MATCH('BPEiC-CO2'!$A13,'Combined Data'!$B$2:$AK$2))*10^12</f>
        <v>9322883353359.3203</v>
      </c>
      <c r="D13" s="67">
        <f>INDEX('Combined Data'!$B$19:$AK$19,1,MATCH('BPEiC-CO2'!$A13,'Combined Data'!$B$2:$AK$2))*10^12</f>
        <v>734560319.38327634</v>
      </c>
      <c r="E13" s="67">
        <f>INDEX('Combined Data'!$B$28:$AK$28,1,MATCH('BPEiC-CO2'!$A13,'Combined Data'!$B$2:$AK$2))*10^12</f>
        <v>2970867870517.9956</v>
      </c>
      <c r="F13" s="67">
        <v>0</v>
      </c>
      <c r="G13" s="67">
        <v>0</v>
      </c>
      <c r="H13" s="67">
        <f>INDEX('Combined Data'!$B$50:$AK$50,1,MATCH('BPEiC-CO2'!$A13,'Combined Data'!$B$2:$AK$2))*10^12</f>
        <v>1458654761922.2627</v>
      </c>
      <c r="I13" s="67">
        <f>INDEX('Combined Data'!$B$66:$AK$66,1,MATCH('BPEiC-CO2'!$A13,'Combined Data'!$B$2:$AK$2))*10^12</f>
        <v>15057471245.235582</v>
      </c>
    </row>
    <row r="14" spans="1:9">
      <c r="A14" s="27">
        <v>2027</v>
      </c>
      <c r="B14" s="67">
        <f>INDEX('Combined Data'!$B$4:$AK$4,1,MATCH('BPEiC-CO2'!$A14,'Combined Data'!$B$2:$AK$2))*10^12</f>
        <v>1304201130893.8174</v>
      </c>
      <c r="C14" s="67">
        <f>INDEX('Combined Data'!$B$10:$AK$10,1,MATCH('BPEiC-CO2'!$A14,'Combined Data'!$B$2:$AK$2))*10^12</f>
        <v>9355941754942.6934</v>
      </c>
      <c r="D14" s="67">
        <f>INDEX('Combined Data'!$B$19:$AK$19,1,MATCH('BPEiC-CO2'!$A14,'Combined Data'!$B$2:$AK$2))*10^12</f>
        <v>740818308.03992033</v>
      </c>
      <c r="E14" s="67">
        <f>INDEX('Combined Data'!$B$28:$AK$28,1,MATCH('BPEiC-CO2'!$A14,'Combined Data'!$B$2:$AK$2))*10^12</f>
        <v>3000179244908.2749</v>
      </c>
      <c r="F14" s="67">
        <v>0</v>
      </c>
      <c r="G14" s="67">
        <v>0</v>
      </c>
      <c r="H14" s="67">
        <f>INDEX('Combined Data'!$B$50:$AK$50,1,MATCH('BPEiC-CO2'!$A14,'Combined Data'!$B$2:$AK$2))*10^12</f>
        <v>1512097771885.0422</v>
      </c>
      <c r="I14" s="67">
        <f>INDEX('Combined Data'!$B$66:$AK$66,1,MATCH('BPEiC-CO2'!$A14,'Combined Data'!$B$2:$AK$2))*10^12</f>
        <v>15810344807.49736</v>
      </c>
    </row>
    <row r="15" spans="1:9">
      <c r="A15" s="27">
        <v>2028</v>
      </c>
      <c r="B15" s="67">
        <f>INDEX('Combined Data'!$B$4:$AK$4,1,MATCH('BPEiC-CO2'!$A15,'Combined Data'!$B$2:$AK$2))*10^12</f>
        <v>1311872902252.0161</v>
      </c>
      <c r="C15" s="67">
        <f>INDEX('Combined Data'!$B$10:$AK$10,1,MATCH('BPEiC-CO2'!$A15,'Combined Data'!$B$2:$AK$2))*10^12</f>
        <v>9389362003067.1484</v>
      </c>
      <c r="D15" s="67">
        <f>INDEX('Combined Data'!$B$19:$AK$19,1,MATCH('BPEiC-CO2'!$A15,'Combined Data'!$B$2:$AK$2))*10^12</f>
        <v>746856650.54297531</v>
      </c>
      <c r="E15" s="67">
        <f>INDEX('Combined Data'!$B$28:$AK$28,1,MATCH('BPEiC-CO2'!$A15,'Combined Data'!$B$2:$AK$2))*10^12</f>
        <v>3029526382177.8062</v>
      </c>
      <c r="F15" s="67">
        <v>0</v>
      </c>
      <c r="G15" s="67">
        <v>0</v>
      </c>
      <c r="H15" s="67">
        <f>INDEX('Combined Data'!$B$50:$AK$50,1,MATCH('BPEiC-CO2'!$A15,'Combined Data'!$B$2:$AK$2))*10^12</f>
        <v>1565540781847.8223</v>
      </c>
      <c r="I15" s="67">
        <f>INDEX('Combined Data'!$B$66:$AK$66,1,MATCH('BPEiC-CO2'!$A15,'Combined Data'!$B$2:$AK$2))*10^12</f>
        <v>16563218369.759142</v>
      </c>
    </row>
    <row r="16" spans="1:9">
      <c r="A16" s="27">
        <v>2029</v>
      </c>
      <c r="B16" s="67">
        <f>INDEX('Combined Data'!$B$4:$AK$4,1,MATCH('BPEiC-CO2'!$A16,'Combined Data'!$B$2:$AK$2))*10^12</f>
        <v>1319589801677.0281</v>
      </c>
      <c r="C16" s="67">
        <f>INDEX('Combined Data'!$B$10:$AK$10,1,MATCH('BPEiC-CO2'!$A16,'Combined Data'!$B$2:$AK$2))*10^12</f>
        <v>9403806453769.6055</v>
      </c>
      <c r="D16" s="67">
        <f>INDEX('Combined Data'!$B$19:$AK$19,1,MATCH('BPEiC-CO2'!$A16,'Combined Data'!$B$2:$AK$2))*10^12</f>
        <v>753155100.33317518</v>
      </c>
      <c r="E16" s="67">
        <f>INDEX('Combined Data'!$B$28:$AK$28,1,MATCH('BPEiC-CO2'!$A16,'Combined Data'!$B$2:$AK$2))*10^12</f>
        <v>3058909481832.314</v>
      </c>
      <c r="F16" s="67">
        <v>0</v>
      </c>
      <c r="G16" s="67">
        <v>0</v>
      </c>
      <c r="H16" s="67">
        <f>INDEX('Combined Data'!$B$50:$AK$50,1,MATCH('BPEiC-CO2'!$A16,'Combined Data'!$B$2:$AK$2))*10^12</f>
        <v>1618983791810.6021</v>
      </c>
      <c r="I16" s="67">
        <f>INDEX('Combined Data'!$B$66:$AK$66,1,MATCH('BPEiC-CO2'!$A16,'Combined Data'!$B$2:$AK$2))*10^12</f>
        <v>17316091932.02092</v>
      </c>
    </row>
    <row r="17" spans="1:9">
      <c r="A17" s="27">
        <v>2030</v>
      </c>
      <c r="B17" s="67">
        <f>INDEX('Combined Data'!$B$4:$AK$4,1,MATCH('BPEiC-CO2'!$A17,'Combined Data'!$B$2:$AK$2))*10^12</f>
        <v>1327352094628.0693</v>
      </c>
      <c r="C17" s="67">
        <f>INDEX('Combined Data'!$B$10:$AK$10,1,MATCH('BPEiC-CO2'!$A17,'Combined Data'!$B$2:$AK$2))*10^12</f>
        <v>9412492733551.9141</v>
      </c>
      <c r="D17" s="67">
        <f>INDEX('Combined Data'!$B$19:$AK$19,1,MATCH('BPEiC-CO2'!$A17,'Combined Data'!$B$2:$AK$2))*10^12</f>
        <v>760297453.76611233</v>
      </c>
      <c r="E17" s="67">
        <f>INDEX('Combined Data'!$B$28:$AK$28,1,MATCH('BPEiC-CO2'!$A17,'Combined Data'!$B$2:$AK$2))*10^12</f>
        <v>3088328744490.479</v>
      </c>
      <c r="F17" s="67">
        <v>0</v>
      </c>
      <c r="G17" s="67">
        <v>0</v>
      </c>
      <c r="H17" s="67">
        <f>INDEX('Combined Data'!$B$50:$AK$50,1,MATCH('BPEiC-CO2'!$A17,'Combined Data'!$B$2:$AK$2))*10^12</f>
        <v>1672426801773.3818</v>
      </c>
      <c r="I17" s="67">
        <f>INDEX('Combined Data'!$B$66:$AK$66,1,MATCH('BPEiC-CO2'!$A17,'Combined Data'!$B$2:$AK$2))*10^12</f>
        <v>18068965494.2827</v>
      </c>
    </row>
    <row r="18" spans="1:9">
      <c r="A18" s="27">
        <v>2031</v>
      </c>
      <c r="B18" s="67">
        <f>INDEX('Combined Data'!$B$4:$AK$4,1,MATCH('BPEiC-CO2'!$A18,'Combined Data'!$B$2:$AK$2))*10^12</f>
        <v>1335160048125.8813</v>
      </c>
      <c r="C18" s="67">
        <f>INDEX('Combined Data'!$B$10:$AK$10,1,MATCH('BPEiC-CO2'!$A18,'Combined Data'!$B$2:$AK$2))*10^12</f>
        <v>9445525628706.1719</v>
      </c>
      <c r="D18" s="67">
        <f>INDEX('Combined Data'!$B$19:$AK$19,1,MATCH('BPEiC-CO2'!$A18,'Combined Data'!$B$2:$AK$2))*10^12</f>
        <v>767204747.28029597</v>
      </c>
      <c r="E18" s="67">
        <f>INDEX('Combined Data'!$B$28:$AK$28,1,MATCH('BPEiC-CO2'!$A18,'Combined Data'!$B$2:$AK$2))*10^12</f>
        <v>3117784371890.1489</v>
      </c>
      <c r="F18" s="67">
        <v>0</v>
      </c>
      <c r="G18" s="67">
        <v>0</v>
      </c>
      <c r="H18" s="67">
        <f>INDEX('Combined Data'!$B$50:$AK$50,1,MATCH('BPEiC-CO2'!$A18,'Combined Data'!$B$2:$AK$2))*10^12</f>
        <v>1725869811736.1616</v>
      </c>
      <c r="I18" s="67">
        <f>INDEX('Combined Data'!$B$66:$AK$66,1,MATCH('BPEiC-CO2'!$A18,'Combined Data'!$B$2:$AK$2))*10^12</f>
        <v>18821839056.544479</v>
      </c>
    </row>
    <row r="19" spans="1:9">
      <c r="A19" s="27">
        <v>2032</v>
      </c>
      <c r="B19" s="67">
        <f>INDEX('Combined Data'!$B$4:$AK$4,1,MATCH('BPEiC-CO2'!$A19,'Combined Data'!$B$2:$AK$2))*10^12</f>
        <v>1343013930761.9158</v>
      </c>
      <c r="C19" s="67">
        <f>INDEX('Combined Data'!$B$10:$AK$10,1,MATCH('BPEiC-CO2'!$A19,'Combined Data'!$B$2:$AK$2))*10^12</f>
        <v>9483437867085.5449</v>
      </c>
      <c r="D19" s="67">
        <f>INDEX('Combined Data'!$B$19:$AK$19,1,MATCH('BPEiC-CO2'!$A19,'Combined Data'!$B$2:$AK$2))*10^12</f>
        <v>773110146.05881023</v>
      </c>
      <c r="E19" s="67">
        <f>INDEX('Combined Data'!$B$28:$AK$28,1,MATCH('BPEiC-CO2'!$A19,'Combined Data'!$B$2:$AK$2))*10^12</f>
        <v>3147276566894.5767</v>
      </c>
      <c r="F19" s="67">
        <v>0</v>
      </c>
      <c r="G19" s="67">
        <v>0</v>
      </c>
      <c r="H19" s="67">
        <f>INDEX('Combined Data'!$B$50:$AK$50,1,MATCH('BPEiC-CO2'!$A19,'Combined Data'!$B$2:$AK$2))*10^12</f>
        <v>1779312821698.9414</v>
      </c>
      <c r="I19" s="67">
        <f>INDEX('Combined Data'!$B$66:$AK$66,1,MATCH('BPEiC-CO2'!$A19,'Combined Data'!$B$2:$AK$2))*10^12</f>
        <v>19574712618.806259</v>
      </c>
    </row>
    <row r="20" spans="1:9">
      <c r="A20" s="27">
        <v>2033</v>
      </c>
      <c r="B20" s="67">
        <f>INDEX('Combined Data'!$B$4:$AK$4,1,MATCH('BPEiC-CO2'!$A20,'Combined Data'!$B$2:$AK$2))*10^12</f>
        <v>1350914012707.574</v>
      </c>
      <c r="C20" s="67">
        <f>INDEX('Combined Data'!$B$10:$AK$10,1,MATCH('BPEiC-CO2'!$A20,'Combined Data'!$B$2:$AK$2))*10^12</f>
        <v>9492122290666.123</v>
      </c>
      <c r="D20" s="67">
        <f>INDEX('Combined Data'!$B$19:$AK$19,1,MATCH('BPEiC-CO2'!$A20,'Combined Data'!$B$2:$AK$2))*10^12</f>
        <v>778815165.89019048</v>
      </c>
      <c r="E20" s="67">
        <f>INDEX('Combined Data'!$B$28:$AK$28,1,MATCH('BPEiC-CO2'!$A20,'Combined Data'!$B$2:$AK$2))*10^12</f>
        <v>3176805533498.7065</v>
      </c>
      <c r="F20" s="67">
        <v>0</v>
      </c>
      <c r="G20" s="67">
        <v>0</v>
      </c>
      <c r="H20" s="67">
        <f>INDEX('Combined Data'!$B$50:$AK$50,1,MATCH('BPEiC-CO2'!$A20,'Combined Data'!$B$2:$AK$2))*10^12</f>
        <v>1832755831661.7212</v>
      </c>
      <c r="I20" s="67">
        <f>INDEX('Combined Data'!$B$66:$AK$66,1,MATCH('BPEiC-CO2'!$A20,'Combined Data'!$B$2:$AK$2))*10^12</f>
        <v>20327586181.068039</v>
      </c>
    </row>
    <row r="21" spans="1:9">
      <c r="A21" s="27">
        <v>2034</v>
      </c>
      <c r="B21" s="67">
        <f>INDEX('Combined Data'!$B$4:$AK$4,1,MATCH('BPEiC-CO2'!$A21,'Combined Data'!$B$2:$AK$2))*10^12</f>
        <v>1358860565723.501</v>
      </c>
      <c r="C21" s="67">
        <f>INDEX('Combined Data'!$B$10:$AK$10,1,MATCH('BPEiC-CO2'!$A21,'Combined Data'!$B$2:$AK$2))*10^12</f>
        <v>9487464368970.6426</v>
      </c>
      <c r="D21" s="67">
        <f>INDEX('Combined Data'!$B$19:$AK$19,1,MATCH('BPEiC-CO2'!$A21,'Combined Data'!$B$2:$AK$2))*10^12</f>
        <v>783610773.57688594</v>
      </c>
      <c r="E21" s="67">
        <f>INDEX('Combined Data'!$B$28:$AK$28,1,MATCH('BPEiC-CO2'!$A21,'Combined Data'!$B$2:$AK$2))*10^12</f>
        <v>3206371476835.4785</v>
      </c>
      <c r="F21" s="67">
        <v>0</v>
      </c>
      <c r="G21" s="67">
        <v>0</v>
      </c>
      <c r="H21" s="67">
        <f>INDEX('Combined Data'!$B$50:$AK$50,1,MATCH('BPEiC-CO2'!$A21,'Combined Data'!$B$2:$AK$2))*10^12</f>
        <v>1886198841624.501</v>
      </c>
      <c r="I21" s="67">
        <f>INDEX('Combined Data'!$B$66:$AK$66,1,MATCH('BPEiC-CO2'!$A21,'Combined Data'!$B$2:$AK$2))*10^12</f>
        <v>21080459743.329819</v>
      </c>
    </row>
    <row r="22" spans="1:9">
      <c r="A22" s="27">
        <v>2035</v>
      </c>
      <c r="B22" s="67">
        <f>INDEX('Combined Data'!$B$4:$AK$4,1,MATCH('BPEiC-CO2'!$A22,'Combined Data'!$B$2:$AK$2))*10^12</f>
        <v>1366853863168.9333</v>
      </c>
      <c r="C22" s="67">
        <f>INDEX('Combined Data'!$B$10:$AK$10,1,MATCH('BPEiC-CO2'!$A22,'Combined Data'!$B$2:$AK$2))*10^12</f>
        <v>9503222297136.7461</v>
      </c>
      <c r="D22" s="67">
        <f>INDEX('Combined Data'!$B$19:$AK$19,1,MATCH('BPEiC-CO2'!$A22,'Combined Data'!$B$2:$AK$2))*10^12</f>
        <v>787913140.77832878</v>
      </c>
      <c r="E22" s="67">
        <f>INDEX('Combined Data'!$B$28:$AK$28,1,MATCH('BPEiC-CO2'!$A22,'Combined Data'!$B$2:$AK$2))*10^12</f>
        <v>3235974603182.1851</v>
      </c>
      <c r="F22" s="67">
        <v>0</v>
      </c>
      <c r="G22" s="67">
        <v>0</v>
      </c>
      <c r="H22" s="67">
        <f>INDEX('Combined Data'!$B$50:$AK$50,1,MATCH('BPEiC-CO2'!$A22,'Combined Data'!$B$2:$AK$2))*10^12</f>
        <v>1939641851587.2808</v>
      </c>
      <c r="I22" s="67">
        <f>INDEX('Combined Data'!$B$66:$AK$66,1,MATCH('BPEiC-CO2'!$A22,'Combined Data'!$B$2:$AK$2))*10^12</f>
        <v>21833333305.591599</v>
      </c>
    </row>
    <row r="23" spans="1:9">
      <c r="A23" s="27">
        <v>2036</v>
      </c>
      <c r="B23" s="67">
        <f>INDEX('Combined Data'!$B$4:$AK$4,1,MATCH('BPEiC-CO2'!$A23,'Combined Data'!$B$2:$AK$2))*10^12</f>
        <v>1374894180011.1035</v>
      </c>
      <c r="C23" s="67">
        <f>INDEX('Combined Data'!$B$10:$AK$10,1,MATCH('BPEiC-CO2'!$A23,'Combined Data'!$B$2:$AK$2))*10^12</f>
        <v>9525977248770.9375</v>
      </c>
      <c r="D23" s="67">
        <f>INDEX('Combined Data'!$B$19:$AK$19,1,MATCH('BPEiC-CO2'!$A23,'Combined Data'!$B$2:$AK$2))*10^12</f>
        <v>792151926.19846928</v>
      </c>
      <c r="E23" s="67">
        <f>INDEX('Combined Data'!$B$28:$AK$28,1,MATCH('BPEiC-CO2'!$A23,'Combined Data'!$B$2:$AK$2))*10^12</f>
        <v>3265615119966.8472</v>
      </c>
      <c r="F23" s="67">
        <v>0</v>
      </c>
      <c r="G23" s="67">
        <v>0</v>
      </c>
      <c r="H23" s="67">
        <f>INDEX('Combined Data'!$B$50:$AK$50,1,MATCH('BPEiC-CO2'!$A23,'Combined Data'!$B$2:$AK$2))*10^12</f>
        <v>1993084861550.0608</v>
      </c>
      <c r="I23" s="67">
        <f>INDEX('Combined Data'!$B$66:$AK$66,1,MATCH('BPEiC-CO2'!$A23,'Combined Data'!$B$2:$AK$2))*10^12</f>
        <v>22586206867.853378</v>
      </c>
    </row>
    <row r="24" spans="1:9">
      <c r="A24" s="27">
        <v>2037</v>
      </c>
      <c r="B24" s="67">
        <f>INDEX('Combined Data'!$B$4:$AK$4,1,MATCH('BPEiC-CO2'!$A24,'Combined Data'!$B$2:$AK$2))*10^12</f>
        <v>1382981792834.6982</v>
      </c>
      <c r="C24" s="67">
        <f>INDEX('Combined Data'!$B$10:$AK$10,1,MATCH('BPEiC-CO2'!$A24,'Combined Data'!$B$2:$AK$2))*10^12</f>
        <v>9526318782528.4375</v>
      </c>
      <c r="D24" s="67">
        <f>INDEX('Combined Data'!$B$19:$AK$19,1,MATCH('BPEiC-CO2'!$A24,'Combined Data'!$B$2:$AK$2))*10^12</f>
        <v>796392638.33925545</v>
      </c>
      <c r="E24" s="67">
        <f>INDEX('Combined Data'!$B$28:$AK$28,1,MATCH('BPEiC-CO2'!$A24,'Combined Data'!$B$2:$AK$2))*10^12</f>
        <v>3295293235774.6401</v>
      </c>
      <c r="F24" s="67">
        <v>0</v>
      </c>
      <c r="G24" s="67">
        <v>0</v>
      </c>
      <c r="H24" s="67">
        <f>INDEX('Combined Data'!$B$50:$AK$50,1,MATCH('BPEiC-CO2'!$A24,'Combined Data'!$B$2:$AK$2))*10^12</f>
        <v>2046527871512.8403</v>
      </c>
      <c r="I24" s="67">
        <f>INDEX('Combined Data'!$B$66:$AK$66,1,MATCH('BPEiC-CO2'!$A24,'Combined Data'!$B$2:$AK$2))*10^12</f>
        <v>23339080430.115158</v>
      </c>
    </row>
    <row r="25" spans="1:9">
      <c r="A25" s="27">
        <v>2038</v>
      </c>
      <c r="B25" s="67">
        <f>INDEX('Combined Data'!$B$4:$AK$4,1,MATCH('BPEiC-CO2'!$A25,'Combined Data'!$B$2:$AK$2))*10^12</f>
        <v>1391116979851.373</v>
      </c>
      <c r="C25" s="67">
        <f>INDEX('Combined Data'!$B$10:$AK$10,1,MATCH('BPEiC-CO2'!$A25,'Combined Data'!$B$2:$AK$2))*10^12</f>
        <v>9518836879940.0527</v>
      </c>
      <c r="D25" s="67">
        <f>INDEX('Combined Data'!$B$19:$AK$19,1,MATCH('BPEiC-CO2'!$A25,'Combined Data'!$B$2:$AK$2))*10^12</f>
        <v>801124664.24464905</v>
      </c>
      <c r="E25" s="67">
        <f>INDEX('Combined Data'!$B$28:$AK$28,1,MATCH('BPEiC-CO2'!$A25,'Combined Data'!$B$2:$AK$2))*10^12</f>
        <v>3325009160354.3457</v>
      </c>
      <c r="F25" s="67">
        <v>0</v>
      </c>
      <c r="G25" s="67">
        <v>0</v>
      </c>
      <c r="H25" s="67">
        <f>INDEX('Combined Data'!$B$50:$AK$50,1,MATCH('BPEiC-CO2'!$A25,'Combined Data'!$B$2:$AK$2))*10^12</f>
        <v>2099970881475.6199</v>
      </c>
      <c r="I25" s="67">
        <f>INDEX('Combined Data'!$B$66:$AK$66,1,MATCH('BPEiC-CO2'!$A25,'Combined Data'!$B$2:$AK$2))*10^12</f>
        <v>24091953992.376938</v>
      </c>
    </row>
    <row r="26" spans="1:9">
      <c r="A26" s="27">
        <v>2039</v>
      </c>
      <c r="B26" s="67">
        <f>INDEX('Combined Data'!$B$4:$AK$4,1,MATCH('BPEiC-CO2'!$A26,'Combined Data'!$B$2:$AK$2))*10^12</f>
        <v>1399300020909.322</v>
      </c>
      <c r="C26" s="67">
        <f>INDEX('Combined Data'!$B$10:$AK$10,1,MATCH('BPEiC-CO2'!$A26,'Combined Data'!$B$2:$AK$2))*10^12</f>
        <v>9510396287851.9707</v>
      </c>
      <c r="D26" s="67">
        <f>INDEX('Combined Data'!$B$19:$AK$19,1,MATCH('BPEiC-CO2'!$A26,'Combined Data'!$B$2:$AK$2))*10^12</f>
        <v>806349930.63529515</v>
      </c>
      <c r="E26" s="67">
        <f>INDEX('Combined Data'!$B$28:$AK$28,1,MATCH('BPEiC-CO2'!$A26,'Combined Data'!$B$2:$AK$2))*10^12</f>
        <v>3354763104624.8447</v>
      </c>
      <c r="F26" s="67">
        <v>0</v>
      </c>
      <c r="G26" s="67">
        <v>0</v>
      </c>
      <c r="H26" s="67">
        <f>INDEX('Combined Data'!$B$50:$AK$50,1,MATCH('BPEiC-CO2'!$A26,'Combined Data'!$B$2:$AK$2))*10^12</f>
        <v>2153413891438.3999</v>
      </c>
      <c r="I26" s="67">
        <f>INDEX('Combined Data'!$B$66:$AK$66,1,MATCH('BPEiC-CO2'!$A26,'Combined Data'!$B$2:$AK$2))*10^12</f>
        <v>24844827554.638718</v>
      </c>
    </row>
    <row r="27" spans="1:9">
      <c r="A27" s="27">
        <v>2040</v>
      </c>
      <c r="B27" s="67">
        <f>INDEX('Combined Data'!$B$4:$AK$4,1,MATCH('BPEiC-CO2'!$A27,'Combined Data'!$B$2:$AK$2))*10^12</f>
        <v>1407531197502.9062</v>
      </c>
      <c r="C27" s="67">
        <f>INDEX('Combined Data'!$B$10:$AK$10,1,MATCH('BPEiC-CO2'!$A27,'Combined Data'!$B$2:$AK$2))*10^12</f>
        <v>9501112885703.1602</v>
      </c>
      <c r="D27" s="67">
        <f>INDEX('Combined Data'!$B$19:$AK$19,1,MATCH('BPEiC-CO2'!$A27,'Combined Data'!$B$2:$AK$2))*10^12</f>
        <v>812137799.45443261</v>
      </c>
      <c r="E27" s="67">
        <f>INDEX('Combined Data'!$B$28:$AK$28,1,MATCH('BPEiC-CO2'!$A27,'Combined Data'!$B$2:$AK$2))*10^12</f>
        <v>3384555280681.6401</v>
      </c>
      <c r="F27" s="67">
        <v>0</v>
      </c>
      <c r="G27" s="67">
        <v>0</v>
      </c>
      <c r="H27" s="67">
        <f>INDEX('Combined Data'!$B$50:$AK$50,1,MATCH('BPEiC-CO2'!$A27,'Combined Data'!$B$2:$AK$2))*10^12</f>
        <v>2206856901401.1797</v>
      </c>
      <c r="I27" s="67">
        <f>INDEX('Combined Data'!$B$66:$AK$66,1,MATCH('BPEiC-CO2'!$A27,'Combined Data'!$B$2:$AK$2))*10^12</f>
        <v>25597701116.900497</v>
      </c>
    </row>
    <row r="28" spans="1:9">
      <c r="A28" s="27">
        <v>2041</v>
      </c>
      <c r="B28" s="67">
        <f>INDEX('Combined Data'!$B$4:$AK$4,1,MATCH('BPEiC-CO2'!$A28,'Combined Data'!$B$2:$AK$2))*10^12</f>
        <v>1415810792782.3352</v>
      </c>
      <c r="C28" s="67">
        <f>INDEX('Combined Data'!$B$10:$AK$10,1,MATCH('BPEiC-CO2'!$A28,'Combined Data'!$B$2:$AK$2))*10^12</f>
        <v>9508014575551.1973</v>
      </c>
      <c r="D28" s="67">
        <f>INDEX('Combined Data'!$B$19:$AK$19,1,MATCH('BPEiC-CO2'!$A28,'Combined Data'!$B$2:$AK$2))*10^12</f>
        <v>816894265.08434916</v>
      </c>
      <c r="E28" s="67">
        <f>INDEX('Combined Data'!$B$28:$AK$28,1,MATCH('BPEiC-CO2'!$A28,'Combined Data'!$B$2:$AK$2))*10^12</f>
        <v>3414385901803.4287</v>
      </c>
      <c r="F28" s="67">
        <v>0</v>
      </c>
      <c r="G28" s="67">
        <v>0</v>
      </c>
      <c r="H28" s="67">
        <f>INDEX('Combined Data'!$B$50:$AK$50,1,MATCH('BPEiC-CO2'!$A28,'Combined Data'!$B$2:$AK$2))*10^12</f>
        <v>2260299911363.9595</v>
      </c>
      <c r="I28" s="67">
        <f>INDEX('Combined Data'!$B$66:$AK$66,1,MATCH('BPEiC-CO2'!$A28,'Combined Data'!$B$2:$AK$2))*10^12</f>
        <v>26350574679.162273</v>
      </c>
    </row>
    <row r="29" spans="1:9">
      <c r="A29" s="27">
        <v>2042</v>
      </c>
      <c r="B29" s="67">
        <f>INDEX('Combined Data'!$B$4:$AK$4,1,MATCH('BPEiC-CO2'!$A29,'Combined Data'!$B$2:$AK$2))*10^12</f>
        <v>1424139091563.4075</v>
      </c>
      <c r="C29" s="67">
        <f>INDEX('Combined Data'!$B$10:$AK$10,1,MATCH('BPEiC-CO2'!$A29,'Combined Data'!$B$2:$AK$2))*10^12</f>
        <v>9515054394357.6875</v>
      </c>
      <c r="D29" s="67">
        <f>INDEX('Combined Data'!$B$19:$AK$19,1,MATCH('BPEiC-CO2'!$A29,'Combined Data'!$B$2:$AK$2))*10^12</f>
        <v>821678588.01299477</v>
      </c>
      <c r="E29" s="67">
        <f>INDEX('Combined Data'!$B$28:$AK$28,1,MATCH('BPEiC-CO2'!$A29,'Combined Data'!$B$2:$AK$2))*10^12</f>
        <v>3444255182458.6953</v>
      </c>
      <c r="F29" s="67">
        <v>0</v>
      </c>
      <c r="G29" s="67">
        <v>0</v>
      </c>
      <c r="H29" s="67">
        <f>INDEX('Combined Data'!$B$50:$AK$50,1,MATCH('BPEiC-CO2'!$A29,'Combined Data'!$B$2:$AK$2))*10^12</f>
        <v>2313742921326.7393</v>
      </c>
      <c r="I29" s="67">
        <f>INDEX('Combined Data'!$B$66:$AK$66,1,MATCH('BPEiC-CO2'!$A29,'Combined Data'!$B$2:$AK$2))*10^12</f>
        <v>27103448241.424053</v>
      </c>
    </row>
    <row r="30" spans="1:9">
      <c r="A30" s="27">
        <v>2043</v>
      </c>
      <c r="B30" s="67">
        <f>INDEX('Combined Data'!$B$4:$AK$4,1,MATCH('BPEiC-CO2'!$A30,'Combined Data'!$B$2:$AK$2))*10^12</f>
        <v>1432516380337.3101</v>
      </c>
      <c r="C30" s="67">
        <f>INDEX('Combined Data'!$B$10:$AK$10,1,MATCH('BPEiC-CO2'!$A30,'Combined Data'!$B$2:$AK$2))*10^12</f>
        <v>9561545302539.2676</v>
      </c>
      <c r="D30" s="67">
        <f>INDEX('Combined Data'!$B$19:$AK$19,1,MATCH('BPEiC-CO2'!$A30,'Combined Data'!$B$2:$AK$2))*10^12</f>
        <v>826490931.39283454</v>
      </c>
      <c r="E30" s="67">
        <f>INDEX('Combined Data'!$B$28:$AK$28,1,MATCH('BPEiC-CO2'!$A30,'Combined Data'!$B$2:$AK$2))*10^12</f>
        <v>3474163338312.3525</v>
      </c>
      <c r="F30" s="67">
        <v>0</v>
      </c>
      <c r="G30" s="67">
        <v>0</v>
      </c>
      <c r="H30" s="67">
        <f>INDEX('Combined Data'!$B$50:$AK$50,1,MATCH('BPEiC-CO2'!$A30,'Combined Data'!$B$2:$AK$2))*10^12</f>
        <v>2367185931289.519</v>
      </c>
      <c r="I30" s="67">
        <f>INDEX('Combined Data'!$B$66:$AK$66,1,MATCH('BPEiC-CO2'!$A30,'Combined Data'!$B$2:$AK$2))*10^12</f>
        <v>27856321803.685833</v>
      </c>
    </row>
    <row r="31" spans="1:9">
      <c r="A31" s="27">
        <v>2044</v>
      </c>
      <c r="B31" s="67">
        <f>INDEX('Combined Data'!$B$4:$AK$4,1,MATCH('BPEiC-CO2'!$A31,'Combined Data'!$B$2:$AK$2))*10^12</f>
        <v>1440942947280.4707</v>
      </c>
      <c r="C31" s="67">
        <f>INDEX('Combined Data'!$B$10:$AK$10,1,MATCH('BPEiC-CO2'!$A31,'Combined Data'!$B$2:$AK$2))*10^12</f>
        <v>9608400615944.7852</v>
      </c>
      <c r="D31" s="67">
        <f>INDEX('Combined Data'!$B$19:$AK$19,1,MATCH('BPEiC-CO2'!$A31,'Combined Data'!$B$2:$AK$2))*10^12</f>
        <v>831331459.33187222</v>
      </c>
      <c r="E31" s="67">
        <f>INDEX('Combined Data'!$B$28:$AK$28,1,MATCH('BPEiC-CO2'!$A31,'Combined Data'!$B$2:$AK$2))*10^12</f>
        <v>3504110586232.416</v>
      </c>
      <c r="F31" s="67">
        <v>0</v>
      </c>
      <c r="G31" s="67">
        <v>0</v>
      </c>
      <c r="H31" s="67">
        <f>INDEX('Combined Data'!$B$50:$AK$50,1,MATCH('BPEiC-CO2'!$A31,'Combined Data'!$B$2:$AK$2))*10^12</f>
        <v>2420628941252.2988</v>
      </c>
      <c r="I31" s="67">
        <f>INDEX('Combined Data'!$B$66:$AK$66,1,MATCH('BPEiC-CO2'!$A31,'Combined Data'!$B$2:$AK$2))*10^12</f>
        <v>28609195365.947613</v>
      </c>
    </row>
    <row r="32" spans="1:9">
      <c r="A32" s="27">
        <v>2045</v>
      </c>
      <c r="B32" s="67">
        <f>INDEX('Combined Data'!$B$4:$AK$4,1,MATCH('BPEiC-CO2'!$A32,'Combined Data'!$B$2:$AK$2))*10^12</f>
        <v>1449419082264.4734</v>
      </c>
      <c r="C32" s="67">
        <f>INDEX('Combined Data'!$B$10:$AK$10,1,MATCH('BPEiC-CO2'!$A32,'Combined Data'!$B$2:$AK$2))*10^12</f>
        <v>9655623114389.8672</v>
      </c>
      <c r="D32" s="67">
        <f>INDEX('Combined Data'!$B$19:$AK$19,1,MATCH('BPEiC-CO2'!$A32,'Combined Data'!$B$2:$AK$2))*10^12</f>
        <v>836200336.89924645</v>
      </c>
      <c r="E32" s="67">
        <f>INDEX('Combined Data'!$B$28:$AK$28,1,MATCH('BPEiC-CO2'!$A32,'Combined Data'!$B$2:$AK$2))*10^12</f>
        <v>3534097144296.7119</v>
      </c>
      <c r="F32" s="67">
        <v>0</v>
      </c>
      <c r="G32" s="67">
        <v>0</v>
      </c>
      <c r="H32" s="67">
        <f>INDEX('Combined Data'!$B$50:$AK$50,1,MATCH('BPEiC-CO2'!$A32,'Combined Data'!$B$2:$AK$2))*10^12</f>
        <v>2474071951215.0786</v>
      </c>
      <c r="I32" s="67">
        <f>INDEX('Combined Data'!$B$66:$AK$66,1,MATCH('BPEiC-CO2'!$A32,'Combined Data'!$B$2:$AK$2))*10^12</f>
        <v>29362068928.209393</v>
      </c>
    </row>
    <row r="33" spans="1:9">
      <c r="A33" s="27">
        <v>2046</v>
      </c>
      <c r="B33" s="67">
        <f>INDEX('Combined Data'!$B$4:$AK$4,1,MATCH('BPEiC-CO2'!$A33,'Combined Data'!$B$2:$AK$2))*10^12</f>
        <v>1457945076866.0291</v>
      </c>
      <c r="C33" s="67">
        <f>INDEX('Combined Data'!$B$10:$AK$10,1,MATCH('BPEiC-CO2'!$A33,'Combined Data'!$B$2:$AK$2))*10^12</f>
        <v>9703215598922.1543</v>
      </c>
      <c r="D33" s="67">
        <f>INDEX('Combined Data'!$B$19:$AK$19,1,MATCH('BPEiC-CO2'!$A33,'Combined Data'!$B$2:$AK$2))*10^12</f>
        <v>841097730.13086009</v>
      </c>
      <c r="E33" s="67">
        <f>INDEX('Combined Data'!$B$28:$AK$28,1,MATCH('BPEiC-CO2'!$A33,'Combined Data'!$B$2:$AK$2))*10^12</f>
        <v>3564123231799.6328</v>
      </c>
      <c r="F33" s="67">
        <v>0</v>
      </c>
      <c r="G33" s="67">
        <v>0</v>
      </c>
      <c r="H33" s="67">
        <f>INDEX('Combined Data'!$B$50:$AK$50,1,MATCH('BPEiC-CO2'!$A33,'Combined Data'!$B$2:$AK$2))*10^12</f>
        <v>2527514961177.8584</v>
      </c>
      <c r="I33" s="67">
        <f>INDEX('Combined Data'!$B$66:$AK$66,1,MATCH('BPEiC-CO2'!$A33,'Combined Data'!$B$2:$AK$2))*10^12</f>
        <v>30114942490.471172</v>
      </c>
    </row>
    <row r="34" spans="1:9">
      <c r="A34" s="27">
        <v>2047</v>
      </c>
      <c r="B34" s="67">
        <f>INDEX('Combined Data'!$B$4:$AK$4,1,MATCH('BPEiC-CO2'!$A34,'Combined Data'!$B$2:$AK$2))*10^12</f>
        <v>1466521224377.0059</v>
      </c>
      <c r="C34" s="67">
        <f>INDEX('Combined Data'!$B$10:$AK$10,1,MATCH('BPEiC-CO2'!$A34,'Combined Data'!$B$2:$AK$2))*10^12</f>
        <v>9751180891983.4336</v>
      </c>
      <c r="D34" s="67">
        <f>INDEX('Combined Data'!$B$19:$AK$19,1,MATCH('BPEiC-CO2'!$A34,'Combined Data'!$B$2:$AK$2))*10^12</f>
        <v>846023806.03504252</v>
      </c>
      <c r="E34" s="67">
        <f>INDEX('Combined Data'!$B$28:$AK$28,1,MATCH('BPEiC-CO2'!$A34,'Combined Data'!$B$2:$AK$2))*10^12</f>
        <v>3594189069258.9155</v>
      </c>
      <c r="F34" s="67">
        <v>0</v>
      </c>
      <c r="G34" s="67">
        <v>0</v>
      </c>
      <c r="H34" s="67">
        <f>INDEX('Combined Data'!$B$50:$AK$50,1,MATCH('BPEiC-CO2'!$A34,'Combined Data'!$B$2:$AK$2))*10^12</f>
        <v>2580957971140.6382</v>
      </c>
      <c r="I34" s="67">
        <f>INDEX('Combined Data'!$B$66:$AK$66,1,MATCH('BPEiC-CO2'!$A34,'Combined Data'!$B$2:$AK$2))*10^12</f>
        <v>30867816052.732952</v>
      </c>
    </row>
    <row r="35" spans="1:9">
      <c r="A35" s="27">
        <v>2048</v>
      </c>
      <c r="B35" s="67">
        <f>INDEX('Combined Data'!$B$4:$AK$4,1,MATCH('BPEiC-CO2'!$A35,'Combined Data'!$B$2:$AK$2))*10^12</f>
        <v>1475147819814.5176</v>
      </c>
      <c r="C35" s="67">
        <f>INDEX('Combined Data'!$B$10:$AK$10,1,MATCH('BPEiC-CO2'!$A35,'Combined Data'!$B$2:$AK$2))*10^12</f>
        <v>9799521837573.0664</v>
      </c>
      <c r="D35" s="67">
        <f>INDEX('Combined Data'!$B$19:$AK$19,1,MATCH('BPEiC-CO2'!$A35,'Combined Data'!$B$2:$AK$2))*10^12</f>
        <v>850978732.59824407</v>
      </c>
      <c r="E35" s="67">
        <f>INDEX('Combined Data'!$B$28:$AK$28,1,MATCH('BPEiC-CO2'!$A35,'Combined Data'!$B$2:$AK$2))*10^12</f>
        <v>3624294878422.4756</v>
      </c>
      <c r="F35" s="67">
        <v>0</v>
      </c>
      <c r="G35" s="67">
        <v>0</v>
      </c>
      <c r="H35" s="67">
        <f>INDEX('Combined Data'!$B$50:$AK$50,1,MATCH('BPEiC-CO2'!$A35,'Combined Data'!$B$2:$AK$2))*10^12</f>
        <v>2634400981103.418</v>
      </c>
      <c r="I35" s="67">
        <f>INDEX('Combined Data'!$B$66:$AK$66,1,MATCH('BPEiC-CO2'!$A35,'Combined Data'!$B$2:$AK$2))*10^12</f>
        <v>31620689614.994728</v>
      </c>
    </row>
    <row r="36" spans="1:9">
      <c r="A36" s="27">
        <v>2049</v>
      </c>
      <c r="B36" s="67">
        <f>INDEX('Combined Data'!$B$4:$AK$4,1,MATCH('BPEiC-CO2'!$A36,'Combined Data'!$B$2:$AK$2))*10^12</f>
        <v>1483825159931.0737</v>
      </c>
      <c r="C36" s="67">
        <f>INDEX('Combined Data'!$B$10:$AK$10,1,MATCH('BPEiC-CO2'!$A36,'Combined Data'!$B$2:$AK$2))*10^12</f>
        <v>9848241301412.6016</v>
      </c>
      <c r="D36" s="67">
        <f>INDEX('Combined Data'!$B$19:$AK$19,1,MATCH('BPEiC-CO2'!$A36,'Combined Data'!$B$2:$AK$2))*10^12</f>
        <v>855962678.79076529</v>
      </c>
      <c r="E36" s="67">
        <f>INDEX('Combined Data'!$B$28:$AK$28,1,MATCH('BPEiC-CO2'!$A36,'Combined Data'!$B$2:$AK$2))*10^12</f>
        <v>3654440882275.2603</v>
      </c>
      <c r="F36" s="67">
        <v>0</v>
      </c>
      <c r="G36" s="67">
        <v>0</v>
      </c>
      <c r="H36" s="67">
        <f>INDEX('Combined Data'!$B$50:$AK$50,1,MATCH('BPEiC-CO2'!$A36,'Combined Data'!$B$2:$AK$2))*10^12</f>
        <v>2687843991066.1978</v>
      </c>
      <c r="I36" s="67">
        <f>INDEX('Combined Data'!$B$66:$AK$66,1,MATCH('BPEiC-CO2'!$A36,'Combined Data'!$B$2:$AK$2))*10^12</f>
        <v>32373563177.256508</v>
      </c>
    </row>
    <row r="37" spans="1:9">
      <c r="A37" s="27">
        <v>2050</v>
      </c>
      <c r="B37" s="67">
        <f>INDEX('Combined Data'!$B$4:$AK$4,1,MATCH('BPEiC-CO2'!$A37,'Combined Data'!$B$2:$AK$2))*10^12</f>
        <v>1492553543224.7856</v>
      </c>
      <c r="C37" s="67">
        <f>INDEX('Combined Data'!$B$10:$AK$10,1,MATCH('BPEiC-CO2'!$A37,'Combined Data'!$B$2:$AK$2))*10^12</f>
        <v>9897342171111.7031</v>
      </c>
      <c r="D37" s="67">
        <f>INDEX('Combined Data'!$B$19:$AK$19,1,MATCH('BPEiC-CO2'!$A37,'Combined Data'!$B$2:$AK$2))*10^12</f>
        <v>860975814.57251871</v>
      </c>
      <c r="E37" s="67">
        <f>INDEX('Combined Data'!$B$28:$AK$28,1,MATCH('BPEiC-CO2'!$A37,'Combined Data'!$B$2:$AK$2))*10^12</f>
        <v>3684627305046.1567</v>
      </c>
      <c r="F37" s="67">
        <v>0</v>
      </c>
      <c r="G37" s="67">
        <v>0</v>
      </c>
      <c r="H37" s="67">
        <f>INDEX('Combined Data'!$B$50:$AK$50,1,MATCH('BPEiC-CO2'!$A37,'Combined Data'!$B$2:$AK$2))*10^12</f>
        <v>2741287001028.9775</v>
      </c>
      <c r="I37" s="67">
        <f>INDEX('Combined Data'!$B$66:$AK$66,1,MATCH('BPEiC-CO2'!$A37,'Combined Data'!$B$2:$AK$2))*10^12</f>
        <v>33126436739.518284</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tabColor theme="3"/>
  </sheetPr>
  <dimension ref="A1:I37"/>
  <sheetViews>
    <sheetView workbookViewId="0">
      <selection activeCell="C3" sqref="C3"/>
    </sheetView>
  </sheetViews>
  <sheetFormatPr baseColWidth="10" defaultColWidth="10.33203125" defaultRowHeight="15"/>
  <cols>
    <col min="1" max="1" width="10.33203125" style="27"/>
    <col min="2" max="9" width="20.1640625" style="27" customWidth="1"/>
    <col min="10" max="16384" width="10.33203125" style="25"/>
  </cols>
  <sheetData>
    <row r="1" spans="1:9">
      <c r="A1" s="27" t="s">
        <v>5</v>
      </c>
      <c r="B1" s="27" t="s">
        <v>142</v>
      </c>
      <c r="C1" s="27" t="s">
        <v>143</v>
      </c>
      <c r="D1" s="27" t="s">
        <v>144</v>
      </c>
      <c r="E1" s="27" t="s">
        <v>145</v>
      </c>
      <c r="F1" s="27" t="s">
        <v>146</v>
      </c>
      <c r="G1" s="27" t="s">
        <v>147</v>
      </c>
      <c r="H1" s="27" t="s">
        <v>148</v>
      </c>
      <c r="I1" s="27" t="s">
        <v>149</v>
      </c>
    </row>
    <row r="2" spans="1:9">
      <c r="A2" s="27">
        <v>2015</v>
      </c>
      <c r="B2" s="67">
        <v>0</v>
      </c>
      <c r="C2" s="67">
        <f>INDEX('Combined Data'!$B$9:$AK$9,1,MATCH('BPEiC-CO2'!$A2,'Combined Data'!$B$2:$AK$2))*10^12</f>
        <v>34069063254373.598</v>
      </c>
      <c r="D2" s="67">
        <f>INDEX('Combined Data'!$B$20:$AK$20,1,MATCH('BPEiC-CO2'!$A2,'Combined Data'!$B$2:$AK$2))*10^12</f>
        <v>168000.00000000003</v>
      </c>
      <c r="E2" s="67">
        <v>0</v>
      </c>
      <c r="F2" s="67">
        <f>INDEX('Combined Data'!$B$36:$AK$36,1,MATCH('BPEiC-CO2'!$A2,'Combined Data'!$B$2:$AK$2))*10^12</f>
        <v>448033653637.16278</v>
      </c>
      <c r="G2" s="67">
        <f>INDEX('Combined Data'!$B$42:$AK$42,1,MATCH('BPEiC-CO2'!$A2,'Combined Data'!$B$2:$AK$2))*10^12</f>
        <v>1964284894082.0603</v>
      </c>
      <c r="H2" s="67">
        <f>INDEX('Combined Data'!$B$52:$AK$52,1,MATCH('BPEiC-CO2'!$A2,'Combined Data'!$B$2:$AK$2))*10^12</f>
        <v>11452968420647.385</v>
      </c>
      <c r="I2" s="67">
        <v>0</v>
      </c>
    </row>
    <row r="3" spans="1:9">
      <c r="A3" s="27">
        <v>2016</v>
      </c>
      <c r="B3" s="67">
        <v>0</v>
      </c>
      <c r="C3" s="67">
        <f>INDEX('Combined Data'!$B$9:$AK$9,1,MATCH('BPEiC-CO2'!$A3,'Combined Data'!$B$2:$AK$2))*10^12</f>
        <v>33838884330531.727</v>
      </c>
      <c r="D3" s="67">
        <f>INDEX('Combined Data'!$B$20:$AK$20,1,MATCH('BPEiC-CO2'!$A3,'Combined Data'!$B$2:$AK$2))*10^12</f>
        <v>171568.74596988983</v>
      </c>
      <c r="E3" s="67">
        <v>0</v>
      </c>
      <c r="F3" s="67">
        <f>INDEX('Combined Data'!$B$36:$AK$36,1,MATCH('BPEiC-CO2'!$A3,'Combined Data'!$B$2:$AK$2))*10^12</f>
        <v>425224667633.81622</v>
      </c>
      <c r="G3" s="67">
        <f>INDEX('Combined Data'!$B$42:$AK$42,1,MATCH('BPEiC-CO2'!$A3,'Combined Data'!$B$2:$AK$2))*10^12</f>
        <v>1998444374228.291</v>
      </c>
      <c r="H3" s="67">
        <f>INDEX('Combined Data'!$B$52:$AK$52,1,MATCH('BPEiC-CO2'!$A3,'Combined Data'!$B$2:$AK$2))*10^12</f>
        <v>11629328839311.58</v>
      </c>
      <c r="I3" s="67">
        <v>0</v>
      </c>
    </row>
    <row r="4" spans="1:9">
      <c r="A4" s="27">
        <v>2017</v>
      </c>
      <c r="B4" s="67">
        <v>0</v>
      </c>
      <c r="C4" s="67">
        <f>INDEX('Combined Data'!$B$9:$AK$9,1,MATCH('BPEiC-CO2'!$A4,'Combined Data'!$B$2:$AK$2))*10^12</f>
        <v>33893269952332.984</v>
      </c>
      <c r="D4" s="67">
        <f>INDEX('Combined Data'!$B$20:$AK$20,1,MATCH('BPEiC-CO2'!$A4,'Combined Data'!$B$2:$AK$2))*10^12</f>
        <v>172645.44562505255</v>
      </c>
      <c r="E4" s="67">
        <v>0</v>
      </c>
      <c r="F4" s="67">
        <f>INDEX('Combined Data'!$B$36:$AK$36,1,MATCH('BPEiC-CO2'!$A4,'Combined Data'!$B$2:$AK$2))*10^12</f>
        <v>384494335484.98322</v>
      </c>
      <c r="G4" s="67">
        <f>INDEX('Combined Data'!$B$42:$AK$42,1,MATCH('BPEiC-CO2'!$A4,'Combined Data'!$B$2:$AK$2))*10^12</f>
        <v>2024545392248.542</v>
      </c>
      <c r="H4" s="67">
        <f>INDEX('Combined Data'!$B$52:$AK$52,1,MATCH('BPEiC-CO2'!$A4,'Combined Data'!$B$2:$AK$2))*10^12</f>
        <v>11805689257975.777</v>
      </c>
      <c r="I4" s="67">
        <v>0</v>
      </c>
    </row>
    <row r="5" spans="1:9">
      <c r="A5" s="27">
        <v>2018</v>
      </c>
      <c r="B5" s="67">
        <v>0</v>
      </c>
      <c r="C5" s="67">
        <f>INDEX('Combined Data'!$B$9:$AK$9,1,MATCH('BPEiC-CO2'!$A5,'Combined Data'!$B$2:$AK$2))*10^12</f>
        <v>33856610444387.156</v>
      </c>
      <c r="D5" s="67">
        <f>INDEX('Combined Data'!$B$20:$AK$20,1,MATCH('BPEiC-CO2'!$A5,'Combined Data'!$B$2:$AK$2))*10^12</f>
        <v>172846.56143990584</v>
      </c>
      <c r="E5" s="67">
        <v>0</v>
      </c>
      <c r="F5" s="67">
        <f>INDEX('Combined Data'!$B$36:$AK$36,1,MATCH('BPEiC-CO2'!$A5,'Combined Data'!$B$2:$AK$2))*10^12</f>
        <v>361685349481.63678</v>
      </c>
      <c r="G5" s="67">
        <f>INDEX('Combined Data'!$B$42:$AK$42,1,MATCH('BPEiC-CO2'!$A5,'Combined Data'!$B$2:$AK$2))*10^12</f>
        <v>2051870445668.4836</v>
      </c>
      <c r="H5" s="67">
        <f>INDEX('Combined Data'!$B$52:$AK$52,1,MATCH('BPEiC-CO2'!$A5,'Combined Data'!$B$2:$AK$2))*10^12</f>
        <v>11982049676639.969</v>
      </c>
      <c r="I5" s="67">
        <v>0</v>
      </c>
    </row>
    <row r="6" spans="1:9">
      <c r="A6" s="27">
        <v>2019</v>
      </c>
      <c r="B6" s="67">
        <v>0</v>
      </c>
      <c r="C6" s="67">
        <f>INDEX('Combined Data'!$B$9:$AK$9,1,MATCH('BPEiC-CO2'!$A6,'Combined Data'!$B$2:$AK$2))*10^12</f>
        <v>33840411625263.629</v>
      </c>
      <c r="D6" s="67">
        <f>INDEX('Combined Data'!$B$20:$AK$20,1,MATCH('BPEiC-CO2'!$A6,'Combined Data'!$B$2:$AK$2))*10^12</f>
        <v>172645.91662227706</v>
      </c>
      <c r="E6" s="67">
        <v>0</v>
      </c>
      <c r="F6" s="67">
        <f>INDEX('Combined Data'!$B$36:$AK$36,1,MATCH('BPEiC-CO2'!$A6,'Combined Data'!$B$2:$AK$2))*10^12</f>
        <v>327471870476.61713</v>
      </c>
      <c r="G6" s="67">
        <f>INDEX('Combined Data'!$B$42:$AK$42,1,MATCH('BPEiC-CO2'!$A6,'Combined Data'!$B$2:$AK$2))*10^12</f>
        <v>2084732525915.2529</v>
      </c>
      <c r="H6" s="67">
        <f>INDEX('Combined Data'!$B$52:$AK$52,1,MATCH('BPEiC-CO2'!$A6,'Combined Data'!$B$2:$AK$2))*10^12</f>
        <v>12158410095304.166</v>
      </c>
      <c r="I6" s="67">
        <v>0</v>
      </c>
    </row>
    <row r="7" spans="1:9">
      <c r="A7" s="27">
        <v>2020</v>
      </c>
      <c r="B7" s="67">
        <v>0</v>
      </c>
      <c r="C7" s="67">
        <f>INDEX('Combined Data'!$B$9:$AK$9,1,MATCH('BPEiC-CO2'!$A7,'Combined Data'!$B$2:$AK$2))*10^12</f>
        <v>33718250607950.973</v>
      </c>
      <c r="D7" s="67">
        <f>INDEX('Combined Data'!$B$20:$AK$20,1,MATCH('BPEiC-CO2'!$A7,'Combined Data'!$B$2:$AK$2))*10^12</f>
        <v>173940.68799237433</v>
      </c>
      <c r="E7" s="67">
        <v>0</v>
      </c>
      <c r="F7" s="67">
        <f>INDEX('Combined Data'!$B$36:$AK$36,1,MATCH('BPEiC-CO2'!$A7,'Combined Data'!$B$2:$AK$2))*10^12</f>
        <v>305419349980.64368</v>
      </c>
      <c r="G7" s="67">
        <f>INDEX('Combined Data'!$B$42:$AK$42,1,MATCH('BPEiC-CO2'!$A7,'Combined Data'!$B$2:$AK$2))*10^12</f>
        <v>2122193824992.7908</v>
      </c>
      <c r="H7" s="67">
        <f>INDEX('Combined Data'!$B$52:$AK$52,1,MATCH('BPEiC-CO2'!$A7,'Combined Data'!$B$2:$AK$2))*10^12</f>
        <v>12329228903352.326</v>
      </c>
      <c r="I7" s="67">
        <v>0</v>
      </c>
    </row>
    <row r="8" spans="1:9">
      <c r="A8" s="27">
        <v>2021</v>
      </c>
      <c r="B8" s="67">
        <v>0</v>
      </c>
      <c r="C8" s="67">
        <f>INDEX('Combined Data'!$B$9:$AK$9,1,MATCH('BPEiC-CO2'!$A8,'Combined Data'!$B$2:$AK$2))*10^12</f>
        <v>33614123876001.086</v>
      </c>
      <c r="D8" s="67">
        <f>INDEX('Combined Data'!$B$20:$AK$20,1,MATCH('BPEiC-CO2'!$A8,'Combined Data'!$B$2:$AK$2))*10^12</f>
        <v>174019.3445288626</v>
      </c>
      <c r="E8" s="67">
        <v>0</v>
      </c>
      <c r="F8" s="67">
        <f>INDEX('Combined Data'!$B$36:$AK$36,1,MATCH('BPEiC-CO2'!$A8,'Combined Data'!$B$2:$AK$2))*10^12</f>
        <v>282254235685.89447</v>
      </c>
      <c r="G8" s="67">
        <f>INDEX('Combined Data'!$B$42:$AK$42,1,MATCH('BPEiC-CO2'!$A8,'Combined Data'!$B$2:$AK$2))*10^12</f>
        <v>2162238250047.718</v>
      </c>
      <c r="H8" s="67">
        <f>INDEX('Combined Data'!$B$52:$AK$52,1,MATCH('BPEiC-CO2'!$A8,'Combined Data'!$B$2:$AK$2))*10^12</f>
        <v>12500047711400.488</v>
      </c>
      <c r="I8" s="67">
        <v>0</v>
      </c>
    </row>
    <row r="9" spans="1:9">
      <c r="A9" s="27">
        <v>2022</v>
      </c>
      <c r="B9" s="67">
        <v>0</v>
      </c>
      <c r="C9" s="67">
        <f>INDEX('Combined Data'!$B$9:$AK$9,1,MATCH('BPEiC-CO2'!$A9,'Combined Data'!$B$2:$AK$2))*10^12</f>
        <v>33590715853999.156</v>
      </c>
      <c r="D9" s="67">
        <f>INDEX('Combined Data'!$B$20:$AK$20,1,MATCH('BPEiC-CO2'!$A9,'Combined Data'!$B$2:$AK$2))*10^12</f>
        <v>174290.63893016346</v>
      </c>
      <c r="E9" s="67">
        <v>0</v>
      </c>
      <c r="F9" s="67">
        <f>INDEX('Combined Data'!$B$36:$AK$36,1,MATCH('BPEiC-CO2'!$A9,'Combined Data'!$B$2:$AK$2))*10^12</f>
        <v>260846123756.32864</v>
      </c>
      <c r="G9" s="67">
        <f>INDEX('Combined Data'!$B$42:$AK$42,1,MATCH('BPEiC-CO2'!$A9,'Combined Data'!$B$2:$AK$2))*10^12</f>
        <v>2205146940741.1919</v>
      </c>
      <c r="H9" s="67">
        <f>INDEX('Combined Data'!$B$52:$AK$52,1,MATCH('BPEiC-CO2'!$A9,'Combined Data'!$B$2:$AK$2))*10^12</f>
        <v>12670866519448.654</v>
      </c>
      <c r="I9" s="67">
        <v>0</v>
      </c>
    </row>
    <row r="10" spans="1:9">
      <c r="A10" s="27">
        <v>2023</v>
      </c>
      <c r="B10" s="67">
        <v>0</v>
      </c>
      <c r="C10" s="67">
        <f>INDEX('Combined Data'!$B$9:$AK$9,1,MATCH('BPEiC-CO2'!$A10,'Combined Data'!$B$2:$AK$2))*10^12</f>
        <v>33684607967560.473</v>
      </c>
      <c r="D10" s="67">
        <f>INDEX('Combined Data'!$B$20:$AK$20,1,MATCH('BPEiC-CO2'!$A10,'Combined Data'!$B$2:$AK$2))*10^12</f>
        <v>174766.81712411341</v>
      </c>
      <c r="E10" s="67">
        <v>0</v>
      </c>
      <c r="F10" s="67">
        <f>INDEX('Combined Data'!$B$36:$AK$36,1,MATCH('BPEiC-CO2'!$A10,'Combined Data'!$B$2:$AK$2))*10^12</f>
        <v>243098267597.15115</v>
      </c>
      <c r="G10" s="67">
        <f>INDEX('Combined Data'!$B$42:$AK$42,1,MATCH('BPEiC-CO2'!$A10,'Combined Data'!$B$2:$AK$2))*10^12</f>
        <v>2249982104953.6587</v>
      </c>
      <c r="H10" s="67">
        <f>INDEX('Combined Data'!$B$52:$AK$52,1,MATCH('BPEiC-CO2'!$A10,'Combined Data'!$B$2:$AK$2))*10^12</f>
        <v>12841685327496.816</v>
      </c>
      <c r="I10" s="67">
        <v>0</v>
      </c>
    </row>
    <row r="11" spans="1:9">
      <c r="A11" s="27">
        <v>2024</v>
      </c>
      <c r="B11" s="67">
        <v>0</v>
      </c>
      <c r="C11" s="67">
        <f>INDEX('Combined Data'!$B$9:$AK$9,1,MATCH('BPEiC-CO2'!$A11,'Combined Data'!$B$2:$AK$2))*10^12</f>
        <v>33771067648964.078</v>
      </c>
      <c r="D11" s="67">
        <f>INDEX('Combined Data'!$B$20:$AK$20,1,MATCH('BPEiC-CO2'!$A11,'Combined Data'!$B$2:$AK$2))*10^12</f>
        <v>176420.95937648939</v>
      </c>
      <c r="E11" s="67">
        <v>0</v>
      </c>
      <c r="F11" s="67">
        <f>INDEX('Combined Data'!$B$36:$AK$36,1,MATCH('BPEiC-CO2'!$A11,'Combined Data'!$B$2:$AK$2))*10^12</f>
        <v>226850995000.91943</v>
      </c>
      <c r="G11" s="67">
        <f>INDEX('Combined Data'!$B$42:$AK$42,1,MATCH('BPEiC-CO2'!$A11,'Combined Data'!$B$2:$AK$2))*10^12</f>
        <v>2294727665179.21</v>
      </c>
      <c r="H11" s="67">
        <f>INDEX('Combined Data'!$B$52:$AK$52,1,MATCH('BPEiC-CO2'!$A11,'Combined Data'!$B$2:$AK$2))*10^12</f>
        <v>13012504135544.98</v>
      </c>
      <c r="I11" s="67">
        <v>0</v>
      </c>
    </row>
    <row r="12" spans="1:9">
      <c r="A12" s="27">
        <v>2025</v>
      </c>
      <c r="B12" s="67">
        <v>0</v>
      </c>
      <c r="C12" s="67">
        <f>INDEX('Combined Data'!$B$9:$AK$9,1,MATCH('BPEiC-CO2'!$A12,'Combined Data'!$B$2:$AK$2))*10^12</f>
        <v>33823039939671.531</v>
      </c>
      <c r="D12" s="67">
        <f>INDEX('Combined Data'!$B$20:$AK$20,1,MATCH('BPEiC-CO2'!$A12,'Combined Data'!$B$2:$AK$2))*10^12</f>
        <v>177835.83503882925</v>
      </c>
      <c r="E12" s="67">
        <v>0</v>
      </c>
      <c r="F12" s="67">
        <f>INDEX('Combined Data'!$B$36:$AK$36,1,MATCH('BPEiC-CO2'!$A12,'Combined Data'!$B$2:$AK$2))*10^12</f>
        <v>214027007946.94336</v>
      </c>
      <c r="G12" s="67">
        <f>INDEX('Combined Data'!$B$42:$AK$42,1,MATCH('BPEiC-CO2'!$A12,'Combined Data'!$B$2:$AK$2))*10^12</f>
        <v>2336476787113.8618</v>
      </c>
      <c r="H12" s="67">
        <f>INDEX('Combined Data'!$B$52:$AK$52,1,MATCH('BPEiC-CO2'!$A12,'Combined Data'!$B$2:$AK$2))*10^12</f>
        <v>13172653332619.488</v>
      </c>
      <c r="I12" s="67">
        <v>0</v>
      </c>
    </row>
    <row r="13" spans="1:9">
      <c r="A13" s="27">
        <v>2026</v>
      </c>
      <c r="B13" s="67">
        <v>0</v>
      </c>
      <c r="C13" s="67">
        <f>INDEX('Combined Data'!$B$9:$AK$9,1,MATCH('BPEiC-CO2'!$A13,'Combined Data'!$B$2:$AK$2))*10^12</f>
        <v>33866643122678.078</v>
      </c>
      <c r="D13" s="67">
        <f>INDEX('Combined Data'!$B$20:$AK$20,1,MATCH('BPEiC-CO2'!$A13,'Combined Data'!$B$2:$AK$2))*10^12</f>
        <v>179567.22083602007</v>
      </c>
      <c r="E13" s="67">
        <v>0</v>
      </c>
      <c r="F13" s="67">
        <f>INDEX('Combined Data'!$B$36:$AK$36,1,MATCH('BPEiC-CO2'!$A13,'Combined Data'!$B$2:$AK$2))*10^12</f>
        <v>206557640902.51584</v>
      </c>
      <c r="G13" s="67">
        <f>INDEX('Combined Data'!$B$42:$AK$42,1,MATCH('BPEiC-CO2'!$A13,'Combined Data'!$B$2:$AK$2))*10^12</f>
        <v>2376354509262.8877</v>
      </c>
      <c r="H13" s="67">
        <f>INDEX('Combined Data'!$B$52:$AK$52,1,MATCH('BPEiC-CO2'!$A13,'Combined Data'!$B$2:$AK$2))*10^12</f>
        <v>13332802529693.992</v>
      </c>
      <c r="I13" s="67">
        <v>0</v>
      </c>
    </row>
    <row r="14" spans="1:9">
      <c r="A14" s="27">
        <v>2027</v>
      </c>
      <c r="B14" s="67">
        <v>0</v>
      </c>
      <c r="C14" s="67">
        <f>INDEX('Combined Data'!$B$9:$AK$9,1,MATCH('BPEiC-CO2'!$A14,'Combined Data'!$B$2:$AK$2))*10^12</f>
        <v>33942210759046.324</v>
      </c>
      <c r="D14" s="67">
        <f>INDEX('Combined Data'!$B$20:$AK$20,1,MATCH('BPEiC-CO2'!$A14,'Combined Data'!$B$2:$AK$2))*10^12</f>
        <v>181097.0198211332</v>
      </c>
      <c r="E14" s="67">
        <v>0</v>
      </c>
      <c r="F14" s="67">
        <f>INDEX('Combined Data'!$B$36:$AK$36,1,MATCH('BPEiC-CO2'!$A14,'Combined Data'!$B$2:$AK$2))*10^12</f>
        <v>195505594314.39825</v>
      </c>
      <c r="G14" s="67">
        <f>INDEX('Combined Data'!$B$42:$AK$42,1,MATCH('BPEiC-CO2'!$A14,'Combined Data'!$B$2:$AK$2))*10^12</f>
        <v>2414454466455.5625</v>
      </c>
      <c r="H14" s="67">
        <f>INDEX('Combined Data'!$B$52:$AK$52,1,MATCH('BPEiC-CO2'!$A14,'Combined Data'!$B$2:$AK$2))*10^12</f>
        <v>13492951726768.5</v>
      </c>
      <c r="I14" s="67">
        <v>0</v>
      </c>
    </row>
    <row r="15" spans="1:9">
      <c r="A15" s="27">
        <v>2028</v>
      </c>
      <c r="B15" s="67">
        <v>0</v>
      </c>
      <c r="C15" s="67">
        <f>INDEX('Combined Data'!$B$9:$AK$9,1,MATCH('BPEiC-CO2'!$A15,'Combined Data'!$B$2:$AK$2))*10^12</f>
        <v>34005218176863.012</v>
      </c>
      <c r="D15" s="67">
        <f>INDEX('Combined Data'!$B$20:$AK$20,1,MATCH('BPEiC-CO2'!$A15,'Combined Data'!$B$2:$AK$2))*10^12</f>
        <v>182573.12512265553</v>
      </c>
      <c r="E15" s="67">
        <v>0</v>
      </c>
      <c r="F15" s="67">
        <f>INDEX('Combined Data'!$B$36:$AK$36,1,MATCH('BPEiC-CO2'!$A15,'Combined Data'!$B$2:$AK$2))*10^12</f>
        <v>174016122726.37045</v>
      </c>
      <c r="G15" s="67">
        <f>INDEX('Combined Data'!$B$42:$AK$42,1,MATCH('BPEiC-CO2'!$A15,'Combined Data'!$B$2:$AK$2))*10^12</f>
        <v>2451198473155.6978</v>
      </c>
      <c r="H15" s="67">
        <f>INDEX('Combined Data'!$B$52:$AK$52,1,MATCH('BPEiC-CO2'!$A15,'Combined Data'!$B$2:$AK$2))*10^12</f>
        <v>13653100923843.002</v>
      </c>
      <c r="I15" s="67">
        <v>0</v>
      </c>
    </row>
    <row r="16" spans="1:9">
      <c r="A16" s="27">
        <v>2029</v>
      </c>
      <c r="B16" s="67">
        <v>0</v>
      </c>
      <c r="C16" s="67">
        <f>INDEX('Combined Data'!$B$9:$AK$9,1,MATCH('BPEiC-CO2'!$A16,'Combined Data'!$B$2:$AK$2))*10^12</f>
        <v>34037286928167.488</v>
      </c>
      <c r="D16" s="67">
        <f>INDEX('Combined Data'!$B$20:$AK$20,1,MATCH('BPEiC-CO2'!$A16,'Combined Data'!$B$2:$AK$2))*10^12</f>
        <v>184112.81504948274</v>
      </c>
      <c r="E16" s="67">
        <v>0</v>
      </c>
      <c r="F16" s="67">
        <f>INDEX('Combined Data'!$B$36:$AK$36,1,MATCH('BPEiC-CO2'!$A16,'Combined Data'!$B$2:$AK$2))*10^12</f>
        <v>161946734595.88324</v>
      </c>
      <c r="G16" s="67">
        <f>INDEX('Combined Data'!$B$42:$AK$42,1,MATCH('BPEiC-CO2'!$A16,'Combined Data'!$B$2:$AK$2))*10^12</f>
        <v>2485273707034.6694</v>
      </c>
      <c r="H16" s="67">
        <f>INDEX('Combined Data'!$B$52:$AK$52,1,MATCH('BPEiC-CO2'!$A16,'Combined Data'!$B$2:$AK$2))*10^12</f>
        <v>13813250120917.51</v>
      </c>
      <c r="I16" s="67">
        <v>0</v>
      </c>
    </row>
    <row r="17" spans="1:9">
      <c r="A17" s="27">
        <v>2030</v>
      </c>
      <c r="B17" s="67">
        <v>0</v>
      </c>
      <c r="C17" s="67">
        <f>INDEX('Combined Data'!$B$9:$AK$9,1,MATCH('BPEiC-CO2'!$A17,'Combined Data'!$B$2:$AK$2))*10^12</f>
        <v>34047802592820.219</v>
      </c>
      <c r="D17" s="67">
        <f>INDEX('Combined Data'!$B$20:$AK$20,1,MATCH('BPEiC-CO2'!$A17,'Combined Data'!$B$2:$AK$2))*10^12</f>
        <v>185858.80176063249</v>
      </c>
      <c r="E17" s="67">
        <v>0</v>
      </c>
      <c r="F17" s="67">
        <f>INDEX('Combined Data'!$B$36:$AK$36,1,MATCH('BPEiC-CO2'!$A17,'Combined Data'!$B$2:$AK$2))*10^12</f>
        <v>150714453553.87775</v>
      </c>
      <c r="G17" s="67">
        <f>INDEX('Combined Data'!$B$42:$AK$42,1,MATCH('BPEiC-CO2'!$A17,'Combined Data'!$B$2:$AK$2))*10^12</f>
        <v>2516492522315.7988</v>
      </c>
      <c r="H17" s="67">
        <f>INDEX('Combined Data'!$B$52:$AK$52,1,MATCH('BPEiC-CO2'!$A17,'Combined Data'!$B$2:$AK$2))*10^12</f>
        <v>13966759874738.83</v>
      </c>
      <c r="I17" s="67">
        <v>0</v>
      </c>
    </row>
    <row r="18" spans="1:9">
      <c r="A18" s="27">
        <v>2031</v>
      </c>
      <c r="B18" s="67">
        <v>0</v>
      </c>
      <c r="C18" s="67">
        <f>INDEX('Combined Data'!$B$9:$AK$9,1,MATCH('BPEiC-CO2'!$A18,'Combined Data'!$B$2:$AK$2))*10^12</f>
        <v>34078472707632.777</v>
      </c>
      <c r="D18" s="67">
        <f>INDEX('Combined Data'!$B$20:$AK$20,1,MATCH('BPEiC-CO2'!$A18,'Combined Data'!$B$2:$AK$2))*10^12</f>
        <v>187547.32681039558</v>
      </c>
      <c r="E18" s="67">
        <v>0</v>
      </c>
      <c r="F18" s="67">
        <f>INDEX('Combined Data'!$B$36:$AK$36,1,MATCH('BPEiC-CO2'!$A18,'Combined Data'!$B$2:$AK$2))*10^12</f>
        <v>140261219633.26944</v>
      </c>
      <c r="G18" s="67">
        <f>INDEX('Combined Data'!$B$42:$AK$42,1,MATCH('BPEiC-CO2'!$A18,'Combined Data'!$B$2:$AK$2))*10^12</f>
        <v>2543073282721.2612</v>
      </c>
      <c r="H18" s="67">
        <f>INDEX('Combined Data'!$B$52:$AK$52,1,MATCH('BPEiC-CO2'!$A18,'Combined Data'!$B$2:$AK$2))*10^12</f>
        <v>14120269628560.145</v>
      </c>
      <c r="I18" s="67">
        <v>0</v>
      </c>
    </row>
    <row r="19" spans="1:9">
      <c r="A19" s="27">
        <v>2032</v>
      </c>
      <c r="B19" s="67">
        <v>0</v>
      </c>
      <c r="C19" s="67">
        <f>INDEX('Combined Data'!$B$9:$AK$9,1,MATCH('BPEiC-CO2'!$A19,'Combined Data'!$B$2:$AK$2))*10^12</f>
        <v>34098421371681.461</v>
      </c>
      <c r="D19" s="67">
        <f>INDEX('Combined Data'!$B$20:$AK$20,1,MATCH('BPEiC-CO2'!$A19,'Combined Data'!$B$2:$AK$2))*10^12</f>
        <v>188990.93330342876</v>
      </c>
      <c r="E19" s="67">
        <v>0</v>
      </c>
      <c r="F19" s="67">
        <f>INDEX('Combined Data'!$B$36:$AK$36,1,MATCH('BPEiC-CO2'!$A19,'Combined Data'!$B$2:$AK$2))*10^12</f>
        <v>130532999782.79408</v>
      </c>
      <c r="G19" s="67">
        <f>INDEX('Combined Data'!$B$42:$AK$42,1,MATCH('BPEiC-CO2'!$A19,'Combined Data'!$B$2:$AK$2))*10^12</f>
        <v>2566469226732.208</v>
      </c>
      <c r="H19" s="67">
        <f>INDEX('Combined Data'!$B$52:$AK$52,1,MATCH('BPEiC-CO2'!$A19,'Combined Data'!$B$2:$AK$2))*10^12</f>
        <v>14273779382381.463</v>
      </c>
      <c r="I19" s="67">
        <v>0</v>
      </c>
    </row>
    <row r="20" spans="1:9">
      <c r="A20" s="27">
        <v>2033</v>
      </c>
      <c r="B20" s="67">
        <v>0</v>
      </c>
      <c r="C20" s="67">
        <f>INDEX('Combined Data'!$B$9:$AK$9,1,MATCH('BPEiC-CO2'!$A20,'Combined Data'!$B$2:$AK$2))*10^12</f>
        <v>34038552764039.395</v>
      </c>
      <c r="D20" s="67">
        <f>INDEX('Combined Data'!$B$20:$AK$20,1,MATCH('BPEiC-CO2'!$A20,'Combined Data'!$B$2:$AK$2))*10^12</f>
        <v>190385.55608511591</v>
      </c>
      <c r="E20" s="67">
        <v>0</v>
      </c>
      <c r="F20" s="67">
        <f>INDEX('Combined Data'!$B$36:$AK$36,1,MATCH('BPEiC-CO2'!$A20,'Combined Data'!$B$2:$AK$2))*10^12</f>
        <v>121479508568.69174</v>
      </c>
      <c r="G20" s="67">
        <f>INDEX('Combined Data'!$B$42:$AK$42,1,MATCH('BPEiC-CO2'!$A20,'Combined Data'!$B$2:$AK$2))*10^12</f>
        <v>2589633826497.7949</v>
      </c>
      <c r="H20" s="67">
        <f>INDEX('Combined Data'!$B$52:$AK$52,1,MATCH('BPEiC-CO2'!$A20,'Combined Data'!$B$2:$AK$2))*10^12</f>
        <v>14427289136202.775</v>
      </c>
      <c r="I20" s="67">
        <v>0</v>
      </c>
    </row>
    <row r="21" spans="1:9">
      <c r="A21" s="27">
        <v>2034</v>
      </c>
      <c r="B21" s="67">
        <v>0</v>
      </c>
      <c r="C21" s="67">
        <f>INDEX('Combined Data'!$B$9:$AK$9,1,MATCH('BPEiC-CO2'!$A21,'Combined Data'!$B$2:$AK$2))*10^12</f>
        <v>33934972024322.867</v>
      </c>
      <c r="D21" s="67">
        <f>INDEX('Combined Data'!$B$20:$AK$20,1,MATCH('BPEiC-CO2'!$A21,'Combined Data'!$B$2:$AK$2))*10^12</f>
        <v>191557.86817684825</v>
      </c>
      <c r="E21" s="67">
        <v>0</v>
      </c>
      <c r="F21" s="67">
        <f>INDEX('Combined Data'!$B$36:$AK$36,1,MATCH('BPEiC-CO2'!$A21,'Combined Data'!$B$2:$AK$2))*10^12</f>
        <v>113053948247.92842</v>
      </c>
      <c r="G21" s="67">
        <f>INDEX('Combined Data'!$B$42:$AK$42,1,MATCH('BPEiC-CO2'!$A21,'Combined Data'!$B$2:$AK$2))*10^12</f>
        <v>2614676678301.1172</v>
      </c>
      <c r="H21" s="67">
        <f>INDEX('Combined Data'!$B$52:$AK$52,1,MATCH('BPEiC-CO2'!$A21,'Combined Data'!$B$2:$AK$2))*10^12</f>
        <v>14580798890024.096</v>
      </c>
      <c r="I21" s="67">
        <v>0</v>
      </c>
    </row>
    <row r="22" spans="1:9">
      <c r="A22" s="27">
        <v>2035</v>
      </c>
      <c r="B22" s="67">
        <v>0</v>
      </c>
      <c r="C22" s="67">
        <f>INDEX('Combined Data'!$B$9:$AK$9,1,MATCH('BPEiC-CO2'!$A22,'Combined Data'!$B$2:$AK$2))*10^12</f>
        <v>33828811015274.398</v>
      </c>
      <c r="D22" s="67">
        <f>INDEX('Combined Data'!$B$20:$AK$20,1,MATCH('BPEiC-CO2'!$A22,'Combined Data'!$B$2:$AK$2))*10^12</f>
        <v>192609.60497911353</v>
      </c>
      <c r="E22" s="67">
        <v>0</v>
      </c>
      <c r="F22" s="67">
        <f>INDEX('Combined Data'!$B$36:$AK$36,1,MATCH('BPEiC-CO2'!$A22,'Combined Data'!$B$2:$AK$2))*10^12</f>
        <v>105212766869.3855</v>
      </c>
      <c r="G22" s="67">
        <f>INDEX('Combined Data'!$B$42:$AK$42,1,MATCH('BPEiC-CO2'!$A22,'Combined Data'!$B$2:$AK$2))*10^12</f>
        <v>2641175743664.7197</v>
      </c>
      <c r="H22" s="67">
        <f>INDEX('Combined Data'!$B$52:$AK$52,1,MATCH('BPEiC-CO2'!$A22,'Combined Data'!$B$2:$AK$2))*10^12</f>
        <v>14733670998635.498</v>
      </c>
      <c r="I22" s="67">
        <v>0</v>
      </c>
    </row>
    <row r="23" spans="1:9">
      <c r="A23" s="27">
        <v>2036</v>
      </c>
      <c r="B23" s="67">
        <v>0</v>
      </c>
      <c r="C23" s="67">
        <f>INDEX('Combined Data'!$B$9:$AK$9,1,MATCH('BPEiC-CO2'!$A23,'Combined Data'!$B$2:$AK$2))*10^12</f>
        <v>33744582957294.867</v>
      </c>
      <c r="D23" s="67">
        <f>INDEX('Combined Data'!$B$20:$AK$20,1,MATCH('BPEiC-CO2'!$A23,'Combined Data'!$B$2:$AK$2))*10^12</f>
        <v>193645.79887297095</v>
      </c>
      <c r="E23" s="67">
        <v>0</v>
      </c>
      <c r="F23" s="67">
        <f>INDEX('Combined Data'!$B$36:$AK$36,1,MATCH('BPEiC-CO2'!$A23,'Combined Data'!$B$2:$AK$2))*10^12</f>
        <v>97915433152.636475</v>
      </c>
      <c r="G23" s="67">
        <f>INDEX('Combined Data'!$B$42:$AK$42,1,MATCH('BPEiC-CO2'!$A23,'Combined Data'!$B$2:$AK$2))*10^12</f>
        <v>2668802751779.3037</v>
      </c>
      <c r="H23" s="67">
        <f>INDEX('Combined Data'!$B$52:$AK$52,1,MATCH('BPEiC-CO2'!$A23,'Combined Data'!$B$2:$AK$2))*10^12</f>
        <v>14886543107246.893</v>
      </c>
      <c r="I23" s="67">
        <v>0</v>
      </c>
    </row>
    <row r="24" spans="1:9">
      <c r="A24" s="27">
        <v>2037</v>
      </c>
      <c r="B24" s="67">
        <v>0</v>
      </c>
      <c r="C24" s="67">
        <f>INDEX('Combined Data'!$B$9:$AK$9,1,MATCH('BPEiC-CO2'!$A24,'Combined Data'!$B$2:$AK$2))*10^12</f>
        <v>33626854227969.27</v>
      </c>
      <c r="D24" s="67">
        <f>INDEX('Combined Data'!$B$20:$AK$20,1,MATCH('BPEiC-CO2'!$A24,'Combined Data'!$B$2:$AK$2))*10^12</f>
        <v>194682.46376405278</v>
      </c>
      <c r="E24" s="67">
        <v>0</v>
      </c>
      <c r="F24" s="67">
        <f>INDEX('Combined Data'!$B$36:$AK$36,1,MATCH('BPEiC-CO2'!$A24,'Combined Data'!$B$2:$AK$2))*10^12</f>
        <v>91124226980.650528</v>
      </c>
      <c r="G24" s="67">
        <f>INDEX('Combined Data'!$B$42:$AK$42,1,MATCH('BPEiC-CO2'!$A24,'Combined Data'!$B$2:$AK$2))*10^12</f>
        <v>2697370081582.2915</v>
      </c>
      <c r="H24" s="67">
        <f>INDEX('Combined Data'!$B$52:$AK$52,1,MATCH('BPEiC-CO2'!$A24,'Combined Data'!$B$2:$AK$2))*10^12</f>
        <v>15039415215858.295</v>
      </c>
      <c r="I24" s="67">
        <v>0</v>
      </c>
    </row>
    <row r="25" spans="1:9">
      <c r="A25" s="27">
        <v>2038</v>
      </c>
      <c r="B25" s="67">
        <v>0</v>
      </c>
      <c r="C25" s="67">
        <f>INDEX('Combined Data'!$B$9:$AK$9,1,MATCH('BPEiC-CO2'!$A25,'Combined Data'!$B$2:$AK$2))*10^12</f>
        <v>33496463643108.277</v>
      </c>
      <c r="D25" s="67">
        <f>INDEX('Combined Data'!$B$20:$AK$20,1,MATCH('BPEiC-CO2'!$A25,'Combined Data'!$B$2:$AK$2))*10^12</f>
        <v>195839.23294737728</v>
      </c>
      <c r="E25" s="67">
        <v>0</v>
      </c>
      <c r="F25" s="67">
        <f>INDEX('Combined Data'!$B$36:$AK$36,1,MATCH('BPEiC-CO2'!$A25,'Combined Data'!$B$2:$AK$2))*10^12</f>
        <v>84804044423.488983</v>
      </c>
      <c r="G25" s="67">
        <f>INDEX('Combined Data'!$B$42:$AK$42,1,MATCH('BPEiC-CO2'!$A25,'Combined Data'!$B$2:$AK$2))*10^12</f>
        <v>2726596350710.5361</v>
      </c>
      <c r="H25" s="67">
        <f>INDEX('Combined Data'!$B$52:$AK$52,1,MATCH('BPEiC-CO2'!$A25,'Combined Data'!$B$2:$AK$2))*10^12</f>
        <v>15192287324469.688</v>
      </c>
      <c r="I25" s="67">
        <v>0</v>
      </c>
    </row>
    <row r="26" spans="1:9">
      <c r="A26" s="27">
        <v>2039</v>
      </c>
      <c r="B26" s="67">
        <v>0</v>
      </c>
      <c r="C26" s="67">
        <f>INDEX('Combined Data'!$B$9:$AK$9,1,MATCH('BPEiC-CO2'!$A26,'Combined Data'!$B$2:$AK$2))*10^12</f>
        <v>33355360051413.113</v>
      </c>
      <c r="D26" s="67">
        <f>INDEX('Combined Data'!$B$20:$AK$20,1,MATCH('BPEiC-CO2'!$A26,'Combined Data'!$B$2:$AK$2))*10^12</f>
        <v>197116.57742016876</v>
      </c>
      <c r="E26" s="67">
        <v>0</v>
      </c>
      <c r="F26" s="67">
        <f>INDEX('Combined Data'!$B$36:$AK$36,1,MATCH('BPEiC-CO2'!$A26,'Combined Data'!$B$2:$AK$2))*10^12</f>
        <v>78922216285.118118</v>
      </c>
      <c r="G26" s="67">
        <f>INDEX('Combined Data'!$B$42:$AK$42,1,MATCH('BPEiC-CO2'!$A26,'Combined Data'!$B$2:$AK$2))*10^12</f>
        <v>2756387708527.3398</v>
      </c>
      <c r="H26" s="67">
        <f>INDEX('Combined Data'!$B$52:$AK$52,1,MATCH('BPEiC-CO2'!$A26,'Combined Data'!$B$2:$AK$2))*10^12</f>
        <v>15345159433081.09</v>
      </c>
      <c r="I26" s="67">
        <v>0</v>
      </c>
    </row>
    <row r="27" spans="1:9">
      <c r="A27" s="27">
        <v>2040</v>
      </c>
      <c r="B27" s="67">
        <v>0</v>
      </c>
      <c r="C27" s="67">
        <f>INDEX('Combined Data'!$B$9:$AK$9,1,MATCH('BPEiC-CO2'!$A27,'Combined Data'!$B$2:$AK$2))*10^12</f>
        <v>33208044265949.703</v>
      </c>
      <c r="D27" s="67">
        <f>INDEX('Combined Data'!$B$20:$AK$20,1,MATCH('BPEiC-CO2'!$A27,'Combined Data'!$B$2:$AK$2))*10^12</f>
        <v>198531.45308250864</v>
      </c>
      <c r="E27" s="67">
        <v>0</v>
      </c>
      <c r="F27" s="67">
        <f>INDEX('Combined Data'!$B$36:$AK$36,1,MATCH('BPEiC-CO2'!$A27,'Combined Data'!$B$2:$AK$2))*10^12</f>
        <v>73448339235.454361</v>
      </c>
      <c r="G27" s="67">
        <f>INDEX('Combined Data'!$B$42:$AK$42,1,MATCH('BPEiC-CO2'!$A27,'Combined Data'!$B$2:$AK$2))*10^12</f>
        <v>2786509660705.603</v>
      </c>
      <c r="H27" s="67">
        <f>INDEX('Combined Data'!$B$52:$AK$52,1,MATCH('BPEiC-CO2'!$A27,'Combined Data'!$B$2:$AK$2))*10^12</f>
        <v>15499661200671.455</v>
      </c>
      <c r="I27" s="67">
        <v>0</v>
      </c>
    </row>
    <row r="28" spans="1:9">
      <c r="A28" s="27">
        <v>2041</v>
      </c>
      <c r="B28" s="67">
        <v>0</v>
      </c>
      <c r="C28" s="67">
        <f>INDEX('Combined Data'!$B$9:$AK$9,1,MATCH('BPEiC-CO2'!$A28,'Combined Data'!$B$2:$AK$2))*10^12</f>
        <v>33135642201538.645</v>
      </c>
      <c r="D28" s="67">
        <f>INDEX('Combined Data'!$B$20:$AK$20,1,MATCH('BPEiC-CO2'!$A28,'Combined Data'!$B$2:$AK$2))*10^12</f>
        <v>199694.19668793949</v>
      </c>
      <c r="E28" s="67">
        <v>0</v>
      </c>
      <c r="F28" s="67">
        <f>INDEX('Combined Data'!$B$36:$AK$36,1,MATCH('BPEiC-CO2'!$A28,'Combined Data'!$B$2:$AK$2))*10^12</f>
        <v>69949656479.388718</v>
      </c>
      <c r="G28" s="67">
        <f>INDEX('Combined Data'!$B$42:$AK$42,1,MATCH('BPEiC-CO2'!$A28,'Combined Data'!$B$2:$AK$2))*10^12</f>
        <v>2809965945119.8325</v>
      </c>
      <c r="H28" s="67">
        <f>INDEX('Combined Data'!$B$52:$AK$52,1,MATCH('BPEiC-CO2'!$A28,'Combined Data'!$B$2:$AK$2))*10^12</f>
        <v>15654162968261.828</v>
      </c>
      <c r="I28" s="67">
        <v>0</v>
      </c>
    </row>
    <row r="29" spans="1:9">
      <c r="A29" s="27">
        <v>2042</v>
      </c>
      <c r="B29" s="67">
        <v>0</v>
      </c>
      <c r="C29" s="67">
        <f>INDEX('Combined Data'!$B$9:$AK$9,1,MATCH('BPEiC-CO2'!$A29,'Combined Data'!$B$2:$AK$2))*10^12</f>
        <v>33064581855312.363</v>
      </c>
      <c r="D29" s="67">
        <f>INDEX('Combined Data'!$B$20:$AK$20,1,MATCH('BPEiC-CO2'!$A29,'Combined Data'!$B$2:$AK$2))*10^12</f>
        <v>200863.75015987249</v>
      </c>
      <c r="E29" s="67">
        <v>0</v>
      </c>
      <c r="F29" s="67">
        <f>INDEX('Combined Data'!$B$36:$AK$36,1,MATCH('BPEiC-CO2'!$A29,'Combined Data'!$B$2:$AK$2))*10^12</f>
        <v>66617632100.558128</v>
      </c>
      <c r="G29" s="67">
        <f>INDEX('Combined Data'!$B$42:$AK$42,1,MATCH('BPEiC-CO2'!$A29,'Combined Data'!$B$2:$AK$2))*10^12</f>
        <v>2833623311366.2065</v>
      </c>
      <c r="H29" s="67">
        <f>INDEX('Combined Data'!$B$52:$AK$52,1,MATCH('BPEiC-CO2'!$A29,'Combined Data'!$B$2:$AK$2))*10^12</f>
        <v>15808664735852.195</v>
      </c>
      <c r="I29" s="67">
        <v>0</v>
      </c>
    </row>
    <row r="30" spans="1:9">
      <c r="A30" s="27">
        <v>2043</v>
      </c>
      <c r="B30" s="67">
        <v>0</v>
      </c>
      <c r="C30" s="67">
        <f>INDEX('Combined Data'!$B$9:$AK$9,1,MATCH('BPEiC-CO2'!$A30,'Combined Data'!$B$2:$AK$2))*10^12</f>
        <v>33204862554856.348</v>
      </c>
      <c r="D30" s="67">
        <f>INDEX('Combined Data'!$B$20:$AK$20,1,MATCH('BPEiC-CO2'!$A30,'Combined Data'!$B$2:$AK$2))*10^12</f>
        <v>202040.15338180526</v>
      </c>
      <c r="E30" s="67">
        <v>0</v>
      </c>
      <c r="F30" s="67">
        <f>INDEX('Combined Data'!$B$36:$AK$36,1,MATCH('BPEiC-CO2'!$A30,'Combined Data'!$B$2:$AK$2))*10^12</f>
        <v>63444327392.701088</v>
      </c>
      <c r="G30" s="67">
        <f>INDEX('Combined Data'!$B$42:$AK$42,1,MATCH('BPEiC-CO2'!$A30,'Combined Data'!$B$2:$AK$2))*10^12</f>
        <v>2857483365305.0693</v>
      </c>
      <c r="H30" s="67">
        <f>INDEX('Combined Data'!$B$52:$AK$52,1,MATCH('BPEiC-CO2'!$A30,'Combined Data'!$B$2:$AK$2))*10^12</f>
        <v>15963166503442.562</v>
      </c>
      <c r="I30" s="67">
        <v>0</v>
      </c>
    </row>
    <row r="31" spans="1:9">
      <c r="A31" s="27">
        <v>2044</v>
      </c>
      <c r="B31" s="67">
        <v>0</v>
      </c>
      <c r="C31" s="67">
        <f>INDEX('Combined Data'!$B$9:$AK$9,1,MATCH('BPEiC-CO2'!$A31,'Combined Data'!$B$2:$AK$2))*10^12</f>
        <v>33346254655781.152</v>
      </c>
      <c r="D31" s="67">
        <f>INDEX('Combined Data'!$B$20:$AK$20,1,MATCH('BPEiC-CO2'!$A31,'Combined Data'!$B$2:$AK$2))*10^12</f>
        <v>203223.44647082189</v>
      </c>
      <c r="E31" s="67">
        <v>0</v>
      </c>
      <c r="F31" s="67">
        <f>INDEX('Combined Data'!$B$36:$AK$36,1,MATCH('BPEiC-CO2'!$A31,'Combined Data'!$B$2:$AK$2))*10^12</f>
        <v>60422181806.706978</v>
      </c>
      <c r="G31" s="67">
        <f>INDEX('Combined Data'!$B$42:$AK$42,1,MATCH('BPEiC-CO2'!$A31,'Combined Data'!$B$2:$AK$2))*10^12</f>
        <v>2881547729529.958</v>
      </c>
      <c r="H31" s="67">
        <f>INDEX('Combined Data'!$B$52:$AK$52,1,MATCH('BPEiC-CO2'!$A31,'Combined Data'!$B$2:$AK$2))*10^12</f>
        <v>16117668271032.934</v>
      </c>
      <c r="I31" s="67">
        <v>0</v>
      </c>
    </row>
    <row r="32" spans="1:9">
      <c r="A32" s="27">
        <v>2045</v>
      </c>
      <c r="B32" s="67">
        <v>0</v>
      </c>
      <c r="C32" s="67">
        <f>INDEX('Combined Data'!$B$9:$AK$9,1,MATCH('BPEiC-CO2'!$A32,'Combined Data'!$B$2:$AK$2))*10^12</f>
        <v>33488766632144.488</v>
      </c>
      <c r="D32" s="67">
        <f>INDEX('Combined Data'!$B$20:$AK$20,1,MATCH('BPEiC-CO2'!$A32,'Combined Data'!$B$2:$AK$2))*10^12</f>
        <v>204413.66977896119</v>
      </c>
      <c r="E32" s="67">
        <v>0</v>
      </c>
      <c r="F32" s="67">
        <f>INDEX('Combined Data'!$B$36:$AK$36,1,MATCH('BPEiC-CO2'!$A32,'Combined Data'!$B$2:$AK$2))*10^12</f>
        <v>57543994937.248871</v>
      </c>
      <c r="G32" s="67">
        <f>INDEX('Combined Data'!$B$42:$AK$42,1,MATCH('BPEiC-CO2'!$A32,'Combined Data'!$B$2:$AK$2))*10^12</f>
        <v>2905818043404.3716</v>
      </c>
      <c r="H32" s="67">
        <f>INDEX('Combined Data'!$B$52:$AK$52,1,MATCH('BPEiC-CO2'!$A32,'Combined Data'!$B$2:$AK$2))*10^12</f>
        <v>16272332219401.615</v>
      </c>
      <c r="I32" s="67">
        <v>0</v>
      </c>
    </row>
    <row r="33" spans="1:9">
      <c r="A33" s="27">
        <v>2046</v>
      </c>
      <c r="B33" s="67">
        <v>0</v>
      </c>
      <c r="C33" s="67">
        <f>INDEX('Combined Data'!$B$9:$AK$9,1,MATCH('BPEiC-CO2'!$A33,'Combined Data'!$B$2:$AK$2))*10^12</f>
        <v>33632407022729.625</v>
      </c>
      <c r="D33" s="67">
        <f>INDEX('Combined Data'!$B$20:$AK$20,1,MATCH('BPEiC-CO2'!$A33,'Combined Data'!$B$2:$AK$2))*10^12</f>
        <v>205610.86389459268</v>
      </c>
      <c r="E33" s="67">
        <v>0</v>
      </c>
      <c r="F33" s="67">
        <f>INDEX('Combined Data'!$B$36:$AK$36,1,MATCH('BPEiC-CO2'!$A33,'Combined Data'!$B$2:$AK$2))*10^12</f>
        <v>54802909367.476067</v>
      </c>
      <c r="G33" s="67">
        <f>INDEX('Combined Data'!$B$42:$AK$42,1,MATCH('BPEiC-CO2'!$A33,'Combined Data'!$B$2:$AK$2))*10^12</f>
        <v>2930295963102.3413</v>
      </c>
      <c r="H33" s="67">
        <f>INDEX('Combined Data'!$B$52:$AK$52,1,MATCH('BPEiC-CO2'!$A33,'Combined Data'!$B$2:$AK$2))*10^12</f>
        <v>16426996167770.299</v>
      </c>
      <c r="I33" s="67">
        <v>0</v>
      </c>
    </row>
    <row r="34" spans="1:9">
      <c r="A34" s="27">
        <v>2047</v>
      </c>
      <c r="B34" s="67">
        <v>0</v>
      </c>
      <c r="C34" s="67">
        <f>INDEX('Combined Data'!$B$9:$AK$9,1,MATCH('BPEiC-CO2'!$A34,'Combined Data'!$B$2:$AK$2))*10^12</f>
        <v>33777184431539.836</v>
      </c>
      <c r="D34" s="67">
        <f>INDEX('Combined Data'!$B$20:$AK$20,1,MATCH('BPEiC-CO2'!$A34,'Combined Data'!$B$2:$AK$2))*10^12</f>
        <v>206815.06964380058</v>
      </c>
      <c r="E34" s="67">
        <v>0</v>
      </c>
      <c r="F34" s="67">
        <f>INDEX('Combined Data'!$B$36:$AK$36,1,MATCH('BPEiC-CO2'!$A34,'Combined Data'!$B$2:$AK$2))*10^12</f>
        <v>52192394330.892868</v>
      </c>
      <c r="G34" s="67">
        <f>INDEX('Combined Data'!$B$42:$AK$42,1,MATCH('BPEiC-CO2'!$A34,'Combined Data'!$B$2:$AK$2))*10^12</f>
        <v>2954983161652.728</v>
      </c>
      <c r="H34" s="67">
        <f>INDEX('Combined Data'!$B$52:$AK$52,1,MATCH('BPEiC-CO2'!$A34,'Combined Data'!$B$2:$AK$2))*10^12</f>
        <v>16581660116138.98</v>
      </c>
      <c r="I34" s="67">
        <v>0</v>
      </c>
    </row>
    <row r="35" spans="1:9">
      <c r="A35" s="27">
        <v>2048</v>
      </c>
      <c r="B35" s="67">
        <v>0</v>
      </c>
      <c r="C35" s="67">
        <f>INDEX('Combined Data'!$B$9:$AK$9,1,MATCH('BPEiC-CO2'!$A35,'Combined Data'!$B$2:$AK$2))*10^12</f>
        <v>33923107528296.469</v>
      </c>
      <c r="D35" s="67">
        <f>INDEX('Combined Data'!$B$20:$AK$20,1,MATCH('BPEiC-CO2'!$A35,'Combined Data'!$B$2:$AK$2))*10^12</f>
        <v>208026.3280917762</v>
      </c>
      <c r="E35" s="67">
        <v>0</v>
      </c>
      <c r="F35" s="67">
        <f>INDEX('Combined Data'!$B$36:$AK$36,1,MATCH('BPEiC-CO2'!$A35,'Combined Data'!$B$2:$AK$2))*10^12</f>
        <v>49706230151.497398</v>
      </c>
      <c r="G35" s="67">
        <f>INDEX('Combined Data'!$B$42:$AK$42,1,MATCH('BPEiC-CO2'!$A35,'Combined Data'!$B$2:$AK$2))*10^12</f>
        <v>2979881328987.165</v>
      </c>
      <c r="H35" s="67">
        <f>INDEX('Combined Data'!$B$52:$AK$52,1,MATCH('BPEiC-CO2'!$A35,'Combined Data'!$B$2:$AK$2))*10^12</f>
        <v>16736324064507.656</v>
      </c>
      <c r="I35" s="67">
        <v>0</v>
      </c>
    </row>
    <row r="36" spans="1:9">
      <c r="A36" s="27">
        <v>2049</v>
      </c>
      <c r="B36" s="67">
        <v>0</v>
      </c>
      <c r="C36" s="67">
        <f>INDEX('Combined Data'!$B$9:$AK$9,1,MATCH('BPEiC-CO2'!$A36,'Combined Data'!$B$2:$AK$2))*10^12</f>
        <v>34070185048940.863</v>
      </c>
      <c r="D36" s="67">
        <f>INDEX('Combined Data'!$B$20:$AK$20,1,MATCH('BPEiC-CO2'!$A36,'Combined Data'!$B$2:$AK$2))*10^12</f>
        <v>209244.68054421834</v>
      </c>
      <c r="E36" s="67">
        <v>0</v>
      </c>
      <c r="F36" s="67">
        <f>INDEX('Combined Data'!$B$36:$AK$36,1,MATCH('BPEiC-CO2'!$A36,'Combined Data'!$B$2:$AK$2))*10^12</f>
        <v>47338493425.108261</v>
      </c>
      <c r="G36" s="67">
        <f>INDEX('Combined Data'!$B$42:$AK$42,1,MATCH('BPEiC-CO2'!$A36,'Combined Data'!$B$2:$AK$2))*10^12</f>
        <v>3004992171991.5503</v>
      </c>
      <c r="H36" s="67">
        <f>INDEX('Combined Data'!$B$52:$AK$52,1,MATCH('BPEiC-CO2'!$A36,'Combined Data'!$B$2:$AK$2))*10^12</f>
        <v>16890988012876.338</v>
      </c>
      <c r="I36" s="67">
        <v>0</v>
      </c>
    </row>
    <row r="37" spans="1:9">
      <c r="A37" s="27">
        <v>2050</v>
      </c>
      <c r="B37" s="67">
        <v>0</v>
      </c>
      <c r="C37" s="67">
        <f>INDEX('Combined Data'!$B$9:$AK$9,1,MATCH('BPEiC-CO2'!$A37,'Combined Data'!$B$2:$AK$2))*10^12</f>
        <v>34218425796140.082</v>
      </c>
      <c r="D37" s="67">
        <f>INDEX('Combined Data'!$B$20:$AK$20,1,MATCH('BPEiC-CO2'!$A37,'Combined Data'!$B$2:$AK$2))*10^12</f>
        <v>210470.16854874173</v>
      </c>
      <c r="E37" s="67">
        <v>0</v>
      </c>
      <c r="F37" s="67">
        <f>INDEX('Combined Data'!$B$36:$AK$36,1,MATCH('BPEiC-CO2'!$A37,'Combined Data'!$B$2:$AK$2))*10^12</f>
        <v>45083542906.572838</v>
      </c>
      <c r="G37" s="67">
        <f>INDEX('Combined Data'!$B$42:$AK$42,1,MATCH('BPEiC-CO2'!$A37,'Combined Data'!$B$2:$AK$2))*10^12</f>
        <v>3030317414561.0469</v>
      </c>
      <c r="H37" s="67">
        <f>INDEX('Combined Data'!$B$52:$AK$52,1,MATCH('BPEiC-CO2'!$A37,'Combined Data'!$B$2:$AK$2))*10^12</f>
        <v>17045651961245.021</v>
      </c>
      <c r="I37" s="67">
        <v>0</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0">
    <tabColor theme="3"/>
  </sheetPr>
  <dimension ref="A1:I37"/>
  <sheetViews>
    <sheetView workbookViewId="0">
      <selection activeCell="E8" sqref="E8"/>
    </sheetView>
  </sheetViews>
  <sheetFormatPr baseColWidth="10" defaultColWidth="10.33203125" defaultRowHeight="15"/>
  <cols>
    <col min="1" max="1" width="10.33203125" style="27"/>
    <col min="2" max="9" width="20.1640625" style="27" customWidth="1"/>
    <col min="10" max="16384" width="10.33203125" style="25"/>
  </cols>
  <sheetData>
    <row r="1" spans="1:9">
      <c r="A1" s="27" t="s">
        <v>5</v>
      </c>
      <c r="B1" s="27" t="s">
        <v>142</v>
      </c>
      <c r="C1" s="27" t="s">
        <v>143</v>
      </c>
      <c r="D1" s="27" t="s">
        <v>144</v>
      </c>
      <c r="E1" s="27" t="s">
        <v>145</v>
      </c>
      <c r="F1" s="27" t="s">
        <v>146</v>
      </c>
      <c r="G1" s="27" t="s">
        <v>147</v>
      </c>
      <c r="H1" s="27" t="s">
        <v>148</v>
      </c>
      <c r="I1" s="27" t="s">
        <v>149</v>
      </c>
    </row>
    <row r="2" spans="1:9">
      <c r="A2" s="27">
        <v>2015</v>
      </c>
      <c r="B2" s="67">
        <v>0</v>
      </c>
      <c r="C2" s="67">
        <v>0</v>
      </c>
      <c r="D2" s="67">
        <v>0</v>
      </c>
      <c r="E2" s="67">
        <f>INDEX('Combined Data'!$B$26:$AK$26,1,MATCH('BPEiC-CO2'!$A2,'Combined Data'!$B$2:$AK$2))*10^12</f>
        <v>0</v>
      </c>
      <c r="F2" s="67">
        <v>0</v>
      </c>
      <c r="G2" s="67">
        <f>INDEX('Combined Data'!$B$41:$AK$41,1,MATCH('BPEiC-CO2'!$A2,'Combined Data'!$B$2:$AK$2))*10^12</f>
        <v>86061143389.816757</v>
      </c>
      <c r="H2" s="67">
        <f>INDEX('Combined Data'!$B$51:$AK$51,1,MATCH('BPEiC-CO2'!$A2,'Combined Data'!$B$2:$AK$2))*10^12</f>
        <v>6359999999999.999</v>
      </c>
      <c r="I2" s="67">
        <f>INDEX('Combined Data'!$B$67:$AK$67,1,MATCH('BPEiC-CO2'!$A2,'Combined Data'!$B$2:$AK$2))*10^12</f>
        <v>26068580699.400776</v>
      </c>
    </row>
    <row r="3" spans="1:9">
      <c r="A3" s="27">
        <v>2016</v>
      </c>
      <c r="B3" s="67">
        <v>0</v>
      </c>
      <c r="C3" s="67">
        <v>0</v>
      </c>
      <c r="D3" s="67">
        <v>0</v>
      </c>
      <c r="E3" s="67">
        <f>INDEX('Combined Data'!$B$26:$AK$26,1,MATCH('BPEiC-CO2'!$A3,'Combined Data'!$B$2:$AK$2))*10^12</f>
        <v>829744607992.70496</v>
      </c>
      <c r="F3" s="67">
        <v>0</v>
      </c>
      <c r="G3" s="67">
        <f>INDEX('Combined Data'!$B$41:$AK$41,1,MATCH('BPEiC-CO2'!$A3,'Combined Data'!$B$2:$AK$2))*10^12</f>
        <v>87568351011.448578</v>
      </c>
      <c r="H3" s="67">
        <f>INDEX('Combined Data'!$B$51:$AK$51,1,MATCH('BPEiC-CO2'!$A3,'Combined Data'!$B$2:$AK$2))*10^12</f>
        <v>6555586116427.4014</v>
      </c>
      <c r="I3" s="67">
        <f>INDEX('Combined Data'!$B$67:$AK$67,1,MATCH('BPEiC-CO2'!$A3,'Combined Data'!$B$2:$AK$2))*10^12</f>
        <v>0</v>
      </c>
    </row>
    <row r="4" spans="1:9">
      <c r="A4" s="27">
        <v>2017</v>
      </c>
      <c r="B4" s="67">
        <v>0</v>
      </c>
      <c r="C4" s="67">
        <v>0</v>
      </c>
      <c r="D4" s="67">
        <v>0</v>
      </c>
      <c r="E4" s="67">
        <f>INDEX('Combined Data'!$B$26:$AK$26,1,MATCH('BPEiC-CO2'!$A4,'Combined Data'!$B$2:$AK$2))*10^12</f>
        <v>820615230954.33789</v>
      </c>
      <c r="F4" s="67">
        <v>0</v>
      </c>
      <c r="G4" s="67">
        <f>INDEX('Combined Data'!$B$41:$AK$41,1,MATCH('BPEiC-CO2'!$A4,'Combined Data'!$B$2:$AK$2))*10^12</f>
        <v>88721406022.533066</v>
      </c>
      <c r="H4" s="67">
        <f>INDEX('Combined Data'!$B$51:$AK$51,1,MATCH('BPEiC-CO2'!$A4,'Combined Data'!$B$2:$AK$2))*10^12</f>
        <v>6662955409793.7012</v>
      </c>
      <c r="I4" s="67">
        <f>INDEX('Combined Data'!$B$67:$AK$67,1,MATCH('BPEiC-CO2'!$A4,'Combined Data'!$B$2:$AK$2))*10^12</f>
        <v>0</v>
      </c>
    </row>
    <row r="5" spans="1:9">
      <c r="A5" s="27">
        <v>2018</v>
      </c>
      <c r="B5" s="67">
        <v>0</v>
      </c>
      <c r="C5" s="67">
        <v>0</v>
      </c>
      <c r="D5" s="67">
        <v>0</v>
      </c>
      <c r="E5" s="67">
        <f>INDEX('Combined Data'!$B$26:$AK$26,1,MATCH('BPEiC-CO2'!$A5,'Combined Data'!$B$2:$AK$2))*10^12</f>
        <v>811586301119.00818</v>
      </c>
      <c r="F5" s="67">
        <v>0</v>
      </c>
      <c r="G5" s="67">
        <f>INDEX('Combined Data'!$B$41:$AK$41,1,MATCH('BPEiC-CO2'!$A5,'Combined Data'!$B$2:$AK$2))*10^12</f>
        <v>89927995730.56073</v>
      </c>
      <c r="H5" s="67">
        <f>INDEX('Combined Data'!$B$51:$AK$51,1,MATCH('BPEiC-CO2'!$A5,'Combined Data'!$B$2:$AK$2))*10^12</f>
        <v>6764250330226.3076</v>
      </c>
      <c r="I5" s="67">
        <f>INDEX('Combined Data'!$B$67:$AK$67,1,MATCH('BPEiC-CO2'!$A5,'Combined Data'!$B$2:$AK$2))*10^12</f>
        <v>0</v>
      </c>
    </row>
    <row r="6" spans="1:9">
      <c r="A6" s="27">
        <v>2019</v>
      </c>
      <c r="B6" s="67">
        <v>0</v>
      </c>
      <c r="C6" s="67">
        <v>0</v>
      </c>
      <c r="D6" s="67">
        <v>0</v>
      </c>
      <c r="E6" s="67">
        <f>INDEX('Combined Data'!$B$26:$AK$26,1,MATCH('BPEiC-CO2'!$A6,'Combined Data'!$B$2:$AK$2))*10^12</f>
        <v>802656713302.80847</v>
      </c>
      <c r="F6" s="67">
        <v>0</v>
      </c>
      <c r="G6" s="67">
        <f>INDEX('Combined Data'!$B$41:$AK$41,1,MATCH('BPEiC-CO2'!$A6,'Combined Data'!$B$2:$AK$2))*10^12</f>
        <v>91377550601.638351</v>
      </c>
      <c r="H6" s="67">
        <f>INDEX('Combined Data'!$B$51:$AK$51,1,MATCH('BPEiC-CO2'!$A6,'Combined Data'!$B$2:$AK$2))*10^12</f>
        <v>6855277409784.7959</v>
      </c>
      <c r="I6" s="67">
        <f>INDEX('Combined Data'!$B$67:$AK$67,1,MATCH('BPEiC-CO2'!$A6,'Combined Data'!$B$2:$AK$2))*10^12</f>
        <v>0</v>
      </c>
    </row>
    <row r="7" spans="1:9">
      <c r="A7" s="27">
        <v>2020</v>
      </c>
      <c r="B7" s="67">
        <v>0</v>
      </c>
      <c r="C7" s="67">
        <v>0</v>
      </c>
      <c r="D7" s="67">
        <v>0</v>
      </c>
      <c r="E7" s="67">
        <f>INDEX('Combined Data'!$B$26:$AK$26,1,MATCH('BPEiC-CO2'!$A7,'Combined Data'!$B$2:$AK$2))*10^12</f>
        <v>793825374481.76453</v>
      </c>
      <c r="F7" s="67">
        <v>0</v>
      </c>
      <c r="G7" s="67">
        <f>INDEX('Combined Data'!$B$41:$AK$41,1,MATCH('BPEiC-CO2'!$A7,'Combined Data'!$B$2:$AK$2))*10^12</f>
        <v>93028890099.655762</v>
      </c>
      <c r="H7" s="67">
        <f>INDEX('Combined Data'!$B$51:$AK$51,1,MATCH('BPEiC-CO2'!$A7,'Combined Data'!$B$2:$AK$2))*10^12</f>
        <v>6956498078440.9707</v>
      </c>
      <c r="I7" s="67">
        <f>INDEX('Combined Data'!$B$67:$AK$67,1,MATCH('BPEiC-CO2'!$A7,'Combined Data'!$B$2:$AK$2))*10^12</f>
        <v>0</v>
      </c>
    </row>
    <row r="8" spans="1:9">
      <c r="A8" s="27">
        <v>2021</v>
      </c>
      <c r="B8" s="67">
        <v>0</v>
      </c>
      <c r="C8" s="67">
        <v>0</v>
      </c>
      <c r="D8" s="67">
        <v>0</v>
      </c>
      <c r="E8" s="67">
        <f>INDEX('Combined Data'!$B$26:$AK$26,1,MATCH('BPEiC-CO2'!$A8,'Combined Data'!$B$2:$AK$2))*10^12</f>
        <v>785091203658.04663</v>
      </c>
      <c r="F8" s="67">
        <v>0</v>
      </c>
      <c r="G8" s="67">
        <f>INDEX('Combined Data'!$B$41:$AK$41,1,MATCH('BPEiC-CO2'!$A8,'Combined Data'!$B$2:$AK$2))*10^12</f>
        <v>94793476071.976089</v>
      </c>
      <c r="H8" s="67">
        <f>INDEX('Combined Data'!$B$51:$AK$51,1,MATCH('BPEiC-CO2'!$A8,'Combined Data'!$B$2:$AK$2))*10^12</f>
        <v>7059066919441.0117</v>
      </c>
      <c r="I8" s="67">
        <f>INDEX('Combined Data'!$B$67:$AK$67,1,MATCH('BPEiC-CO2'!$A8,'Combined Data'!$B$2:$AK$2))*10^12</f>
        <v>0</v>
      </c>
    </row>
    <row r="9" spans="1:9">
      <c r="A9" s="27">
        <v>2022</v>
      </c>
      <c r="B9" s="67">
        <v>0</v>
      </c>
      <c r="C9" s="67">
        <v>0</v>
      </c>
      <c r="D9" s="67">
        <v>0</v>
      </c>
      <c r="E9" s="67">
        <f>INDEX('Combined Data'!$B$26:$AK$26,1,MATCH('BPEiC-CO2'!$A9,'Combined Data'!$B$2:$AK$2))*10^12</f>
        <v>776453131727.6499</v>
      </c>
      <c r="F9" s="67">
        <v>0</v>
      </c>
      <c r="G9" s="67">
        <f>INDEX('Combined Data'!$B$41:$AK$41,1,MATCH('BPEiC-CO2'!$A9,'Combined Data'!$B$2:$AK$2))*10^12</f>
        <v>96683662679.432434</v>
      </c>
      <c r="H9" s="67">
        <f>INDEX('Combined Data'!$B$51:$AK$51,1,MATCH('BPEiC-CO2'!$A9,'Combined Data'!$B$2:$AK$2))*10^12</f>
        <v>7158014165110.4658</v>
      </c>
      <c r="I9" s="67">
        <f>INDEX('Combined Data'!$B$67:$AK$67,1,MATCH('BPEiC-CO2'!$A9,'Combined Data'!$B$2:$AK$2))*10^12</f>
        <v>0</v>
      </c>
    </row>
    <row r="10" spans="1:9">
      <c r="A10" s="27">
        <v>2023</v>
      </c>
      <c r="B10" s="67">
        <v>0</v>
      </c>
      <c r="C10" s="67">
        <v>0</v>
      </c>
      <c r="D10" s="67">
        <v>0</v>
      </c>
      <c r="E10" s="67">
        <f>INDEX('Combined Data'!$B$26:$AK$26,1,MATCH('BPEiC-CO2'!$A10,'Combined Data'!$B$2:$AK$2))*10^12</f>
        <v>767910101349.53015</v>
      </c>
      <c r="F10" s="67">
        <v>0</v>
      </c>
      <c r="G10" s="67">
        <f>INDEX('Combined Data'!$B$41:$AK$41,1,MATCH('BPEiC-CO2'!$A10,'Combined Data'!$B$2:$AK$2))*10^12</f>
        <v>98658269385.914566</v>
      </c>
      <c r="H10" s="67">
        <f>INDEX('Combined Data'!$B$51:$AK$51,1,MATCH('BPEiC-CO2'!$A10,'Combined Data'!$B$2:$AK$2))*10^12</f>
        <v>7283094487676.6748</v>
      </c>
      <c r="I10" s="67">
        <f>INDEX('Combined Data'!$B$67:$AK$67,1,MATCH('BPEiC-CO2'!$A10,'Combined Data'!$B$2:$AK$2))*10^12</f>
        <v>0</v>
      </c>
    </row>
    <row r="11" spans="1:9">
      <c r="A11" s="27">
        <v>2024</v>
      </c>
      <c r="B11" s="67">
        <v>0</v>
      </c>
      <c r="C11" s="67">
        <v>0</v>
      </c>
      <c r="D11" s="67">
        <v>0</v>
      </c>
      <c r="E11" s="67">
        <f>INDEX('Combined Data'!$B$26:$AK$26,1,MATCH('BPEiC-CO2'!$A11,'Combined Data'!$B$2:$AK$2))*10^12</f>
        <v>759461066816.18079</v>
      </c>
      <c r="F11" s="67">
        <v>0</v>
      </c>
      <c r="G11" s="67">
        <f>INDEX('Combined Data'!$B$41:$AK$41,1,MATCH('BPEiC-CO2'!$A11,'Combined Data'!$B$2:$AK$2))*10^12</f>
        <v>100628758038.78571</v>
      </c>
      <c r="H11" s="67">
        <f>INDEX('Combined Data'!$B$51:$AK$51,1,MATCH('BPEiC-CO2'!$A11,'Combined Data'!$B$2:$AK$2))*10^12</f>
        <v>7408998639484.9512</v>
      </c>
      <c r="I11" s="67">
        <f>INDEX('Combined Data'!$B$67:$AK$67,1,MATCH('BPEiC-CO2'!$A11,'Combined Data'!$B$2:$AK$2))*10^12</f>
        <v>0</v>
      </c>
    </row>
    <row r="12" spans="1:9">
      <c r="A12" s="27">
        <v>2025</v>
      </c>
      <c r="B12" s="67">
        <v>0</v>
      </c>
      <c r="C12" s="67">
        <v>0</v>
      </c>
      <c r="D12" s="67">
        <v>0</v>
      </c>
      <c r="E12" s="67">
        <f>INDEX('Combined Data'!$B$26:$AK$26,1,MATCH('BPEiC-CO2'!$A12,'Combined Data'!$B$2:$AK$2))*10^12</f>
        <v>751104993925.6333</v>
      </c>
      <c r="F12" s="67">
        <v>0</v>
      </c>
      <c r="G12" s="67">
        <f>INDEX('Combined Data'!$B$41:$AK$41,1,MATCH('BPEiC-CO2'!$A12,'Combined Data'!$B$2:$AK$2))*10^12</f>
        <v>102467468976.10431</v>
      </c>
      <c r="H12" s="67">
        <f>INDEX('Combined Data'!$B$51:$AK$51,1,MATCH('BPEiC-CO2'!$A12,'Combined Data'!$B$2:$AK$2))*10^12</f>
        <v>7534708490103.9453</v>
      </c>
      <c r="I12" s="67">
        <f>INDEX('Combined Data'!$B$67:$AK$67,1,MATCH('BPEiC-CO2'!$A12,'Combined Data'!$B$2:$AK$2))*10^12</f>
        <v>0</v>
      </c>
    </row>
    <row r="13" spans="1:9">
      <c r="A13" s="27">
        <v>2026</v>
      </c>
      <c r="B13" s="67">
        <v>0</v>
      </c>
      <c r="C13" s="67">
        <v>0</v>
      </c>
      <c r="D13" s="67">
        <v>0</v>
      </c>
      <c r="E13" s="67">
        <f>INDEX('Combined Data'!$B$26:$AK$26,1,MATCH('BPEiC-CO2'!$A13,'Combined Data'!$B$2:$AK$2))*10^12</f>
        <v>742840859854.8667</v>
      </c>
      <c r="F13" s="67">
        <v>0</v>
      </c>
      <c r="G13" s="67">
        <f>INDEX('Combined Data'!$B$41:$AK$41,1,MATCH('BPEiC-CO2'!$A13,'Combined Data'!$B$2:$AK$2))*10^12</f>
        <v>104223818841.20264</v>
      </c>
      <c r="H13" s="67">
        <f>INDEX('Combined Data'!$B$51:$AK$51,1,MATCH('BPEiC-CO2'!$A13,'Combined Data'!$B$2:$AK$2))*10^12</f>
        <v>7661274108217.0781</v>
      </c>
      <c r="I13" s="67">
        <f>INDEX('Combined Data'!$B$67:$AK$67,1,MATCH('BPEiC-CO2'!$A13,'Combined Data'!$B$2:$AK$2))*10^12</f>
        <v>0</v>
      </c>
    </row>
    <row r="14" spans="1:9">
      <c r="A14" s="27">
        <v>2027</v>
      </c>
      <c r="B14" s="67">
        <v>0</v>
      </c>
      <c r="C14" s="67">
        <v>0</v>
      </c>
      <c r="D14" s="67">
        <v>0</v>
      </c>
      <c r="E14" s="67">
        <f>INDEX('Combined Data'!$B$26:$AK$26,1,MATCH('BPEiC-CO2'!$A14,'Combined Data'!$B$2:$AK$2))*10^12</f>
        <v>734667653034.60669</v>
      </c>
      <c r="F14" s="67">
        <v>0</v>
      </c>
      <c r="G14" s="67">
        <f>INDEX('Combined Data'!$B$41:$AK$41,1,MATCH('BPEiC-CO2'!$A14,'Combined Data'!$B$2:$AK$2))*10^12</f>
        <v>105901925687.6916</v>
      </c>
      <c r="H14" s="67">
        <f>INDEX('Combined Data'!$B$51:$AK$51,1,MATCH('BPEiC-CO2'!$A14,'Combined Data'!$B$2:$AK$2))*10^12</f>
        <v>7788711924317.1406</v>
      </c>
      <c r="I14" s="67">
        <f>INDEX('Combined Data'!$B$67:$AK$67,1,MATCH('BPEiC-CO2'!$A14,'Combined Data'!$B$2:$AK$2))*10^12</f>
        <v>0</v>
      </c>
    </row>
    <row r="15" spans="1:9">
      <c r="A15" s="27">
        <v>2028</v>
      </c>
      <c r="B15" s="67">
        <v>0</v>
      </c>
      <c r="C15" s="67">
        <v>0</v>
      </c>
      <c r="D15" s="67">
        <v>0</v>
      </c>
      <c r="E15" s="67">
        <f>INDEX('Combined Data'!$B$26:$AK$26,1,MATCH('BPEiC-CO2'!$A15,'Combined Data'!$B$2:$AK$2))*10^12</f>
        <v>726584373025.50732</v>
      </c>
      <c r="F15" s="67">
        <v>0</v>
      </c>
      <c r="G15" s="67">
        <f>INDEX('Combined Data'!$B$41:$AK$41,1,MATCH('BPEiC-CO2'!$A15,'Combined Data'!$B$2:$AK$2))*10^12</f>
        <v>107520320756.82089</v>
      </c>
      <c r="H15" s="67">
        <f>INDEX('Combined Data'!$B$51:$AK$51,1,MATCH('BPEiC-CO2'!$A15,'Combined Data'!$B$2:$AK$2))*10^12</f>
        <v>7917038684361.2178</v>
      </c>
      <c r="I15" s="67">
        <f>INDEX('Combined Data'!$B$67:$AK$67,1,MATCH('BPEiC-CO2'!$A15,'Combined Data'!$B$2:$AK$2))*10^12</f>
        <v>0</v>
      </c>
    </row>
    <row r="16" spans="1:9">
      <c r="A16" s="27">
        <v>2029</v>
      </c>
      <c r="B16" s="67">
        <v>0</v>
      </c>
      <c r="C16" s="67">
        <v>0</v>
      </c>
      <c r="D16" s="67">
        <v>0</v>
      </c>
      <c r="E16" s="67">
        <f>INDEX('Combined Data'!$B$26:$AK$26,1,MATCH('BPEiC-CO2'!$A16,'Combined Data'!$B$2:$AK$2))*10^12</f>
        <v>718590030395.69214</v>
      </c>
      <c r="F16" s="67">
        <v>0</v>
      </c>
      <c r="G16" s="67">
        <f>INDEX('Combined Data'!$B$41:$AK$41,1,MATCH('BPEiC-CO2'!$A16,'Combined Data'!$B$2:$AK$2))*10^12</f>
        <v>109021351298.03619</v>
      </c>
      <c r="H16" s="67">
        <f>INDEX('Combined Data'!$B$51:$AK$51,1,MATCH('BPEiC-CO2'!$A16,'Combined Data'!$B$2:$AK$2))*10^12</f>
        <v>8046271455827.6768</v>
      </c>
      <c r="I16" s="67">
        <f>INDEX('Combined Data'!$B$67:$AK$67,1,MATCH('BPEiC-CO2'!$A16,'Combined Data'!$B$2:$AK$2))*10^12</f>
        <v>0</v>
      </c>
    </row>
    <row r="17" spans="1:9">
      <c r="A17" s="27">
        <v>2030</v>
      </c>
      <c r="B17" s="67">
        <v>0</v>
      </c>
      <c r="C17" s="67">
        <v>0</v>
      </c>
      <c r="D17" s="67">
        <v>0</v>
      </c>
      <c r="E17" s="67">
        <f>INDEX('Combined Data'!$B$26:$AK$26,1,MATCH('BPEiC-CO2'!$A17,'Combined Data'!$B$2:$AK$2))*10^12</f>
        <v>710683646599.64136</v>
      </c>
      <c r="F17" s="67">
        <v>0</v>
      </c>
      <c r="G17" s="67">
        <f>INDEX('Combined Data'!$B$41:$AK$41,1,MATCH('BPEiC-CO2'!$A17,'Combined Data'!$B$2:$AK$2))*10^12</f>
        <v>110396781204.11551</v>
      </c>
      <c r="H17" s="67">
        <f>INDEX('Combined Data'!$B$51:$AK$51,1,MATCH('BPEiC-CO2'!$A17,'Combined Data'!$B$2:$AK$2))*10^12</f>
        <v>8175780298199.5176</v>
      </c>
      <c r="I17" s="67">
        <f>INDEX('Combined Data'!$B$67:$AK$67,1,MATCH('BPEiC-CO2'!$A17,'Combined Data'!$B$2:$AK$2))*10^12</f>
        <v>0</v>
      </c>
    </row>
    <row r="18" spans="1:9">
      <c r="A18" s="27">
        <v>2031</v>
      </c>
      <c r="B18" s="67">
        <v>0</v>
      </c>
      <c r="C18" s="67">
        <v>0</v>
      </c>
      <c r="D18" s="67">
        <v>0</v>
      </c>
      <c r="E18" s="67">
        <f>INDEX('Combined Data'!$B$26:$AK$26,1,MATCH('BPEiC-CO2'!$A18,'Combined Data'!$B$2:$AK$2))*10^12</f>
        <v>702864253858.41467</v>
      </c>
      <c r="F18" s="67">
        <v>0</v>
      </c>
      <c r="G18" s="67">
        <f>INDEX('Combined Data'!$B$41:$AK$41,1,MATCH('BPEiC-CO2'!$A18,'Combined Data'!$B$2:$AK$2))*10^12</f>
        <v>111568367456.44955</v>
      </c>
      <c r="H18" s="67">
        <f>INDEX('Combined Data'!$B$51:$AK$51,1,MATCH('BPEiC-CO2'!$A18,'Combined Data'!$B$2:$AK$2))*10^12</f>
        <v>8306230276325.4326</v>
      </c>
      <c r="I18" s="67">
        <f>INDEX('Combined Data'!$B$67:$AK$67,1,MATCH('BPEiC-CO2'!$A18,'Combined Data'!$B$2:$AK$2))*10^12</f>
        <v>0</v>
      </c>
    </row>
    <row r="19" spans="1:9">
      <c r="A19" s="27">
        <v>2032</v>
      </c>
      <c r="B19" s="67">
        <v>0</v>
      </c>
      <c r="C19" s="67">
        <v>0</v>
      </c>
      <c r="D19" s="67">
        <v>0</v>
      </c>
      <c r="E19" s="67">
        <f>INDEX('Combined Data'!$B$26:$AK$26,1,MATCH('BPEiC-CO2'!$A19,'Combined Data'!$B$2:$AK$2))*10^12</f>
        <v>695130895041.19116</v>
      </c>
      <c r="F19" s="67">
        <v>0</v>
      </c>
      <c r="G19" s="67">
        <f>INDEX('Combined Data'!$B$41:$AK$41,1,MATCH('BPEiC-CO2'!$A19,'Combined Data'!$B$2:$AK$2))*10^12</f>
        <v>112599939886.00905</v>
      </c>
      <c r="H19" s="67">
        <f>INDEX('Combined Data'!$B$51:$AK$51,1,MATCH('BPEiC-CO2'!$A19,'Combined Data'!$B$2:$AK$2))*10^12</f>
        <v>8437639459763.1514</v>
      </c>
      <c r="I19" s="67">
        <f>INDEX('Combined Data'!$B$67:$AK$67,1,MATCH('BPEiC-CO2'!$A19,'Combined Data'!$B$2:$AK$2))*10^12</f>
        <v>0</v>
      </c>
    </row>
    <row r="20" spans="1:9">
      <c r="A20" s="27">
        <v>2033</v>
      </c>
      <c r="B20" s="67">
        <v>0</v>
      </c>
      <c r="C20" s="67">
        <v>0</v>
      </c>
      <c r="D20" s="67">
        <v>0</v>
      </c>
      <c r="E20" s="67">
        <f>INDEX('Combined Data'!$B$26:$AK$26,1,MATCH('BPEiC-CO2'!$A20,'Combined Data'!$B$2:$AK$2))*10^12</f>
        <v>687482623548.1095</v>
      </c>
      <c r="F20" s="67">
        <v>0</v>
      </c>
      <c r="G20" s="67">
        <f>INDEX('Combined Data'!$B$41:$AK$41,1,MATCH('BPEiC-CO2'!$A20,'Combined Data'!$B$2:$AK$2))*10^12</f>
        <v>113621217181.541</v>
      </c>
      <c r="H20" s="67">
        <f>INDEX('Combined Data'!$B$51:$AK$51,1,MATCH('BPEiC-CO2'!$A20,'Combined Data'!$B$2:$AK$2))*10^12</f>
        <v>8570026265004.749</v>
      </c>
      <c r="I20" s="67">
        <f>INDEX('Combined Data'!$B$67:$AK$67,1,MATCH('BPEiC-CO2'!$A20,'Combined Data'!$B$2:$AK$2))*10^12</f>
        <v>0</v>
      </c>
    </row>
    <row r="21" spans="1:9">
      <c r="A21" s="27">
        <v>2034</v>
      </c>
      <c r="B21" s="67">
        <v>0</v>
      </c>
      <c r="C21" s="67">
        <v>0</v>
      </c>
      <c r="D21" s="67">
        <v>0</v>
      </c>
      <c r="E21" s="67">
        <f>INDEX('Combined Data'!$B$26:$AK$26,1,MATCH('BPEiC-CO2'!$A21,'Combined Data'!$B$2:$AK$2))*10^12</f>
        <v>679918503194.40222</v>
      </c>
      <c r="F21" s="67">
        <v>0</v>
      </c>
      <c r="G21" s="67">
        <f>INDEX('Combined Data'!$B$41:$AK$41,1,MATCH('BPEiC-CO2'!$A21,'Combined Data'!$B$2:$AK$2))*10^12</f>
        <v>114724855549.29327</v>
      </c>
      <c r="H21" s="67">
        <f>INDEX('Combined Data'!$B$51:$AK$51,1,MATCH('BPEiC-CO2'!$A21,'Combined Data'!$B$2:$AK$2))*10^12</f>
        <v>8703409462137.8662</v>
      </c>
      <c r="I21" s="67">
        <f>INDEX('Combined Data'!$B$67:$AK$67,1,MATCH('BPEiC-CO2'!$A21,'Combined Data'!$B$2:$AK$2))*10^12</f>
        <v>0</v>
      </c>
    </row>
    <row r="22" spans="1:9">
      <c r="A22" s="27">
        <v>2035</v>
      </c>
      <c r="B22" s="67">
        <v>0</v>
      </c>
      <c r="C22" s="67">
        <v>0</v>
      </c>
      <c r="D22" s="67">
        <v>0</v>
      </c>
      <c r="E22" s="67">
        <f>INDEX('Combined Data'!$B$26:$AK$26,1,MATCH('BPEiC-CO2'!$A22,'Combined Data'!$B$2:$AK$2))*10^12</f>
        <v>672437608095.80042</v>
      </c>
      <c r="F22" s="67">
        <v>0</v>
      </c>
      <c r="G22" s="67">
        <f>INDEX('Combined Data'!$B$41:$AK$41,1,MATCH('BPEiC-CO2'!$A22,'Combined Data'!$B$2:$AK$2))*10^12</f>
        <v>115892323748.01631</v>
      </c>
      <c r="H22" s="67">
        <f>INDEX('Combined Data'!$B$51:$AK$51,1,MATCH('BPEiC-CO2'!$A22,'Combined Data'!$B$2:$AK$2))*10^12</f>
        <v>8837741199920.3652</v>
      </c>
      <c r="I22" s="67">
        <f>INDEX('Combined Data'!$B$67:$AK$67,1,MATCH('BPEiC-CO2'!$A22,'Combined Data'!$B$2:$AK$2))*10^12</f>
        <v>0</v>
      </c>
    </row>
    <row r="23" spans="1:9">
      <c r="A23" s="27">
        <v>2036</v>
      </c>
      <c r="B23" s="67">
        <v>0</v>
      </c>
      <c r="C23" s="67">
        <v>0</v>
      </c>
      <c r="D23" s="67">
        <v>0</v>
      </c>
      <c r="E23" s="67">
        <f>INDEX('Combined Data'!$B$26:$AK$26,1,MATCH('BPEiC-CO2'!$A23,'Combined Data'!$B$2:$AK$2))*10^12</f>
        <v>665039022555.20178</v>
      </c>
      <c r="F23" s="67">
        <v>0</v>
      </c>
      <c r="G23" s="67">
        <f>INDEX('Combined Data'!$B$41:$AK$41,1,MATCH('BPEiC-CO2'!$A23,'Combined Data'!$B$2:$AK$2))*10^12</f>
        <v>117109208590.07153</v>
      </c>
      <c r="H23" s="67">
        <f>INDEX('Combined Data'!$B$51:$AK$51,1,MATCH('BPEiC-CO2'!$A23,'Combined Data'!$B$2:$AK$2))*10^12</f>
        <v>8973107957842.9277</v>
      </c>
      <c r="I23" s="67">
        <f>INDEX('Combined Data'!$B$67:$AK$67,1,MATCH('BPEiC-CO2'!$A23,'Combined Data'!$B$2:$AK$2))*10^12</f>
        <v>0</v>
      </c>
    </row>
    <row r="24" spans="1:9">
      <c r="A24" s="27">
        <v>2037</v>
      </c>
      <c r="B24" s="67">
        <v>0</v>
      </c>
      <c r="C24" s="67">
        <v>0</v>
      </c>
      <c r="D24" s="67">
        <v>0</v>
      </c>
      <c r="E24" s="67">
        <f>INDEX('Combined Data'!$B$26:$AK$26,1,MATCH('BPEiC-CO2'!$A24,'Combined Data'!$B$2:$AK$2))*10^12</f>
        <v>657721840950.58557</v>
      </c>
      <c r="F24" s="67">
        <v>0</v>
      </c>
      <c r="G24" s="67">
        <f>INDEX('Combined Data'!$B$41:$AK$41,1,MATCH('BPEiC-CO2'!$A24,'Combined Data'!$B$2:$AK$2))*10^12</f>
        <v>118367273968.23689</v>
      </c>
      <c r="H24" s="67">
        <f>INDEX('Combined Data'!$B$51:$AK$51,1,MATCH('BPEiC-CO2'!$A24,'Combined Data'!$B$2:$AK$2))*10^12</f>
        <v>9109529608038.084</v>
      </c>
      <c r="I24" s="67">
        <f>INDEX('Combined Data'!$B$67:$AK$67,1,MATCH('BPEiC-CO2'!$A24,'Combined Data'!$B$2:$AK$2))*10^12</f>
        <v>0</v>
      </c>
    </row>
    <row r="25" spans="1:9">
      <c r="A25" s="27">
        <v>2038</v>
      </c>
      <c r="B25" s="67">
        <v>0</v>
      </c>
      <c r="C25" s="67">
        <v>0</v>
      </c>
      <c r="D25" s="67">
        <v>0</v>
      </c>
      <c r="E25" s="67">
        <f>INDEX('Combined Data'!$B$26:$AK$26,1,MATCH('BPEiC-CO2'!$A25,'Combined Data'!$B$2:$AK$2))*10^12</f>
        <v>650485167624.15906</v>
      </c>
      <c r="F25" s="67">
        <v>0</v>
      </c>
      <c r="G25" s="67">
        <f>INDEX('Combined Data'!$B$41:$AK$41,1,MATCH('BPEiC-CO2'!$A25,'Combined Data'!$B$2:$AK$2))*10^12</f>
        <v>119654165721.67934</v>
      </c>
      <c r="H25" s="67">
        <f>INDEX('Combined Data'!$B$51:$AK$51,1,MATCH('BPEiC-CO2'!$A25,'Combined Data'!$B$2:$AK$2))*10^12</f>
        <v>9247026404182.2598</v>
      </c>
      <c r="I25" s="67">
        <f>INDEX('Combined Data'!$B$67:$AK$67,1,MATCH('BPEiC-CO2'!$A25,'Combined Data'!$B$2:$AK$2))*10^12</f>
        <v>0</v>
      </c>
    </row>
    <row r="26" spans="1:9">
      <c r="A26" s="27">
        <v>2039</v>
      </c>
      <c r="B26" s="67">
        <v>0</v>
      </c>
      <c r="C26" s="67">
        <v>0</v>
      </c>
      <c r="D26" s="67">
        <v>0</v>
      </c>
      <c r="E26" s="67">
        <f>INDEX('Combined Data'!$B$26:$AK$26,1,MATCH('BPEiC-CO2'!$A26,'Combined Data'!$B$2:$AK$2))*10^12</f>
        <v>643328116772.72571</v>
      </c>
      <c r="F26" s="67">
        <v>0</v>
      </c>
      <c r="G26" s="67">
        <f>INDEX('Combined Data'!$B$41:$AK$41,1,MATCH('BPEiC-CO2'!$A26,'Combined Data'!$B$2:$AK$2))*10^12</f>
        <v>120965765796.78795</v>
      </c>
      <c r="H26" s="67">
        <f>INDEX('Combined Data'!$B$51:$AK$51,1,MATCH('BPEiC-CO2'!$A26,'Combined Data'!$B$2:$AK$2))*10^12</f>
        <v>9385618988821.4961</v>
      </c>
      <c r="I26" s="67">
        <f>INDEX('Combined Data'!$B$67:$AK$67,1,MATCH('BPEiC-CO2'!$A26,'Combined Data'!$B$2:$AK$2))*10^12</f>
        <v>0</v>
      </c>
    </row>
    <row r="27" spans="1:9">
      <c r="A27" s="27">
        <v>2040</v>
      </c>
      <c r="B27" s="67">
        <v>0</v>
      </c>
      <c r="C27" s="67">
        <v>0</v>
      </c>
      <c r="D27" s="67">
        <v>0</v>
      </c>
      <c r="E27" s="67">
        <f>INDEX('Combined Data'!$B$26:$AK$26,1,MATCH('BPEiC-CO2'!$A27,'Combined Data'!$B$2:$AK$2))*10^12</f>
        <v>636249812339.25757</v>
      </c>
      <c r="F27" s="67">
        <v>0</v>
      </c>
      <c r="G27" s="67">
        <f>INDEX('Combined Data'!$B$41:$AK$41,1,MATCH('BPEiC-CO2'!$A27,'Combined Data'!$B$2:$AK$2))*10^12</f>
        <v>122291779059.5351</v>
      </c>
      <c r="H27" s="67">
        <f>INDEX('Combined Data'!$B$51:$AK$51,1,MATCH('BPEiC-CO2'!$A27,'Combined Data'!$B$2:$AK$2))*10^12</f>
        <v>9525500115681.9062</v>
      </c>
      <c r="I27" s="67">
        <f>INDEX('Combined Data'!$B$67:$AK$67,1,MATCH('BPEiC-CO2'!$A27,'Combined Data'!$B$2:$AK$2))*10^12</f>
        <v>0</v>
      </c>
    </row>
    <row r="28" spans="1:9">
      <c r="A28" s="27">
        <v>2041</v>
      </c>
      <c r="B28" s="67">
        <v>0</v>
      </c>
      <c r="C28" s="67">
        <v>0</v>
      </c>
      <c r="D28" s="67">
        <v>0</v>
      </c>
      <c r="E28" s="67">
        <f>INDEX('Combined Data'!$B$26:$AK$26,1,MATCH('BPEiC-CO2'!$A28,'Combined Data'!$B$2:$AK$2))*10^12</f>
        <v>629249387905.66309</v>
      </c>
      <c r="F28" s="67">
        <v>0</v>
      </c>
      <c r="G28" s="67">
        <f>INDEX('Combined Data'!$B$41:$AK$41,1,MATCH('BPEiC-CO2'!$A28,'Combined Data'!$B$2:$AK$2))*10^12</f>
        <v>123439708205.15926</v>
      </c>
      <c r="H28" s="67">
        <f>INDEX('Combined Data'!$B$51:$AK$51,1,MATCH('BPEiC-CO2'!$A28,'Combined Data'!$B$2:$AK$2))*10^12</f>
        <v>9666519512746.709</v>
      </c>
      <c r="I28" s="67">
        <f>INDEX('Combined Data'!$B$67:$AK$67,1,MATCH('BPEiC-CO2'!$A28,'Combined Data'!$B$2:$AK$2))*10^12</f>
        <v>0</v>
      </c>
    </row>
    <row r="29" spans="1:9">
      <c r="A29" s="27">
        <v>2042</v>
      </c>
      <c r="B29" s="67">
        <v>0</v>
      </c>
      <c r="C29" s="67">
        <v>0</v>
      </c>
      <c r="D29" s="67">
        <v>0</v>
      </c>
      <c r="E29" s="67">
        <f>INDEX('Combined Data'!$B$26:$AK$26,1,MATCH('BPEiC-CO2'!$A29,'Combined Data'!$B$2:$AK$2))*10^12</f>
        <v>622325986586.73193</v>
      </c>
      <c r="F29" s="67">
        <v>0</v>
      </c>
      <c r="G29" s="67">
        <f>INDEX('Combined Data'!$B$41:$AK$41,1,MATCH('BPEiC-CO2'!$A29,'Combined Data'!$B$2:$AK$2))*10^12</f>
        <v>124598439224.16721</v>
      </c>
      <c r="H29" s="67">
        <f>INDEX('Combined Data'!$B$51:$AK$51,1,MATCH('BPEiC-CO2'!$A29,'Combined Data'!$B$2:$AK$2))*10^12</f>
        <v>9808699034544.7207</v>
      </c>
      <c r="I29" s="67">
        <f>INDEX('Combined Data'!$B$67:$AK$67,1,MATCH('BPEiC-CO2'!$A29,'Combined Data'!$B$2:$AK$2))*10^12</f>
        <v>0</v>
      </c>
    </row>
    <row r="30" spans="1:9">
      <c r="A30" s="27">
        <v>2043</v>
      </c>
      <c r="B30" s="67">
        <v>0</v>
      </c>
      <c r="C30" s="67">
        <v>0</v>
      </c>
      <c r="D30" s="67">
        <v>0</v>
      </c>
      <c r="E30" s="67">
        <f>INDEX('Combined Data'!$B$26:$AK$26,1,MATCH('BPEiC-CO2'!$A30,'Combined Data'!$B$2:$AK$2))*10^12</f>
        <v>615478760925.24988</v>
      </c>
      <c r="F30" s="67">
        <v>0</v>
      </c>
      <c r="G30" s="67">
        <f>INDEX('Combined Data'!$B$41:$AK$41,1,MATCH('BPEiC-CO2'!$A30,'Combined Data'!$B$2:$AK$2))*10^12</f>
        <v>125768073989.30115</v>
      </c>
      <c r="H30" s="67">
        <f>INDEX('Combined Data'!$B$51:$AK$51,1,MATCH('BPEiC-CO2'!$A30,'Combined Data'!$B$2:$AK$2))*10^12</f>
        <v>9952060955210.7266</v>
      </c>
      <c r="I30" s="67">
        <f>INDEX('Combined Data'!$B$67:$AK$67,1,MATCH('BPEiC-CO2'!$A30,'Combined Data'!$B$2:$AK$2))*10^12</f>
        <v>0</v>
      </c>
    </row>
    <row r="31" spans="1:9">
      <c r="A31" s="27">
        <v>2044</v>
      </c>
      <c r="B31" s="67">
        <v>0</v>
      </c>
      <c r="C31" s="67">
        <v>0</v>
      </c>
      <c r="D31" s="67">
        <v>0</v>
      </c>
      <c r="E31" s="67">
        <f>INDEX('Combined Data'!$B$26:$AK$26,1,MATCH('BPEiC-CO2'!$A31,'Combined Data'!$B$2:$AK$2))*10^12</f>
        <v>608706872788.26416</v>
      </c>
      <c r="F31" s="67">
        <v>0</v>
      </c>
      <c r="G31" s="67">
        <f>INDEX('Combined Data'!$B$41:$AK$41,1,MATCH('BPEiC-CO2'!$A31,'Combined Data'!$B$2:$AK$2))*10^12</f>
        <v>126948715336.03302</v>
      </c>
      <c r="H31" s="67">
        <f>INDEX('Combined Data'!$B$51:$AK$51,1,MATCH('BPEiC-CO2'!$A31,'Combined Data'!$B$2:$AK$2))*10^12</f>
        <v>10096627976541.975</v>
      </c>
      <c r="I31" s="67">
        <f>INDEX('Combined Data'!$B$67:$AK$67,1,MATCH('BPEiC-CO2'!$A31,'Combined Data'!$B$2:$AK$2))*10^12</f>
        <v>0</v>
      </c>
    </row>
    <row r="32" spans="1:9">
      <c r="A32" s="27">
        <v>2045</v>
      </c>
      <c r="B32" s="67">
        <v>0</v>
      </c>
      <c r="C32" s="67">
        <v>0</v>
      </c>
      <c r="D32" s="67">
        <v>0</v>
      </c>
      <c r="E32" s="67">
        <f>INDEX('Combined Data'!$B$26:$AK$26,1,MATCH('BPEiC-CO2'!$A32,'Combined Data'!$B$2:$AK$2))*10^12</f>
        <v>602009493264.49329</v>
      </c>
      <c r="F32" s="67">
        <v>0</v>
      </c>
      <c r="G32" s="67">
        <f>INDEX('Combined Data'!$B$41:$AK$41,1,MATCH('BPEiC-CO2'!$A32,'Combined Data'!$B$2:$AK$2))*10^12</f>
        <v>128140467071.6795</v>
      </c>
      <c r="H32" s="67">
        <f>INDEX('Combined Data'!$B$51:$AK$51,1,MATCH('BPEiC-CO2'!$A32,'Combined Data'!$B$2:$AK$2))*10^12</f>
        <v>10242443622818.494</v>
      </c>
      <c r="I32" s="67">
        <f>INDEX('Combined Data'!$B$67:$AK$67,1,MATCH('BPEiC-CO2'!$A32,'Combined Data'!$B$2:$AK$2))*10^12</f>
        <v>0</v>
      </c>
    </row>
    <row r="33" spans="1:9">
      <c r="A33" s="27">
        <v>2046</v>
      </c>
      <c r="B33" s="67">
        <v>0</v>
      </c>
      <c r="C33" s="67">
        <v>0</v>
      </c>
      <c r="D33" s="67">
        <v>0</v>
      </c>
      <c r="E33" s="67">
        <f>INDEX('Combined Data'!$B$26:$AK$26,1,MATCH('BPEiC-CO2'!$A33,'Combined Data'!$B$2:$AK$2))*10^12</f>
        <v>595385802562.8645</v>
      </c>
      <c r="F33" s="67">
        <v>0</v>
      </c>
      <c r="G33" s="67">
        <f>INDEX('Combined Data'!$B$41:$AK$41,1,MATCH('BPEiC-CO2'!$A33,'Combined Data'!$B$2:$AK$2))*10^12</f>
        <v>129343433984.60327</v>
      </c>
      <c r="H33" s="67">
        <f>INDEX('Combined Data'!$B$51:$AK$51,1,MATCH('BPEiC-CO2'!$A33,'Combined Data'!$B$2:$AK$2))*10^12</f>
        <v>10389511089344.432</v>
      </c>
      <c r="I33" s="67">
        <f>INDEX('Combined Data'!$B$67:$AK$67,1,MATCH('BPEiC-CO2'!$A33,'Combined Data'!$B$2:$AK$2))*10^12</f>
        <v>0</v>
      </c>
    </row>
    <row r="34" spans="1:9">
      <c r="A34" s="27">
        <v>2047</v>
      </c>
      <c r="B34" s="67">
        <v>0</v>
      </c>
      <c r="C34" s="67">
        <v>0</v>
      </c>
      <c r="D34" s="67">
        <v>0</v>
      </c>
      <c r="E34" s="67">
        <f>INDEX('Combined Data'!$B$26:$AK$26,1,MATCH('BPEiC-CO2'!$A34,'Combined Data'!$B$2:$AK$2))*10^12</f>
        <v>588834989912.16626</v>
      </c>
      <c r="F34" s="67">
        <v>0</v>
      </c>
      <c r="G34" s="67">
        <f>INDEX('Combined Data'!$B$41:$AK$41,1,MATCH('BPEiC-CO2'!$A34,'Combined Data'!$B$2:$AK$2))*10^12</f>
        <v>130557721853.50185</v>
      </c>
      <c r="H34" s="67">
        <f>INDEX('Combined Data'!$B$51:$AK$51,1,MATCH('BPEiC-CO2'!$A34,'Combined Data'!$B$2:$AK$2))*10^12</f>
        <v>10537854410804.932</v>
      </c>
      <c r="I34" s="67">
        <f>INDEX('Combined Data'!$B$67:$AK$67,1,MATCH('BPEiC-CO2'!$A34,'Combined Data'!$B$2:$AK$2))*10^12</f>
        <v>0</v>
      </c>
    </row>
    <row r="35" spans="1:9">
      <c r="A35" s="27">
        <v>2048</v>
      </c>
      <c r="B35" s="67">
        <v>0</v>
      </c>
      <c r="C35" s="67">
        <v>0</v>
      </c>
      <c r="D35" s="67">
        <v>0</v>
      </c>
      <c r="E35" s="67">
        <f>INDEX('Combined Data'!$B$26:$AK$26,1,MATCH('BPEiC-CO2'!$A35,'Combined Data'!$B$2:$AK$2))*10^12</f>
        <v>582356253461.80688</v>
      </c>
      <c r="F35" s="67">
        <v>0</v>
      </c>
      <c r="G35" s="67">
        <f>INDEX('Combined Data'!$B$41:$AK$41,1,MATCH('BPEiC-CO2'!$A35,'Combined Data'!$B$2:$AK$2))*10^12</f>
        <v>131783437456.78426</v>
      </c>
      <c r="H35" s="67">
        <f>INDEX('Combined Data'!$B$51:$AK$51,1,MATCH('BPEiC-CO2'!$A35,'Combined Data'!$B$2:$AK$2))*10^12</f>
        <v>10687498083350.309</v>
      </c>
      <c r="I35" s="67">
        <f>INDEX('Combined Data'!$B$67:$AK$67,1,MATCH('BPEiC-CO2'!$A35,'Combined Data'!$B$2:$AK$2))*10^12</f>
        <v>0</v>
      </c>
    </row>
    <row r="36" spans="1:9">
      <c r="A36" s="27">
        <v>2049</v>
      </c>
      <c r="B36" s="67">
        <v>0</v>
      </c>
      <c r="C36" s="67">
        <v>0</v>
      </c>
      <c r="D36" s="67">
        <v>0</v>
      </c>
      <c r="E36" s="67">
        <f>INDEX('Combined Data'!$B$26:$AK$26,1,MATCH('BPEiC-CO2'!$A36,'Combined Data'!$B$2:$AK$2))*10^12</f>
        <v>575948800183.66455</v>
      </c>
      <c r="F36" s="67">
        <v>0</v>
      </c>
      <c r="G36" s="67">
        <f>INDEX('Combined Data'!$B$41:$AK$41,1,MATCH('BPEiC-CO2'!$A36,'Combined Data'!$B$2:$AK$2))*10^12</f>
        <v>133020688582.03687</v>
      </c>
      <c r="H36" s="67">
        <f>INDEX('Combined Data'!$B$51:$AK$51,1,MATCH('BPEiC-CO2'!$A36,'Combined Data'!$B$2:$AK$2))*10^12</f>
        <v>10838467073456.117</v>
      </c>
      <c r="I36" s="67">
        <f>INDEX('Combined Data'!$B$67:$AK$67,1,MATCH('BPEiC-CO2'!$A36,'Combined Data'!$B$2:$AK$2))*10^12</f>
        <v>0</v>
      </c>
    </row>
    <row r="37" spans="1:9">
      <c r="A37" s="27">
        <v>2050</v>
      </c>
      <c r="B37" s="67">
        <v>0</v>
      </c>
      <c r="C37" s="67">
        <v>0</v>
      </c>
      <c r="D37" s="67">
        <v>0</v>
      </c>
      <c r="E37" s="67">
        <f>INDEX('Combined Data'!$B$26:$AK$26,1,MATCH('BPEiC-CO2'!$A37,'Combined Data'!$B$2:$AK$2))*10^12</f>
        <v>569611845775.01575</v>
      </c>
      <c r="F37" s="67">
        <v>0</v>
      </c>
      <c r="G37" s="67">
        <f>INDEX('Combined Data'!$B$41:$AK$41,1,MATCH('BPEiC-CO2'!$A37,'Combined Data'!$B$2:$AK$2))*10^12</f>
        <v>134269584035.57867</v>
      </c>
      <c r="H37" s="67">
        <f>INDEX('Combined Data'!$B$51:$AK$51,1,MATCH('BPEiC-CO2'!$A37,'Combined Data'!$B$2:$AK$2))*10^12</f>
        <v>10990786826953.449</v>
      </c>
      <c r="I37" s="67">
        <f>INDEX('Combined Data'!$B$67:$AK$67,1,MATCH('BPEiC-CO2'!$A37,'Combined Data'!$B$2:$AK$2))*10^12</f>
        <v>0</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1">
    <tabColor theme="3"/>
  </sheetPr>
  <dimension ref="A1:I37"/>
  <sheetViews>
    <sheetView workbookViewId="0">
      <selection activeCell="J10" sqref="J10"/>
    </sheetView>
  </sheetViews>
  <sheetFormatPr baseColWidth="10" defaultColWidth="10.33203125" defaultRowHeight="15"/>
  <cols>
    <col min="1" max="1" width="10.33203125" style="27"/>
    <col min="2" max="9" width="20.1640625" style="27" customWidth="1"/>
    <col min="10" max="16384" width="10.33203125" style="25"/>
  </cols>
  <sheetData>
    <row r="1" spans="1:9">
      <c r="A1" s="27" t="s">
        <v>5</v>
      </c>
      <c r="B1" s="27" t="s">
        <v>142</v>
      </c>
      <c r="C1" s="27" t="s">
        <v>143</v>
      </c>
      <c r="D1" s="27" t="s">
        <v>144</v>
      </c>
      <c r="E1" s="27" t="s">
        <v>145</v>
      </c>
      <c r="F1" s="27" t="s">
        <v>146</v>
      </c>
      <c r="G1" s="27" t="s">
        <v>147</v>
      </c>
      <c r="H1" s="27" t="s">
        <v>148</v>
      </c>
      <c r="I1" s="27" t="s">
        <v>149</v>
      </c>
    </row>
    <row r="2" spans="1:9">
      <c r="A2" s="27">
        <v>2015</v>
      </c>
      <c r="B2" s="67">
        <v>0</v>
      </c>
      <c r="C2" s="67">
        <v>0</v>
      </c>
      <c r="D2" s="67">
        <v>0</v>
      </c>
      <c r="E2" s="67">
        <f>INDEX('Combined Data'!$B$27:$AK$27,1,MATCH('BPEiC-CO2'!$A2,'Combined Data'!$B$2:$AK$2))*10^12</f>
        <v>1662321747303.05</v>
      </c>
      <c r="F2" s="67">
        <v>0</v>
      </c>
      <c r="G2" s="67">
        <v>0</v>
      </c>
      <c r="H2" s="67">
        <v>0</v>
      </c>
      <c r="I2" s="67">
        <f>INDEX('Combined Data'!$B$65:$AK$65,1,MATCH('BPEiC-CO2'!$A2,'Combined Data'!$B$2:$AK$2))*10^12</f>
        <v>4027416611.7592058</v>
      </c>
    </row>
    <row r="3" spans="1:9">
      <c r="A3" s="27">
        <v>2016</v>
      </c>
      <c r="B3" s="67">
        <v>0</v>
      </c>
      <c r="C3" s="67">
        <v>0</v>
      </c>
      <c r="D3" s="67">
        <v>0</v>
      </c>
      <c r="E3" s="67">
        <f>INDEX('Combined Data'!$B$27:$AK$27,1,MATCH('BPEiC-CO2'!$A3,'Combined Data'!$B$2:$AK$2))*10^12</f>
        <v>1863061817561.0049</v>
      </c>
      <c r="F3" s="67">
        <v>0</v>
      </c>
      <c r="G3" s="67">
        <v>0</v>
      </c>
      <c r="H3" s="67">
        <v>0</v>
      </c>
      <c r="I3" s="67">
        <f>INDEX('Combined Data'!$B$65:$AK$65,1,MATCH('BPEiC-CO2'!$A3,'Combined Data'!$B$2:$AK$2))*10^12</f>
        <v>4351330923.4684992</v>
      </c>
    </row>
    <row r="4" spans="1:9">
      <c r="A4" s="27">
        <v>2017</v>
      </c>
      <c r="B4" s="67">
        <v>0</v>
      </c>
      <c r="C4" s="67">
        <v>0</v>
      </c>
      <c r="D4" s="67">
        <v>0</v>
      </c>
      <c r="E4" s="67">
        <f>INDEX('Combined Data'!$B$27:$AK$27,1,MATCH('BPEiC-CO2'!$A4,'Combined Data'!$B$2:$AK$2))*10^12</f>
        <v>2063801887818.96</v>
      </c>
      <c r="F4" s="67">
        <v>0</v>
      </c>
      <c r="G4" s="67">
        <v>0</v>
      </c>
      <c r="H4" s="67">
        <v>0</v>
      </c>
      <c r="I4" s="67">
        <f>INDEX('Combined Data'!$B$65:$AK$65,1,MATCH('BPEiC-CO2'!$A4,'Combined Data'!$B$2:$AK$2))*10^12</f>
        <v>4675245235.1777916</v>
      </c>
    </row>
    <row r="5" spans="1:9">
      <c r="A5" s="27">
        <v>2018</v>
      </c>
      <c r="B5" s="67">
        <v>0</v>
      </c>
      <c r="C5" s="67">
        <v>0</v>
      </c>
      <c r="D5" s="67">
        <v>0</v>
      </c>
      <c r="E5" s="67">
        <f>INDEX('Combined Data'!$B$27:$AK$27,1,MATCH('BPEiC-CO2'!$A5,'Combined Data'!$B$2:$AK$2))*10^12</f>
        <v>2264541958076.9146</v>
      </c>
      <c r="F5" s="67">
        <v>0</v>
      </c>
      <c r="G5" s="67">
        <v>0</v>
      </c>
      <c r="H5" s="67">
        <v>0</v>
      </c>
      <c r="I5" s="67">
        <f>INDEX('Combined Data'!$B$65:$AK$65,1,MATCH('BPEiC-CO2'!$A5,'Combined Data'!$B$2:$AK$2))*10^12</f>
        <v>4999159546.8870859</v>
      </c>
    </row>
    <row r="6" spans="1:9">
      <c r="A6" s="27">
        <v>2019</v>
      </c>
      <c r="B6" s="67">
        <v>0</v>
      </c>
      <c r="C6" s="67">
        <v>0</v>
      </c>
      <c r="D6" s="67">
        <v>0</v>
      </c>
      <c r="E6" s="67">
        <f>INDEX('Combined Data'!$B$27:$AK$27,1,MATCH('BPEiC-CO2'!$A6,'Combined Data'!$B$2:$AK$2))*10^12</f>
        <v>2234348065302.5562</v>
      </c>
      <c r="F6" s="67">
        <v>0</v>
      </c>
      <c r="G6" s="67">
        <v>0</v>
      </c>
      <c r="H6" s="67">
        <v>0</v>
      </c>
      <c r="I6" s="67">
        <f>INDEX('Combined Data'!$B$65:$AK$65,1,MATCH('BPEiC-CO2'!$A6,'Combined Data'!$B$2:$AK$2))*10^12</f>
        <v>5323073858.5963793</v>
      </c>
    </row>
    <row r="7" spans="1:9">
      <c r="A7" s="27">
        <v>2020</v>
      </c>
      <c r="B7" s="67">
        <v>0</v>
      </c>
      <c r="C7" s="67">
        <v>0</v>
      </c>
      <c r="D7" s="67">
        <v>0</v>
      </c>
      <c r="E7" s="67">
        <f>INDEX('Combined Data'!$B$27:$AK$27,1,MATCH('BPEiC-CO2'!$A7,'Combined Data'!$B$2:$AK$2))*10^12</f>
        <v>2279638904464.0947</v>
      </c>
      <c r="F7" s="67">
        <v>0</v>
      </c>
      <c r="G7" s="67">
        <v>0</v>
      </c>
      <c r="H7" s="67">
        <v>0</v>
      </c>
      <c r="I7" s="67">
        <f>INDEX('Combined Data'!$B$65:$AK$65,1,MATCH('BPEiC-CO2'!$A7,'Combined Data'!$B$2:$AK$2))*10^12</f>
        <v>5646988170.3056717</v>
      </c>
    </row>
    <row r="8" spans="1:9">
      <c r="A8" s="27">
        <v>2021</v>
      </c>
      <c r="B8" s="67">
        <v>0</v>
      </c>
      <c r="C8" s="67">
        <v>0</v>
      </c>
      <c r="D8" s="67">
        <v>0</v>
      </c>
      <c r="E8" s="67">
        <f>INDEX('Combined Data'!$B$27:$AK$27,1,MATCH('BPEiC-CO2'!$A8,'Combined Data'!$B$2:$AK$2))*10^12</f>
        <v>2279638904464.0947</v>
      </c>
      <c r="F8" s="67">
        <v>0</v>
      </c>
      <c r="G8" s="67">
        <v>0</v>
      </c>
      <c r="H8" s="67">
        <v>0</v>
      </c>
      <c r="I8" s="67">
        <f>INDEX('Combined Data'!$B$65:$AK$65,1,MATCH('BPEiC-CO2'!$A8,'Combined Data'!$B$2:$AK$2))*10^12</f>
        <v>5970902482.0149651</v>
      </c>
    </row>
    <row r="9" spans="1:9">
      <c r="A9" s="27">
        <v>2022</v>
      </c>
      <c r="B9" s="67">
        <v>0</v>
      </c>
      <c r="C9" s="67">
        <v>0</v>
      </c>
      <c r="D9" s="67">
        <v>0</v>
      </c>
      <c r="E9" s="67">
        <f>INDEX('Combined Data'!$B$27:$AK$27,1,MATCH('BPEiC-CO2'!$A9,'Combined Data'!$B$2:$AK$2))*10^12</f>
        <v>2370220582787.1714</v>
      </c>
      <c r="F9" s="67">
        <v>0</v>
      </c>
      <c r="G9" s="67">
        <v>0</v>
      </c>
      <c r="H9" s="67">
        <v>0</v>
      </c>
      <c r="I9" s="67">
        <f>INDEX('Combined Data'!$B$65:$AK$65,1,MATCH('BPEiC-CO2'!$A9,'Combined Data'!$B$2:$AK$2))*10^12</f>
        <v>6294816793.7242594</v>
      </c>
    </row>
    <row r="10" spans="1:9">
      <c r="A10" s="27">
        <v>2023</v>
      </c>
      <c r="B10" s="67">
        <v>0</v>
      </c>
      <c r="C10" s="67">
        <v>0</v>
      </c>
      <c r="D10" s="67">
        <v>0</v>
      </c>
      <c r="E10" s="67">
        <f>INDEX('Combined Data'!$B$27:$AK$27,1,MATCH('BPEiC-CO2'!$A10,'Combined Data'!$B$2:$AK$2))*10^12</f>
        <v>2415511421948.7095</v>
      </c>
      <c r="F10" s="67">
        <v>0</v>
      </c>
      <c r="G10" s="67">
        <v>0</v>
      </c>
      <c r="H10" s="67">
        <v>0</v>
      </c>
      <c r="I10" s="67">
        <f>INDEX('Combined Data'!$B$65:$AK$65,1,MATCH('BPEiC-CO2'!$A10,'Combined Data'!$B$2:$AK$2))*10^12</f>
        <v>6618731105.4335518</v>
      </c>
    </row>
    <row r="11" spans="1:9">
      <c r="A11" s="27">
        <v>2024</v>
      </c>
      <c r="B11" s="67">
        <v>0</v>
      </c>
      <c r="C11" s="67">
        <v>0</v>
      </c>
      <c r="D11" s="67">
        <v>0</v>
      </c>
      <c r="E11" s="67">
        <f>INDEX('Combined Data'!$B$27:$AK$27,1,MATCH('BPEiC-CO2'!$A11,'Combined Data'!$B$2:$AK$2))*10^12</f>
        <v>2445705314723.0679</v>
      </c>
      <c r="F11" s="67">
        <v>0</v>
      </c>
      <c r="G11" s="67">
        <v>0</v>
      </c>
      <c r="H11" s="67">
        <v>0</v>
      </c>
      <c r="I11" s="67">
        <f>INDEX('Combined Data'!$B$65:$AK$65,1,MATCH('BPEiC-CO2'!$A11,'Combined Data'!$B$2:$AK$2))*10^12</f>
        <v>6942645417.1428452</v>
      </c>
    </row>
    <row r="12" spans="1:9">
      <c r="A12" s="27">
        <v>2025</v>
      </c>
      <c r="B12" s="67">
        <v>0</v>
      </c>
      <c r="C12" s="67">
        <v>0</v>
      </c>
      <c r="D12" s="67">
        <v>0</v>
      </c>
      <c r="E12" s="67">
        <f>INDEX('Combined Data'!$B$27:$AK$27,1,MATCH('BPEiC-CO2'!$A12,'Combined Data'!$B$2:$AK$2))*10^12</f>
        <v>2490996153884.6064</v>
      </c>
      <c r="F12" s="67">
        <v>0</v>
      </c>
      <c r="G12" s="67">
        <v>0</v>
      </c>
      <c r="H12" s="67">
        <v>0</v>
      </c>
      <c r="I12" s="67">
        <f>INDEX('Combined Data'!$B$65:$AK$65,1,MATCH('BPEiC-CO2'!$A12,'Combined Data'!$B$2:$AK$2))*10^12</f>
        <v>7266559728.8521385</v>
      </c>
    </row>
    <row r="13" spans="1:9">
      <c r="A13" s="27">
        <v>2026</v>
      </c>
      <c r="B13" s="67">
        <v>0</v>
      </c>
      <c r="C13" s="67">
        <v>0</v>
      </c>
      <c r="D13" s="67">
        <v>0</v>
      </c>
      <c r="E13" s="67">
        <f>INDEX('Combined Data'!$B$27:$AK$27,1,MATCH('BPEiC-CO2'!$A13,'Combined Data'!$B$2:$AK$2))*10^12</f>
        <v>2475899207497.4268</v>
      </c>
      <c r="F13" s="67">
        <v>0</v>
      </c>
      <c r="G13" s="67">
        <v>0</v>
      </c>
      <c r="H13" s="67">
        <v>0</v>
      </c>
      <c r="I13" s="67">
        <f>INDEX('Combined Data'!$B$65:$AK$65,1,MATCH('BPEiC-CO2'!$A13,'Combined Data'!$B$2:$AK$2))*10^12</f>
        <v>7590474040.5614319</v>
      </c>
    </row>
    <row r="14" spans="1:9">
      <c r="A14" s="27">
        <v>2027</v>
      </c>
      <c r="B14" s="67">
        <v>0</v>
      </c>
      <c r="C14" s="67">
        <v>0</v>
      </c>
      <c r="D14" s="67">
        <v>0</v>
      </c>
      <c r="E14" s="67">
        <f>INDEX('Combined Data'!$B$27:$AK$27,1,MATCH('BPEiC-CO2'!$A14,'Combined Data'!$B$2:$AK$2))*10^12</f>
        <v>2611771724982.042</v>
      </c>
      <c r="F14" s="67">
        <v>0</v>
      </c>
      <c r="G14" s="67">
        <v>0</v>
      </c>
      <c r="H14" s="67">
        <v>0</v>
      </c>
      <c r="I14" s="67">
        <f>INDEX('Combined Data'!$B$65:$AK$65,1,MATCH('BPEiC-CO2'!$A14,'Combined Data'!$B$2:$AK$2))*10^12</f>
        <v>7914388352.2707243</v>
      </c>
    </row>
    <row r="15" spans="1:9">
      <c r="A15" s="27">
        <v>2028</v>
      </c>
      <c r="B15" s="67">
        <v>0</v>
      </c>
      <c r="C15" s="67">
        <v>0</v>
      </c>
      <c r="D15" s="67">
        <v>0</v>
      </c>
      <c r="E15" s="67">
        <f>INDEX('Combined Data'!$B$27:$AK$27,1,MATCH('BPEiC-CO2'!$A15,'Combined Data'!$B$2:$AK$2))*10^12</f>
        <v>2521190046658.9653</v>
      </c>
      <c r="F15" s="67">
        <v>0</v>
      </c>
      <c r="G15" s="67">
        <v>0</v>
      </c>
      <c r="H15" s="67">
        <v>0</v>
      </c>
      <c r="I15" s="67">
        <f>INDEX('Combined Data'!$B$65:$AK$65,1,MATCH('BPEiC-CO2'!$A15,'Combined Data'!$B$2:$AK$2))*10^12</f>
        <v>8238302663.9800177</v>
      </c>
    </row>
    <row r="16" spans="1:9">
      <c r="A16" s="27">
        <v>2029</v>
      </c>
      <c r="B16" s="67">
        <v>0</v>
      </c>
      <c r="C16" s="67">
        <v>0</v>
      </c>
      <c r="D16" s="67">
        <v>0</v>
      </c>
      <c r="E16" s="67">
        <f>INDEX('Combined Data'!$B$27:$AK$27,1,MATCH('BPEiC-CO2'!$A16,'Combined Data'!$B$2:$AK$2))*10^12</f>
        <v>2400414475561.5298</v>
      </c>
      <c r="F16" s="67">
        <v>0</v>
      </c>
      <c r="G16" s="67">
        <v>0</v>
      </c>
      <c r="H16" s="67">
        <v>0</v>
      </c>
      <c r="I16" s="67">
        <f>INDEX('Combined Data'!$B$65:$AK$65,1,MATCH('BPEiC-CO2'!$A16,'Combined Data'!$B$2:$AK$2))*10^12</f>
        <v>8562216975.689312</v>
      </c>
    </row>
    <row r="17" spans="1:9">
      <c r="A17" s="27">
        <v>2030</v>
      </c>
      <c r="B17" s="67">
        <v>0</v>
      </c>
      <c r="C17" s="67">
        <v>0</v>
      </c>
      <c r="D17" s="67">
        <v>0</v>
      </c>
      <c r="E17" s="67">
        <f>INDEX('Combined Data'!$B$27:$AK$27,1,MATCH('BPEiC-CO2'!$A17,'Combined Data'!$B$2:$AK$2))*10^12</f>
        <v>2234348065302.5562</v>
      </c>
      <c r="F17" s="67">
        <v>0</v>
      </c>
      <c r="G17" s="67">
        <v>0</v>
      </c>
      <c r="H17" s="67">
        <v>0</v>
      </c>
      <c r="I17" s="67">
        <f>INDEX('Combined Data'!$B$65:$AK$65,1,MATCH('BPEiC-CO2'!$A17,'Combined Data'!$B$2:$AK$2))*10^12</f>
        <v>8886131287.3986053</v>
      </c>
    </row>
    <row r="18" spans="1:9">
      <c r="A18" s="27">
        <v>2031</v>
      </c>
      <c r="B18" s="67">
        <v>0</v>
      </c>
      <c r="C18" s="67">
        <v>0</v>
      </c>
      <c r="D18" s="67">
        <v>0</v>
      </c>
      <c r="E18" s="67">
        <f>INDEX('Combined Data'!$B$27:$AK$27,1,MATCH('BPEiC-CO2'!$A18,'Combined Data'!$B$2:$AK$2))*10^12</f>
        <v>2309832797238.4531</v>
      </c>
      <c r="F18" s="67">
        <v>0</v>
      </c>
      <c r="G18" s="67">
        <v>0</v>
      </c>
      <c r="H18" s="67">
        <v>0</v>
      </c>
      <c r="I18" s="67">
        <f>INDEX('Combined Data'!$B$65:$AK$65,1,MATCH('BPEiC-CO2'!$A18,'Combined Data'!$B$2:$AK$2))*10^12</f>
        <v>9210045599.1078987</v>
      </c>
    </row>
    <row r="19" spans="1:9">
      <c r="A19" s="27">
        <v>2032</v>
      </c>
      <c r="B19" s="67">
        <v>0</v>
      </c>
      <c r="C19" s="67">
        <v>0</v>
      </c>
      <c r="D19" s="67">
        <v>0</v>
      </c>
      <c r="E19" s="67">
        <f>INDEX('Combined Data'!$B$27:$AK$27,1,MATCH('BPEiC-CO2'!$A19,'Combined Data'!$B$2:$AK$2))*10^12</f>
        <v>2385317529174.3501</v>
      </c>
      <c r="F19" s="67">
        <v>0</v>
      </c>
      <c r="G19" s="67">
        <v>0</v>
      </c>
      <c r="H19" s="67">
        <v>0</v>
      </c>
      <c r="I19" s="67">
        <f>INDEX('Combined Data'!$B$65:$AK$65,1,MATCH('BPEiC-CO2'!$A19,'Combined Data'!$B$2:$AK$2))*10^12</f>
        <v>9533959910.8171921</v>
      </c>
    </row>
    <row r="20" spans="1:9">
      <c r="A20" s="27">
        <v>2033</v>
      </c>
      <c r="B20" s="67">
        <v>0</v>
      </c>
      <c r="C20" s="67">
        <v>0</v>
      </c>
      <c r="D20" s="67">
        <v>0</v>
      </c>
      <c r="E20" s="67">
        <f>INDEX('Combined Data'!$B$27:$AK$27,1,MATCH('BPEiC-CO2'!$A20,'Combined Data'!$B$2:$AK$2))*10^12</f>
        <v>2294735850851.2734</v>
      </c>
      <c r="F20" s="67">
        <v>0</v>
      </c>
      <c r="G20" s="67">
        <v>0</v>
      </c>
      <c r="H20" s="67">
        <v>0</v>
      </c>
      <c r="I20" s="67">
        <f>INDEX('Combined Data'!$B$65:$AK$65,1,MATCH('BPEiC-CO2'!$A20,'Combined Data'!$B$2:$AK$2))*10^12</f>
        <v>9857874222.5264835</v>
      </c>
    </row>
    <row r="21" spans="1:9">
      <c r="A21" s="27">
        <v>2034</v>
      </c>
      <c r="B21" s="67">
        <v>0</v>
      </c>
      <c r="C21" s="67">
        <v>0</v>
      </c>
      <c r="D21" s="67">
        <v>0</v>
      </c>
      <c r="E21" s="67">
        <f>INDEX('Combined Data'!$B$27:$AK$27,1,MATCH('BPEiC-CO2'!$A21,'Combined Data'!$B$2:$AK$2))*10^12</f>
        <v>2158863333366.6589</v>
      </c>
      <c r="F21" s="67">
        <v>0</v>
      </c>
      <c r="G21" s="67">
        <v>0</v>
      </c>
      <c r="H21" s="67">
        <v>0</v>
      </c>
      <c r="I21" s="67">
        <f>INDEX('Combined Data'!$B$65:$AK$65,1,MATCH('BPEiC-CO2'!$A21,'Combined Data'!$B$2:$AK$2))*10^12</f>
        <v>10181788534.235777</v>
      </c>
    </row>
    <row r="22" spans="1:9">
      <c r="A22" s="27">
        <v>2035</v>
      </c>
      <c r="B22" s="67">
        <v>0</v>
      </c>
      <c r="C22" s="67">
        <v>0</v>
      </c>
      <c r="D22" s="67">
        <v>0</v>
      </c>
      <c r="E22" s="67">
        <f>INDEX('Combined Data'!$B$27:$AK$27,1,MATCH('BPEiC-CO2'!$A22,'Combined Data'!$B$2:$AK$2))*10^12</f>
        <v>2022990815882.0437</v>
      </c>
      <c r="F22" s="67">
        <v>0</v>
      </c>
      <c r="G22" s="67">
        <v>0</v>
      </c>
      <c r="H22" s="67">
        <v>0</v>
      </c>
      <c r="I22" s="67">
        <f>INDEX('Combined Data'!$B$65:$AK$65,1,MATCH('BPEiC-CO2'!$A22,'Combined Data'!$B$2:$AK$2))*10^12</f>
        <v>10505702845.945072</v>
      </c>
    </row>
    <row r="23" spans="1:9">
      <c r="A23" s="27">
        <v>2036</v>
      </c>
      <c r="B23" s="67">
        <v>0</v>
      </c>
      <c r="C23" s="67">
        <v>0</v>
      </c>
      <c r="D23" s="67">
        <v>0</v>
      </c>
      <c r="E23" s="67">
        <f>INDEX('Combined Data'!$B$27:$AK$27,1,MATCH('BPEiC-CO2'!$A23,'Combined Data'!$B$2:$AK$2))*10^12</f>
        <v>1947506083946.1467</v>
      </c>
      <c r="F23" s="67">
        <v>0</v>
      </c>
      <c r="G23" s="67">
        <v>0</v>
      </c>
      <c r="H23" s="67">
        <v>0</v>
      </c>
      <c r="I23" s="67">
        <f>INDEX('Combined Data'!$B$65:$AK$65,1,MATCH('BPEiC-CO2'!$A23,'Combined Data'!$B$2:$AK$2))*10^12</f>
        <v>10829617157.654366</v>
      </c>
    </row>
    <row r="24" spans="1:9">
      <c r="A24" s="27">
        <v>2037</v>
      </c>
      <c r="B24" s="67">
        <v>0</v>
      </c>
      <c r="C24" s="67">
        <v>0</v>
      </c>
      <c r="D24" s="67">
        <v>0</v>
      </c>
      <c r="E24" s="67">
        <f>INDEX('Combined Data'!$B$27:$AK$27,1,MATCH('BPEiC-CO2'!$A24,'Combined Data'!$B$2:$AK$2))*10^12</f>
        <v>1917312191171.7878</v>
      </c>
      <c r="F24" s="67">
        <v>0</v>
      </c>
      <c r="G24" s="67">
        <v>0</v>
      </c>
      <c r="H24" s="67">
        <v>0</v>
      </c>
      <c r="I24" s="67">
        <f>INDEX('Combined Data'!$B$65:$AK$65,1,MATCH('BPEiC-CO2'!$A24,'Combined Data'!$B$2:$AK$2))*10^12</f>
        <v>11153531469.363659</v>
      </c>
    </row>
    <row r="25" spans="1:9">
      <c r="A25" s="27">
        <v>2038</v>
      </c>
      <c r="B25" s="67">
        <v>0</v>
      </c>
      <c r="C25" s="67">
        <v>0</v>
      </c>
      <c r="D25" s="67">
        <v>0</v>
      </c>
      <c r="E25" s="67">
        <f>INDEX('Combined Data'!$B$27:$AK$27,1,MATCH('BPEiC-CO2'!$A25,'Combined Data'!$B$2:$AK$2))*10^12</f>
        <v>1479500745943.5845</v>
      </c>
      <c r="F25" s="67">
        <v>0</v>
      </c>
      <c r="G25" s="67">
        <v>0</v>
      </c>
      <c r="H25" s="67">
        <v>0</v>
      </c>
      <c r="I25" s="67">
        <f>INDEX('Combined Data'!$B$65:$AK$65,1,MATCH('BPEiC-CO2'!$A25,'Combined Data'!$B$2:$AK$2))*10^12</f>
        <v>11477445781.072952</v>
      </c>
    </row>
    <row r="26" spans="1:9">
      <c r="A26" s="27">
        <v>2039</v>
      </c>
      <c r="B26" s="67">
        <v>0</v>
      </c>
      <c r="C26" s="67">
        <v>0</v>
      </c>
      <c r="D26" s="67">
        <v>0</v>
      </c>
      <c r="E26" s="67">
        <f>INDEX('Combined Data'!$B$27:$AK$27,1,MATCH('BPEiC-CO2'!$A26,'Combined Data'!$B$2:$AK$2))*10^12</f>
        <v>1434209906782.0461</v>
      </c>
      <c r="F26" s="67">
        <v>0</v>
      </c>
      <c r="G26" s="67">
        <v>0</v>
      </c>
      <c r="H26" s="67">
        <v>0</v>
      </c>
      <c r="I26" s="67">
        <f>INDEX('Combined Data'!$B$65:$AK$65,1,MATCH('BPEiC-CO2'!$A26,'Combined Data'!$B$2:$AK$2))*10^12</f>
        <v>11801360092.782244</v>
      </c>
    </row>
    <row r="27" spans="1:9">
      <c r="A27" s="27">
        <v>2040</v>
      </c>
      <c r="B27" s="67">
        <v>0</v>
      </c>
      <c r="C27" s="67">
        <v>0</v>
      </c>
      <c r="D27" s="67">
        <v>0</v>
      </c>
      <c r="E27" s="67">
        <f>INDEX('Combined Data'!$B$27:$AK$27,1,MATCH('BPEiC-CO2'!$A27,'Combined Data'!$B$2:$AK$2))*10^12</f>
        <v>1373822121233.3286</v>
      </c>
      <c r="F27" s="67">
        <v>0</v>
      </c>
      <c r="G27" s="67">
        <v>0</v>
      </c>
      <c r="H27" s="67">
        <v>0</v>
      </c>
      <c r="I27" s="67">
        <f>INDEX('Combined Data'!$B$65:$AK$65,1,MATCH('BPEiC-CO2'!$A27,'Combined Data'!$B$2:$AK$2))*10^12</f>
        <v>12125274404.491537</v>
      </c>
    </row>
    <row r="28" spans="1:9">
      <c r="A28" s="27">
        <v>2041</v>
      </c>
      <c r="B28" s="67">
        <v>0</v>
      </c>
      <c r="C28" s="67">
        <v>0</v>
      </c>
      <c r="D28" s="67">
        <v>0</v>
      </c>
      <c r="E28" s="67">
        <f>INDEX('Combined Data'!$B$27:$AK$27,1,MATCH('BPEiC-CO2'!$A28,'Combined Data'!$B$2:$AK$2))*10^12</f>
        <v>1373822121233.3286</v>
      </c>
      <c r="F28" s="67">
        <v>0</v>
      </c>
      <c r="G28" s="67">
        <v>0</v>
      </c>
      <c r="H28" s="67">
        <v>0</v>
      </c>
      <c r="I28" s="67">
        <f>INDEX('Combined Data'!$B$65:$AK$65,1,MATCH('BPEiC-CO2'!$A28,'Combined Data'!$B$2:$AK$2))*10^12</f>
        <v>12449188716.20083</v>
      </c>
    </row>
    <row r="29" spans="1:9">
      <c r="A29" s="27">
        <v>2042</v>
      </c>
      <c r="B29" s="67">
        <v>0</v>
      </c>
      <c r="C29" s="67">
        <v>0</v>
      </c>
      <c r="D29" s="67">
        <v>0</v>
      </c>
      <c r="E29" s="67">
        <f>INDEX('Combined Data'!$B$27:$AK$27,1,MATCH('BPEiC-CO2'!$A29,'Combined Data'!$B$2:$AK$2))*10^12</f>
        <v>1373822121233.3286</v>
      </c>
      <c r="F29" s="67">
        <v>0</v>
      </c>
      <c r="G29" s="67">
        <v>0</v>
      </c>
      <c r="H29" s="67">
        <v>0</v>
      </c>
      <c r="I29" s="67">
        <f>INDEX('Combined Data'!$B$65:$AK$65,1,MATCH('BPEiC-CO2'!$A29,'Combined Data'!$B$2:$AK$2))*10^12</f>
        <v>12773103027.910126</v>
      </c>
    </row>
    <row r="30" spans="1:9">
      <c r="A30" s="27">
        <v>2043</v>
      </c>
      <c r="B30" s="67">
        <v>0</v>
      </c>
      <c r="C30" s="67">
        <v>0</v>
      </c>
      <c r="D30" s="67">
        <v>0</v>
      </c>
      <c r="E30" s="67">
        <f>INDEX('Combined Data'!$B$27:$AK$27,1,MATCH('BPEiC-CO2'!$A30,'Combined Data'!$B$2:$AK$2))*10^12</f>
        <v>1373822121233.3286</v>
      </c>
      <c r="F30" s="67">
        <v>0</v>
      </c>
      <c r="G30" s="67">
        <v>0</v>
      </c>
      <c r="H30" s="67">
        <v>0</v>
      </c>
      <c r="I30" s="67">
        <f>INDEX('Combined Data'!$B$65:$AK$65,1,MATCH('BPEiC-CO2'!$A30,'Combined Data'!$B$2:$AK$2))*10^12</f>
        <v>13097017339.619419</v>
      </c>
    </row>
    <row r="31" spans="1:9">
      <c r="A31" s="27">
        <v>2044</v>
      </c>
      <c r="B31" s="67">
        <v>0</v>
      </c>
      <c r="C31" s="67">
        <v>0</v>
      </c>
      <c r="D31" s="67">
        <v>0</v>
      </c>
      <c r="E31" s="67">
        <f>INDEX('Combined Data'!$B$27:$AK$27,1,MATCH('BPEiC-CO2'!$A31,'Combined Data'!$B$2:$AK$2))*10^12</f>
        <v>1373822121233.3286</v>
      </c>
      <c r="F31" s="67">
        <v>0</v>
      </c>
      <c r="G31" s="67">
        <v>0</v>
      </c>
      <c r="H31" s="67">
        <v>0</v>
      </c>
      <c r="I31" s="67">
        <f>INDEX('Combined Data'!$B$65:$AK$65,1,MATCH('BPEiC-CO2'!$A31,'Combined Data'!$B$2:$AK$2))*10^12</f>
        <v>13420931651.328712</v>
      </c>
    </row>
    <row r="32" spans="1:9">
      <c r="A32" s="27">
        <v>2045</v>
      </c>
      <c r="B32" s="67">
        <v>0</v>
      </c>
      <c r="C32" s="67">
        <v>0</v>
      </c>
      <c r="D32" s="67">
        <v>0</v>
      </c>
      <c r="E32" s="67">
        <f>INDEX('Combined Data'!$B$27:$AK$27,1,MATCH('BPEiC-CO2'!$A32,'Combined Data'!$B$2:$AK$2))*10^12</f>
        <v>1373822121233.3286</v>
      </c>
      <c r="F32" s="67">
        <v>0</v>
      </c>
      <c r="G32" s="67">
        <v>0</v>
      </c>
      <c r="H32" s="67">
        <v>0</v>
      </c>
      <c r="I32" s="67">
        <f>INDEX('Combined Data'!$B$65:$AK$65,1,MATCH('BPEiC-CO2'!$A32,'Combined Data'!$B$2:$AK$2))*10^12</f>
        <v>13744845963.038004</v>
      </c>
    </row>
    <row r="33" spans="1:9">
      <c r="A33" s="27">
        <v>2046</v>
      </c>
      <c r="B33" s="67">
        <v>0</v>
      </c>
      <c r="C33" s="67">
        <v>0</v>
      </c>
      <c r="D33" s="67">
        <v>0</v>
      </c>
      <c r="E33" s="67">
        <f>INDEX('Combined Data'!$B$27:$AK$27,1,MATCH('BPEiC-CO2'!$A33,'Combined Data'!$B$2:$AK$2))*10^12</f>
        <v>1373822121233.3286</v>
      </c>
      <c r="F33" s="67">
        <v>0</v>
      </c>
      <c r="G33" s="67">
        <v>0</v>
      </c>
      <c r="H33" s="67">
        <v>0</v>
      </c>
      <c r="I33" s="67">
        <f>INDEX('Combined Data'!$B$65:$AK$65,1,MATCH('BPEiC-CO2'!$A33,'Combined Data'!$B$2:$AK$2))*10^12</f>
        <v>14068760274.747297</v>
      </c>
    </row>
    <row r="34" spans="1:9">
      <c r="A34" s="27">
        <v>2047</v>
      </c>
      <c r="B34" s="67">
        <v>0</v>
      </c>
      <c r="C34" s="67">
        <v>0</v>
      </c>
      <c r="D34" s="67">
        <v>0</v>
      </c>
      <c r="E34" s="67">
        <f>INDEX('Combined Data'!$B$27:$AK$27,1,MATCH('BPEiC-CO2'!$A34,'Combined Data'!$B$2:$AK$2))*10^12</f>
        <v>1373822121233.3286</v>
      </c>
      <c r="F34" s="67">
        <v>0</v>
      </c>
      <c r="G34" s="67">
        <v>0</v>
      </c>
      <c r="H34" s="67">
        <v>0</v>
      </c>
      <c r="I34" s="67">
        <f>INDEX('Combined Data'!$B$65:$AK$65,1,MATCH('BPEiC-CO2'!$A34,'Combined Data'!$B$2:$AK$2))*10^12</f>
        <v>14392674586.456591</v>
      </c>
    </row>
    <row r="35" spans="1:9">
      <c r="A35" s="27">
        <v>2048</v>
      </c>
      <c r="B35" s="67">
        <v>0</v>
      </c>
      <c r="C35" s="67">
        <v>0</v>
      </c>
      <c r="D35" s="67">
        <v>0</v>
      </c>
      <c r="E35" s="67">
        <f>INDEX('Combined Data'!$B$27:$AK$27,1,MATCH('BPEiC-CO2'!$A35,'Combined Data'!$B$2:$AK$2))*10^12</f>
        <v>1373822121233.3286</v>
      </c>
      <c r="F35" s="67">
        <v>0</v>
      </c>
      <c r="G35" s="67">
        <v>0</v>
      </c>
      <c r="H35" s="67">
        <v>0</v>
      </c>
      <c r="I35" s="67">
        <f>INDEX('Combined Data'!$B$65:$AK$65,1,MATCH('BPEiC-CO2'!$A35,'Combined Data'!$B$2:$AK$2))*10^12</f>
        <v>14716588898.165884</v>
      </c>
    </row>
    <row r="36" spans="1:9">
      <c r="A36" s="27">
        <v>2049</v>
      </c>
      <c r="B36" s="67">
        <v>0</v>
      </c>
      <c r="C36" s="67">
        <v>0</v>
      </c>
      <c r="D36" s="67">
        <v>0</v>
      </c>
      <c r="E36" s="67">
        <f>INDEX('Combined Data'!$B$27:$AK$27,1,MATCH('BPEiC-CO2'!$A36,'Combined Data'!$B$2:$AK$2))*10^12</f>
        <v>1373822121233.3286</v>
      </c>
      <c r="F36" s="67">
        <v>0</v>
      </c>
      <c r="G36" s="67">
        <v>0</v>
      </c>
      <c r="H36" s="67">
        <v>0</v>
      </c>
      <c r="I36" s="67">
        <f>INDEX('Combined Data'!$B$65:$AK$65,1,MATCH('BPEiC-CO2'!$A36,'Combined Data'!$B$2:$AK$2))*10^12</f>
        <v>15040503209.875177</v>
      </c>
    </row>
    <row r="37" spans="1:9">
      <c r="A37" s="27">
        <v>2050</v>
      </c>
      <c r="B37" s="67">
        <v>0</v>
      </c>
      <c r="C37" s="67">
        <v>0</v>
      </c>
      <c r="D37" s="67">
        <v>0</v>
      </c>
      <c r="E37" s="67">
        <f>INDEX('Combined Data'!$B$27:$AK$27,1,MATCH('BPEiC-CO2'!$A37,'Combined Data'!$B$2:$AK$2))*10^12</f>
        <v>1373822121233.3286</v>
      </c>
      <c r="F37" s="67">
        <v>0</v>
      </c>
      <c r="G37" s="67">
        <v>0</v>
      </c>
      <c r="H37" s="67">
        <v>0</v>
      </c>
      <c r="I37" s="67">
        <f>INDEX('Combined Data'!$B$65:$AK$65,1,MATCH('BPEiC-CO2'!$A37,'Combined Data'!$B$2:$AK$2))*10^12</f>
        <v>15364417521.584473</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5" tint="0.79998168889431442"/>
  </sheetPr>
  <dimension ref="A1:AK13"/>
  <sheetViews>
    <sheetView workbookViewId="0">
      <selection activeCell="H26" sqref="H26"/>
    </sheetView>
  </sheetViews>
  <sheetFormatPr baseColWidth="10" defaultColWidth="8.6640625" defaultRowHeight="15"/>
  <cols>
    <col min="1" max="1" width="35.1640625" style="64" customWidth="1"/>
    <col min="2" max="16384" width="8.6640625" style="64"/>
  </cols>
  <sheetData>
    <row r="1" spans="1:37" ht="21">
      <c r="A1" s="66" t="s">
        <v>831</v>
      </c>
    </row>
    <row r="2" spans="1:37" ht="21">
      <c r="A2" s="66" t="s">
        <v>353</v>
      </c>
    </row>
    <row r="3" spans="1:37" ht="21">
      <c r="A3" s="66" t="s">
        <v>310</v>
      </c>
    </row>
    <row r="4" spans="1:37" ht="21">
      <c r="A4" s="66" t="s">
        <v>830</v>
      </c>
    </row>
    <row r="7" spans="1:37" ht="19">
      <c r="A7" s="65" t="s">
        <v>316</v>
      </c>
    </row>
    <row r="8" spans="1:37">
      <c r="A8" s="64" t="s">
        <v>306</v>
      </c>
      <c r="B8" s="64" t="s">
        <v>305</v>
      </c>
      <c r="C8" s="64" t="s">
        <v>304</v>
      </c>
      <c r="D8" s="64" t="s">
        <v>303</v>
      </c>
      <c r="E8" s="64" t="s">
        <v>302</v>
      </c>
      <c r="F8" s="64" t="s">
        <v>301</v>
      </c>
      <c r="G8" s="64" t="s">
        <v>300</v>
      </c>
      <c r="H8" s="64" t="s">
        <v>299</v>
      </c>
      <c r="I8" s="64" t="s">
        <v>298</v>
      </c>
      <c r="J8" s="64" t="s">
        <v>297</v>
      </c>
      <c r="K8" s="64" t="s">
        <v>296</v>
      </c>
      <c r="L8" s="64" t="s">
        <v>295</v>
      </c>
      <c r="M8" s="64" t="s">
        <v>294</v>
      </c>
      <c r="N8" s="64" t="s">
        <v>293</v>
      </c>
      <c r="O8" s="64" t="s">
        <v>292</v>
      </c>
      <c r="P8" s="64" t="s">
        <v>291</v>
      </c>
      <c r="Q8" s="64" t="s">
        <v>290</v>
      </c>
      <c r="R8" s="64" t="s">
        <v>289</v>
      </c>
      <c r="S8" s="64" t="s">
        <v>288</v>
      </c>
      <c r="T8" s="64" t="s">
        <v>287</v>
      </c>
      <c r="U8" s="64" t="s">
        <v>286</v>
      </c>
      <c r="V8" s="64" t="s">
        <v>285</v>
      </c>
      <c r="W8" s="64" t="s">
        <v>284</v>
      </c>
      <c r="X8" s="64" t="s">
        <v>283</v>
      </c>
      <c r="Y8" s="64" t="s">
        <v>282</v>
      </c>
      <c r="Z8" s="64" t="s">
        <v>281</v>
      </c>
      <c r="AA8" s="64" t="s">
        <v>280</v>
      </c>
      <c r="AB8" s="64" t="s">
        <v>279</v>
      </c>
      <c r="AC8" s="64" t="s">
        <v>278</v>
      </c>
      <c r="AD8" s="64" t="s">
        <v>277</v>
      </c>
      <c r="AE8" s="64" t="s">
        <v>276</v>
      </c>
      <c r="AF8" s="64" t="s">
        <v>275</v>
      </c>
      <c r="AG8" s="64" t="s">
        <v>274</v>
      </c>
      <c r="AH8" s="64" t="s">
        <v>273</v>
      </c>
      <c r="AI8" s="64" t="s">
        <v>272</v>
      </c>
      <c r="AJ8" s="64" t="s">
        <v>271</v>
      </c>
      <c r="AK8" s="64" t="s">
        <v>270</v>
      </c>
    </row>
    <row r="9" spans="1:37">
      <c r="A9" s="237" t="s">
        <v>354</v>
      </c>
      <c r="B9" s="283">
        <v>241330</v>
      </c>
      <c r="C9" s="283">
        <v>256614</v>
      </c>
      <c r="D9" s="283">
        <v>260964</v>
      </c>
      <c r="E9" s="283">
        <v>265165</v>
      </c>
      <c r="F9" s="283">
        <v>250510</v>
      </c>
      <c r="G9" s="283">
        <v>262720</v>
      </c>
      <c r="H9" s="283">
        <v>279655</v>
      </c>
      <c r="I9" s="283">
        <v>290544</v>
      </c>
      <c r="J9" s="283">
        <v>306998</v>
      </c>
      <c r="K9" s="283">
        <v>322237</v>
      </c>
      <c r="L9" s="283">
        <v>310640</v>
      </c>
      <c r="M9" s="283">
        <v>304206</v>
      </c>
      <c r="N9" s="283">
        <v>312717</v>
      </c>
      <c r="O9" s="283">
        <v>319034</v>
      </c>
      <c r="P9" s="283">
        <v>325912</v>
      </c>
      <c r="Q9" s="283">
        <v>334692</v>
      </c>
      <c r="R9" s="283">
        <v>343186</v>
      </c>
      <c r="S9" s="283">
        <v>351211</v>
      </c>
      <c r="T9" s="283">
        <v>359868</v>
      </c>
      <c r="U9" s="283">
        <v>368159</v>
      </c>
      <c r="V9" s="283">
        <v>375404</v>
      </c>
      <c r="W9" s="283">
        <v>382702</v>
      </c>
      <c r="X9" s="283">
        <v>390312</v>
      </c>
      <c r="Y9" s="283">
        <v>397289</v>
      </c>
      <c r="Z9" s="283">
        <v>404701</v>
      </c>
      <c r="AA9" s="283">
        <v>412241</v>
      </c>
      <c r="AB9" s="283">
        <v>419027</v>
      </c>
      <c r="AC9" s="283">
        <v>425269</v>
      </c>
      <c r="AD9" s="283">
        <v>432849</v>
      </c>
      <c r="AE9" s="283">
        <v>440558</v>
      </c>
      <c r="AF9" s="283">
        <v>448736</v>
      </c>
      <c r="AG9" s="283">
        <v>457204</v>
      </c>
      <c r="AH9" s="283">
        <v>465125</v>
      </c>
      <c r="AI9" s="283">
        <v>472886</v>
      </c>
      <c r="AJ9" s="283">
        <v>481202</v>
      </c>
      <c r="AK9" s="283">
        <v>489553</v>
      </c>
    </row>
    <row r="10" spans="1:37">
      <c r="A10" s="237" t="s">
        <v>355</v>
      </c>
      <c r="B10" s="283">
        <v>3321.6</v>
      </c>
      <c r="C10" s="283">
        <v>3421.4</v>
      </c>
      <c r="D10" s="283">
        <v>3514</v>
      </c>
      <c r="E10" s="283">
        <v>3595.8</v>
      </c>
      <c r="F10" s="283">
        <v>3679.1</v>
      </c>
      <c r="G10" s="283">
        <v>3732.6</v>
      </c>
      <c r="H10" s="283">
        <v>3790.2</v>
      </c>
      <c r="I10" s="283">
        <v>3880.8</v>
      </c>
      <c r="J10" s="283">
        <v>3996.6</v>
      </c>
      <c r="K10" s="283">
        <v>4108.3</v>
      </c>
      <c r="L10" s="283">
        <v>4179.7</v>
      </c>
      <c r="M10" s="283">
        <v>4252.8999999999996</v>
      </c>
      <c r="N10" s="283">
        <v>4308.8999999999996</v>
      </c>
      <c r="O10" s="283">
        <v>4367.5</v>
      </c>
      <c r="P10" s="283">
        <v>4437.8999999999996</v>
      </c>
      <c r="Q10" s="283">
        <v>4518.1000000000004</v>
      </c>
      <c r="R10" s="283">
        <v>4603.8</v>
      </c>
      <c r="S10" s="283">
        <v>4695.6000000000004</v>
      </c>
      <c r="T10" s="283">
        <v>4791.5</v>
      </c>
      <c r="U10" s="283">
        <v>4887.2</v>
      </c>
      <c r="V10" s="283">
        <v>4976.5</v>
      </c>
      <c r="W10" s="283">
        <v>5061.8</v>
      </c>
      <c r="X10" s="283">
        <v>5143.3</v>
      </c>
      <c r="Y10" s="283">
        <v>5221.8999999999996</v>
      </c>
      <c r="Z10" s="283">
        <v>5294.8</v>
      </c>
      <c r="AA10" s="283">
        <v>5361.6</v>
      </c>
      <c r="AB10" s="283">
        <v>5418.5</v>
      </c>
      <c r="AC10" s="283">
        <v>5468.6</v>
      </c>
      <c r="AD10" s="283">
        <v>5518.2</v>
      </c>
      <c r="AE10" s="283">
        <v>5571.8</v>
      </c>
      <c r="AF10" s="283">
        <v>5628.5</v>
      </c>
      <c r="AG10" s="283">
        <v>5687.6</v>
      </c>
      <c r="AH10" s="283">
        <v>5748.7</v>
      </c>
      <c r="AI10" s="283">
        <v>5811.2</v>
      </c>
      <c r="AJ10" s="283">
        <v>5874.9</v>
      </c>
      <c r="AK10" s="283">
        <v>5939.3</v>
      </c>
    </row>
    <row r="11" spans="1:37">
      <c r="A11" s="237" t="s">
        <v>356</v>
      </c>
      <c r="B11" s="283">
        <v>0.93</v>
      </c>
      <c r="C11" s="283">
        <v>0.96</v>
      </c>
      <c r="D11" s="283">
        <v>1</v>
      </c>
      <c r="E11" s="283">
        <v>1.1200000000000001</v>
      </c>
      <c r="F11" s="283">
        <v>0.98</v>
      </c>
      <c r="G11" s="283">
        <v>1.03</v>
      </c>
      <c r="H11" s="283">
        <v>1.07</v>
      </c>
      <c r="I11" s="283">
        <v>1.08</v>
      </c>
      <c r="J11" s="283">
        <v>1.1200000000000001</v>
      </c>
      <c r="K11" s="283">
        <v>1.1599999999999999</v>
      </c>
      <c r="L11" s="283">
        <v>1.05</v>
      </c>
      <c r="M11" s="283">
        <v>1.02</v>
      </c>
      <c r="N11" s="283">
        <v>1.08</v>
      </c>
      <c r="O11" s="283">
        <v>1.0900000000000001</v>
      </c>
      <c r="P11" s="283">
        <v>1.1299999999999999</v>
      </c>
      <c r="Q11" s="283">
        <v>1.18</v>
      </c>
      <c r="R11" s="283">
        <v>1.25</v>
      </c>
      <c r="S11" s="283">
        <v>1.28</v>
      </c>
      <c r="T11" s="283">
        <v>1.31</v>
      </c>
      <c r="U11" s="283">
        <v>1.34</v>
      </c>
      <c r="V11" s="283">
        <v>1.35</v>
      </c>
      <c r="W11" s="283">
        <v>1.38</v>
      </c>
      <c r="X11" s="283">
        <v>1.41</v>
      </c>
      <c r="Y11" s="283">
        <v>1.43</v>
      </c>
      <c r="Z11" s="283">
        <v>1.46</v>
      </c>
      <c r="AA11" s="283">
        <v>1.48</v>
      </c>
      <c r="AB11" s="283">
        <v>1.51</v>
      </c>
      <c r="AC11" s="283">
        <v>1.54</v>
      </c>
      <c r="AD11" s="283">
        <v>1.56</v>
      </c>
      <c r="AE11" s="283">
        <v>1.59</v>
      </c>
      <c r="AF11" s="283">
        <v>1.62</v>
      </c>
      <c r="AG11" s="283">
        <v>1.65</v>
      </c>
      <c r="AH11" s="283">
        <v>1.68</v>
      </c>
      <c r="AI11" s="283">
        <v>1.71</v>
      </c>
      <c r="AJ11" s="283">
        <v>1.74</v>
      </c>
      <c r="AK11" s="283">
        <v>1.77</v>
      </c>
    </row>
    <row r="12" spans="1:37">
      <c r="A12" s="237" t="s">
        <v>357</v>
      </c>
      <c r="B12" s="283">
        <v>1.08</v>
      </c>
      <c r="C12" s="283">
        <v>1.1200000000000001</v>
      </c>
      <c r="D12" s="283">
        <v>1.18</v>
      </c>
      <c r="E12" s="283">
        <v>1.22</v>
      </c>
      <c r="F12" s="283">
        <v>1.22</v>
      </c>
      <c r="G12" s="283">
        <v>1.23</v>
      </c>
      <c r="H12" s="283">
        <v>1.26</v>
      </c>
      <c r="I12" s="283">
        <v>1.27</v>
      </c>
      <c r="J12" s="283">
        <v>1.29</v>
      </c>
      <c r="K12" s="283">
        <v>1.32</v>
      </c>
      <c r="L12" s="283">
        <v>1.34</v>
      </c>
      <c r="M12" s="283">
        <v>1.36</v>
      </c>
      <c r="N12" s="283">
        <v>1.39</v>
      </c>
      <c r="O12" s="283">
        <v>1.41</v>
      </c>
      <c r="P12" s="283">
        <v>1.44</v>
      </c>
      <c r="Q12" s="283">
        <v>1.48</v>
      </c>
      <c r="R12" s="283">
        <v>1.51</v>
      </c>
      <c r="S12" s="283">
        <v>1.55</v>
      </c>
      <c r="T12" s="283">
        <v>1.58</v>
      </c>
      <c r="U12" s="283">
        <v>1.61</v>
      </c>
      <c r="V12" s="283">
        <v>1.65</v>
      </c>
      <c r="W12" s="283">
        <v>1.68</v>
      </c>
      <c r="X12" s="283">
        <v>1.72</v>
      </c>
      <c r="Y12" s="283">
        <v>1.75</v>
      </c>
      <c r="Z12" s="283">
        <v>1.79</v>
      </c>
      <c r="AA12" s="283">
        <v>1.82</v>
      </c>
      <c r="AB12" s="283">
        <v>1.85</v>
      </c>
      <c r="AC12" s="283">
        <v>1.88</v>
      </c>
      <c r="AD12" s="283">
        <v>1.92</v>
      </c>
      <c r="AE12" s="283">
        <v>1.95</v>
      </c>
      <c r="AF12" s="283">
        <v>1.99</v>
      </c>
      <c r="AG12" s="283">
        <v>2.02</v>
      </c>
      <c r="AH12" s="283">
        <v>2.06</v>
      </c>
      <c r="AI12" s="283">
        <v>2.11</v>
      </c>
      <c r="AJ12" s="283">
        <v>2.15</v>
      </c>
      <c r="AK12" s="283">
        <v>2.19</v>
      </c>
    </row>
    <row r="13" spans="1:37">
      <c r="A13" s="237" t="s">
        <v>358</v>
      </c>
      <c r="B13" s="64">
        <v>1.21</v>
      </c>
      <c r="C13" s="64">
        <v>1.1299999999999999</v>
      </c>
      <c r="D13" s="64">
        <v>1.07</v>
      </c>
      <c r="E13" s="64">
        <v>1.07</v>
      </c>
      <c r="F13" s="64">
        <v>1.1399999999999999</v>
      </c>
      <c r="G13" s="64">
        <v>1.03</v>
      </c>
      <c r="H13" s="64">
        <v>0.99</v>
      </c>
      <c r="I13" s="64">
        <v>1</v>
      </c>
      <c r="J13" s="64">
        <v>1.03</v>
      </c>
      <c r="K13" s="64">
        <v>1.1100000000000001</v>
      </c>
      <c r="L13" s="64">
        <v>1.27</v>
      </c>
      <c r="M13" s="64">
        <v>1.26</v>
      </c>
      <c r="N13" s="64">
        <v>1.25</v>
      </c>
      <c r="O13" s="64">
        <v>1.24</v>
      </c>
      <c r="P13" s="64">
        <v>1.24</v>
      </c>
      <c r="Q13" s="64">
        <v>1.24</v>
      </c>
      <c r="R13" s="64">
        <v>1.24</v>
      </c>
      <c r="S13" s="64">
        <v>1.25</v>
      </c>
      <c r="T13" s="64">
        <v>1.25</v>
      </c>
      <c r="U13" s="64">
        <v>1.25</v>
      </c>
      <c r="V13" s="64">
        <v>1.25</v>
      </c>
      <c r="W13" s="64">
        <v>1.25</v>
      </c>
      <c r="X13" s="64">
        <v>1.25</v>
      </c>
      <c r="Y13" s="64">
        <v>1.25</v>
      </c>
      <c r="Z13" s="64">
        <v>1.25</v>
      </c>
      <c r="AA13" s="64">
        <v>1.24</v>
      </c>
      <c r="AB13" s="64">
        <v>1.24</v>
      </c>
      <c r="AC13" s="64">
        <v>1.23</v>
      </c>
      <c r="AD13" s="64">
        <v>1.23</v>
      </c>
      <c r="AE13" s="64">
        <v>1.23</v>
      </c>
      <c r="AF13" s="64">
        <v>1.23</v>
      </c>
      <c r="AG13" s="64">
        <v>1.22</v>
      </c>
      <c r="AH13" s="64">
        <v>1.22</v>
      </c>
      <c r="AI13" s="64">
        <v>1.22</v>
      </c>
      <c r="AJ13" s="64">
        <v>1.22</v>
      </c>
      <c r="AK13" s="64">
        <v>1.21</v>
      </c>
    </row>
  </sheetData>
  <pageMargins left="0.75" right="0.75" top="0.75" bottom="0.5" header="0.5" footer="0.75"/>
  <pageSetup orientation="portrait"/>
  <tableParts count="1">
    <tablePart r:id="rId1"/>
  </tableParts>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5" tint="0.79998168889431442"/>
  </sheetPr>
  <dimension ref="A1:AL51"/>
  <sheetViews>
    <sheetView topLeftCell="A24" workbookViewId="0">
      <selection activeCell="A50" sqref="A50"/>
    </sheetView>
  </sheetViews>
  <sheetFormatPr baseColWidth="10" defaultColWidth="8.6640625" defaultRowHeight="15"/>
  <cols>
    <col min="1" max="16" width="8.6640625" style="64"/>
    <col min="17" max="17" width="9.6640625" style="64" bestFit="1" customWidth="1"/>
    <col min="18" max="16384" width="8.6640625" style="64"/>
  </cols>
  <sheetData>
    <row r="1" spans="1:37" ht="21">
      <c r="A1" s="66" t="s">
        <v>312</v>
      </c>
      <c r="J1" s="231" t="s">
        <v>805</v>
      </c>
    </row>
    <row r="2" spans="1:37" ht="21">
      <c r="A2" s="66" t="s">
        <v>311</v>
      </c>
    </row>
    <row r="3" spans="1:37" ht="21">
      <c r="A3" s="66" t="s">
        <v>310</v>
      </c>
    </row>
    <row r="5" spans="1:37">
      <c r="A5" s="64" t="s">
        <v>832</v>
      </c>
    </row>
    <row r="6" spans="1:37" ht="19">
      <c r="A6" s="65" t="s">
        <v>309</v>
      </c>
      <c r="D6" s="231" t="s">
        <v>845</v>
      </c>
    </row>
    <row r="7" spans="1:37">
      <c r="A7" s="64" t="s">
        <v>306</v>
      </c>
      <c r="B7" s="64" t="s">
        <v>305</v>
      </c>
      <c r="C7" s="64" t="s">
        <v>304</v>
      </c>
      <c r="D7" s="64" t="s">
        <v>303</v>
      </c>
      <c r="E7" s="64" t="s">
        <v>302</v>
      </c>
      <c r="F7" s="64" t="s">
        <v>301</v>
      </c>
      <c r="G7" s="64" t="s">
        <v>300</v>
      </c>
      <c r="H7" s="64" t="s">
        <v>299</v>
      </c>
      <c r="I7" s="64" t="s">
        <v>298</v>
      </c>
      <c r="J7" s="64" t="s">
        <v>297</v>
      </c>
      <c r="K7" s="64" t="s">
        <v>296</v>
      </c>
      <c r="L7" s="64" t="s">
        <v>295</v>
      </c>
      <c r="M7" s="64" t="s">
        <v>294</v>
      </c>
      <c r="N7" s="64" t="s">
        <v>293</v>
      </c>
      <c r="O7" s="64" t="s">
        <v>292</v>
      </c>
      <c r="P7" s="64" t="s">
        <v>291</v>
      </c>
      <c r="Q7" s="64" t="s">
        <v>290</v>
      </c>
      <c r="R7" s="64" t="s">
        <v>289</v>
      </c>
      <c r="S7" s="64" t="s">
        <v>288</v>
      </c>
      <c r="T7" s="64" t="s">
        <v>287</v>
      </c>
      <c r="U7" s="64" t="s">
        <v>286</v>
      </c>
      <c r="V7" s="64" t="s">
        <v>285</v>
      </c>
      <c r="W7" s="64" t="s">
        <v>284</v>
      </c>
      <c r="X7" s="64" t="s">
        <v>283</v>
      </c>
      <c r="Y7" s="64" t="s">
        <v>282</v>
      </c>
      <c r="Z7" s="64" t="s">
        <v>281</v>
      </c>
      <c r="AA7" s="64" t="s">
        <v>280</v>
      </c>
      <c r="AB7" s="64" t="s">
        <v>279</v>
      </c>
      <c r="AC7" s="64" t="s">
        <v>278</v>
      </c>
      <c r="AD7" s="64" t="s">
        <v>277</v>
      </c>
      <c r="AE7" s="64" t="s">
        <v>276</v>
      </c>
      <c r="AF7" s="64" t="s">
        <v>275</v>
      </c>
      <c r="AG7" s="64" t="s">
        <v>274</v>
      </c>
      <c r="AH7" s="64" t="s">
        <v>273</v>
      </c>
      <c r="AI7" s="64" t="s">
        <v>272</v>
      </c>
      <c r="AJ7" s="64" t="s">
        <v>271</v>
      </c>
      <c r="AK7" s="64" t="s">
        <v>270</v>
      </c>
    </row>
    <row r="8" spans="1:37">
      <c r="A8" s="293" t="s">
        <v>40</v>
      </c>
      <c r="B8" s="64">
        <v>60234</v>
      </c>
      <c r="C8" s="64">
        <v>59378</v>
      </c>
      <c r="D8" s="64">
        <v>64203</v>
      </c>
      <c r="E8" s="64">
        <v>59161</v>
      </c>
      <c r="F8" s="64">
        <v>48641</v>
      </c>
      <c r="G8" s="64">
        <v>50201</v>
      </c>
      <c r="H8" s="64">
        <v>45606.7</v>
      </c>
      <c r="I8" s="64">
        <v>43109</v>
      </c>
      <c r="J8" s="64">
        <v>42066.8</v>
      </c>
      <c r="K8" s="64">
        <v>44687.99</v>
      </c>
      <c r="L8" s="64">
        <v>42309.29</v>
      </c>
      <c r="M8" s="64">
        <v>42355.06</v>
      </c>
      <c r="N8" s="64">
        <v>41851.96</v>
      </c>
      <c r="O8" s="64">
        <v>37850.01</v>
      </c>
      <c r="P8" s="64">
        <v>38891.81</v>
      </c>
      <c r="Q8" s="64">
        <v>37439.78</v>
      </c>
      <c r="R8" s="64">
        <v>35578.370000000003</v>
      </c>
      <c r="S8" s="64">
        <v>36719.589999999997</v>
      </c>
      <c r="T8" s="64">
        <v>36238.080000000002</v>
      </c>
      <c r="U8" s="64">
        <v>34642.379999999997</v>
      </c>
      <c r="V8" s="64">
        <v>33790.050000000003</v>
      </c>
      <c r="W8" s="64">
        <v>32753.61</v>
      </c>
      <c r="X8" s="64">
        <v>31328.7</v>
      </c>
      <c r="Y8" s="64">
        <v>31032.959999999999</v>
      </c>
      <c r="Z8" s="64">
        <v>25758.85</v>
      </c>
      <c r="AA8" s="64">
        <v>24326.04</v>
      </c>
      <c r="AB8" s="64">
        <v>25019.91</v>
      </c>
      <c r="AC8" s="64">
        <v>26083.759999999998</v>
      </c>
      <c r="AD8" s="64">
        <v>26110.61</v>
      </c>
      <c r="AE8" s="64">
        <v>28156.46</v>
      </c>
      <c r="AF8" s="64">
        <v>27719.45</v>
      </c>
      <c r="AG8" s="64">
        <v>27630.68</v>
      </c>
      <c r="AH8" s="64">
        <v>26396.84</v>
      </c>
      <c r="AI8" s="64">
        <v>26408.18</v>
      </c>
      <c r="AJ8" s="64">
        <v>26194.54</v>
      </c>
      <c r="AK8" s="64">
        <v>26209.84</v>
      </c>
    </row>
    <row r="9" spans="1:37">
      <c r="A9" s="293" t="s">
        <v>269</v>
      </c>
      <c r="B9" s="64">
        <v>51739</v>
      </c>
      <c r="C9" s="64">
        <v>50785</v>
      </c>
      <c r="D9" s="64">
        <v>55591</v>
      </c>
      <c r="E9" s="64">
        <v>50726</v>
      </c>
      <c r="F9" s="64">
        <v>42209</v>
      </c>
      <c r="G9" s="64">
        <v>43745</v>
      </c>
      <c r="H9" s="64">
        <v>37800</v>
      </c>
      <c r="I9" s="64">
        <v>36900</v>
      </c>
      <c r="J9" s="64">
        <v>36400</v>
      </c>
      <c r="K9" s="64">
        <v>39000</v>
      </c>
      <c r="L9" s="64">
        <v>36719.379999999997</v>
      </c>
      <c r="M9" s="64">
        <v>36729.230000000003</v>
      </c>
      <c r="N9" s="64">
        <v>36238.71</v>
      </c>
      <c r="O9" s="64">
        <v>32263.49</v>
      </c>
      <c r="P9" s="64">
        <v>33326.53</v>
      </c>
      <c r="Q9" s="64">
        <v>31874.63</v>
      </c>
      <c r="R9" s="64">
        <v>30039.85</v>
      </c>
      <c r="S9" s="64">
        <v>31206.57</v>
      </c>
      <c r="T9" s="64">
        <v>30741.68</v>
      </c>
      <c r="U9" s="64">
        <v>29131.5</v>
      </c>
      <c r="V9" s="64">
        <v>28269.99</v>
      </c>
      <c r="W9" s="64">
        <v>27217.79</v>
      </c>
      <c r="X9" s="64">
        <v>25779.4</v>
      </c>
      <c r="Y9" s="64">
        <v>25472.27</v>
      </c>
      <c r="Z9" s="64">
        <v>20185.7</v>
      </c>
      <c r="AA9" s="64">
        <v>18735.23</v>
      </c>
      <c r="AB9" s="64">
        <v>19413.580000000002</v>
      </c>
      <c r="AC9" s="64">
        <v>20468.419999999998</v>
      </c>
      <c r="AD9" s="64">
        <v>20485.84</v>
      </c>
      <c r="AE9" s="64">
        <v>22526.95</v>
      </c>
      <c r="AF9" s="64">
        <v>22087.21</v>
      </c>
      <c r="AG9" s="64">
        <v>21995.52</v>
      </c>
      <c r="AH9" s="64">
        <v>20758.09</v>
      </c>
      <c r="AI9" s="64">
        <v>20762.38</v>
      </c>
      <c r="AJ9" s="64">
        <v>20538.43</v>
      </c>
      <c r="AK9" s="64">
        <v>20539.099999999999</v>
      </c>
    </row>
    <row r="10" spans="1:37">
      <c r="A10" s="293" t="s">
        <v>308</v>
      </c>
      <c r="B10" s="64">
        <v>4206</v>
      </c>
      <c r="C10" s="64">
        <v>4268</v>
      </c>
      <c r="D10" s="64">
        <v>4308</v>
      </c>
      <c r="E10" s="64">
        <v>4178</v>
      </c>
      <c r="F10" s="64">
        <v>3388</v>
      </c>
      <c r="G10" s="64">
        <v>2756</v>
      </c>
      <c r="H10" s="64">
        <v>2206.6999999999998</v>
      </c>
      <c r="I10" s="64">
        <v>2141.8000000000002</v>
      </c>
      <c r="J10" s="64">
        <v>2032</v>
      </c>
      <c r="K10" s="64">
        <v>2087.9899999999998</v>
      </c>
      <c r="L10" s="64">
        <v>2023.02</v>
      </c>
      <c r="M10" s="64">
        <v>1983.16</v>
      </c>
      <c r="N10" s="64">
        <v>1947.73</v>
      </c>
      <c r="O10" s="64">
        <v>1916.73</v>
      </c>
      <c r="P10" s="64">
        <v>1899.73</v>
      </c>
      <c r="Q10" s="64">
        <v>1872.12</v>
      </c>
      <c r="R10" s="64">
        <v>1843.82</v>
      </c>
      <c r="S10" s="64">
        <v>1812.56</v>
      </c>
      <c r="T10" s="64">
        <v>1785.82</v>
      </c>
      <c r="U10" s="64">
        <v>1765.18</v>
      </c>
      <c r="V10" s="64">
        <v>1744.32</v>
      </c>
      <c r="W10" s="64">
        <v>1723.33</v>
      </c>
      <c r="X10" s="64">
        <v>1704.33</v>
      </c>
      <c r="Y10" s="64">
        <v>1684.38</v>
      </c>
      <c r="Z10" s="64">
        <v>1664.16</v>
      </c>
      <c r="AA10" s="64">
        <v>1644.74</v>
      </c>
      <c r="AB10" s="64">
        <v>1624.42</v>
      </c>
      <c r="AC10" s="64">
        <v>1602.77</v>
      </c>
      <c r="AD10" s="64">
        <v>1582.59</v>
      </c>
      <c r="AE10" s="64">
        <v>1562.44</v>
      </c>
      <c r="AF10" s="64">
        <v>1542.84</v>
      </c>
      <c r="AG10" s="64">
        <v>1523.76</v>
      </c>
      <c r="AH10" s="64">
        <v>1505.34</v>
      </c>
      <c r="AI10" s="64">
        <v>1487.82</v>
      </c>
      <c r="AJ10" s="64">
        <v>1471.03</v>
      </c>
      <c r="AK10" s="64">
        <v>1455.62</v>
      </c>
    </row>
    <row r="11" spans="1:37">
      <c r="A11" s="238" t="s">
        <v>268</v>
      </c>
      <c r="B11" s="238">
        <v>4289</v>
      </c>
      <c r="C11" s="238">
        <v>4325</v>
      </c>
      <c r="D11" s="238">
        <v>4304</v>
      </c>
      <c r="E11" s="238">
        <v>4257</v>
      </c>
      <c r="F11" s="238">
        <v>3044</v>
      </c>
      <c r="G11" s="238">
        <v>3700</v>
      </c>
      <c r="H11" s="238">
        <v>5600</v>
      </c>
      <c r="I11" s="238">
        <v>4067.2</v>
      </c>
      <c r="J11" s="238">
        <v>3634.8</v>
      </c>
      <c r="K11" s="238">
        <v>3600</v>
      </c>
      <c r="L11" s="238">
        <v>3566.9</v>
      </c>
      <c r="M11" s="238">
        <v>3642.67</v>
      </c>
      <c r="N11" s="238">
        <v>3665.53</v>
      </c>
      <c r="O11" s="238">
        <v>3669.8</v>
      </c>
      <c r="P11" s="238">
        <v>3665.54</v>
      </c>
      <c r="Q11" s="238">
        <v>3693.03</v>
      </c>
      <c r="R11" s="238">
        <v>3694.7</v>
      </c>
      <c r="S11" s="238">
        <v>3700.46</v>
      </c>
      <c r="T11" s="238">
        <v>3710.57</v>
      </c>
      <c r="U11" s="238">
        <v>3745.69</v>
      </c>
      <c r="V11" s="238">
        <v>3775.73</v>
      </c>
      <c r="W11" s="238">
        <v>3812.49</v>
      </c>
      <c r="X11" s="238">
        <v>3844.97</v>
      </c>
      <c r="Y11" s="238">
        <v>3876.31</v>
      </c>
      <c r="Z11" s="238">
        <v>3909</v>
      </c>
      <c r="AA11" s="238">
        <v>3946.07</v>
      </c>
      <c r="AB11" s="238">
        <v>3981.92</v>
      </c>
      <c r="AC11" s="238">
        <v>4012.57</v>
      </c>
      <c r="AD11" s="238">
        <v>4042.18</v>
      </c>
      <c r="AE11" s="238">
        <v>4067.07</v>
      </c>
      <c r="AF11" s="238">
        <v>4089.4</v>
      </c>
      <c r="AG11" s="238">
        <v>4111.3999999999996</v>
      </c>
      <c r="AH11" s="238">
        <v>4133.41</v>
      </c>
      <c r="AI11" s="238">
        <v>4157.97</v>
      </c>
      <c r="AJ11" s="238">
        <v>4185.09</v>
      </c>
      <c r="AK11" s="238">
        <v>4215.13</v>
      </c>
    </row>
    <row r="13" spans="1:37" ht="19">
      <c r="A13" s="65" t="s">
        <v>307</v>
      </c>
    </row>
    <row r="14" spans="1:37">
      <c r="A14" s="64" t="s">
        <v>306</v>
      </c>
      <c r="B14" s="64" t="s">
        <v>305</v>
      </c>
      <c r="C14" s="64" t="s">
        <v>304</v>
      </c>
      <c r="D14" s="64" t="s">
        <v>303</v>
      </c>
      <c r="E14" s="64" t="s">
        <v>302</v>
      </c>
      <c r="F14" s="64" t="s">
        <v>301</v>
      </c>
      <c r="G14" s="64" t="s">
        <v>300</v>
      </c>
      <c r="H14" s="64" t="s">
        <v>299</v>
      </c>
      <c r="I14" s="64" t="s">
        <v>298</v>
      </c>
      <c r="J14" s="64" t="s">
        <v>297</v>
      </c>
      <c r="K14" s="64" t="s">
        <v>296</v>
      </c>
      <c r="L14" s="64" t="s">
        <v>295</v>
      </c>
      <c r="M14" s="64" t="s">
        <v>294</v>
      </c>
      <c r="N14" s="64" t="s">
        <v>293</v>
      </c>
      <c r="O14" s="64" t="s">
        <v>292</v>
      </c>
      <c r="P14" s="64" t="s">
        <v>291</v>
      </c>
      <c r="Q14" s="64" t="s">
        <v>290</v>
      </c>
      <c r="R14" s="64" t="s">
        <v>289</v>
      </c>
      <c r="S14" s="64" t="s">
        <v>288</v>
      </c>
      <c r="T14" s="64" t="s">
        <v>287</v>
      </c>
      <c r="U14" s="64" t="s">
        <v>286</v>
      </c>
      <c r="V14" s="64" t="s">
        <v>285</v>
      </c>
      <c r="W14" s="64" t="s">
        <v>284</v>
      </c>
      <c r="X14" s="64" t="s">
        <v>283</v>
      </c>
      <c r="Y14" s="64" t="s">
        <v>282</v>
      </c>
      <c r="Z14" s="64" t="s">
        <v>281</v>
      </c>
      <c r="AA14" s="64" t="s">
        <v>280</v>
      </c>
      <c r="AB14" s="64" t="s">
        <v>279</v>
      </c>
      <c r="AC14" s="64" t="s">
        <v>278</v>
      </c>
      <c r="AD14" s="64" t="s">
        <v>277</v>
      </c>
      <c r="AE14" s="64" t="s">
        <v>276</v>
      </c>
      <c r="AF14" s="64" t="s">
        <v>275</v>
      </c>
      <c r="AG14" s="64" t="s">
        <v>274</v>
      </c>
      <c r="AH14" s="64" t="s">
        <v>273</v>
      </c>
      <c r="AI14" s="64" t="s">
        <v>272</v>
      </c>
      <c r="AJ14" s="64" t="s">
        <v>271</v>
      </c>
      <c r="AK14" s="64" t="s">
        <v>270</v>
      </c>
    </row>
    <row r="15" spans="1:37">
      <c r="A15" s="293" t="s">
        <v>40</v>
      </c>
      <c r="B15" s="64">
        <v>28202</v>
      </c>
      <c r="C15" s="64">
        <v>27675</v>
      </c>
      <c r="D15" s="64">
        <v>30674</v>
      </c>
      <c r="E15" s="64">
        <v>31437</v>
      </c>
      <c r="F15" s="64">
        <v>27060</v>
      </c>
      <c r="G15" s="64">
        <v>33113</v>
      </c>
      <c r="H15" s="64">
        <v>33561</v>
      </c>
      <c r="I15" s="64">
        <v>37806</v>
      </c>
      <c r="J15" s="64">
        <v>39100</v>
      </c>
      <c r="K15" s="64">
        <v>34500</v>
      </c>
      <c r="L15" s="64">
        <v>33990.18</v>
      </c>
      <c r="M15" s="64">
        <v>33683.15</v>
      </c>
      <c r="N15" s="64">
        <v>33335.57</v>
      </c>
      <c r="O15" s="64">
        <v>32687.25</v>
      </c>
      <c r="P15" s="64">
        <v>32481.18</v>
      </c>
      <c r="Q15" s="64">
        <v>32058.85</v>
      </c>
      <c r="R15" s="64">
        <v>31606.09</v>
      </c>
      <c r="S15" s="64">
        <v>31417.93</v>
      </c>
      <c r="T15" s="64">
        <v>31520.89</v>
      </c>
      <c r="U15" s="64">
        <v>31524.720000000001</v>
      </c>
      <c r="V15" s="64">
        <v>31594.54</v>
      </c>
      <c r="W15" s="64">
        <v>31648.46</v>
      </c>
      <c r="X15" s="64">
        <v>31669.439999999999</v>
      </c>
      <c r="Y15" s="64">
        <v>31789.77</v>
      </c>
      <c r="Z15" s="64">
        <v>31476.74</v>
      </c>
      <c r="AA15" s="64">
        <v>31498.87</v>
      </c>
      <c r="AB15" s="64">
        <v>31707.34</v>
      </c>
      <c r="AC15" s="64">
        <v>31949.37</v>
      </c>
      <c r="AD15" s="64">
        <v>32101.72</v>
      </c>
      <c r="AE15" s="64">
        <v>32431.24</v>
      </c>
      <c r="AF15" s="64">
        <v>32545.24</v>
      </c>
      <c r="AG15" s="64">
        <v>32690.34</v>
      </c>
      <c r="AH15" s="64">
        <v>32736.33</v>
      </c>
      <c r="AI15" s="64">
        <v>32891.339999999997</v>
      </c>
      <c r="AJ15" s="64">
        <v>33027.22</v>
      </c>
      <c r="AK15" s="64">
        <v>33183.46</v>
      </c>
    </row>
    <row r="16" spans="1:37">
      <c r="A16" s="293" t="s">
        <v>269</v>
      </c>
      <c r="B16" s="64">
        <v>1492</v>
      </c>
      <c r="C16" s="64">
        <v>3036</v>
      </c>
      <c r="D16" s="64">
        <v>4030</v>
      </c>
      <c r="E16" s="64">
        <v>4660</v>
      </c>
      <c r="F16" s="64">
        <v>5817</v>
      </c>
      <c r="G16" s="64">
        <v>5740</v>
      </c>
      <c r="H16" s="64">
        <v>5931</v>
      </c>
      <c r="I16" s="64">
        <v>7081</v>
      </c>
      <c r="J16" s="64">
        <v>4100</v>
      </c>
      <c r="K16" s="64">
        <v>3400</v>
      </c>
      <c r="L16" s="64">
        <v>3201.18</v>
      </c>
      <c r="M16" s="64">
        <v>3202.04</v>
      </c>
      <c r="N16" s="64">
        <v>3159.27</v>
      </c>
      <c r="O16" s="64">
        <v>2812.71</v>
      </c>
      <c r="P16" s="64">
        <v>2905.39</v>
      </c>
      <c r="Q16" s="64">
        <v>2778.81</v>
      </c>
      <c r="R16" s="64">
        <v>2618.86</v>
      </c>
      <c r="S16" s="64">
        <v>2720.57</v>
      </c>
      <c r="T16" s="64">
        <v>2680.04</v>
      </c>
      <c r="U16" s="64">
        <v>2539.67</v>
      </c>
      <c r="V16" s="64">
        <v>2464.56</v>
      </c>
      <c r="W16" s="64">
        <v>2372.83</v>
      </c>
      <c r="X16" s="64">
        <v>2247.4299999999998</v>
      </c>
      <c r="Y16" s="64">
        <v>2220.66</v>
      </c>
      <c r="Z16" s="64">
        <v>1759.78</v>
      </c>
      <c r="AA16" s="64">
        <v>1633.33</v>
      </c>
      <c r="AB16" s="64">
        <v>1692.47</v>
      </c>
      <c r="AC16" s="64">
        <v>1784.43</v>
      </c>
      <c r="AD16" s="64">
        <v>1785.95</v>
      </c>
      <c r="AE16" s="64">
        <v>1963.89</v>
      </c>
      <c r="AF16" s="64">
        <v>1925.55</v>
      </c>
      <c r="AG16" s="64">
        <v>1917.56</v>
      </c>
      <c r="AH16" s="64">
        <v>1809.68</v>
      </c>
      <c r="AI16" s="64">
        <v>1810.05</v>
      </c>
      <c r="AJ16" s="64">
        <v>1790.53</v>
      </c>
      <c r="AK16" s="64">
        <v>1790.59</v>
      </c>
    </row>
    <row r="17" spans="1:38">
      <c r="A17" s="293" t="s">
        <v>268</v>
      </c>
      <c r="B17" s="64">
        <v>26710</v>
      </c>
      <c r="C17" s="64">
        <v>24639</v>
      </c>
      <c r="D17" s="64">
        <v>26644</v>
      </c>
      <c r="E17" s="64">
        <v>26777</v>
      </c>
      <c r="F17" s="64">
        <v>21243</v>
      </c>
      <c r="G17" s="64">
        <v>27373</v>
      </c>
      <c r="H17" s="64">
        <v>27630</v>
      </c>
      <c r="I17" s="64">
        <v>30725</v>
      </c>
      <c r="J17" s="64">
        <v>35000</v>
      </c>
      <c r="K17" s="64">
        <v>31100</v>
      </c>
      <c r="L17" s="64">
        <v>30789</v>
      </c>
      <c r="M17" s="64">
        <v>30481.11</v>
      </c>
      <c r="N17" s="64">
        <v>30176.3</v>
      </c>
      <c r="O17" s="64">
        <v>29874.54</v>
      </c>
      <c r="P17" s="64">
        <v>29575.79</v>
      </c>
      <c r="Q17" s="64">
        <v>29280.03</v>
      </c>
      <c r="R17" s="64">
        <v>28987.23</v>
      </c>
      <c r="S17" s="64">
        <v>28697.360000000001</v>
      </c>
      <c r="T17" s="64">
        <v>28840.85</v>
      </c>
      <c r="U17" s="64">
        <v>28985.05</v>
      </c>
      <c r="V17" s="64">
        <v>29129.98</v>
      </c>
      <c r="W17" s="64">
        <v>29275.63</v>
      </c>
      <c r="X17" s="64">
        <v>29422</v>
      </c>
      <c r="Y17" s="64">
        <v>29569.11</v>
      </c>
      <c r="Z17" s="64">
        <v>29716.959999999999</v>
      </c>
      <c r="AA17" s="64">
        <v>29865.54</v>
      </c>
      <c r="AB17" s="64">
        <v>30014.87</v>
      </c>
      <c r="AC17" s="64">
        <v>30164.95</v>
      </c>
      <c r="AD17" s="64">
        <v>30315.77</v>
      </c>
      <c r="AE17" s="64">
        <v>30467.35</v>
      </c>
      <c r="AF17" s="64">
        <v>30619.69</v>
      </c>
      <c r="AG17" s="64">
        <v>30772.79</v>
      </c>
      <c r="AH17" s="64">
        <v>30926.65</v>
      </c>
      <c r="AI17" s="64">
        <v>31081.279999999999</v>
      </c>
      <c r="AJ17" s="64">
        <v>31236.69</v>
      </c>
      <c r="AK17" s="64">
        <v>31392.87</v>
      </c>
    </row>
    <row r="19" spans="1:38" ht="19">
      <c r="A19" s="65" t="s">
        <v>39</v>
      </c>
    </row>
    <row r="20" spans="1:38">
      <c r="A20" s="64" t="s">
        <v>306</v>
      </c>
      <c r="B20" s="64" t="s">
        <v>305</v>
      </c>
      <c r="C20" s="64" t="s">
        <v>304</v>
      </c>
      <c r="D20" s="64" t="s">
        <v>303</v>
      </c>
      <c r="E20" s="64" t="s">
        <v>302</v>
      </c>
      <c r="F20" s="64" t="s">
        <v>301</v>
      </c>
      <c r="G20" s="64" t="s">
        <v>300</v>
      </c>
      <c r="H20" s="64" t="s">
        <v>299</v>
      </c>
      <c r="I20" s="64" t="s">
        <v>298</v>
      </c>
      <c r="J20" s="64" t="s">
        <v>297</v>
      </c>
      <c r="K20" s="64" t="s">
        <v>296</v>
      </c>
      <c r="L20" s="64" t="s">
        <v>295</v>
      </c>
      <c r="M20" s="64" t="s">
        <v>294</v>
      </c>
      <c r="N20" s="64" t="s">
        <v>293</v>
      </c>
      <c r="O20" s="64" t="s">
        <v>292</v>
      </c>
      <c r="P20" s="64" t="s">
        <v>291</v>
      </c>
      <c r="Q20" s="64" t="s">
        <v>290</v>
      </c>
      <c r="R20" s="64" t="s">
        <v>289</v>
      </c>
      <c r="S20" s="64" t="s">
        <v>288</v>
      </c>
      <c r="T20" s="64" t="s">
        <v>287</v>
      </c>
      <c r="U20" s="64" t="s">
        <v>286</v>
      </c>
      <c r="V20" s="64" t="s">
        <v>285</v>
      </c>
      <c r="W20" s="64" t="s">
        <v>284</v>
      </c>
      <c r="X20" s="64" t="s">
        <v>283</v>
      </c>
      <c r="Y20" s="64" t="s">
        <v>282</v>
      </c>
      <c r="Z20" s="64" t="s">
        <v>281</v>
      </c>
      <c r="AA20" s="64" t="s">
        <v>280</v>
      </c>
      <c r="AB20" s="64" t="s">
        <v>279</v>
      </c>
      <c r="AC20" s="64" t="s">
        <v>278</v>
      </c>
      <c r="AD20" s="64" t="s">
        <v>277</v>
      </c>
      <c r="AE20" s="64" t="s">
        <v>276</v>
      </c>
      <c r="AF20" s="64" t="s">
        <v>275</v>
      </c>
      <c r="AG20" s="64" t="s">
        <v>274</v>
      </c>
      <c r="AH20" s="64" t="s">
        <v>273</v>
      </c>
      <c r="AI20" s="64" t="s">
        <v>272</v>
      </c>
      <c r="AJ20" s="64" t="s">
        <v>271</v>
      </c>
      <c r="AK20" s="64" t="s">
        <v>270</v>
      </c>
    </row>
    <row r="21" spans="1:38">
      <c r="A21" s="293" t="s">
        <v>40</v>
      </c>
      <c r="B21" s="64">
        <v>21108</v>
      </c>
      <c r="C21" s="64">
        <v>20868</v>
      </c>
      <c r="D21" s="64">
        <v>18468</v>
      </c>
      <c r="E21" s="64">
        <v>20563</v>
      </c>
      <c r="F21" s="64">
        <v>12974</v>
      </c>
      <c r="G21" s="64">
        <v>12618</v>
      </c>
      <c r="H21" s="64">
        <v>9472</v>
      </c>
      <c r="I21" s="64">
        <v>9817</v>
      </c>
      <c r="J21" s="64">
        <v>9100</v>
      </c>
      <c r="K21" s="64">
        <v>8432.74</v>
      </c>
      <c r="L21" s="64">
        <v>8409.57</v>
      </c>
      <c r="M21" s="64">
        <v>8485.24</v>
      </c>
      <c r="N21" s="64">
        <v>8515.14</v>
      </c>
      <c r="O21" s="64">
        <v>8111.72</v>
      </c>
      <c r="P21" s="64">
        <v>7879.71</v>
      </c>
      <c r="Q21" s="64">
        <v>7895.73</v>
      </c>
      <c r="R21" s="64">
        <v>7915.71</v>
      </c>
      <c r="S21" s="64">
        <v>7933.41</v>
      </c>
      <c r="T21" s="64">
        <v>7954.58</v>
      </c>
      <c r="U21" s="64">
        <v>8002.23</v>
      </c>
      <c r="V21" s="64">
        <v>8063.26</v>
      </c>
      <c r="W21" s="64">
        <v>7889.8</v>
      </c>
      <c r="X21" s="64">
        <v>7988.91</v>
      </c>
      <c r="Y21" s="64">
        <v>8159.05</v>
      </c>
      <c r="Z21" s="64">
        <v>8209.1</v>
      </c>
      <c r="AA21" s="64">
        <v>8250.49</v>
      </c>
      <c r="AB21" s="64">
        <v>8057.06</v>
      </c>
      <c r="AC21" s="64">
        <v>8096.35</v>
      </c>
      <c r="AD21" s="64">
        <v>8128.06</v>
      </c>
      <c r="AE21" s="64">
        <v>8105.66</v>
      </c>
      <c r="AF21" s="64">
        <v>7975.12</v>
      </c>
      <c r="AG21" s="64">
        <v>7928.02</v>
      </c>
      <c r="AH21" s="64">
        <v>7953.15</v>
      </c>
      <c r="AI21" s="64">
        <v>7980.37</v>
      </c>
      <c r="AJ21" s="64">
        <v>7875.12</v>
      </c>
      <c r="AK21" s="64">
        <v>7905.64</v>
      </c>
    </row>
    <row r="22" spans="1:38">
      <c r="A22" s="293" t="s">
        <v>269</v>
      </c>
      <c r="B22" s="64">
        <v>16885</v>
      </c>
      <c r="C22" s="64">
        <v>16615</v>
      </c>
      <c r="D22" s="64">
        <v>15116</v>
      </c>
      <c r="E22" s="64">
        <v>17277</v>
      </c>
      <c r="F22" s="64">
        <v>10774</v>
      </c>
      <c r="G22" s="64">
        <v>9526</v>
      </c>
      <c r="H22" s="64">
        <v>5702</v>
      </c>
      <c r="I22" s="64">
        <v>5435</v>
      </c>
      <c r="J22" s="64">
        <v>5700</v>
      </c>
      <c r="K22" s="64">
        <v>4532.74</v>
      </c>
      <c r="L22" s="64">
        <v>4542.68</v>
      </c>
      <c r="M22" s="64">
        <v>4542.57</v>
      </c>
      <c r="N22" s="64">
        <v>4549.62</v>
      </c>
      <c r="O22" s="64">
        <v>4141.93</v>
      </c>
      <c r="P22" s="64">
        <v>3914.16</v>
      </c>
      <c r="Q22" s="64">
        <v>3902.7</v>
      </c>
      <c r="R22" s="64">
        <v>3921.01</v>
      </c>
      <c r="S22" s="64">
        <v>3932.95</v>
      </c>
      <c r="T22" s="64">
        <v>3944</v>
      </c>
      <c r="U22" s="64">
        <v>3956.54</v>
      </c>
      <c r="V22" s="64">
        <v>3987.53</v>
      </c>
      <c r="W22" s="64">
        <v>3777.31</v>
      </c>
      <c r="X22" s="64">
        <v>3843.94</v>
      </c>
      <c r="Y22" s="64">
        <v>3982.74</v>
      </c>
      <c r="Z22" s="64">
        <v>4000.1</v>
      </c>
      <c r="AA22" s="64">
        <v>4004.42</v>
      </c>
      <c r="AB22" s="64">
        <v>3775.14</v>
      </c>
      <c r="AC22" s="64">
        <v>3783.78</v>
      </c>
      <c r="AD22" s="64">
        <v>3785.88</v>
      </c>
      <c r="AE22" s="64">
        <v>3738.59</v>
      </c>
      <c r="AF22" s="64">
        <v>3585.71</v>
      </c>
      <c r="AG22" s="64">
        <v>3516.62</v>
      </c>
      <c r="AH22" s="64">
        <v>3519.74</v>
      </c>
      <c r="AI22" s="64">
        <v>3522.4</v>
      </c>
      <c r="AJ22" s="64">
        <v>3390.03</v>
      </c>
      <c r="AK22" s="64">
        <v>3390.51</v>
      </c>
    </row>
    <row r="23" spans="1:38">
      <c r="A23" s="293" t="s">
        <v>268</v>
      </c>
      <c r="B23" s="64">
        <v>4223</v>
      </c>
      <c r="C23" s="64">
        <v>4253</v>
      </c>
      <c r="D23" s="64">
        <v>3352</v>
      </c>
      <c r="E23" s="64">
        <v>3286</v>
      </c>
      <c r="F23" s="64">
        <v>2200</v>
      </c>
      <c r="G23" s="64">
        <v>3092</v>
      </c>
      <c r="H23" s="64">
        <v>3770</v>
      </c>
      <c r="I23" s="64">
        <v>4382</v>
      </c>
      <c r="J23" s="64">
        <v>3400</v>
      </c>
      <c r="K23" s="64">
        <v>3900</v>
      </c>
      <c r="L23" s="64">
        <v>3866.9</v>
      </c>
      <c r="M23" s="64">
        <v>3942.67</v>
      </c>
      <c r="N23" s="64">
        <v>3965.53</v>
      </c>
      <c r="O23" s="64">
        <v>3969.8</v>
      </c>
      <c r="P23" s="64">
        <v>3965.54</v>
      </c>
      <c r="Q23" s="64">
        <v>3993.03</v>
      </c>
      <c r="R23" s="64">
        <v>3994.7</v>
      </c>
      <c r="S23" s="64">
        <v>4000.46</v>
      </c>
      <c r="T23" s="64">
        <v>4010.57</v>
      </c>
      <c r="U23" s="64">
        <v>4045.69</v>
      </c>
      <c r="V23" s="64">
        <v>4075.73</v>
      </c>
      <c r="W23" s="64">
        <v>4112.49</v>
      </c>
      <c r="X23" s="64">
        <v>4144.97</v>
      </c>
      <c r="Y23" s="64">
        <v>4176.3100000000004</v>
      </c>
      <c r="Z23" s="64">
        <v>4209</v>
      </c>
      <c r="AA23" s="64">
        <v>4246.07</v>
      </c>
      <c r="AB23" s="64">
        <v>4281.92</v>
      </c>
      <c r="AC23" s="64">
        <v>4312.57</v>
      </c>
      <c r="AD23" s="64">
        <v>4342.18</v>
      </c>
      <c r="AE23" s="64">
        <v>4367.07</v>
      </c>
      <c r="AF23" s="64">
        <v>4389.3999999999996</v>
      </c>
      <c r="AG23" s="64">
        <v>4411.3999999999996</v>
      </c>
      <c r="AH23" s="64">
        <v>4433.41</v>
      </c>
      <c r="AI23" s="64">
        <v>4457.97</v>
      </c>
      <c r="AJ23" s="64">
        <v>4485.09</v>
      </c>
      <c r="AK23" s="64">
        <v>4515.13</v>
      </c>
    </row>
    <row r="25" spans="1:38" ht="19">
      <c r="A25" s="65" t="s">
        <v>34</v>
      </c>
      <c r="B25" s="64">
        <v>2005</v>
      </c>
      <c r="C25" s="64">
        <f>B25+1</f>
        <v>2006</v>
      </c>
      <c r="D25" s="64">
        <f t="shared" ref="D25:AK25" si="0">C25+1</f>
        <v>2007</v>
      </c>
      <c r="E25" s="64">
        <f t="shared" si="0"/>
        <v>2008</v>
      </c>
      <c r="F25" s="64">
        <f t="shared" si="0"/>
        <v>2009</v>
      </c>
      <c r="G25" s="64">
        <f t="shared" si="0"/>
        <v>2010</v>
      </c>
      <c r="H25" s="64">
        <f t="shared" si="0"/>
        <v>2011</v>
      </c>
      <c r="I25" s="64">
        <f t="shared" si="0"/>
        <v>2012</v>
      </c>
      <c r="J25" s="64">
        <f t="shared" si="0"/>
        <v>2013</v>
      </c>
      <c r="K25" s="64">
        <f t="shared" si="0"/>
        <v>2014</v>
      </c>
      <c r="L25" s="64">
        <f t="shared" si="0"/>
        <v>2015</v>
      </c>
      <c r="M25" s="64">
        <f t="shared" si="0"/>
        <v>2016</v>
      </c>
      <c r="N25" s="64">
        <f t="shared" si="0"/>
        <v>2017</v>
      </c>
      <c r="O25" s="64">
        <f t="shared" si="0"/>
        <v>2018</v>
      </c>
      <c r="P25" s="64">
        <f t="shared" si="0"/>
        <v>2019</v>
      </c>
      <c r="Q25" s="64">
        <f t="shared" si="0"/>
        <v>2020</v>
      </c>
      <c r="R25" s="64">
        <f t="shared" si="0"/>
        <v>2021</v>
      </c>
      <c r="S25" s="64">
        <f t="shared" si="0"/>
        <v>2022</v>
      </c>
      <c r="T25" s="64">
        <f t="shared" si="0"/>
        <v>2023</v>
      </c>
      <c r="U25" s="64">
        <f t="shared" si="0"/>
        <v>2024</v>
      </c>
      <c r="V25" s="64">
        <f t="shared" si="0"/>
        <v>2025</v>
      </c>
      <c r="W25" s="64">
        <f t="shared" si="0"/>
        <v>2026</v>
      </c>
      <c r="X25" s="64">
        <f t="shared" si="0"/>
        <v>2027</v>
      </c>
      <c r="Y25" s="64">
        <f t="shared" si="0"/>
        <v>2028</v>
      </c>
      <c r="Z25" s="64">
        <f t="shared" si="0"/>
        <v>2029</v>
      </c>
      <c r="AA25" s="64">
        <f t="shared" si="0"/>
        <v>2030</v>
      </c>
      <c r="AB25" s="64">
        <f t="shared" si="0"/>
        <v>2031</v>
      </c>
      <c r="AC25" s="64">
        <f t="shared" si="0"/>
        <v>2032</v>
      </c>
      <c r="AD25" s="64">
        <f t="shared" si="0"/>
        <v>2033</v>
      </c>
      <c r="AE25" s="64">
        <f t="shared" si="0"/>
        <v>2034</v>
      </c>
      <c r="AF25" s="64">
        <f t="shared" si="0"/>
        <v>2035</v>
      </c>
      <c r="AG25" s="64">
        <f t="shared" si="0"/>
        <v>2036</v>
      </c>
      <c r="AH25" s="64">
        <f t="shared" si="0"/>
        <v>2037</v>
      </c>
      <c r="AI25" s="64">
        <f t="shared" si="0"/>
        <v>2038</v>
      </c>
      <c r="AJ25" s="64">
        <f t="shared" si="0"/>
        <v>2039</v>
      </c>
      <c r="AK25" s="64">
        <f t="shared" si="0"/>
        <v>2040</v>
      </c>
    </row>
    <row r="26" spans="1:38">
      <c r="A26" s="64" t="s">
        <v>306</v>
      </c>
      <c r="B26" s="64" t="s">
        <v>305</v>
      </c>
      <c r="C26" s="64" t="s">
        <v>304</v>
      </c>
      <c r="D26" s="64" t="s">
        <v>303</v>
      </c>
      <c r="E26" s="64" t="s">
        <v>302</v>
      </c>
      <c r="F26" s="64" t="s">
        <v>301</v>
      </c>
      <c r="G26" s="64" t="s">
        <v>300</v>
      </c>
      <c r="H26" s="64" t="s">
        <v>299</v>
      </c>
      <c r="I26" s="64" t="s">
        <v>298</v>
      </c>
      <c r="J26" s="64" t="s">
        <v>297</v>
      </c>
      <c r="K26" s="64" t="s">
        <v>296</v>
      </c>
      <c r="L26" s="64" t="s">
        <v>295</v>
      </c>
      <c r="M26" s="64" t="s">
        <v>294</v>
      </c>
      <c r="N26" s="64" t="s">
        <v>293</v>
      </c>
      <c r="O26" s="64" t="s">
        <v>292</v>
      </c>
      <c r="P26" s="64" t="s">
        <v>291</v>
      </c>
      <c r="Q26" s="64" t="s">
        <v>290</v>
      </c>
      <c r="R26" s="64" t="s">
        <v>289</v>
      </c>
      <c r="S26" s="64" t="s">
        <v>288</v>
      </c>
      <c r="T26" s="64" t="s">
        <v>287</v>
      </c>
      <c r="U26" s="64" t="s">
        <v>286</v>
      </c>
      <c r="V26" s="64" t="s">
        <v>285</v>
      </c>
      <c r="W26" s="64" t="s">
        <v>284</v>
      </c>
      <c r="X26" s="64" t="s">
        <v>283</v>
      </c>
      <c r="Y26" s="64" t="s">
        <v>282</v>
      </c>
      <c r="Z26" s="64" t="s">
        <v>281</v>
      </c>
      <c r="AA26" s="64" t="s">
        <v>280</v>
      </c>
      <c r="AB26" s="64" t="s">
        <v>279</v>
      </c>
      <c r="AC26" s="64" t="s">
        <v>278</v>
      </c>
      <c r="AD26" s="64" t="s">
        <v>277</v>
      </c>
      <c r="AE26" s="64" t="s">
        <v>276</v>
      </c>
      <c r="AF26" s="64" t="s">
        <v>275</v>
      </c>
      <c r="AG26" s="64" t="s">
        <v>274</v>
      </c>
      <c r="AH26" s="64" t="s">
        <v>273</v>
      </c>
      <c r="AI26" s="64" t="s">
        <v>272</v>
      </c>
      <c r="AJ26" s="64" t="s">
        <v>271</v>
      </c>
      <c r="AK26" s="64" t="s">
        <v>270</v>
      </c>
    </row>
    <row r="27" spans="1:38">
      <c r="A27" s="237" t="s">
        <v>40</v>
      </c>
      <c r="B27" s="285">
        <v>67328</v>
      </c>
      <c r="C27" s="285">
        <v>66185</v>
      </c>
      <c r="D27" s="285">
        <v>76429</v>
      </c>
      <c r="E27" s="285">
        <v>70035</v>
      </c>
      <c r="F27" s="285">
        <v>62727</v>
      </c>
      <c r="G27" s="285">
        <v>68152</v>
      </c>
      <c r="H27" s="285">
        <v>67114</v>
      </c>
      <c r="I27" s="285">
        <v>66494</v>
      </c>
      <c r="J27" s="285">
        <v>68908</v>
      </c>
      <c r="K27" s="285">
        <v>69000</v>
      </c>
      <c r="L27" s="284">
        <f>27.5*1000</f>
        <v>27500</v>
      </c>
      <c r="M27" s="237">
        <f>26.1*1000</f>
        <v>26100</v>
      </c>
      <c r="N27" s="237">
        <f>23.6*1000</f>
        <v>23600</v>
      </c>
      <c r="O27" s="237">
        <f>22.2*1000</f>
        <v>22200</v>
      </c>
      <c r="P27" s="237">
        <f>20.1*1000</f>
        <v>20100</v>
      </c>
      <c r="Q27" s="284">
        <f>GROWTH($L$27:$P$27,$L$25:$P$25,Q25)</f>
        <v>18746.431336762053</v>
      </c>
      <c r="R27" s="284">
        <f t="shared" ref="R27:S27" si="1">GROWTH($L$27:$P$27,$L$25:$P$25,R25)</f>
        <v>17324.572425195762</v>
      </c>
      <c r="S27" s="284">
        <f t="shared" si="1"/>
        <v>16010.557120131574</v>
      </c>
      <c r="T27" s="284">
        <f>GROWTH($L$27:$P$27,$L$25:$P$25,T25)+125</f>
        <v>14921.205817131822</v>
      </c>
      <c r="U27" s="284">
        <f>GROWTH($L$27:$P$27,$L$25:$P$25,U25)+250</f>
        <v>13923.959309488428</v>
      </c>
      <c r="V27" s="284">
        <f>GROWTH($L$27:$P$27,$L$25:$P$25,V25)+500</f>
        <v>13136.831732973957</v>
      </c>
      <c r="W27" s="284">
        <f>GROWTH($L$27:$P$27,$L$25:$P$25,W25)+1000</f>
        <v>12678.367079584094</v>
      </c>
      <c r="X27" s="237">
        <f>12*1000</f>
        <v>12000</v>
      </c>
      <c r="Y27" s="284">
        <f>GROWTH($L$27:$X$27,$L$25:$X$25,Y25)</f>
        <v>10680.990894605095</v>
      </c>
      <c r="Z27" s="284">
        <f t="shared" ref="Z27:AK27" si="2">GROWTH($L$27:$X$27,$L$25:$X$25,Z25)</f>
        <v>9940.1800852072993</v>
      </c>
      <c r="AA27" s="284">
        <f t="shared" si="2"/>
        <v>9250.7503378042129</v>
      </c>
      <c r="AB27" s="284">
        <f t="shared" si="2"/>
        <v>8609.1379712262096</v>
      </c>
      <c r="AC27" s="284">
        <f t="shared" si="2"/>
        <v>8012.0264736494519</v>
      </c>
      <c r="AD27" s="284">
        <f t="shared" si="2"/>
        <v>7456.3293594557908</v>
      </c>
      <c r="AE27" s="284">
        <f t="shared" si="2"/>
        <v>6939.1742151044373</v>
      </c>
      <c r="AF27" s="284">
        <f t="shared" si="2"/>
        <v>6457.8878515480083</v>
      </c>
      <c r="AG27" s="284">
        <f t="shared" si="2"/>
        <v>6009.982486445424</v>
      </c>
      <c r="AH27" s="284">
        <f t="shared" si="2"/>
        <v>5593.1428847469797</v>
      </c>
      <c r="AI27" s="284">
        <f t="shared" si="2"/>
        <v>5205.2143911818575</v>
      </c>
      <c r="AJ27" s="284">
        <f t="shared" si="2"/>
        <v>4844.1917927852837</v>
      </c>
      <c r="AK27" s="284">
        <f t="shared" si="2"/>
        <v>4508.2089538986766</v>
      </c>
      <c r="AL27" s="231" t="s">
        <v>837</v>
      </c>
    </row>
    <row r="28" spans="1:38">
      <c r="A28" s="237" t="s">
        <v>269</v>
      </c>
      <c r="B28" s="285">
        <v>36346</v>
      </c>
      <c r="C28" s="285">
        <v>37206</v>
      </c>
      <c r="D28" s="285">
        <v>44505</v>
      </c>
      <c r="E28" s="285">
        <v>38109</v>
      </c>
      <c r="F28" s="285">
        <v>37252</v>
      </c>
      <c r="G28" s="285">
        <v>39997</v>
      </c>
      <c r="H28" s="285">
        <v>37661</v>
      </c>
      <c r="I28" s="285">
        <v>35408</v>
      </c>
      <c r="J28" s="285">
        <v>34844</v>
      </c>
      <c r="K28" s="285">
        <v>38400</v>
      </c>
      <c r="L28" s="284">
        <v>1700</v>
      </c>
      <c r="M28" s="237">
        <f>1.7*1000</f>
        <v>1700</v>
      </c>
      <c r="N28" s="237">
        <v>1700</v>
      </c>
      <c r="O28" s="237">
        <v>1600</v>
      </c>
      <c r="P28" s="237">
        <v>1600</v>
      </c>
      <c r="Q28" s="284">
        <v>1600</v>
      </c>
      <c r="R28" s="284">
        <v>1600</v>
      </c>
      <c r="S28" s="284">
        <v>1600</v>
      </c>
      <c r="T28" s="284">
        <v>1600</v>
      </c>
      <c r="U28" s="284">
        <v>1600</v>
      </c>
      <c r="V28" s="284">
        <v>1600</v>
      </c>
      <c r="W28" s="284">
        <v>1600</v>
      </c>
      <c r="X28" s="237">
        <v>1600</v>
      </c>
      <c r="Y28" s="284">
        <v>1600</v>
      </c>
      <c r="Z28" s="284">
        <v>1600</v>
      </c>
      <c r="AA28" s="284">
        <v>1600</v>
      </c>
      <c r="AB28" s="284">
        <v>1600</v>
      </c>
      <c r="AC28" s="284">
        <v>1600</v>
      </c>
      <c r="AD28" s="284">
        <v>1600</v>
      </c>
      <c r="AE28" s="284">
        <v>1600</v>
      </c>
      <c r="AF28" s="284">
        <v>1600</v>
      </c>
      <c r="AG28" s="284">
        <v>1600</v>
      </c>
      <c r="AH28" s="284">
        <v>1600</v>
      </c>
      <c r="AI28" s="284">
        <v>1600</v>
      </c>
      <c r="AJ28" s="284">
        <v>1600</v>
      </c>
      <c r="AK28" s="284">
        <v>1600</v>
      </c>
      <c r="AL28" s="231"/>
    </row>
    <row r="29" spans="1:38">
      <c r="A29" s="237" t="s">
        <v>268</v>
      </c>
      <c r="B29" s="285">
        <v>30982</v>
      </c>
      <c r="C29" s="285">
        <v>28979</v>
      </c>
      <c r="D29" s="285">
        <v>31924</v>
      </c>
      <c r="E29" s="285">
        <v>31926</v>
      </c>
      <c r="F29" s="285">
        <v>25475</v>
      </c>
      <c r="G29" s="285">
        <v>28155</v>
      </c>
      <c r="H29" s="285">
        <v>29453</v>
      </c>
      <c r="I29" s="285">
        <v>31086</v>
      </c>
      <c r="J29" s="285">
        <v>34064</v>
      </c>
      <c r="K29" s="285">
        <v>30600</v>
      </c>
      <c r="L29" s="284">
        <v>32512.02</v>
      </c>
      <c r="M29" s="237">
        <f>2.2*1000</f>
        <v>2200</v>
      </c>
      <c r="N29" s="237">
        <f>1.2*1000</f>
        <v>1200</v>
      </c>
      <c r="O29" s="237">
        <f>1.7*1000</f>
        <v>1700</v>
      </c>
      <c r="P29" s="237">
        <f>1.7*1000</f>
        <v>1700</v>
      </c>
      <c r="Q29" s="284">
        <v>1700</v>
      </c>
      <c r="R29" s="284">
        <v>1700</v>
      </c>
      <c r="S29" s="284">
        <v>1700</v>
      </c>
      <c r="T29" s="284">
        <v>1700</v>
      </c>
      <c r="U29" s="284">
        <v>1700</v>
      </c>
      <c r="V29" s="284">
        <v>1700</v>
      </c>
      <c r="W29" s="284">
        <v>1700</v>
      </c>
      <c r="X29" s="237">
        <f>1.7*1000</f>
        <v>1700</v>
      </c>
      <c r="Y29" s="284">
        <f t="shared" ref="Y29:AK29" si="3">1.7*1000</f>
        <v>1700</v>
      </c>
      <c r="Z29" s="284">
        <f t="shared" si="3"/>
        <v>1700</v>
      </c>
      <c r="AA29" s="284">
        <f t="shared" si="3"/>
        <v>1700</v>
      </c>
      <c r="AB29" s="284">
        <f t="shared" si="3"/>
        <v>1700</v>
      </c>
      <c r="AC29" s="284">
        <f t="shared" si="3"/>
        <v>1700</v>
      </c>
      <c r="AD29" s="284">
        <f t="shared" si="3"/>
        <v>1700</v>
      </c>
      <c r="AE29" s="284">
        <f t="shared" si="3"/>
        <v>1700</v>
      </c>
      <c r="AF29" s="284">
        <f t="shared" si="3"/>
        <v>1700</v>
      </c>
      <c r="AG29" s="284">
        <f t="shared" si="3"/>
        <v>1700</v>
      </c>
      <c r="AH29" s="284">
        <f t="shared" si="3"/>
        <v>1700</v>
      </c>
      <c r="AI29" s="284">
        <f t="shared" si="3"/>
        <v>1700</v>
      </c>
      <c r="AJ29" s="284">
        <f t="shared" si="3"/>
        <v>1700</v>
      </c>
      <c r="AK29" s="284">
        <f t="shared" si="3"/>
        <v>1700</v>
      </c>
    </row>
    <row r="31" spans="1:38">
      <c r="A31" s="231" t="s">
        <v>838</v>
      </c>
    </row>
    <row r="32" spans="1:38">
      <c r="A32" s="64" t="s">
        <v>839</v>
      </c>
    </row>
    <row r="34" spans="1:8">
      <c r="A34" s="64" t="s">
        <v>833</v>
      </c>
      <c r="B34" s="64" t="s">
        <v>834</v>
      </c>
      <c r="H34" s="64" t="s">
        <v>835</v>
      </c>
    </row>
    <row r="50" spans="1:1">
      <c r="A50" s="294" t="s">
        <v>835</v>
      </c>
    </row>
    <row r="51" spans="1:1">
      <c r="A51" s="64" t="s">
        <v>840</v>
      </c>
    </row>
  </sheetData>
  <hyperlinks>
    <hyperlink ref="A50" r:id="rId1" xr:uid="{00000000-0004-0000-1E00-000000000000}"/>
  </hyperlinks>
  <pageMargins left="0.75" right="0.75" top="0.75" bottom="0.5" header="0.5" footer="0.75"/>
  <pageSetup orientation="portrait"/>
  <drawing r:id="rId2"/>
  <tableParts count="4">
    <tablePart r:id="rId3"/>
    <tablePart r:id="rId4"/>
    <tablePart r:id="rId5"/>
    <tablePart r:id="rId6"/>
  </tableParts>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A97"/>
  <sheetViews>
    <sheetView zoomScale="75" zoomScaleNormal="75" zoomScalePageLayoutView="75" workbookViewId="0">
      <pane xSplit="1" ySplit="5" topLeftCell="B23" activePane="bottomRight" state="frozen"/>
      <selection pane="topRight" activeCell="B1" sqref="B1"/>
      <selection pane="bottomLeft" activeCell="A6" sqref="A6"/>
      <selection pane="bottomRight" activeCell="AG9" sqref="AG9"/>
    </sheetView>
  </sheetViews>
  <sheetFormatPr baseColWidth="10" defaultColWidth="11.1640625" defaultRowHeight="13"/>
  <cols>
    <col min="1" max="1" width="47.5" style="311" customWidth="1"/>
    <col min="2" max="6" width="8.6640625" style="311" customWidth="1"/>
    <col min="7" max="7" width="9.5" style="311" customWidth="1"/>
    <col min="8" max="8" width="8.6640625" style="311" customWidth="1"/>
    <col min="9" max="9" width="9.33203125" style="311" customWidth="1"/>
    <col min="10" max="27" width="8.6640625" style="311" customWidth="1"/>
    <col min="28" max="31" width="11.1640625" style="311"/>
    <col min="32" max="32" width="11.5" style="311" bestFit="1" customWidth="1"/>
    <col min="33" max="36" width="8.6640625" style="311" customWidth="1"/>
    <col min="37" max="16384" width="11.1640625" style="311"/>
  </cols>
  <sheetData>
    <row r="1" spans="1:53" ht="15">
      <c r="A1" s="377" t="s">
        <v>908</v>
      </c>
      <c r="B1" s="375"/>
      <c r="C1" s="375"/>
      <c r="D1" s="375"/>
      <c r="E1" s="375"/>
      <c r="F1" s="328"/>
      <c r="G1" s="376"/>
      <c r="H1" s="375"/>
      <c r="I1" s="10"/>
      <c r="J1" s="308"/>
      <c r="K1" s="308"/>
      <c r="L1" s="308"/>
      <c r="M1" s="308"/>
      <c r="N1" s="308"/>
      <c r="O1" s="308"/>
      <c r="P1" s="308"/>
      <c r="Q1" s="308"/>
      <c r="R1" s="375"/>
      <c r="S1" s="375"/>
      <c r="T1" s="375"/>
      <c r="U1" s="375"/>
      <c r="V1" s="375"/>
      <c r="W1" s="375"/>
      <c r="X1" s="375"/>
      <c r="Y1" s="375"/>
      <c r="Z1" s="375"/>
      <c r="AA1" s="375"/>
    </row>
    <row r="2" spans="1:53" ht="14">
      <c r="A2" s="374" t="s">
        <v>907</v>
      </c>
      <c r="B2" s="315"/>
      <c r="C2" s="315"/>
      <c r="D2" s="315"/>
      <c r="E2" s="315"/>
      <c r="F2" s="315"/>
      <c r="G2" s="315"/>
      <c r="H2" s="315"/>
      <c r="I2" s="315"/>
      <c r="J2" s="373"/>
      <c r="K2" s="315"/>
      <c r="L2" s="315"/>
      <c r="M2" s="315"/>
      <c r="N2" s="315"/>
      <c r="O2" s="315"/>
      <c r="P2" s="315"/>
      <c r="Q2" s="315"/>
      <c r="R2" s="315"/>
      <c r="S2" s="315"/>
      <c r="T2" s="315"/>
      <c r="U2" s="315"/>
      <c r="V2" s="315"/>
      <c r="W2" s="315"/>
      <c r="X2" s="315"/>
      <c r="Y2" s="315"/>
      <c r="Z2" s="315"/>
      <c r="AA2" s="315"/>
    </row>
    <row r="3" spans="1:53" ht="14">
      <c r="A3" s="372" t="s">
        <v>906</v>
      </c>
      <c r="B3" s="317"/>
      <c r="C3" s="317"/>
      <c r="D3" s="317"/>
      <c r="E3" s="317"/>
      <c r="F3" s="317"/>
      <c r="G3" s="317"/>
      <c r="H3" s="317"/>
      <c r="I3" s="317"/>
      <c r="J3" s="317"/>
      <c r="K3" s="317"/>
      <c r="L3" s="317"/>
      <c r="M3" s="317"/>
      <c r="N3" s="317"/>
      <c r="O3" s="317"/>
      <c r="P3" s="317"/>
      <c r="Q3" s="317"/>
      <c r="R3" s="317"/>
      <c r="S3" s="317"/>
      <c r="T3" s="317"/>
      <c r="U3" s="317"/>
      <c r="V3" s="317"/>
      <c r="W3" s="317"/>
      <c r="X3" s="317"/>
      <c r="Y3" s="317"/>
      <c r="Z3" s="317"/>
      <c r="AA3" s="317"/>
    </row>
    <row r="4" spans="1:53" ht="22.5" customHeight="1">
      <c r="A4" s="371" t="s">
        <v>905</v>
      </c>
      <c r="B4" s="370"/>
      <c r="F4" s="369"/>
      <c r="G4" s="368"/>
      <c r="H4" s="368"/>
      <c r="I4" s="368"/>
      <c r="J4" s="368"/>
      <c r="K4" s="368"/>
      <c r="L4" s="368"/>
      <c r="M4" s="368"/>
      <c r="N4" s="368"/>
      <c r="O4" s="368"/>
      <c r="P4" s="368"/>
      <c r="Q4" s="368"/>
      <c r="R4" s="368"/>
      <c r="S4" s="368"/>
      <c r="T4" s="368"/>
      <c r="U4" s="368"/>
      <c r="V4" s="368"/>
    </row>
    <row r="5" spans="1:53" ht="22.5" customHeight="1">
      <c r="A5" s="358" t="s">
        <v>904</v>
      </c>
      <c r="B5" s="367">
        <v>2010</v>
      </c>
      <c r="C5" s="367">
        <v>2011</v>
      </c>
      <c r="D5" s="367">
        <v>2012</v>
      </c>
      <c r="E5" s="367">
        <v>2013</v>
      </c>
      <c r="F5" s="367">
        <v>2014</v>
      </c>
      <c r="G5" s="367">
        <v>2015</v>
      </c>
      <c r="H5" s="367">
        <v>2016</v>
      </c>
      <c r="I5" s="367">
        <v>2017</v>
      </c>
      <c r="J5" s="367">
        <v>2018</v>
      </c>
      <c r="K5" s="367">
        <v>2019</v>
      </c>
      <c r="L5" s="367">
        <v>2020</v>
      </c>
      <c r="M5" s="367">
        <v>2021</v>
      </c>
      <c r="N5" s="367">
        <v>2022</v>
      </c>
      <c r="O5" s="367">
        <v>2023</v>
      </c>
      <c r="P5" s="367">
        <v>2024</v>
      </c>
      <c r="Q5" s="367">
        <v>2025</v>
      </c>
      <c r="R5" s="367">
        <v>2026</v>
      </c>
      <c r="S5" s="367">
        <v>2027</v>
      </c>
      <c r="T5" s="367">
        <v>2028</v>
      </c>
      <c r="U5" s="367">
        <v>2029</v>
      </c>
      <c r="V5" s="367">
        <v>2030</v>
      </c>
      <c r="W5" s="367">
        <v>2031</v>
      </c>
      <c r="X5" s="367">
        <v>2032</v>
      </c>
      <c r="Y5" s="367">
        <v>2033</v>
      </c>
      <c r="Z5" s="367">
        <v>2034</v>
      </c>
      <c r="AA5" s="367">
        <v>2035</v>
      </c>
    </row>
    <row r="6" spans="1:53">
      <c r="A6" s="311" t="s">
        <v>903</v>
      </c>
      <c r="B6" s="315">
        <v>1.4444417726027396</v>
      </c>
      <c r="C6" s="315">
        <v>1.4444417726027396</v>
      </c>
      <c r="D6" s="315">
        <v>1</v>
      </c>
      <c r="E6" s="315">
        <v>1.2027397260273971</v>
      </c>
      <c r="F6" s="315">
        <v>1.2027397260273971</v>
      </c>
      <c r="G6" s="315">
        <v>1.092772602739726</v>
      </c>
      <c r="H6" s="315">
        <v>0.58755299453551912</v>
      </c>
      <c r="I6" s="315">
        <v>0.57865443454911025</v>
      </c>
      <c r="J6" s="315">
        <v>0.57865443454911025</v>
      </c>
      <c r="K6" s="315">
        <v>0.57865443454911025</v>
      </c>
      <c r="L6" s="315">
        <v>0.57865443454911025</v>
      </c>
      <c r="M6" s="315">
        <v>0.57865443454911025</v>
      </c>
      <c r="N6" s="315">
        <v>0.57865443454911025</v>
      </c>
      <c r="O6" s="315">
        <v>0.57865443454911025</v>
      </c>
      <c r="P6" s="315">
        <v>0.57865443454911025</v>
      </c>
      <c r="Q6" s="315">
        <v>0.57865443454911025</v>
      </c>
      <c r="R6" s="315">
        <v>0.57865443454911025</v>
      </c>
      <c r="S6" s="315">
        <v>0.57865443454911025</v>
      </c>
      <c r="T6" s="315">
        <v>0.57865443454911025</v>
      </c>
      <c r="U6" s="315">
        <v>0.57865443454911025</v>
      </c>
      <c r="V6" s="315">
        <v>0.57865443454911025</v>
      </c>
      <c r="W6" s="315">
        <v>0.57865443454911025</v>
      </c>
      <c r="X6" s="315">
        <v>0.57865443454911025</v>
      </c>
      <c r="Y6" s="315">
        <v>0.57865443454911025</v>
      </c>
      <c r="Z6" s="315">
        <v>0.57865443454911025</v>
      </c>
      <c r="AA6" s="315">
        <v>0.57865443454911025</v>
      </c>
    </row>
    <row r="7" spans="1:53">
      <c r="A7" s="351" t="s">
        <v>902</v>
      </c>
      <c r="B7" s="350">
        <v>282.7729688421918</v>
      </c>
      <c r="C7" s="350">
        <v>272.14356771287675</v>
      </c>
      <c r="D7" s="350">
        <v>201.07809694535518</v>
      </c>
      <c r="E7" s="350">
        <v>231.24224179863012</v>
      </c>
      <c r="F7" s="350">
        <v>219.07429871945209</v>
      </c>
      <c r="G7" s="350">
        <v>174.59535747835622</v>
      </c>
      <c r="H7" s="350">
        <v>212.15459108073773</v>
      </c>
      <c r="I7" s="350">
        <v>222.97920062970411</v>
      </c>
      <c r="J7" s="350">
        <v>231</v>
      </c>
      <c r="K7" s="350">
        <v>264</v>
      </c>
      <c r="L7" s="350">
        <v>278</v>
      </c>
      <c r="M7" s="350">
        <v>267</v>
      </c>
      <c r="N7" s="350">
        <v>279</v>
      </c>
      <c r="O7" s="350">
        <v>297</v>
      </c>
      <c r="P7" s="350">
        <v>306</v>
      </c>
      <c r="Q7" s="350">
        <v>286</v>
      </c>
      <c r="R7" s="350">
        <v>252</v>
      </c>
      <c r="S7" s="350">
        <v>227</v>
      </c>
      <c r="T7" s="350">
        <v>211</v>
      </c>
      <c r="U7" s="350">
        <v>197</v>
      </c>
      <c r="V7" s="350">
        <v>185</v>
      </c>
      <c r="W7" s="350">
        <v>98.763327868852457</v>
      </c>
      <c r="X7" s="350">
        <v>83.271366120218573</v>
      </c>
      <c r="Y7" s="350">
        <v>76.680366120218579</v>
      </c>
      <c r="Z7" s="350">
        <v>77.234366120218581</v>
      </c>
      <c r="AA7" s="350">
        <v>73.628366120218573</v>
      </c>
    </row>
    <row r="8" spans="1:53" ht="22.5" customHeight="1">
      <c r="A8" s="358" t="s">
        <v>901</v>
      </c>
      <c r="B8" s="366">
        <f t="shared" ref="B8:AA8" si="0">B6+B7</f>
        <v>284.21741061479452</v>
      </c>
      <c r="C8" s="366">
        <f t="shared" si="0"/>
        <v>273.58800948547946</v>
      </c>
      <c r="D8" s="366">
        <f t="shared" si="0"/>
        <v>202.07809694535518</v>
      </c>
      <c r="E8" s="366">
        <f t="shared" si="0"/>
        <v>232.44498152465752</v>
      </c>
      <c r="F8" s="366">
        <f t="shared" si="0"/>
        <v>220.27703844547949</v>
      </c>
      <c r="G8" s="366">
        <f t="shared" si="0"/>
        <v>175.68813008109595</v>
      </c>
      <c r="H8" s="366">
        <f t="shared" si="0"/>
        <v>212.74214407527325</v>
      </c>
      <c r="I8" s="366">
        <f t="shared" si="0"/>
        <v>223.55785506425323</v>
      </c>
      <c r="J8" s="366">
        <f t="shared" si="0"/>
        <v>231.57865443454912</v>
      </c>
      <c r="K8" s="366">
        <f t="shared" si="0"/>
        <v>264.57865443454909</v>
      </c>
      <c r="L8" s="366">
        <f t="shared" si="0"/>
        <v>278.57865443454909</v>
      </c>
      <c r="M8" s="366">
        <f t="shared" si="0"/>
        <v>267.57865443454909</v>
      </c>
      <c r="N8" s="366">
        <f t="shared" si="0"/>
        <v>279.57865443454909</v>
      </c>
      <c r="O8" s="366">
        <f t="shared" si="0"/>
        <v>297.57865443454909</v>
      </c>
      <c r="P8" s="366">
        <f t="shared" si="0"/>
        <v>306.57865443454909</v>
      </c>
      <c r="Q8" s="366">
        <f t="shared" si="0"/>
        <v>286.57865443454909</v>
      </c>
      <c r="R8" s="366">
        <f t="shared" si="0"/>
        <v>252.57865443454912</v>
      </c>
      <c r="S8" s="366">
        <f t="shared" si="0"/>
        <v>227.57865443454912</v>
      </c>
      <c r="T8" s="366">
        <f t="shared" si="0"/>
        <v>211.57865443454912</v>
      </c>
      <c r="U8" s="366">
        <f t="shared" si="0"/>
        <v>197.57865443454912</v>
      </c>
      <c r="V8" s="366">
        <f t="shared" si="0"/>
        <v>185.57865443454912</v>
      </c>
      <c r="W8" s="366">
        <f t="shared" si="0"/>
        <v>99.341982303401565</v>
      </c>
      <c r="X8" s="366">
        <f t="shared" si="0"/>
        <v>83.850020554767681</v>
      </c>
      <c r="Y8" s="366">
        <f t="shared" si="0"/>
        <v>77.259020554767687</v>
      </c>
      <c r="Z8" s="366">
        <f t="shared" si="0"/>
        <v>77.813020554767689</v>
      </c>
      <c r="AA8" s="366">
        <f t="shared" si="0"/>
        <v>74.207020554767681</v>
      </c>
      <c r="AB8" s="311" t="s">
        <v>910</v>
      </c>
      <c r="AC8" s="311">
        <v>2011</v>
      </c>
      <c r="AD8" s="311">
        <v>2012</v>
      </c>
      <c r="AE8" s="311">
        <v>2013</v>
      </c>
      <c r="AF8" s="311">
        <v>2014</v>
      </c>
      <c r="AG8" s="311">
        <v>2015</v>
      </c>
      <c r="AH8" s="311">
        <f>AG8+1</f>
        <v>2016</v>
      </c>
      <c r="AI8" s="311">
        <f t="shared" ref="AI8:BA8" si="1">AH8+1</f>
        <v>2017</v>
      </c>
      <c r="AJ8" s="311">
        <f t="shared" si="1"/>
        <v>2018</v>
      </c>
      <c r="AK8" s="311">
        <f t="shared" si="1"/>
        <v>2019</v>
      </c>
      <c r="AL8" s="311">
        <f t="shared" si="1"/>
        <v>2020</v>
      </c>
      <c r="AM8" s="311">
        <f t="shared" si="1"/>
        <v>2021</v>
      </c>
      <c r="AN8" s="311">
        <f t="shared" si="1"/>
        <v>2022</v>
      </c>
      <c r="AO8" s="311">
        <f t="shared" si="1"/>
        <v>2023</v>
      </c>
      <c r="AP8" s="311">
        <f t="shared" si="1"/>
        <v>2024</v>
      </c>
      <c r="AQ8" s="311">
        <f t="shared" si="1"/>
        <v>2025</v>
      </c>
      <c r="AR8" s="311">
        <f t="shared" si="1"/>
        <v>2026</v>
      </c>
      <c r="AS8" s="311">
        <f t="shared" si="1"/>
        <v>2027</v>
      </c>
      <c r="AT8" s="311">
        <f t="shared" si="1"/>
        <v>2028</v>
      </c>
      <c r="AU8" s="311">
        <f t="shared" si="1"/>
        <v>2029</v>
      </c>
      <c r="AV8" s="311">
        <f t="shared" si="1"/>
        <v>2030</v>
      </c>
      <c r="AW8" s="311">
        <f>AV8+1</f>
        <v>2031</v>
      </c>
      <c r="AX8" s="311">
        <f t="shared" si="1"/>
        <v>2032</v>
      </c>
      <c r="AY8" s="311">
        <f t="shared" si="1"/>
        <v>2033</v>
      </c>
      <c r="AZ8" s="311">
        <f t="shared" si="1"/>
        <v>2034</v>
      </c>
      <c r="BA8" s="311">
        <f t="shared" si="1"/>
        <v>2035</v>
      </c>
    </row>
    <row r="9" spans="1:53" ht="22.5" customHeight="1">
      <c r="A9" s="358"/>
      <c r="B9" s="366"/>
      <c r="C9" s="366"/>
      <c r="D9" s="366"/>
      <c r="E9" s="366"/>
      <c r="F9" s="366"/>
      <c r="G9" s="366"/>
      <c r="H9" s="366"/>
      <c r="I9" s="366"/>
      <c r="J9" s="366"/>
      <c r="K9" s="366"/>
      <c r="L9" s="366"/>
      <c r="M9" s="366"/>
      <c r="N9" s="366"/>
      <c r="O9" s="366"/>
      <c r="P9" s="366"/>
      <c r="Q9" s="366"/>
      <c r="R9" s="366"/>
      <c r="S9" s="366"/>
      <c r="T9" s="366"/>
      <c r="U9" s="366"/>
      <c r="V9" s="366"/>
      <c r="W9" s="366"/>
      <c r="X9" s="366"/>
      <c r="Y9" s="366"/>
      <c r="Z9" s="366"/>
      <c r="AA9" s="366"/>
      <c r="AC9" s="315">
        <f>C12+C21</f>
        <v>491.58390351863011</v>
      </c>
      <c r="AD9" s="315">
        <f>D12+D21</f>
        <v>556.832012830601</v>
      </c>
      <c r="AE9" s="315">
        <f t="shared" ref="AE9:AG9" si="2">E12+E21</f>
        <v>582.61065371561631</v>
      </c>
      <c r="AF9" s="315">
        <f t="shared" si="2"/>
        <v>589.65242416547949</v>
      </c>
      <c r="AG9" s="315">
        <f t="shared" si="2"/>
        <v>529.69542012109605</v>
      </c>
      <c r="AH9" s="315">
        <f t="shared" ref="AH9" si="3">H12+H21</f>
        <v>444.48635115959274</v>
      </c>
      <c r="AI9" s="315">
        <f t="shared" ref="AI9" si="4">I12+I21</f>
        <v>446.12861019136585</v>
      </c>
      <c r="AJ9" s="315">
        <f t="shared" ref="AJ9" si="5">J12+J21</f>
        <v>470.57134190315918</v>
      </c>
      <c r="AK9" s="315">
        <f t="shared" ref="AK9" si="6">K12+K21</f>
        <v>450.25629527873997</v>
      </c>
      <c r="AL9" s="315">
        <f t="shared" ref="AL9" si="7">L12+L21</f>
        <v>451.15520910009036</v>
      </c>
      <c r="AM9" s="315">
        <f t="shared" ref="AM9" si="8">M12+M21</f>
        <v>452.96317099480183</v>
      </c>
      <c r="AN9" s="315">
        <f t="shared" ref="AN9" si="9">N12+N21</f>
        <v>453.43982147916807</v>
      </c>
      <c r="AO9" s="315">
        <f t="shared" ref="AO9" si="10">O12+O21</f>
        <v>453.35575976554316</v>
      </c>
      <c r="AP9" s="315">
        <f t="shared" ref="AP9" si="11">P12+P21</f>
        <v>450.04932666526599</v>
      </c>
      <c r="AQ9" s="315">
        <f t="shared" ref="AQ9" si="12">Q12+Q21</f>
        <v>445.92057269557063</v>
      </c>
      <c r="AR9" s="315">
        <f t="shared" ref="AR9" si="13">R12+R21</f>
        <v>440.16211287221381</v>
      </c>
      <c r="AS9" s="315">
        <f t="shared" ref="AS9" si="14">S12+S21</f>
        <v>433.90611859974757</v>
      </c>
      <c r="AT9" s="315">
        <f t="shared" ref="AT9" si="15">T12+T21</f>
        <v>428.77891740890868</v>
      </c>
      <c r="AU9" s="315">
        <f t="shared" ref="AU9" si="16">U12+U21</f>
        <v>427.35299162394415</v>
      </c>
      <c r="AV9" s="315">
        <f t="shared" ref="AV9" si="17">V12+V21</f>
        <v>426.23976800603191</v>
      </c>
      <c r="AW9" s="315">
        <f t="shared" ref="AW9" si="18">W12+W21</f>
        <v>425.72219651669718</v>
      </c>
      <c r="AX9" s="315">
        <f t="shared" ref="AX9" si="19">X12+X21</f>
        <v>422.50059148149273</v>
      </c>
      <c r="AY9" s="315">
        <f t="shared" ref="AY9" si="20">Y12+Y21</f>
        <v>420.95511297947974</v>
      </c>
      <c r="AZ9" s="315">
        <f t="shared" ref="AZ9" si="21">Z12+Z21</f>
        <v>418.8124131431619</v>
      </c>
      <c r="BA9" s="315">
        <f t="shared" ref="BA9" si="22">AA12+AA21</f>
        <v>416.07001352718908</v>
      </c>
    </row>
    <row r="10" spans="1:53" ht="22.5" customHeight="1">
      <c r="A10" s="358" t="s">
        <v>900</v>
      </c>
      <c r="B10" s="365"/>
      <c r="C10" s="365"/>
      <c r="D10" s="365"/>
      <c r="E10" s="365"/>
      <c r="F10" s="365"/>
      <c r="G10" s="365"/>
      <c r="H10" s="365"/>
      <c r="I10" s="365"/>
      <c r="J10" s="365"/>
      <c r="K10" s="365"/>
      <c r="L10" s="365"/>
      <c r="M10" s="365"/>
      <c r="N10" s="365"/>
      <c r="O10" s="365"/>
      <c r="P10" s="365"/>
      <c r="Q10" s="365"/>
      <c r="R10" s="365"/>
      <c r="S10" s="365"/>
      <c r="T10" s="365"/>
      <c r="U10" s="365"/>
      <c r="V10" s="365"/>
      <c r="W10" s="365"/>
      <c r="X10" s="365"/>
      <c r="Y10" s="365"/>
      <c r="Z10" s="365"/>
      <c r="AA10" s="365"/>
    </row>
    <row r="11" spans="1:53">
      <c r="A11" s="318" t="s">
        <v>899</v>
      </c>
      <c r="B11" s="354"/>
      <c r="C11" s="354"/>
      <c r="D11" s="354"/>
      <c r="E11" s="354"/>
      <c r="F11" s="354"/>
      <c r="H11" s="364"/>
      <c r="I11" s="364"/>
      <c r="J11" s="364"/>
      <c r="K11" s="364"/>
      <c r="L11" s="315"/>
      <c r="M11" s="315"/>
      <c r="N11" s="315"/>
      <c r="O11" s="315"/>
      <c r="P11" s="315"/>
      <c r="Q11" s="315"/>
      <c r="R11" s="315"/>
      <c r="S11" s="315"/>
      <c r="T11" s="315"/>
      <c r="U11" s="315"/>
      <c r="V11" s="315"/>
      <c r="W11" s="315"/>
      <c r="X11" s="315"/>
      <c r="Y11" s="315"/>
      <c r="Z11" s="315"/>
      <c r="AA11" s="315"/>
    </row>
    <row r="12" spans="1:53">
      <c r="A12" s="311" t="s">
        <v>898</v>
      </c>
      <c r="B12" s="353">
        <v>315.97108173150684</v>
      </c>
      <c r="C12" s="353">
        <v>347.52256306849313</v>
      </c>
      <c r="D12" s="353">
        <v>407.34355505628412</v>
      </c>
      <c r="E12" s="353">
        <v>431.23792655808211</v>
      </c>
      <c r="F12" s="353">
        <v>439.02701230931513</v>
      </c>
      <c r="G12" s="353">
        <v>392.6220354882193</v>
      </c>
      <c r="H12" s="353">
        <v>326.43956754863382</v>
      </c>
      <c r="I12" s="353">
        <v>333.95546023095892</v>
      </c>
      <c r="J12" s="353">
        <v>357.51608666537743</v>
      </c>
      <c r="K12" s="353">
        <v>337.38487395480848</v>
      </c>
      <c r="L12" s="353">
        <v>338.05844571714175</v>
      </c>
      <c r="M12" s="353">
        <v>339.41318301311827</v>
      </c>
      <c r="N12" s="353">
        <v>339.77034551206532</v>
      </c>
      <c r="O12" s="353">
        <v>339.70735660784976</v>
      </c>
      <c r="P12" s="353">
        <v>337.22978877265399</v>
      </c>
      <c r="Q12" s="353">
        <v>334.13604160629012</v>
      </c>
      <c r="R12" s="315">
        <v>329.82112749615129</v>
      </c>
      <c r="S12" s="353">
        <v>325.13340216902094</v>
      </c>
      <c r="T12" s="315">
        <v>321.29150113254298</v>
      </c>
      <c r="U12" s="315">
        <v>320.22303013885846</v>
      </c>
      <c r="V12" s="315">
        <v>319.38887231818813</v>
      </c>
      <c r="W12" s="315">
        <v>319.00104699842507</v>
      </c>
      <c r="X12" s="315">
        <v>316.58704230791488</v>
      </c>
      <c r="Y12" s="315">
        <v>315.42898838380768</v>
      </c>
      <c r="Z12" s="315">
        <v>313.82342612564634</v>
      </c>
      <c r="AA12" s="315">
        <v>311.76849839121917</v>
      </c>
    </row>
    <row r="13" spans="1:53">
      <c r="A13" s="311" t="s">
        <v>897</v>
      </c>
      <c r="B13" s="353">
        <v>21.902036512328767</v>
      </c>
      <c r="C13" s="353">
        <v>20.190685334246577</v>
      </c>
      <c r="D13" s="353">
        <v>21.41260306557378</v>
      </c>
      <c r="E13" s="353">
        <v>19.998550561643835</v>
      </c>
      <c r="F13" s="353">
        <v>21.630644421917804</v>
      </c>
      <c r="G13" s="353">
        <v>21.242547353424658</v>
      </c>
      <c r="H13" s="353">
        <v>23.242421770491806</v>
      </c>
      <c r="I13" s="353">
        <v>21.267098673972601</v>
      </c>
      <c r="J13" s="353">
        <v>19.981932768511879</v>
      </c>
      <c r="K13" s="353">
        <v>18.981409621564307</v>
      </c>
      <c r="L13" s="353">
        <v>17.982115866057512</v>
      </c>
      <c r="M13" s="353">
        <v>17.130722183461774</v>
      </c>
      <c r="N13" s="353">
        <v>16.274186074288686</v>
      </c>
      <c r="O13" s="353">
        <v>15.460476770574248</v>
      </c>
      <c r="P13" s="353">
        <v>14.646545761128001</v>
      </c>
      <c r="Q13" s="353">
        <v>13.953080285443257</v>
      </c>
      <c r="R13" s="315">
        <v>13.255426271171094</v>
      </c>
      <c r="S13" s="353">
        <v>12.592654957612543</v>
      </c>
      <c r="T13" s="315">
        <v>11.929703063349761</v>
      </c>
      <c r="U13" s="315">
        <v>11.364871099245319</v>
      </c>
      <c r="V13" s="315">
        <v>10.796627544283051</v>
      </c>
      <c r="W13" s="315">
        <v>10.796627544283051</v>
      </c>
      <c r="X13" s="315">
        <v>10.256796167068899</v>
      </c>
      <c r="Y13" s="315">
        <v>9.743956358715451</v>
      </c>
      <c r="Z13" s="315">
        <v>9.2567585407796784</v>
      </c>
      <c r="AA13" s="315">
        <v>8.793920613740692</v>
      </c>
    </row>
    <row r="14" spans="1:53">
      <c r="A14" s="311" t="s">
        <v>896</v>
      </c>
      <c r="B14" s="353">
        <v>185.69057108828497</v>
      </c>
      <c r="C14" s="353">
        <v>187.81459925381697</v>
      </c>
      <c r="D14" s="353">
        <v>210.87456657943173</v>
      </c>
      <c r="E14" s="353">
        <v>228.9153649630822</v>
      </c>
      <c r="F14" s="353">
        <v>247.50786446586028</v>
      </c>
      <c r="G14" s="353">
        <v>237.60563172772325</v>
      </c>
      <c r="H14" s="353">
        <v>226.37949890710385</v>
      </c>
      <c r="I14" s="353">
        <v>243.67125300000004</v>
      </c>
      <c r="J14" s="353">
        <v>243.71055121563012</v>
      </c>
      <c r="K14" s="353">
        <v>254.482373155419</v>
      </c>
      <c r="L14" s="353">
        <v>260.24832482806482</v>
      </c>
      <c r="M14" s="353">
        <v>265.35178918338903</v>
      </c>
      <c r="N14" s="353">
        <v>268.65717252287993</v>
      </c>
      <c r="O14" s="353">
        <v>270.97407444571195</v>
      </c>
      <c r="P14" s="353">
        <v>272.02213493701959</v>
      </c>
      <c r="Q14" s="353">
        <v>274.01002514792305</v>
      </c>
      <c r="R14" s="315">
        <v>275.12890438571105</v>
      </c>
      <c r="S14" s="353">
        <v>276.16671852491237</v>
      </c>
      <c r="T14" s="315">
        <v>276.68255042529165</v>
      </c>
      <c r="U14" s="315">
        <v>278.66532589458558</v>
      </c>
      <c r="V14" s="315">
        <v>279.90666275943482</v>
      </c>
      <c r="W14" s="315">
        <v>281.07208481266213</v>
      </c>
      <c r="X14" s="315">
        <v>281.50544438849499</v>
      </c>
      <c r="Y14" s="315">
        <v>283.36636321251365</v>
      </c>
      <c r="Z14" s="315">
        <v>284.52340627148953</v>
      </c>
      <c r="AA14" s="315">
        <v>285.67754930311924</v>
      </c>
    </row>
    <row r="15" spans="1:53">
      <c r="A15" s="311" t="s">
        <v>895</v>
      </c>
      <c r="B15" s="353">
        <v>32.300244890410958</v>
      </c>
      <c r="C15" s="353">
        <v>41.322579334246534</v>
      </c>
      <c r="D15" s="353">
        <v>52.581919754918069</v>
      </c>
      <c r="E15" s="353">
        <v>50.850834771780853</v>
      </c>
      <c r="F15" s="353">
        <v>49.204756658630131</v>
      </c>
      <c r="G15" s="353">
        <v>46.296744117534224</v>
      </c>
      <c r="H15" s="353">
        <v>40.127316219398892</v>
      </c>
      <c r="I15" s="353">
        <v>38.503918772602717</v>
      </c>
      <c r="J15" s="353">
        <v>36.215911593862785</v>
      </c>
      <c r="K15" s="353">
        <v>34.551777551226309</v>
      </c>
      <c r="L15" s="353">
        <v>33.210920257984441</v>
      </c>
      <c r="M15" s="353">
        <v>31.990720513099063</v>
      </c>
      <c r="N15" s="353">
        <v>30.541513784712876</v>
      </c>
      <c r="O15" s="353">
        <v>29.265888745338771</v>
      </c>
      <c r="P15" s="353">
        <v>27.778586176454585</v>
      </c>
      <c r="Q15" s="353">
        <v>26.439458333882648</v>
      </c>
      <c r="R15" s="315">
        <v>25.131989799298402</v>
      </c>
      <c r="S15" s="353">
        <v>23.68118471527923</v>
      </c>
      <c r="T15" s="315">
        <v>22.341933441439942</v>
      </c>
      <c r="U15" s="315">
        <v>21.115820833968971</v>
      </c>
      <c r="V15" s="315">
        <v>19.789190135672182</v>
      </c>
      <c r="W15" s="315">
        <v>18.378070112253802</v>
      </c>
      <c r="X15" s="315">
        <v>17.071348488444336</v>
      </c>
      <c r="Y15" s="315">
        <v>15.686109260555742</v>
      </c>
      <c r="Z15" s="315">
        <v>14.299495852476662</v>
      </c>
      <c r="AA15" s="315">
        <v>12.972782312950256</v>
      </c>
    </row>
    <row r="16" spans="1:53">
      <c r="A16" s="311" t="s">
        <v>894</v>
      </c>
      <c r="B16" s="353">
        <v>15.036240755890413</v>
      </c>
      <c r="C16" s="353">
        <v>10.493586120547944</v>
      </c>
      <c r="D16" s="353">
        <v>13.005373429234975</v>
      </c>
      <c r="E16" s="353">
        <v>11.269983702465751</v>
      </c>
      <c r="F16" s="353">
        <v>11.058352698630138</v>
      </c>
      <c r="G16" s="353">
        <v>9.9669447778082194</v>
      </c>
      <c r="H16" s="353">
        <v>8.9997192983561654</v>
      </c>
      <c r="I16" s="353">
        <v>0.28655391013698628</v>
      </c>
      <c r="J16" s="353">
        <v>2.6397978520081406E-13</v>
      </c>
      <c r="K16" s="353">
        <v>0</v>
      </c>
      <c r="L16" s="353">
        <v>0</v>
      </c>
      <c r="M16" s="353">
        <v>0</v>
      </c>
      <c r="N16" s="353">
        <v>0</v>
      </c>
      <c r="O16" s="353">
        <v>0</v>
      </c>
      <c r="P16" s="353">
        <v>0</v>
      </c>
      <c r="Q16" s="353">
        <v>0</v>
      </c>
      <c r="R16" s="315">
        <v>0</v>
      </c>
      <c r="S16" s="353">
        <v>0</v>
      </c>
      <c r="T16" s="315">
        <v>0</v>
      </c>
      <c r="U16" s="315">
        <v>0</v>
      </c>
      <c r="V16" s="315">
        <v>0</v>
      </c>
      <c r="W16" s="315">
        <v>0</v>
      </c>
      <c r="X16" s="315">
        <v>0</v>
      </c>
      <c r="Y16" s="315">
        <v>0</v>
      </c>
      <c r="Z16" s="315">
        <v>0</v>
      </c>
      <c r="AA16" s="315">
        <v>0</v>
      </c>
    </row>
    <row r="17" spans="1:51">
      <c r="A17" s="363" t="s">
        <v>893</v>
      </c>
      <c r="B17" s="362">
        <f t="shared" ref="B17:AA17" si="23">SUM(B12:B16)</f>
        <v>570.90017497842189</v>
      </c>
      <c r="C17" s="362">
        <f t="shared" si="23"/>
        <v>607.34401311135105</v>
      </c>
      <c r="D17" s="362">
        <f t="shared" si="23"/>
        <v>705.21801788544269</v>
      </c>
      <c r="E17" s="362">
        <f t="shared" si="23"/>
        <v>742.27266055705479</v>
      </c>
      <c r="F17" s="362">
        <f t="shared" si="23"/>
        <v>768.4286305543535</v>
      </c>
      <c r="G17" s="362">
        <f t="shared" si="23"/>
        <v>707.73390346470956</v>
      </c>
      <c r="H17" s="362">
        <f t="shared" si="23"/>
        <v>625.18852374398455</v>
      </c>
      <c r="I17" s="362">
        <f t="shared" si="23"/>
        <v>637.68428458767119</v>
      </c>
      <c r="J17" s="362">
        <f t="shared" si="23"/>
        <v>657.42448224338239</v>
      </c>
      <c r="K17" s="362">
        <f t="shared" si="23"/>
        <v>645.40043428301817</v>
      </c>
      <c r="L17" s="362">
        <f t="shared" si="23"/>
        <v>649.49980666924853</v>
      </c>
      <c r="M17" s="362">
        <f t="shared" si="23"/>
        <v>653.88641489306815</v>
      </c>
      <c r="N17" s="362">
        <f t="shared" si="23"/>
        <v>655.24321789394685</v>
      </c>
      <c r="O17" s="362">
        <f t="shared" si="23"/>
        <v>655.40779656947473</v>
      </c>
      <c r="P17" s="362">
        <f t="shared" si="23"/>
        <v>651.67705564725611</v>
      </c>
      <c r="Q17" s="362">
        <f t="shared" si="23"/>
        <v>648.53860537353899</v>
      </c>
      <c r="R17" s="362">
        <f t="shared" si="23"/>
        <v>643.33744795233179</v>
      </c>
      <c r="S17" s="362">
        <f t="shared" si="23"/>
        <v>637.57396036682508</v>
      </c>
      <c r="T17" s="362">
        <f t="shared" si="23"/>
        <v>632.24568806262425</v>
      </c>
      <c r="U17" s="362">
        <f t="shared" si="23"/>
        <v>631.36904796665829</v>
      </c>
      <c r="V17" s="362">
        <f t="shared" si="23"/>
        <v>629.88135275757816</v>
      </c>
      <c r="W17" s="362">
        <f t="shared" si="23"/>
        <v>629.247829467624</v>
      </c>
      <c r="X17" s="362">
        <f t="shared" si="23"/>
        <v>625.42063135192302</v>
      </c>
      <c r="Y17" s="362">
        <f t="shared" si="23"/>
        <v>624.22541721559253</v>
      </c>
      <c r="Z17" s="362">
        <f t="shared" si="23"/>
        <v>621.90308679039219</v>
      </c>
      <c r="AA17" s="362">
        <f t="shared" si="23"/>
        <v>619.21275062102939</v>
      </c>
    </row>
    <row r="18" spans="1:51" ht="15">
      <c r="A18" s="308"/>
      <c r="B18" s="308"/>
      <c r="C18" s="308"/>
      <c r="D18" s="308"/>
      <c r="E18" s="308"/>
      <c r="F18" s="308"/>
      <c r="G18" s="308"/>
      <c r="H18" s="308"/>
      <c r="I18" s="308"/>
      <c r="J18" s="308"/>
      <c r="K18" s="308"/>
      <c r="L18" s="308"/>
      <c r="M18" s="308"/>
      <c r="N18" s="308"/>
      <c r="O18" s="308"/>
      <c r="P18" s="308"/>
      <c r="Q18" s="308"/>
      <c r="R18" s="308"/>
      <c r="S18" s="308"/>
      <c r="T18" s="308"/>
      <c r="U18" s="308"/>
      <c r="V18" s="308"/>
      <c r="W18" s="308"/>
      <c r="X18" s="308"/>
      <c r="Y18" s="308"/>
      <c r="Z18" s="308"/>
      <c r="AA18" s="308"/>
    </row>
    <row r="20" spans="1:51">
      <c r="A20" s="318" t="s">
        <v>892</v>
      </c>
      <c r="B20" s="361"/>
      <c r="C20" s="361"/>
      <c r="D20" s="361"/>
      <c r="E20" s="361"/>
      <c r="F20" s="361"/>
      <c r="G20" s="361"/>
      <c r="H20" s="361"/>
      <c r="I20" s="361"/>
      <c r="J20" s="361"/>
      <c r="K20" s="361"/>
      <c r="L20" s="361"/>
      <c r="M20" s="361"/>
      <c r="N20" s="361"/>
      <c r="O20" s="361"/>
      <c r="P20" s="361"/>
      <c r="Q20" s="361"/>
      <c r="R20" s="361"/>
      <c r="S20" s="361"/>
      <c r="T20" s="361"/>
      <c r="U20" s="361"/>
      <c r="V20" s="361"/>
      <c r="W20" s="361"/>
      <c r="X20" s="361"/>
      <c r="Y20" s="361"/>
      <c r="Z20" s="361"/>
      <c r="AA20" s="361"/>
    </row>
    <row r="21" spans="1:51" ht="16.5" customHeight="1">
      <c r="A21" s="311" t="s">
        <v>891</v>
      </c>
      <c r="B21" s="353">
        <v>144.34357718986303</v>
      </c>
      <c r="C21" s="353">
        <v>144.06134045013698</v>
      </c>
      <c r="D21" s="353">
        <v>149.48845777431691</v>
      </c>
      <c r="E21" s="353">
        <v>151.37272715753423</v>
      </c>
      <c r="F21" s="353">
        <v>150.62541185616436</v>
      </c>
      <c r="G21" s="353">
        <v>137.0733846328767</v>
      </c>
      <c r="H21" s="353">
        <v>118.04678361095891</v>
      </c>
      <c r="I21" s="353">
        <v>112.17314996040692</v>
      </c>
      <c r="J21" s="353">
        <v>113.05525523778175</v>
      </c>
      <c r="K21" s="353">
        <v>112.87142132393149</v>
      </c>
      <c r="L21" s="353">
        <v>113.09676338294861</v>
      </c>
      <c r="M21" s="353">
        <v>113.54998798168356</v>
      </c>
      <c r="N21" s="353">
        <v>113.66947596710276</v>
      </c>
      <c r="O21" s="353">
        <v>113.64840315769341</v>
      </c>
      <c r="P21" s="353">
        <v>112.81953789261202</v>
      </c>
      <c r="Q21" s="353">
        <v>111.78453108928051</v>
      </c>
      <c r="R21" s="315">
        <v>110.34098537606251</v>
      </c>
      <c r="S21" s="353">
        <v>108.77271643072663</v>
      </c>
      <c r="T21" s="315">
        <v>107.48741627636568</v>
      </c>
      <c r="U21" s="315">
        <v>107.12996148508566</v>
      </c>
      <c r="V21" s="315">
        <v>106.85089568784379</v>
      </c>
      <c r="W21" s="315">
        <v>106.72114951827209</v>
      </c>
      <c r="X21" s="315">
        <v>105.91354917357785</v>
      </c>
      <c r="Y21" s="315">
        <v>105.52612459567207</v>
      </c>
      <c r="Z21" s="315">
        <v>104.98898701751557</v>
      </c>
      <c r="AA21" s="315">
        <v>104.30151513596988</v>
      </c>
    </row>
    <row r="22" spans="1:51" ht="18" customHeight="1">
      <c r="A22" s="351" t="s">
        <v>890</v>
      </c>
      <c r="B22" s="350">
        <v>235.34977482815341</v>
      </c>
      <c r="C22" s="350">
        <v>242.36185333507672</v>
      </c>
      <c r="D22" s="350">
        <v>259.5410886044603</v>
      </c>
      <c r="E22" s="350">
        <v>257.31751445006847</v>
      </c>
      <c r="F22" s="350">
        <v>266.57637607468763</v>
      </c>
      <c r="G22" s="350">
        <v>248.1669173215918</v>
      </c>
      <c r="H22" s="350">
        <v>232.65408414480873</v>
      </c>
      <c r="I22" s="350">
        <v>241.22044906092535</v>
      </c>
      <c r="J22" s="350">
        <v>242.09383342957599</v>
      </c>
      <c r="K22" s="350">
        <v>243.73618462772689</v>
      </c>
      <c r="L22" s="350">
        <v>242.64265199864965</v>
      </c>
      <c r="M22" s="350">
        <v>241.33448507423941</v>
      </c>
      <c r="N22" s="350">
        <v>239.04484906213895</v>
      </c>
      <c r="O22" s="350">
        <v>236.22110979768152</v>
      </c>
      <c r="P22" s="350">
        <v>232.79926255757101</v>
      </c>
      <c r="Q22" s="350">
        <v>229.87322260582619</v>
      </c>
      <c r="R22" s="348">
        <v>226.60235209303073</v>
      </c>
      <c r="S22" s="350">
        <v>223.39360160257556</v>
      </c>
      <c r="T22" s="348">
        <v>220.27581552779449</v>
      </c>
      <c r="U22" s="348">
        <v>217.55924210313214</v>
      </c>
      <c r="V22" s="348">
        <v>214.84230514441586</v>
      </c>
      <c r="W22" s="315">
        <v>212.22986504449943</v>
      </c>
      <c r="X22" s="315">
        <v>209.63337190461698</v>
      </c>
      <c r="Y22" s="315">
        <v>207.41110063343649</v>
      </c>
      <c r="Z22" s="315">
        <v>205.21385580598201</v>
      </c>
      <c r="AA22" s="315">
        <v>203.15259004297116</v>
      </c>
      <c r="AQ22" s="321"/>
    </row>
    <row r="23" spans="1:51" s="318" customFormat="1" ht="18.75" customHeight="1" thickBot="1">
      <c r="A23" s="360" t="s">
        <v>889</v>
      </c>
      <c r="B23" s="359">
        <f t="shared" ref="B23:AA23" si="24">B21+B22</f>
        <v>379.69335201801641</v>
      </c>
      <c r="C23" s="359">
        <f t="shared" si="24"/>
        <v>386.4231937852137</v>
      </c>
      <c r="D23" s="359">
        <f t="shared" si="24"/>
        <v>409.02954637877724</v>
      </c>
      <c r="E23" s="359">
        <f t="shared" si="24"/>
        <v>408.69024160760273</v>
      </c>
      <c r="F23" s="359">
        <f t="shared" si="24"/>
        <v>417.20178793085199</v>
      </c>
      <c r="G23" s="359">
        <f t="shared" si="24"/>
        <v>385.24030195446846</v>
      </c>
      <c r="H23" s="359">
        <f t="shared" si="24"/>
        <v>350.70086775576766</v>
      </c>
      <c r="I23" s="359">
        <f t="shared" si="24"/>
        <v>353.39359902133225</v>
      </c>
      <c r="J23" s="359">
        <f t="shared" si="24"/>
        <v>355.14908866735777</v>
      </c>
      <c r="K23" s="359">
        <f t="shared" si="24"/>
        <v>356.60760595165834</v>
      </c>
      <c r="L23" s="359">
        <f t="shared" si="24"/>
        <v>355.73941538159829</v>
      </c>
      <c r="M23" s="359">
        <f t="shared" si="24"/>
        <v>354.88447305592297</v>
      </c>
      <c r="N23" s="359">
        <f t="shared" si="24"/>
        <v>352.71432502924171</v>
      </c>
      <c r="O23" s="359">
        <f t="shared" si="24"/>
        <v>349.86951295537494</v>
      </c>
      <c r="P23" s="359">
        <f t="shared" si="24"/>
        <v>345.61880045018302</v>
      </c>
      <c r="Q23" s="359">
        <f t="shared" si="24"/>
        <v>341.65775369510669</v>
      </c>
      <c r="R23" s="359">
        <f t="shared" si="24"/>
        <v>336.94333746909325</v>
      </c>
      <c r="S23" s="359">
        <f t="shared" si="24"/>
        <v>332.16631803330222</v>
      </c>
      <c r="T23" s="359">
        <f t="shared" si="24"/>
        <v>327.76323180416017</v>
      </c>
      <c r="U23" s="359">
        <f t="shared" si="24"/>
        <v>324.68920358821777</v>
      </c>
      <c r="V23" s="359">
        <f t="shared" si="24"/>
        <v>321.69320083225966</v>
      </c>
      <c r="W23" s="359">
        <f t="shared" si="24"/>
        <v>318.95101456277155</v>
      </c>
      <c r="X23" s="359">
        <f t="shared" si="24"/>
        <v>315.54692107819483</v>
      </c>
      <c r="Y23" s="359">
        <f t="shared" si="24"/>
        <v>312.93722522910855</v>
      </c>
      <c r="Z23" s="359">
        <f t="shared" si="24"/>
        <v>310.20284282349758</v>
      </c>
      <c r="AA23" s="359">
        <f t="shared" si="24"/>
        <v>307.45410517894106</v>
      </c>
      <c r="AP23" s="311"/>
      <c r="AQ23" s="320"/>
      <c r="AU23" s="311"/>
      <c r="AV23" s="311"/>
      <c r="AW23" s="311"/>
      <c r="AX23" s="311"/>
      <c r="AY23" s="311"/>
    </row>
    <row r="24" spans="1:51" s="318" customFormat="1" ht="18.75" customHeight="1">
      <c r="B24" s="330"/>
      <c r="C24" s="330"/>
      <c r="D24" s="330"/>
      <c r="E24" s="330"/>
      <c r="F24" s="330"/>
      <c r="G24" s="330"/>
      <c r="H24" s="330"/>
      <c r="I24" s="330"/>
      <c r="J24" s="330"/>
      <c r="K24" s="330"/>
      <c r="L24" s="330"/>
      <c r="M24" s="330"/>
      <c r="N24" s="330"/>
      <c r="O24" s="330"/>
      <c r="P24" s="330"/>
      <c r="Q24" s="330"/>
      <c r="R24" s="330"/>
      <c r="S24" s="330"/>
      <c r="T24" s="330"/>
      <c r="U24" s="330"/>
      <c r="V24" s="330"/>
      <c r="W24" s="330"/>
      <c r="X24" s="330"/>
      <c r="Y24" s="330"/>
      <c r="Z24" s="330"/>
      <c r="AA24" s="330"/>
      <c r="AP24" s="311"/>
      <c r="AQ24" s="320"/>
      <c r="AU24" s="311"/>
      <c r="AV24" s="311"/>
      <c r="AW24" s="311"/>
      <c r="AX24" s="311"/>
      <c r="AY24" s="311"/>
    </row>
    <row r="25" spans="1:51" s="318" customFormat="1" ht="18.75" customHeight="1">
      <c r="A25" s="318" t="s">
        <v>888</v>
      </c>
      <c r="B25" s="330">
        <f t="shared" ref="B25:AA25" si="25">B17+B23</f>
        <v>950.5935269964383</v>
      </c>
      <c r="C25" s="330">
        <f t="shared" si="25"/>
        <v>993.76720689656474</v>
      </c>
      <c r="D25" s="330">
        <f t="shared" si="25"/>
        <v>1114.2475642642198</v>
      </c>
      <c r="E25" s="330">
        <f t="shared" si="25"/>
        <v>1150.9629021646574</v>
      </c>
      <c r="F25" s="330">
        <f t="shared" si="25"/>
        <v>1185.6304184852056</v>
      </c>
      <c r="G25" s="330">
        <f t="shared" si="25"/>
        <v>1092.9742054191779</v>
      </c>
      <c r="H25" s="330">
        <f t="shared" si="25"/>
        <v>975.88939149975226</v>
      </c>
      <c r="I25" s="330">
        <f t="shared" si="25"/>
        <v>991.07788360900349</v>
      </c>
      <c r="J25" s="330">
        <f t="shared" si="25"/>
        <v>1012.5735709107402</v>
      </c>
      <c r="K25" s="330">
        <f t="shared" si="25"/>
        <v>1002.0080402346765</v>
      </c>
      <c r="L25" s="330">
        <f t="shared" si="25"/>
        <v>1005.2392220508468</v>
      </c>
      <c r="M25" s="330">
        <f t="shared" si="25"/>
        <v>1008.7708879489911</v>
      </c>
      <c r="N25" s="330">
        <f t="shared" si="25"/>
        <v>1007.9575429231886</v>
      </c>
      <c r="O25" s="330">
        <f t="shared" si="25"/>
        <v>1005.2773095248497</v>
      </c>
      <c r="P25" s="330">
        <f t="shared" si="25"/>
        <v>997.29585609743913</v>
      </c>
      <c r="Q25" s="330">
        <f t="shared" si="25"/>
        <v>990.19635906864573</v>
      </c>
      <c r="R25" s="330">
        <f t="shared" si="25"/>
        <v>980.28078542142498</v>
      </c>
      <c r="S25" s="330">
        <f t="shared" si="25"/>
        <v>969.74027840012729</v>
      </c>
      <c r="T25" s="330">
        <f t="shared" si="25"/>
        <v>960.00891986678448</v>
      </c>
      <c r="U25" s="330">
        <f t="shared" si="25"/>
        <v>956.05825155487605</v>
      </c>
      <c r="V25" s="330">
        <f t="shared" si="25"/>
        <v>951.57455358983782</v>
      </c>
      <c r="W25" s="330">
        <f t="shared" si="25"/>
        <v>948.19884403039555</v>
      </c>
      <c r="X25" s="330">
        <f t="shared" si="25"/>
        <v>940.96755243011785</v>
      </c>
      <c r="Y25" s="330">
        <f t="shared" si="25"/>
        <v>937.16264244470108</v>
      </c>
      <c r="Z25" s="330">
        <f t="shared" si="25"/>
        <v>932.10592961388977</v>
      </c>
      <c r="AA25" s="330">
        <f t="shared" si="25"/>
        <v>926.66685579997045</v>
      </c>
      <c r="AP25" s="311"/>
      <c r="AQ25" s="320"/>
      <c r="AU25" s="311"/>
      <c r="AV25" s="311"/>
      <c r="AW25" s="311"/>
      <c r="AX25" s="311"/>
      <c r="AY25" s="311"/>
    </row>
    <row r="26" spans="1:51" s="318" customFormat="1" ht="18.75" customHeight="1">
      <c r="B26" s="330"/>
      <c r="C26" s="330"/>
      <c r="D26" s="330"/>
      <c r="E26" s="330"/>
      <c r="F26" s="330"/>
      <c r="G26" s="330"/>
      <c r="H26" s="330"/>
      <c r="I26" s="330"/>
      <c r="J26" s="330"/>
      <c r="K26" s="330"/>
      <c r="L26" s="330"/>
      <c r="M26" s="330"/>
      <c r="N26" s="330"/>
      <c r="O26" s="330"/>
      <c r="P26" s="330"/>
      <c r="Q26" s="330"/>
      <c r="R26" s="330"/>
      <c r="S26" s="330"/>
      <c r="T26" s="330"/>
      <c r="U26" s="330"/>
      <c r="V26" s="330"/>
      <c r="W26" s="330"/>
      <c r="X26" s="330"/>
      <c r="Y26" s="330"/>
      <c r="Z26" s="330"/>
      <c r="AA26" s="330"/>
      <c r="AP26" s="311"/>
      <c r="AQ26" s="320"/>
      <c r="AU26" s="311"/>
      <c r="AV26" s="311"/>
      <c r="AW26" s="311"/>
      <c r="AX26" s="311"/>
      <c r="AY26" s="311"/>
    </row>
    <row r="27" spans="1:51" s="318" customFormat="1" ht="15">
      <c r="A27" s="358" t="s">
        <v>887</v>
      </c>
      <c r="B27" s="330">
        <v>132.80646684410962</v>
      </c>
      <c r="C27" s="330">
        <v>132.56308981041096</v>
      </c>
      <c r="D27" s="330">
        <v>132.45289239918031</v>
      </c>
      <c r="E27" s="330">
        <v>146.76672356356161</v>
      </c>
      <c r="F27" s="330">
        <v>180.61987792324564</v>
      </c>
      <c r="G27" s="330">
        <v>219.64574967041099</v>
      </c>
      <c r="H27" s="330">
        <v>265.45643212013249</v>
      </c>
      <c r="I27" s="330">
        <v>325.69436450155746</v>
      </c>
      <c r="J27" s="330">
        <v>365.39635259436363</v>
      </c>
      <c r="K27" s="330">
        <v>398.14451865880989</v>
      </c>
      <c r="L27" s="330">
        <v>428.97836601991372</v>
      </c>
      <c r="M27" s="330">
        <v>443.56401060327954</v>
      </c>
      <c r="N27" s="330">
        <v>466.10885259738365</v>
      </c>
      <c r="O27" s="330">
        <v>486.98639232143887</v>
      </c>
      <c r="P27" s="330">
        <v>490.81025068101019</v>
      </c>
      <c r="Q27" s="330">
        <v>496.74410920767946</v>
      </c>
      <c r="R27" s="330">
        <v>500.71979958600593</v>
      </c>
      <c r="S27" s="330">
        <v>487.32903443724342</v>
      </c>
      <c r="T27" s="330">
        <v>467.2334148913223</v>
      </c>
      <c r="U27" s="330">
        <v>453.87071814236333</v>
      </c>
      <c r="V27" s="330">
        <v>444.28865322356842</v>
      </c>
      <c r="W27" s="330">
        <v>434.16856889143003</v>
      </c>
      <c r="X27" s="330">
        <v>425.76869813981017</v>
      </c>
      <c r="Y27" s="330">
        <v>418.98516318311306</v>
      </c>
      <c r="Z27" s="330">
        <v>413.13266338616825</v>
      </c>
      <c r="AA27" s="330">
        <v>408.12639811190616</v>
      </c>
      <c r="AB27" s="322"/>
      <c r="AC27" s="315"/>
      <c r="AD27" s="315"/>
      <c r="AE27" s="315"/>
      <c r="AF27" s="315"/>
      <c r="AG27" s="315"/>
      <c r="AH27" s="315"/>
      <c r="AI27" s="315"/>
      <c r="AJ27" s="315"/>
      <c r="AK27" s="315"/>
      <c r="AL27" s="315"/>
      <c r="AP27" s="311"/>
      <c r="AQ27" s="320"/>
      <c r="AT27" s="308"/>
      <c r="AU27" s="311"/>
      <c r="AV27" s="311"/>
      <c r="AW27" s="311"/>
      <c r="AX27" s="311"/>
      <c r="AY27" s="311"/>
    </row>
    <row r="28" spans="1:51" s="318" customFormat="1" ht="15">
      <c r="A28" s="358"/>
      <c r="B28" s="330"/>
      <c r="C28" s="330"/>
      <c r="D28" s="330"/>
      <c r="E28" s="330"/>
      <c r="F28" s="357"/>
      <c r="G28" s="357"/>
      <c r="H28" s="357"/>
      <c r="I28" s="357"/>
      <c r="J28" s="330"/>
      <c r="K28" s="330"/>
      <c r="L28" s="330"/>
      <c r="M28" s="330"/>
      <c r="N28" s="330"/>
      <c r="O28" s="330"/>
      <c r="P28" s="330"/>
      <c r="Q28" s="330"/>
      <c r="R28" s="330"/>
      <c r="S28" s="330"/>
      <c r="T28" s="330"/>
      <c r="U28" s="330"/>
      <c r="V28" s="330"/>
      <c r="W28" s="330"/>
      <c r="X28" s="330"/>
      <c r="Y28" s="330"/>
      <c r="Z28" s="330"/>
      <c r="AA28" s="330"/>
      <c r="AB28" s="322"/>
      <c r="AC28" s="315"/>
      <c r="AD28" s="315"/>
      <c r="AE28" s="315"/>
      <c r="AF28" s="315"/>
      <c r="AG28" s="315"/>
      <c r="AH28" s="315"/>
      <c r="AI28" s="315"/>
      <c r="AJ28" s="315"/>
      <c r="AK28" s="315"/>
      <c r="AL28" s="315"/>
      <c r="AP28" s="311"/>
      <c r="AQ28" s="320"/>
      <c r="AT28" s="308"/>
      <c r="AU28" s="311"/>
      <c r="AV28" s="311"/>
      <c r="AW28" s="311"/>
      <c r="AX28" s="311"/>
      <c r="AY28" s="311"/>
    </row>
    <row r="29" spans="1:51" s="318" customFormat="1" ht="15">
      <c r="A29" s="358"/>
      <c r="B29" s="330"/>
      <c r="C29" s="330"/>
      <c r="D29" s="330"/>
      <c r="E29" s="330"/>
      <c r="F29" s="330"/>
      <c r="G29" s="330"/>
      <c r="H29" s="330"/>
      <c r="I29" s="357"/>
      <c r="J29" s="330"/>
      <c r="K29" s="330"/>
      <c r="L29" s="330"/>
      <c r="M29" s="330"/>
      <c r="N29" s="330"/>
      <c r="O29" s="330"/>
      <c r="P29" s="330"/>
      <c r="Q29" s="330"/>
      <c r="R29" s="330"/>
      <c r="S29" s="330"/>
      <c r="T29" s="330"/>
      <c r="U29" s="330"/>
      <c r="V29" s="330"/>
      <c r="W29" s="330"/>
      <c r="X29" s="330"/>
      <c r="Y29" s="330"/>
      <c r="Z29" s="330"/>
      <c r="AA29" s="330"/>
      <c r="AB29" s="322"/>
      <c r="AC29" s="315"/>
      <c r="AD29" s="315"/>
      <c r="AE29" s="315"/>
      <c r="AF29" s="315"/>
      <c r="AG29" s="315"/>
      <c r="AH29" s="315"/>
      <c r="AI29" s="315"/>
      <c r="AJ29" s="315"/>
      <c r="AK29" s="315"/>
      <c r="AL29" s="315"/>
      <c r="AP29" s="311"/>
      <c r="AQ29" s="320"/>
      <c r="AT29" s="308"/>
      <c r="AU29" s="311"/>
      <c r="AV29" s="311"/>
      <c r="AW29" s="311"/>
      <c r="AX29" s="311"/>
      <c r="AY29" s="311"/>
    </row>
    <row r="30" spans="1:51" s="318" customFormat="1" ht="15">
      <c r="A30" s="318" t="s">
        <v>886</v>
      </c>
      <c r="B30" s="330">
        <f t="shared" ref="B30:AA30" si="26">B25+B27</f>
        <v>1083.3999938405479</v>
      </c>
      <c r="C30" s="330">
        <f t="shared" si="26"/>
        <v>1126.3302967069758</v>
      </c>
      <c r="D30" s="330">
        <f t="shared" si="26"/>
        <v>1246.7004566634</v>
      </c>
      <c r="E30" s="330">
        <f t="shared" si="26"/>
        <v>1297.7296257282189</v>
      </c>
      <c r="F30" s="330">
        <f t="shared" si="26"/>
        <v>1366.2502964084513</v>
      </c>
      <c r="G30" s="330">
        <f t="shared" si="26"/>
        <v>1312.619955089589</v>
      </c>
      <c r="H30" s="330">
        <f t="shared" si="26"/>
        <v>1241.3458236198849</v>
      </c>
      <c r="I30" s="330">
        <f t="shared" si="26"/>
        <v>1316.7722481105609</v>
      </c>
      <c r="J30" s="330">
        <f t="shared" si="26"/>
        <v>1377.9699235051039</v>
      </c>
      <c r="K30" s="330">
        <f t="shared" si="26"/>
        <v>1400.1525588934865</v>
      </c>
      <c r="L30" s="330">
        <f t="shared" si="26"/>
        <v>1434.2175880707605</v>
      </c>
      <c r="M30" s="330">
        <f t="shared" si="26"/>
        <v>1452.3348985522707</v>
      </c>
      <c r="N30" s="330">
        <f t="shared" si="26"/>
        <v>1474.0663955205723</v>
      </c>
      <c r="O30" s="330">
        <f t="shared" si="26"/>
        <v>1492.2637018462885</v>
      </c>
      <c r="P30" s="330">
        <f t="shared" si="26"/>
        <v>1488.1061067784494</v>
      </c>
      <c r="Q30" s="330">
        <f t="shared" si="26"/>
        <v>1486.9404682763252</v>
      </c>
      <c r="R30" s="330">
        <f t="shared" si="26"/>
        <v>1481.0005850074308</v>
      </c>
      <c r="S30" s="330">
        <f t="shared" si="26"/>
        <v>1457.0693128373707</v>
      </c>
      <c r="T30" s="330">
        <f t="shared" si="26"/>
        <v>1427.2423347581068</v>
      </c>
      <c r="U30" s="330">
        <f t="shared" si="26"/>
        <v>1409.9289696972394</v>
      </c>
      <c r="V30" s="330">
        <f t="shared" si="26"/>
        <v>1395.8632068134061</v>
      </c>
      <c r="W30" s="330">
        <f t="shared" si="26"/>
        <v>1382.3674129218257</v>
      </c>
      <c r="X30" s="330">
        <f t="shared" si="26"/>
        <v>1366.736250569928</v>
      </c>
      <c r="Y30" s="330">
        <f t="shared" si="26"/>
        <v>1356.1478056278143</v>
      </c>
      <c r="Z30" s="330">
        <f t="shared" si="26"/>
        <v>1345.238593000058</v>
      </c>
      <c r="AA30" s="330">
        <f t="shared" si="26"/>
        <v>1334.7932539118765</v>
      </c>
      <c r="AP30" s="311"/>
      <c r="AQ30" s="320"/>
      <c r="AT30" s="308"/>
      <c r="AU30" s="311"/>
      <c r="AV30" s="311"/>
      <c r="AW30" s="311"/>
      <c r="AX30" s="311"/>
      <c r="AY30" s="311"/>
    </row>
    <row r="31" spans="1:51" ht="15">
      <c r="A31" s="356"/>
      <c r="B31" s="353"/>
      <c r="C31" s="353"/>
      <c r="D31" s="353"/>
      <c r="E31" s="353"/>
      <c r="F31" s="353"/>
      <c r="G31" s="353"/>
      <c r="H31" s="353"/>
      <c r="I31" s="353"/>
      <c r="J31" s="353"/>
      <c r="K31" s="353"/>
      <c r="L31" s="353"/>
      <c r="M31" s="353"/>
      <c r="N31" s="353"/>
      <c r="O31" s="353"/>
      <c r="P31" s="353"/>
      <c r="Q31" s="353"/>
      <c r="R31" s="353"/>
      <c r="S31" s="353"/>
      <c r="T31" s="353"/>
      <c r="U31" s="353"/>
      <c r="V31" s="353"/>
      <c r="W31" s="353"/>
      <c r="X31" s="353"/>
      <c r="Y31" s="353"/>
      <c r="Z31" s="353"/>
      <c r="AA31" s="353"/>
      <c r="AQ31" s="321"/>
      <c r="AT31" s="308"/>
    </row>
    <row r="32" spans="1:51" ht="15">
      <c r="B32" s="353"/>
      <c r="C32" s="353"/>
      <c r="D32" s="353"/>
      <c r="E32" s="353"/>
      <c r="F32" s="353"/>
      <c r="G32" s="353"/>
      <c r="H32" s="353"/>
      <c r="I32" s="353"/>
      <c r="J32" s="353"/>
      <c r="K32" s="353"/>
      <c r="L32" s="353"/>
      <c r="M32" s="353"/>
      <c r="N32" s="353"/>
      <c r="O32" s="353"/>
      <c r="P32" s="353"/>
      <c r="Q32" s="353"/>
      <c r="R32" s="353"/>
      <c r="S32" s="353"/>
      <c r="T32" s="353"/>
      <c r="U32" s="353"/>
      <c r="V32" s="353"/>
      <c r="W32" s="353"/>
      <c r="X32" s="353"/>
      <c r="Y32" s="353"/>
      <c r="Z32" s="353"/>
      <c r="AA32" s="353"/>
      <c r="AG32" s="321"/>
      <c r="AH32" s="321"/>
      <c r="AI32" s="321"/>
      <c r="AJ32" s="321"/>
      <c r="AK32" s="321"/>
      <c r="AQ32" s="321"/>
      <c r="AT32" s="308"/>
    </row>
    <row r="33" spans="1:51" ht="22.5" customHeight="1">
      <c r="A33" s="327" t="s">
        <v>885</v>
      </c>
      <c r="B33" s="353"/>
      <c r="C33" s="353"/>
      <c r="D33" s="353"/>
      <c r="E33" s="353"/>
      <c r="F33" s="353"/>
      <c r="G33" s="353"/>
      <c r="H33" s="355"/>
      <c r="I33" s="354"/>
      <c r="J33" s="353"/>
      <c r="K33" s="353"/>
      <c r="L33" s="353"/>
      <c r="M33" s="353"/>
      <c r="N33" s="353"/>
      <c r="O33" s="353"/>
      <c r="P33" s="353"/>
      <c r="Q33" s="353"/>
      <c r="R33" s="353"/>
      <c r="S33" s="353"/>
      <c r="T33" s="353"/>
      <c r="U33" s="353"/>
      <c r="V33" s="315"/>
      <c r="W33" s="315"/>
      <c r="X33" s="315"/>
      <c r="Y33" s="315"/>
      <c r="Z33" s="315"/>
      <c r="AA33" s="315"/>
      <c r="AD33" s="321"/>
      <c r="AE33" s="321"/>
      <c r="AF33" s="321"/>
      <c r="AG33" s="321"/>
      <c r="AH33" s="321"/>
      <c r="AI33" s="321"/>
      <c r="AJ33" s="321"/>
      <c r="AQ33" s="321"/>
      <c r="AT33" s="308"/>
    </row>
    <row r="34" spans="1:51" ht="16.5" customHeight="1">
      <c r="A34" s="311" t="s">
        <v>879</v>
      </c>
      <c r="B34" s="353">
        <v>726.95514217482003</v>
      </c>
      <c r="C34" s="353">
        <v>771.66663489258497</v>
      </c>
      <c r="D34" s="353">
        <v>811.08740243289242</v>
      </c>
      <c r="E34" s="353">
        <v>848.94956415202785</v>
      </c>
      <c r="F34" s="353">
        <v>912.3913290000587</v>
      </c>
      <c r="G34" s="353">
        <v>1022.7031165027003</v>
      </c>
      <c r="H34" s="353">
        <v>1027.541343032301</v>
      </c>
      <c r="I34" s="353">
        <v>1136.5706868257957</v>
      </c>
      <c r="J34" s="353">
        <v>1337.3676538419577</v>
      </c>
      <c r="K34" s="353">
        <v>1375.0232745189132</v>
      </c>
      <c r="L34" s="353">
        <v>1436.9349398409734</v>
      </c>
      <c r="M34" s="353">
        <v>1463.2755275717059</v>
      </c>
      <c r="N34" s="353">
        <v>1469.3234985343033</v>
      </c>
      <c r="O34" s="353">
        <v>1471.5122571774236</v>
      </c>
      <c r="P34" s="353">
        <v>1473.8104537527001</v>
      </c>
      <c r="Q34" s="353">
        <v>1475.3361858019989</v>
      </c>
      <c r="R34" s="353">
        <v>1476.9825731714993</v>
      </c>
      <c r="S34" s="352">
        <v>1487.5831198471071</v>
      </c>
      <c r="T34" s="353">
        <v>1497.7230390916259</v>
      </c>
      <c r="U34" s="352">
        <v>1528.4474844780048</v>
      </c>
      <c r="V34" s="315">
        <v>1595.4885366481783</v>
      </c>
      <c r="W34" s="315">
        <v>1643.5272356454013</v>
      </c>
      <c r="X34" s="315">
        <v>1681.3711918063696</v>
      </c>
      <c r="Y34" s="315">
        <v>1720.609634767131</v>
      </c>
      <c r="Z34" s="315">
        <v>1729.186265977758</v>
      </c>
      <c r="AA34" s="315">
        <v>1734.7326071897253</v>
      </c>
      <c r="AC34" s="346"/>
      <c r="AD34" s="321"/>
      <c r="AE34" s="321"/>
      <c r="AF34" s="321"/>
      <c r="AG34" s="321"/>
      <c r="AH34" s="321"/>
      <c r="AI34" s="321"/>
      <c r="AJ34" s="321"/>
      <c r="AQ34" s="321"/>
      <c r="AT34" s="308"/>
    </row>
    <row r="35" spans="1:51" ht="15.75" customHeight="1">
      <c r="A35" s="351" t="s">
        <v>884</v>
      </c>
      <c r="B35" s="350">
        <v>743.2076278086821</v>
      </c>
      <c r="C35" s="350">
        <v>843.29205894892698</v>
      </c>
      <c r="D35" s="350">
        <v>983.80353409872043</v>
      </c>
      <c r="E35" s="350">
        <v>1092.5569992737403</v>
      </c>
      <c r="F35" s="350">
        <v>1242.6941271139135</v>
      </c>
      <c r="G35" s="349">
        <v>1342.199316376199</v>
      </c>
      <c r="H35" s="349">
        <v>1372.2921390997728</v>
      </c>
      <c r="I35" s="349">
        <v>1509.8953599501956</v>
      </c>
      <c r="J35" s="349">
        <v>1605.4275048020861</v>
      </c>
      <c r="K35" s="349">
        <v>1711.8314155184689</v>
      </c>
      <c r="L35" s="349">
        <v>1779.3767183033765</v>
      </c>
      <c r="M35" s="349">
        <v>1808.2578456550796</v>
      </c>
      <c r="N35" s="349">
        <v>1862.3636348468353</v>
      </c>
      <c r="O35" s="349">
        <v>1916.393996434648</v>
      </c>
      <c r="P35" s="349">
        <v>1950.7443126246344</v>
      </c>
      <c r="Q35" s="349">
        <v>1997.9032273796706</v>
      </c>
      <c r="R35" s="349">
        <v>2060.8908540785383</v>
      </c>
      <c r="S35" s="349">
        <v>2105.1874063775354</v>
      </c>
      <c r="T35" s="349">
        <v>2134.6830313713822</v>
      </c>
      <c r="U35" s="349">
        <v>2199.2276201808063</v>
      </c>
      <c r="V35" s="349">
        <v>2220.5498592107456</v>
      </c>
      <c r="W35" s="348">
        <v>2264.7187337614969</v>
      </c>
      <c r="X35" s="348">
        <v>2292.5989873403523</v>
      </c>
      <c r="Y35" s="348">
        <v>2337.2390090267845</v>
      </c>
      <c r="Z35" s="348">
        <v>2407.1965407129296</v>
      </c>
      <c r="AA35" s="348">
        <v>2457.270384507688</v>
      </c>
      <c r="AC35" s="346"/>
      <c r="AD35" s="321"/>
      <c r="AE35" s="321"/>
      <c r="AF35" s="321"/>
      <c r="AG35" s="321"/>
      <c r="AH35" s="321"/>
      <c r="AI35" s="321"/>
      <c r="AJ35" s="321"/>
      <c r="AQ35" s="321"/>
      <c r="AT35" s="308"/>
    </row>
    <row r="36" spans="1:51" s="318" customFormat="1" ht="15.75" customHeight="1">
      <c r="A36" s="318" t="s">
        <v>877</v>
      </c>
      <c r="B36" s="330">
        <f t="shared" ref="B36:AA36" si="27">B34+B35</f>
        <v>1470.1627699835021</v>
      </c>
      <c r="C36" s="330">
        <f t="shared" si="27"/>
        <v>1614.9586938415118</v>
      </c>
      <c r="D36" s="330">
        <f t="shared" si="27"/>
        <v>1794.8909365316129</v>
      </c>
      <c r="E36" s="330">
        <f t="shared" si="27"/>
        <v>1941.506563425768</v>
      </c>
      <c r="F36" s="330">
        <f t="shared" si="27"/>
        <v>2155.0854561139722</v>
      </c>
      <c r="G36" s="330">
        <f t="shared" si="27"/>
        <v>2364.9024328788992</v>
      </c>
      <c r="H36" s="330">
        <f t="shared" si="27"/>
        <v>2399.8334821320741</v>
      </c>
      <c r="I36" s="330">
        <f t="shared" si="27"/>
        <v>2646.4660467759913</v>
      </c>
      <c r="J36" s="330">
        <f t="shared" si="27"/>
        <v>2942.795158644044</v>
      </c>
      <c r="K36" s="330">
        <f t="shared" si="27"/>
        <v>3086.8546900373822</v>
      </c>
      <c r="L36" s="330">
        <f t="shared" si="27"/>
        <v>3216.3116581443501</v>
      </c>
      <c r="M36" s="330">
        <f t="shared" si="27"/>
        <v>3271.5333732267854</v>
      </c>
      <c r="N36" s="330">
        <f t="shared" si="27"/>
        <v>3331.6871333811387</v>
      </c>
      <c r="O36" s="330">
        <f t="shared" si="27"/>
        <v>3387.9062536120719</v>
      </c>
      <c r="P36" s="330">
        <f t="shared" si="27"/>
        <v>3424.5547663773345</v>
      </c>
      <c r="Q36" s="330">
        <f t="shared" si="27"/>
        <v>3473.2394131816695</v>
      </c>
      <c r="R36" s="330">
        <f t="shared" si="27"/>
        <v>3537.8734272500378</v>
      </c>
      <c r="S36" s="330">
        <f t="shared" si="27"/>
        <v>3592.7705262246427</v>
      </c>
      <c r="T36" s="330">
        <f t="shared" si="27"/>
        <v>3632.4060704630083</v>
      </c>
      <c r="U36" s="330">
        <f t="shared" si="27"/>
        <v>3727.6751046588111</v>
      </c>
      <c r="V36" s="330">
        <f t="shared" si="27"/>
        <v>3816.0383958589236</v>
      </c>
      <c r="W36" s="330">
        <f t="shared" si="27"/>
        <v>3908.2459694068984</v>
      </c>
      <c r="X36" s="330">
        <f t="shared" si="27"/>
        <v>3973.9701791467219</v>
      </c>
      <c r="Y36" s="330">
        <f t="shared" si="27"/>
        <v>4057.8486437939155</v>
      </c>
      <c r="Z36" s="330">
        <f t="shared" si="27"/>
        <v>4136.3828066906881</v>
      </c>
      <c r="AA36" s="330">
        <f t="shared" si="27"/>
        <v>4192.0029916974136</v>
      </c>
      <c r="AC36" s="346"/>
      <c r="AD36" s="320"/>
      <c r="AE36" s="320"/>
      <c r="AF36" s="321"/>
      <c r="AG36" s="321"/>
      <c r="AH36" s="321"/>
      <c r="AI36" s="321"/>
      <c r="AJ36" s="321"/>
      <c r="AP36" s="311"/>
      <c r="AQ36" s="320"/>
      <c r="AT36" s="308"/>
      <c r="AU36" s="311"/>
      <c r="AV36" s="311"/>
      <c r="AW36" s="311"/>
      <c r="AX36" s="311"/>
      <c r="AY36" s="311"/>
    </row>
    <row r="37" spans="1:51" s="318" customFormat="1" ht="15.75" customHeight="1">
      <c r="B37" s="330"/>
      <c r="C37" s="330"/>
      <c r="D37" s="330"/>
      <c r="E37" s="330"/>
      <c r="F37" s="330"/>
      <c r="G37" s="347"/>
      <c r="H37" s="347"/>
      <c r="I37" s="347"/>
      <c r="J37" s="347"/>
      <c r="K37" s="347"/>
      <c r="L37" s="347"/>
      <c r="M37" s="347"/>
      <c r="N37" s="347"/>
      <c r="O37" s="347"/>
      <c r="P37" s="347"/>
      <c r="Q37" s="347"/>
      <c r="R37" s="347"/>
      <c r="S37" s="347"/>
      <c r="T37" s="347"/>
      <c r="U37" s="347"/>
      <c r="V37" s="347"/>
      <c r="W37" s="347"/>
      <c r="X37" s="347"/>
      <c r="Y37" s="347"/>
      <c r="Z37" s="347"/>
      <c r="AA37" s="347"/>
      <c r="AC37" s="346"/>
      <c r="AD37" s="320"/>
      <c r="AE37" s="320"/>
      <c r="AF37" s="321"/>
      <c r="AG37" s="321"/>
      <c r="AH37" s="321"/>
      <c r="AI37" s="321"/>
      <c r="AJ37" s="321"/>
      <c r="AP37" s="311"/>
      <c r="AQ37" s="320"/>
      <c r="AT37" s="308"/>
      <c r="AU37" s="311"/>
      <c r="AV37" s="311"/>
      <c r="AW37" s="311"/>
      <c r="AX37" s="311"/>
      <c r="AY37" s="311"/>
    </row>
    <row r="38" spans="1:51" s="318" customFormat="1" ht="15.75" customHeight="1">
      <c r="B38" s="330"/>
      <c r="C38" s="330"/>
      <c r="D38" s="330"/>
      <c r="E38" s="330"/>
      <c r="F38" s="330"/>
      <c r="G38" s="347"/>
      <c r="H38" s="347"/>
      <c r="I38" s="347"/>
      <c r="J38" s="347"/>
      <c r="K38" s="347"/>
      <c r="L38" s="347"/>
      <c r="M38" s="347"/>
      <c r="N38" s="347"/>
      <c r="O38" s="347"/>
      <c r="P38" s="347"/>
      <c r="Q38" s="347"/>
      <c r="R38" s="347"/>
      <c r="S38" s="347"/>
      <c r="T38" s="347"/>
      <c r="U38" s="347"/>
      <c r="V38" s="347"/>
      <c r="W38" s="347"/>
      <c r="X38" s="347"/>
      <c r="Y38" s="347"/>
      <c r="Z38" s="347"/>
      <c r="AA38" s="347"/>
      <c r="AC38" s="346"/>
      <c r="AD38" s="320"/>
      <c r="AE38" s="320"/>
      <c r="AF38" s="321"/>
      <c r="AG38" s="321"/>
      <c r="AH38" s="321"/>
      <c r="AI38" s="321"/>
      <c r="AJ38" s="321"/>
      <c r="AP38" s="311"/>
      <c r="AQ38" s="320"/>
      <c r="AT38" s="308"/>
      <c r="AU38" s="311"/>
      <c r="AV38" s="311"/>
      <c r="AW38" s="311"/>
      <c r="AX38" s="311"/>
      <c r="AY38" s="311"/>
    </row>
    <row r="39" spans="1:51" s="318" customFormat="1" ht="17.25" customHeight="1">
      <c r="A39" s="327" t="s">
        <v>883</v>
      </c>
      <c r="B39" s="330">
        <f t="shared" ref="B39:AA39" si="28">B30+B36</f>
        <v>2553.5627638240503</v>
      </c>
      <c r="C39" s="330">
        <f t="shared" si="28"/>
        <v>2741.2889905484876</v>
      </c>
      <c r="D39" s="330">
        <f t="shared" si="28"/>
        <v>3041.5913931950126</v>
      </c>
      <c r="E39" s="330">
        <f t="shared" si="28"/>
        <v>3239.2361891539867</v>
      </c>
      <c r="F39" s="330">
        <f t="shared" si="28"/>
        <v>3521.3357525224237</v>
      </c>
      <c r="G39" s="330">
        <f t="shared" si="28"/>
        <v>3677.5223879684881</v>
      </c>
      <c r="H39" s="330">
        <f t="shared" si="28"/>
        <v>3641.179305751959</v>
      </c>
      <c r="I39" s="330">
        <f t="shared" si="28"/>
        <v>3963.2382948865525</v>
      </c>
      <c r="J39" s="330">
        <f t="shared" si="28"/>
        <v>4320.7650821491479</v>
      </c>
      <c r="K39" s="330">
        <f t="shared" si="28"/>
        <v>4487.0072489308686</v>
      </c>
      <c r="L39" s="330">
        <f t="shared" si="28"/>
        <v>4650.5292462151101</v>
      </c>
      <c r="M39" s="330">
        <f t="shared" si="28"/>
        <v>4723.8682717790562</v>
      </c>
      <c r="N39" s="330">
        <f t="shared" si="28"/>
        <v>4805.7535289017105</v>
      </c>
      <c r="O39" s="330">
        <f t="shared" si="28"/>
        <v>4880.1699554583602</v>
      </c>
      <c r="P39" s="330">
        <f t="shared" si="28"/>
        <v>4912.6608731557844</v>
      </c>
      <c r="Q39" s="330">
        <f t="shared" si="28"/>
        <v>4960.1798814579943</v>
      </c>
      <c r="R39" s="330">
        <f t="shared" si="28"/>
        <v>5018.8740122574691</v>
      </c>
      <c r="S39" s="330">
        <f t="shared" si="28"/>
        <v>5049.8398390620132</v>
      </c>
      <c r="T39" s="330">
        <f t="shared" si="28"/>
        <v>5059.6484052211154</v>
      </c>
      <c r="U39" s="330">
        <f t="shared" si="28"/>
        <v>5137.6040743560507</v>
      </c>
      <c r="V39" s="330">
        <f t="shared" si="28"/>
        <v>5211.9016026723293</v>
      </c>
      <c r="W39" s="330">
        <f t="shared" si="28"/>
        <v>5290.6133823287237</v>
      </c>
      <c r="X39" s="330">
        <f t="shared" si="28"/>
        <v>5340.7064297166498</v>
      </c>
      <c r="Y39" s="330">
        <f t="shared" si="28"/>
        <v>5413.9964494217293</v>
      </c>
      <c r="Z39" s="330">
        <f t="shared" si="28"/>
        <v>5481.6213996907463</v>
      </c>
      <c r="AA39" s="330">
        <f t="shared" si="28"/>
        <v>5526.7962456092901</v>
      </c>
      <c r="AD39" s="320"/>
      <c r="AE39" s="320"/>
      <c r="AF39" s="321"/>
      <c r="AG39" s="321"/>
      <c r="AH39" s="321"/>
      <c r="AI39" s="321"/>
      <c r="AJ39" s="321"/>
      <c r="AT39" s="308"/>
    </row>
    <row r="40" spans="1:51" s="318" customFormat="1" ht="28.5" customHeight="1">
      <c r="A40" s="345" t="s">
        <v>882</v>
      </c>
      <c r="B40" s="344">
        <v>284.21741061479452</v>
      </c>
      <c r="C40" s="344">
        <v>273.58800948547946</v>
      </c>
      <c r="D40" s="344">
        <v>202.07809694535518</v>
      </c>
      <c r="E40" s="344">
        <v>232.44498152465752</v>
      </c>
      <c r="F40" s="344">
        <v>220.27703844547949</v>
      </c>
      <c r="G40" s="344">
        <v>175.68813008109595</v>
      </c>
      <c r="H40" s="344">
        <v>212.74214407527325</v>
      </c>
      <c r="I40" s="344">
        <v>223.55377263835439</v>
      </c>
      <c r="J40" s="344">
        <v>231.57865443454912</v>
      </c>
      <c r="K40" s="344">
        <v>264.57865443454909</v>
      </c>
      <c r="L40" s="344">
        <v>278.57865443454909</v>
      </c>
      <c r="M40" s="344">
        <v>267.57865443454909</v>
      </c>
      <c r="N40" s="344">
        <v>279.57865443454909</v>
      </c>
      <c r="O40" s="344">
        <v>297.57865443454909</v>
      </c>
      <c r="P40" s="344">
        <v>306.57865443454909</v>
      </c>
      <c r="Q40" s="344">
        <v>286.57865443454909</v>
      </c>
      <c r="R40" s="344">
        <v>252.57865443454912</v>
      </c>
      <c r="S40" s="344">
        <v>227.57865443454912</v>
      </c>
      <c r="T40" s="344">
        <v>211.57865443454912</v>
      </c>
      <c r="U40" s="344">
        <v>197.57865443454912</v>
      </c>
      <c r="V40" s="344">
        <v>185.57865443454912</v>
      </c>
      <c r="W40" s="344">
        <v>99.341982303401565</v>
      </c>
      <c r="X40" s="344">
        <v>83.850020554767681</v>
      </c>
      <c r="Y40" s="344">
        <v>77.259020554767687</v>
      </c>
      <c r="Z40" s="344">
        <v>77.813020554767689</v>
      </c>
      <c r="AA40" s="344">
        <v>74.207020554767681</v>
      </c>
      <c r="AD40" s="320"/>
      <c r="AE40" s="320"/>
      <c r="AF40" s="321"/>
      <c r="AG40" s="321"/>
      <c r="AH40" s="321"/>
      <c r="AI40" s="321"/>
      <c r="AJ40" s="321"/>
    </row>
    <row r="41" spans="1:51" s="318" customFormat="1">
      <c r="A41" s="327" t="s">
        <v>881</v>
      </c>
      <c r="B41" s="330">
        <f t="shared" ref="B41:AA41" si="29">B39+B40</f>
        <v>2837.7801744388448</v>
      </c>
      <c r="C41" s="330">
        <f t="shared" si="29"/>
        <v>3014.8770000339673</v>
      </c>
      <c r="D41" s="330">
        <f t="shared" si="29"/>
        <v>3243.669490140368</v>
      </c>
      <c r="E41" s="330">
        <f t="shared" si="29"/>
        <v>3471.6811706786443</v>
      </c>
      <c r="F41" s="330">
        <f t="shared" si="29"/>
        <v>3741.612790967903</v>
      </c>
      <c r="G41" s="330">
        <f t="shared" si="29"/>
        <v>3853.2105180495842</v>
      </c>
      <c r="H41" s="330">
        <f t="shared" si="29"/>
        <v>3853.9214498272322</v>
      </c>
      <c r="I41" s="330">
        <f t="shared" si="29"/>
        <v>4186.792067524907</v>
      </c>
      <c r="J41" s="330">
        <f t="shared" si="29"/>
        <v>4552.3437365836971</v>
      </c>
      <c r="K41" s="330">
        <f t="shared" si="29"/>
        <v>4751.5859033654178</v>
      </c>
      <c r="L41" s="330">
        <f t="shared" si="29"/>
        <v>4929.1079006496593</v>
      </c>
      <c r="M41" s="330">
        <f t="shared" si="29"/>
        <v>4991.4469262136054</v>
      </c>
      <c r="N41" s="330">
        <f t="shared" si="29"/>
        <v>5085.3321833362597</v>
      </c>
      <c r="O41" s="330">
        <f t="shared" si="29"/>
        <v>5177.7486098929094</v>
      </c>
      <c r="P41" s="330">
        <f t="shared" si="29"/>
        <v>5219.2395275903336</v>
      </c>
      <c r="Q41" s="330">
        <f t="shared" si="29"/>
        <v>5246.7585358925435</v>
      </c>
      <c r="R41" s="330">
        <f t="shared" si="29"/>
        <v>5271.4526666920183</v>
      </c>
      <c r="S41" s="330">
        <f t="shared" si="29"/>
        <v>5277.4184934965624</v>
      </c>
      <c r="T41" s="330">
        <f t="shared" si="29"/>
        <v>5271.2270596556646</v>
      </c>
      <c r="U41" s="330">
        <f t="shared" si="29"/>
        <v>5335.1827287905999</v>
      </c>
      <c r="V41" s="330">
        <f t="shared" si="29"/>
        <v>5397.4802571068785</v>
      </c>
      <c r="W41" s="330">
        <f t="shared" si="29"/>
        <v>5389.9553646321256</v>
      </c>
      <c r="X41" s="330">
        <f t="shared" si="29"/>
        <v>5424.5564502714178</v>
      </c>
      <c r="Y41" s="330">
        <f t="shared" si="29"/>
        <v>5491.2554699764969</v>
      </c>
      <c r="Z41" s="330">
        <f t="shared" si="29"/>
        <v>5559.434420245514</v>
      </c>
      <c r="AA41" s="330">
        <f t="shared" si="29"/>
        <v>5601.003266164058</v>
      </c>
      <c r="AB41" s="343"/>
      <c r="AD41" s="320"/>
      <c r="AE41" s="320"/>
      <c r="AF41" s="321"/>
      <c r="AG41" s="321"/>
      <c r="AH41" s="321"/>
      <c r="AI41" s="321"/>
      <c r="AJ41" s="321"/>
    </row>
    <row r="42" spans="1:51" s="318" customFormat="1" ht="15">
      <c r="A42" s="308"/>
      <c r="B42" s="308"/>
      <c r="C42" s="308"/>
      <c r="D42" s="308"/>
      <c r="E42" s="308"/>
      <c r="F42" s="308"/>
      <c r="G42" s="342">
        <v>0.61374856676036582</v>
      </c>
      <c r="H42" s="342">
        <v>0.62269911656856847</v>
      </c>
      <c r="I42" s="342">
        <v>0.63215114496813529</v>
      </c>
      <c r="J42" s="308"/>
      <c r="K42" s="308"/>
      <c r="L42" s="308"/>
      <c r="M42" s="308"/>
      <c r="N42" s="308"/>
      <c r="O42" s="308"/>
      <c r="P42" s="308"/>
      <c r="Q42" s="308"/>
      <c r="R42" s="308"/>
      <c r="S42" s="308"/>
      <c r="T42" s="308"/>
      <c r="U42" s="308"/>
      <c r="V42" s="308"/>
      <c r="W42" s="308"/>
      <c r="X42" s="308"/>
      <c r="Y42" s="308"/>
      <c r="Z42" s="308"/>
      <c r="AA42" s="308"/>
      <c r="AD42" s="320"/>
      <c r="AE42" s="320"/>
      <c r="AF42" s="321"/>
      <c r="AG42" s="321"/>
      <c r="AH42" s="321"/>
      <c r="AI42" s="321"/>
      <c r="AJ42" s="321"/>
    </row>
    <row r="43" spans="1:51" s="332" customFormat="1" ht="14.25" customHeight="1">
      <c r="A43" s="335" t="s">
        <v>880</v>
      </c>
      <c r="B43" s="335"/>
      <c r="C43" s="335"/>
      <c r="D43" s="335"/>
      <c r="E43" s="335"/>
      <c r="F43" s="335"/>
      <c r="G43" s="335"/>
      <c r="H43" s="335"/>
      <c r="I43" s="335"/>
      <c r="J43" s="335"/>
      <c r="K43" s="335"/>
      <c r="L43" s="335"/>
      <c r="M43" s="335"/>
      <c r="N43" s="335"/>
      <c r="O43" s="335"/>
      <c r="P43" s="335"/>
      <c r="Q43" s="335"/>
      <c r="R43" s="335"/>
      <c r="S43" s="335"/>
      <c r="T43" s="335"/>
      <c r="U43" s="335"/>
      <c r="V43" s="335"/>
      <c r="W43" s="335"/>
      <c r="X43" s="335"/>
      <c r="Y43" s="335"/>
      <c r="Z43" s="335"/>
      <c r="AA43" s="335"/>
      <c r="AD43" s="320"/>
      <c r="AE43" s="320"/>
      <c r="AF43" s="333"/>
      <c r="AG43" s="333"/>
      <c r="AH43" s="333"/>
      <c r="AI43" s="333"/>
      <c r="AJ43" s="333"/>
    </row>
    <row r="44" spans="1:51" s="332" customFormat="1" ht="11.25" customHeight="1">
      <c r="A44" s="341" t="s">
        <v>879</v>
      </c>
      <c r="B44" s="340">
        <v>857.37714900082199</v>
      </c>
      <c r="C44" s="340">
        <v>892.44390875835609</v>
      </c>
      <c r="D44" s="340">
        <v>930.16161402786884</v>
      </c>
      <c r="E44" s="340">
        <v>976.53569537041108</v>
      </c>
      <c r="F44" s="340">
        <v>1038.232850119452</v>
      </c>
      <c r="G44" s="340">
        <v>1162.0065395879453</v>
      </c>
      <c r="H44" s="340">
        <v>1147.3076914909836</v>
      </c>
      <c r="I44" s="340">
        <v>1276.3196828506848</v>
      </c>
      <c r="J44" s="340">
        <v>1490.6479901653929</v>
      </c>
      <c r="K44" s="340">
        <v>1533.191536727883</v>
      </c>
      <c r="L44" s="340">
        <v>1600.7028291543538</v>
      </c>
      <c r="M44" s="340">
        <v>1629.7024087848654</v>
      </c>
      <c r="N44" s="340">
        <v>1637.0334115770497</v>
      </c>
      <c r="O44" s="340">
        <v>1639.7897880382552</v>
      </c>
      <c r="P44" s="340">
        <v>1642.683983322521</v>
      </c>
      <c r="Q44" s="340">
        <v>1644.6053883709999</v>
      </c>
      <c r="R44" s="340">
        <v>1646.6787386719029</v>
      </c>
      <c r="S44" s="339">
        <v>1656.9021840264024</v>
      </c>
      <c r="T44" s="340">
        <v>1666.3186293926592</v>
      </c>
      <c r="U44" s="339">
        <v>1696.2908646227493</v>
      </c>
      <c r="V44" s="339">
        <v>1763.5100490196078</v>
      </c>
      <c r="W44" s="339">
        <v>1811.7316727629411</v>
      </c>
      <c r="X44" s="339">
        <v>1849.7944947893413</v>
      </c>
      <c r="Y44" s="339">
        <v>1889.2892738420023</v>
      </c>
      <c r="Z44" s="339">
        <v>1898.1613196129879</v>
      </c>
      <c r="AA44" s="339">
        <v>1904.0438451605573</v>
      </c>
      <c r="AD44" s="320"/>
      <c r="AE44" s="320"/>
      <c r="AF44" s="333"/>
      <c r="AG44" s="333"/>
      <c r="AH44" s="333"/>
      <c r="AI44" s="333"/>
      <c r="AJ44" s="333"/>
    </row>
    <row r="45" spans="1:51" s="332" customFormat="1">
      <c r="A45" s="338" t="s">
        <v>878</v>
      </c>
      <c r="B45" s="337">
        <v>758.93629875129113</v>
      </c>
      <c r="C45" s="337">
        <v>852.46508664493149</v>
      </c>
      <c r="D45" s="337">
        <v>996.08022050701345</v>
      </c>
      <c r="E45" s="337">
        <v>1108.779378688617</v>
      </c>
      <c r="F45" s="337">
        <v>1266.4924199146301</v>
      </c>
      <c r="G45" s="337">
        <v>1364.8473086126032</v>
      </c>
      <c r="H45" s="337">
        <v>1390.8082166604888</v>
      </c>
      <c r="I45" s="337">
        <v>1546.6262924847674</v>
      </c>
      <c r="J45" s="337">
        <v>1631.9096864010382</v>
      </c>
      <c r="K45" s="337">
        <v>1737.4691022368977</v>
      </c>
      <c r="L45" s="337">
        <v>1805.0144050218055</v>
      </c>
      <c r="M45" s="337">
        <v>1833.3806862800072</v>
      </c>
      <c r="N45" s="337">
        <v>1886.9458870735871</v>
      </c>
      <c r="O45" s="337">
        <v>1940.4086308433148</v>
      </c>
      <c r="P45" s="337">
        <v>1974.1629483243116</v>
      </c>
      <c r="Q45" s="337">
        <v>2020.9261900801675</v>
      </c>
      <c r="R45" s="337">
        <v>2083.486853847633</v>
      </c>
      <c r="S45" s="336">
        <v>2128.3809203614383</v>
      </c>
      <c r="T45" s="337">
        <v>2158.8204321272474</v>
      </c>
      <c r="U45" s="336">
        <v>2224.1172310929601</v>
      </c>
      <c r="V45" s="336">
        <v>2245.2613378962142</v>
      </c>
      <c r="W45" s="336">
        <v>2288.8180444902259</v>
      </c>
      <c r="X45" s="336">
        <v>2316.0572970121098</v>
      </c>
      <c r="Y45" s="336">
        <v>2360.6352402198818</v>
      </c>
      <c r="Z45" s="336">
        <v>2430.8229130758068</v>
      </c>
      <c r="AA45" s="336">
        <v>2480.6921375937545</v>
      </c>
      <c r="AD45" s="320"/>
      <c r="AE45" s="320"/>
      <c r="AF45" s="333"/>
      <c r="AG45" s="333"/>
      <c r="AH45" s="333"/>
      <c r="AI45" s="333"/>
      <c r="AJ45" s="333"/>
    </row>
    <row r="46" spans="1:51" s="332" customFormat="1">
      <c r="A46" s="335" t="s">
        <v>877</v>
      </c>
      <c r="B46" s="334">
        <f t="shared" ref="B46:AA46" si="30">B44+B45</f>
        <v>1616.313447752113</v>
      </c>
      <c r="C46" s="334">
        <f t="shared" si="30"/>
        <v>1744.9089954032875</v>
      </c>
      <c r="D46" s="334">
        <f t="shared" si="30"/>
        <v>1926.2418345348824</v>
      </c>
      <c r="E46" s="334">
        <f t="shared" si="30"/>
        <v>2085.3150740590281</v>
      </c>
      <c r="F46" s="334">
        <f t="shared" si="30"/>
        <v>2304.7252700340823</v>
      </c>
      <c r="G46" s="334">
        <f t="shared" si="30"/>
        <v>2526.8538482005488</v>
      </c>
      <c r="H46" s="334">
        <f t="shared" si="30"/>
        <v>2538.1159081514725</v>
      </c>
      <c r="I46" s="334">
        <f t="shared" si="30"/>
        <v>2822.9459753354522</v>
      </c>
      <c r="J46" s="334">
        <f t="shared" si="30"/>
        <v>3122.5576765664309</v>
      </c>
      <c r="K46" s="334">
        <f t="shared" si="30"/>
        <v>3270.6606389647804</v>
      </c>
      <c r="L46" s="334">
        <f t="shared" si="30"/>
        <v>3405.7172341761593</v>
      </c>
      <c r="M46" s="334">
        <f t="shared" si="30"/>
        <v>3463.0830950648724</v>
      </c>
      <c r="N46" s="334">
        <f t="shared" si="30"/>
        <v>3523.9792986506368</v>
      </c>
      <c r="O46" s="334">
        <f t="shared" si="30"/>
        <v>3580.19841888157</v>
      </c>
      <c r="P46" s="334">
        <f t="shared" si="30"/>
        <v>3616.8469316468327</v>
      </c>
      <c r="Q46" s="334">
        <f t="shared" si="30"/>
        <v>3665.5315784511677</v>
      </c>
      <c r="R46" s="334">
        <f t="shared" si="30"/>
        <v>3730.1655925195359</v>
      </c>
      <c r="S46" s="334">
        <f t="shared" si="30"/>
        <v>3785.2831043878405</v>
      </c>
      <c r="T46" s="334">
        <f t="shared" si="30"/>
        <v>3825.1390615199066</v>
      </c>
      <c r="U46" s="334">
        <f t="shared" si="30"/>
        <v>3920.4080957157094</v>
      </c>
      <c r="V46" s="334">
        <f t="shared" si="30"/>
        <v>4008.7713869158219</v>
      </c>
      <c r="W46" s="334">
        <f t="shared" si="30"/>
        <v>4100.5497172531668</v>
      </c>
      <c r="X46" s="334">
        <f t="shared" si="30"/>
        <v>4165.8517918014513</v>
      </c>
      <c r="Y46" s="334">
        <f t="shared" si="30"/>
        <v>4249.9245140618841</v>
      </c>
      <c r="Z46" s="334">
        <f t="shared" si="30"/>
        <v>4328.9842326887947</v>
      </c>
      <c r="AA46" s="334">
        <f t="shared" si="30"/>
        <v>4384.7359827543114</v>
      </c>
      <c r="AD46" s="320"/>
      <c r="AE46" s="320"/>
      <c r="AF46" s="333"/>
      <c r="AG46" s="333"/>
      <c r="AH46" s="333"/>
      <c r="AI46" s="333"/>
      <c r="AJ46" s="333"/>
    </row>
    <row r="47" spans="1:51" s="318" customFormat="1" ht="15">
      <c r="A47" s="331"/>
      <c r="B47" s="330"/>
      <c r="C47" s="330"/>
      <c r="D47" s="330"/>
      <c r="E47" s="330"/>
      <c r="F47" s="330"/>
      <c r="G47" s="330"/>
      <c r="H47" s="330"/>
      <c r="I47" s="329"/>
      <c r="J47" s="329"/>
      <c r="K47" s="329"/>
      <c r="L47" s="329"/>
      <c r="M47" s="329"/>
      <c r="N47" s="329"/>
      <c r="O47" s="329"/>
      <c r="P47" s="329"/>
      <c r="Q47" s="329"/>
      <c r="R47" s="329"/>
      <c r="S47" s="329"/>
      <c r="T47" s="329"/>
      <c r="U47" s="329"/>
      <c r="V47" s="329"/>
      <c r="W47" s="329"/>
      <c r="X47" s="329"/>
      <c r="Y47" s="329"/>
      <c r="Z47" s="329"/>
      <c r="AA47" s="329"/>
      <c r="AD47" s="320"/>
      <c r="AE47" s="320"/>
      <c r="AF47" s="321"/>
      <c r="AG47" s="321"/>
      <c r="AH47" s="321"/>
      <c r="AI47" s="321"/>
      <c r="AJ47" s="321"/>
    </row>
    <row r="48" spans="1:51" s="318" customFormat="1" ht="16.5" customHeight="1">
      <c r="A48" s="328"/>
      <c r="B48" s="308"/>
      <c r="C48" s="308"/>
      <c r="D48" s="308"/>
      <c r="E48" s="308"/>
      <c r="F48" s="308"/>
      <c r="G48" s="308"/>
      <c r="H48" s="308"/>
      <c r="I48" s="308"/>
      <c r="J48" s="308"/>
      <c r="K48" s="308"/>
      <c r="L48" s="308"/>
      <c r="M48" s="308"/>
      <c r="N48" s="308"/>
      <c r="O48" s="308"/>
      <c r="P48" s="308"/>
      <c r="Q48" s="308"/>
      <c r="R48" s="308"/>
      <c r="S48" s="308"/>
      <c r="T48" s="308"/>
      <c r="U48" s="308"/>
      <c r="V48" s="308"/>
      <c r="W48" s="308"/>
      <c r="X48" s="308"/>
      <c r="Y48" s="308"/>
      <c r="Z48" s="308"/>
      <c r="AA48" s="308"/>
      <c r="AD48" s="320"/>
      <c r="AE48" s="320"/>
      <c r="AF48" s="321"/>
      <c r="AG48" s="321"/>
      <c r="AH48" s="321"/>
      <c r="AI48" s="321"/>
      <c r="AJ48" s="321"/>
    </row>
    <row r="49" spans="1:36" ht="16.25" customHeight="1">
      <c r="A49" s="327" t="s">
        <v>248</v>
      </c>
      <c r="B49" s="326"/>
      <c r="C49" s="326"/>
      <c r="D49" s="326"/>
      <c r="E49" s="326"/>
      <c r="F49" s="326"/>
      <c r="G49" s="326"/>
      <c r="H49" s="326"/>
      <c r="I49" s="326"/>
      <c r="J49" s="326"/>
      <c r="K49" s="326"/>
      <c r="L49" s="326"/>
      <c r="M49" s="326"/>
      <c r="N49" s="326"/>
      <c r="O49" s="326"/>
      <c r="P49" s="326"/>
      <c r="Q49" s="326"/>
      <c r="R49" s="326"/>
      <c r="S49" s="326"/>
      <c r="T49" s="326"/>
      <c r="U49" s="326"/>
      <c r="V49" s="326"/>
      <c r="W49" s="326"/>
      <c r="X49" s="326"/>
      <c r="Y49" s="326"/>
      <c r="Z49" s="326"/>
      <c r="AA49" s="326"/>
      <c r="AD49" s="320"/>
      <c r="AE49" s="320"/>
      <c r="AF49" s="321"/>
      <c r="AG49" s="321"/>
      <c r="AH49" s="321"/>
      <c r="AI49" s="321"/>
      <c r="AJ49" s="321"/>
    </row>
    <row r="50" spans="1:36" ht="16.25" customHeight="1">
      <c r="A50" s="322" t="s">
        <v>876</v>
      </c>
      <c r="B50" s="325"/>
      <c r="C50" s="323"/>
      <c r="D50" s="325"/>
      <c r="E50" s="325"/>
      <c r="F50" s="325"/>
      <c r="G50" s="325"/>
      <c r="H50" s="325"/>
      <c r="I50" s="325"/>
      <c r="J50" s="325"/>
      <c r="K50" s="325"/>
      <c r="L50" s="325"/>
      <c r="M50" s="325"/>
      <c r="N50" s="325"/>
      <c r="O50" s="325"/>
      <c r="P50" s="325"/>
      <c r="Q50" s="325"/>
      <c r="R50" s="323"/>
      <c r="S50" s="323"/>
      <c r="T50" s="323"/>
      <c r="U50" s="323"/>
      <c r="V50" s="325"/>
      <c r="W50" s="325"/>
      <c r="X50" s="325"/>
      <c r="Y50" s="325"/>
      <c r="Z50" s="325"/>
      <c r="AA50" s="325"/>
      <c r="AD50" s="320"/>
      <c r="AE50" s="320"/>
      <c r="AF50" s="321"/>
      <c r="AG50" s="321"/>
      <c r="AH50" s="321"/>
      <c r="AI50" s="321"/>
      <c r="AJ50" s="321"/>
    </row>
    <row r="51" spans="1:36" ht="16.25" customHeight="1">
      <c r="A51" s="322" t="s">
        <v>875</v>
      </c>
      <c r="B51" s="316"/>
      <c r="C51" s="316"/>
      <c r="D51" s="317"/>
      <c r="E51" s="317"/>
      <c r="F51" s="317"/>
      <c r="G51" s="317"/>
      <c r="H51" s="317"/>
      <c r="I51" s="317"/>
      <c r="J51" s="317"/>
      <c r="K51" s="317"/>
      <c r="L51" s="317"/>
      <c r="M51" s="317"/>
      <c r="N51" s="317"/>
      <c r="O51" s="317"/>
      <c r="P51" s="317"/>
      <c r="Q51" s="317"/>
      <c r="R51" s="317"/>
      <c r="S51" s="317"/>
      <c r="T51" s="317"/>
      <c r="U51" s="317"/>
      <c r="V51" s="317"/>
      <c r="W51" s="317"/>
      <c r="X51" s="317"/>
      <c r="Y51" s="317"/>
      <c r="Z51" s="317"/>
      <c r="AA51" s="317"/>
      <c r="AC51" s="321"/>
      <c r="AD51" s="320"/>
      <c r="AE51" s="320"/>
      <c r="AF51" s="321"/>
      <c r="AG51" s="321"/>
      <c r="AH51" s="321"/>
      <c r="AI51" s="321"/>
      <c r="AJ51" s="321"/>
    </row>
    <row r="52" spans="1:36" ht="16.25" customHeight="1">
      <c r="A52" s="322" t="s">
        <v>874</v>
      </c>
      <c r="B52" s="315"/>
      <c r="C52" s="315"/>
      <c r="D52" s="315"/>
      <c r="E52" s="315"/>
      <c r="F52" s="312"/>
      <c r="G52" s="312"/>
      <c r="H52" s="312"/>
      <c r="I52" s="312"/>
      <c r="J52" s="312"/>
      <c r="K52" s="312"/>
      <c r="L52" s="312"/>
      <c r="M52" s="312"/>
      <c r="N52" s="312"/>
      <c r="O52" s="312"/>
      <c r="P52" s="312"/>
      <c r="Q52" s="312"/>
      <c r="R52" s="312"/>
      <c r="S52" s="312"/>
      <c r="T52" s="312"/>
      <c r="U52" s="312"/>
      <c r="V52" s="312"/>
      <c r="W52" s="312"/>
      <c r="X52" s="312"/>
      <c r="Y52" s="312"/>
      <c r="Z52" s="312"/>
      <c r="AA52" s="312"/>
      <c r="AC52" s="321"/>
      <c r="AD52" s="320"/>
      <c r="AE52" s="320"/>
      <c r="AF52" s="321"/>
      <c r="AG52" s="321"/>
      <c r="AH52" s="321"/>
      <c r="AI52" s="321"/>
      <c r="AJ52" s="321"/>
    </row>
    <row r="53" spans="1:36" ht="16.25" customHeight="1">
      <c r="A53" s="322" t="s">
        <v>873</v>
      </c>
      <c r="B53" s="315"/>
      <c r="C53" s="315"/>
      <c r="D53" s="315"/>
      <c r="E53" s="315"/>
      <c r="F53" s="312"/>
      <c r="G53" s="312"/>
      <c r="H53" s="312"/>
      <c r="I53" s="312"/>
      <c r="J53" s="312"/>
      <c r="K53" s="312"/>
      <c r="L53" s="312"/>
      <c r="M53" s="312"/>
      <c r="N53" s="312"/>
      <c r="O53" s="312"/>
      <c r="P53" s="312"/>
      <c r="Q53" s="312"/>
      <c r="R53" s="312"/>
      <c r="S53" s="312"/>
      <c r="T53" s="312"/>
      <c r="U53" s="312"/>
      <c r="V53" s="312"/>
      <c r="W53" s="312"/>
      <c r="X53" s="312"/>
      <c r="Y53" s="312"/>
      <c r="Z53" s="312"/>
      <c r="AA53" s="312"/>
      <c r="AC53" s="321"/>
      <c r="AD53" s="320"/>
      <c r="AE53" s="320"/>
      <c r="AF53" s="321"/>
      <c r="AG53" s="321"/>
      <c r="AH53" s="321"/>
      <c r="AI53" s="321"/>
      <c r="AJ53" s="321"/>
    </row>
    <row r="54" spans="1:36">
      <c r="A54" s="322"/>
      <c r="B54" s="315"/>
      <c r="C54" s="315"/>
      <c r="D54" s="315"/>
      <c r="E54" s="315"/>
      <c r="F54" s="312"/>
      <c r="G54" s="312"/>
      <c r="H54" s="312"/>
      <c r="I54" s="312"/>
      <c r="J54" s="312"/>
      <c r="K54" s="312"/>
      <c r="L54" s="312"/>
      <c r="M54" s="312"/>
      <c r="N54" s="312"/>
      <c r="O54" s="312"/>
      <c r="P54" s="312"/>
      <c r="Q54" s="312"/>
      <c r="R54" s="312"/>
      <c r="S54" s="312"/>
      <c r="T54" s="312"/>
      <c r="U54" s="312"/>
      <c r="V54" s="312"/>
      <c r="W54" s="312"/>
      <c r="X54" s="312"/>
      <c r="Y54" s="312"/>
      <c r="Z54" s="312"/>
      <c r="AA54" s="312"/>
      <c r="AC54" s="321"/>
      <c r="AD54" s="320"/>
      <c r="AE54" s="320"/>
      <c r="AF54" s="321"/>
      <c r="AG54" s="321"/>
      <c r="AH54" s="321"/>
      <c r="AI54" s="321"/>
      <c r="AJ54" s="321"/>
    </row>
    <row r="55" spans="1:36" s="318" customFormat="1" ht="16.5" customHeight="1">
      <c r="A55" s="324"/>
      <c r="B55" s="323"/>
      <c r="C55" s="323"/>
      <c r="D55" s="323"/>
      <c r="E55" s="323"/>
      <c r="F55" s="323"/>
      <c r="G55" s="323"/>
      <c r="H55" s="323"/>
      <c r="I55" s="323"/>
      <c r="J55" s="323"/>
      <c r="K55" s="323"/>
      <c r="L55" s="323"/>
      <c r="M55" s="323"/>
      <c r="N55" s="323"/>
      <c r="O55" s="323"/>
      <c r="P55" s="323"/>
      <c r="Q55" s="323"/>
      <c r="R55" s="323"/>
      <c r="S55" s="323"/>
      <c r="T55" s="323"/>
      <c r="U55" s="323"/>
      <c r="V55" s="323"/>
      <c r="W55" s="323"/>
      <c r="X55" s="323"/>
      <c r="Y55" s="323"/>
      <c r="Z55" s="323"/>
      <c r="AA55" s="323"/>
      <c r="AD55" s="320"/>
      <c r="AE55" s="320"/>
      <c r="AF55" s="321"/>
      <c r="AG55" s="321"/>
      <c r="AH55" s="321"/>
      <c r="AI55" s="321"/>
      <c r="AJ55" s="321"/>
    </row>
    <row r="56" spans="1:36">
      <c r="A56" s="322"/>
      <c r="B56" s="315"/>
      <c r="C56" s="315"/>
      <c r="D56" s="315"/>
      <c r="E56" s="315"/>
      <c r="F56" s="312"/>
      <c r="G56" s="312"/>
      <c r="H56" s="312"/>
      <c r="I56" s="312"/>
      <c r="J56" s="312"/>
      <c r="K56" s="312"/>
      <c r="L56" s="312"/>
      <c r="M56" s="312"/>
      <c r="N56" s="312"/>
      <c r="O56" s="312"/>
      <c r="P56" s="312"/>
      <c r="Q56" s="312"/>
      <c r="R56" s="312"/>
      <c r="S56" s="312"/>
      <c r="T56" s="312"/>
      <c r="U56" s="312"/>
      <c r="V56" s="312"/>
      <c r="W56" s="312"/>
      <c r="X56" s="312"/>
      <c r="Y56" s="312"/>
      <c r="Z56" s="312"/>
      <c r="AA56" s="312"/>
      <c r="AC56" s="321"/>
      <c r="AD56" s="320"/>
      <c r="AE56" s="320"/>
      <c r="AF56" s="321"/>
      <c r="AG56" s="321"/>
      <c r="AH56" s="321"/>
      <c r="AI56" s="321"/>
      <c r="AJ56" s="321"/>
    </row>
    <row r="57" spans="1:36">
      <c r="B57" s="315"/>
      <c r="C57" s="315"/>
      <c r="D57" s="315"/>
      <c r="E57" s="315"/>
      <c r="F57" s="315"/>
      <c r="G57" s="315"/>
      <c r="H57" s="315"/>
      <c r="I57" s="315"/>
      <c r="J57" s="315"/>
      <c r="AD57" s="320"/>
      <c r="AE57" s="320"/>
    </row>
    <row r="58" spans="1:36" ht="15">
      <c r="A58" s="318"/>
      <c r="B58" s="319"/>
      <c r="C58" s="319"/>
      <c r="D58" s="319"/>
      <c r="E58" s="319"/>
      <c r="F58" s="319"/>
      <c r="G58" s="319"/>
      <c r="H58" s="319"/>
      <c r="I58" s="319"/>
      <c r="J58" s="319"/>
      <c r="K58" s="319"/>
      <c r="L58" s="319"/>
      <c r="M58" s="319"/>
      <c r="N58" s="319"/>
      <c r="O58" s="319"/>
      <c r="P58" s="319"/>
      <c r="Q58" s="319"/>
      <c r="R58" s="319"/>
      <c r="S58" s="319"/>
      <c r="T58" s="319"/>
      <c r="U58" s="319"/>
      <c r="V58" s="319"/>
      <c r="W58" s="319"/>
      <c r="X58" s="319"/>
      <c r="Y58" s="319"/>
      <c r="Z58" s="319"/>
      <c r="AA58" s="319"/>
      <c r="AD58" s="308"/>
      <c r="AE58" s="314"/>
    </row>
    <row r="59" spans="1:36" ht="15">
      <c r="B59" s="315"/>
      <c r="C59" s="315"/>
      <c r="D59" s="315"/>
      <c r="E59" s="315"/>
      <c r="F59" s="315"/>
      <c r="G59" s="315"/>
      <c r="H59" s="315"/>
      <c r="I59" s="315"/>
      <c r="J59" s="315"/>
      <c r="K59" s="315"/>
      <c r="L59" s="315"/>
      <c r="M59" s="315"/>
      <c r="N59" s="315"/>
      <c r="O59" s="315"/>
      <c r="P59" s="315"/>
      <c r="Q59" s="315"/>
      <c r="R59" s="315"/>
      <c r="S59" s="315"/>
      <c r="T59" s="315"/>
      <c r="U59" s="315"/>
      <c r="V59" s="315"/>
      <c r="W59" s="315"/>
      <c r="X59" s="315"/>
      <c r="Y59" s="315"/>
      <c r="Z59" s="315"/>
      <c r="AA59" s="315"/>
      <c r="AD59" s="308"/>
      <c r="AE59" s="314"/>
    </row>
    <row r="60" spans="1:36" ht="15">
      <c r="B60" s="315"/>
      <c r="C60" s="315"/>
      <c r="D60" s="315"/>
      <c r="E60" s="315"/>
      <c r="F60" s="315"/>
      <c r="G60" s="315"/>
      <c r="H60" s="315"/>
      <c r="I60" s="315"/>
      <c r="J60" s="315"/>
      <c r="K60" s="315"/>
      <c r="L60" s="315"/>
      <c r="M60" s="315"/>
      <c r="N60" s="315"/>
      <c r="O60" s="315"/>
      <c r="P60" s="315"/>
      <c r="Q60" s="315"/>
      <c r="R60" s="315"/>
      <c r="S60" s="315"/>
      <c r="T60" s="315"/>
      <c r="U60" s="315"/>
      <c r="V60" s="315"/>
      <c r="W60" s="315"/>
      <c r="X60" s="315"/>
      <c r="Y60" s="315"/>
      <c r="Z60" s="315"/>
      <c r="AA60" s="315"/>
      <c r="AD60" s="308"/>
      <c r="AE60" s="314"/>
    </row>
    <row r="61" spans="1:36" ht="15">
      <c r="B61" s="315"/>
      <c r="C61" s="315"/>
      <c r="D61" s="315"/>
      <c r="E61" s="315"/>
      <c r="F61" s="315"/>
      <c r="G61" s="315"/>
      <c r="H61" s="315"/>
      <c r="I61" s="315"/>
      <c r="J61" s="315"/>
      <c r="K61" s="315"/>
      <c r="L61" s="315"/>
      <c r="M61" s="315"/>
      <c r="N61" s="315"/>
      <c r="O61" s="315"/>
      <c r="P61" s="315"/>
      <c r="Q61" s="315"/>
      <c r="R61" s="315"/>
      <c r="S61" s="315"/>
      <c r="T61" s="315"/>
      <c r="U61" s="315"/>
      <c r="V61" s="315"/>
      <c r="W61" s="315"/>
      <c r="X61" s="315"/>
      <c r="Y61" s="315"/>
      <c r="Z61" s="315"/>
      <c r="AA61" s="315"/>
      <c r="AD61" s="308"/>
      <c r="AE61" s="314"/>
    </row>
    <row r="62" spans="1:36" ht="15">
      <c r="B62" s="315"/>
      <c r="C62" s="315"/>
      <c r="D62" s="315"/>
      <c r="E62" s="315"/>
      <c r="F62" s="315"/>
      <c r="G62" s="315"/>
      <c r="H62" s="315"/>
      <c r="I62" s="315"/>
      <c r="J62" s="315"/>
      <c r="AD62" s="308"/>
      <c r="AE62" s="314"/>
    </row>
    <row r="63" spans="1:36" ht="15">
      <c r="A63" s="318"/>
      <c r="B63" s="319"/>
      <c r="C63" s="319"/>
      <c r="D63" s="319"/>
      <c r="E63" s="319"/>
      <c r="F63" s="319"/>
      <c r="G63" s="319"/>
      <c r="H63" s="319"/>
      <c r="I63" s="319"/>
      <c r="J63" s="319"/>
      <c r="K63" s="319"/>
      <c r="L63" s="319"/>
      <c r="M63" s="319"/>
      <c r="N63" s="319"/>
      <c r="O63" s="319"/>
      <c r="P63" s="319"/>
      <c r="Q63" s="319"/>
      <c r="R63" s="319"/>
      <c r="S63" s="319"/>
      <c r="T63" s="319"/>
      <c r="U63" s="319"/>
      <c r="V63" s="319"/>
      <c r="W63" s="319"/>
      <c r="X63" s="319"/>
      <c r="Y63" s="319"/>
      <c r="Z63" s="319"/>
      <c r="AA63" s="319"/>
      <c r="AD63" s="308"/>
      <c r="AE63" s="314"/>
    </row>
    <row r="64" spans="1:36" ht="15">
      <c r="B64" s="315"/>
      <c r="C64" s="315"/>
      <c r="D64" s="315"/>
      <c r="E64" s="315"/>
      <c r="F64" s="315"/>
      <c r="G64" s="315"/>
      <c r="H64" s="315"/>
      <c r="I64" s="315"/>
      <c r="J64" s="315"/>
      <c r="K64" s="315"/>
      <c r="L64" s="315"/>
      <c r="M64" s="315"/>
      <c r="N64" s="315"/>
      <c r="O64" s="315"/>
      <c r="P64" s="315"/>
      <c r="Q64" s="315"/>
      <c r="R64" s="315"/>
      <c r="S64" s="315"/>
      <c r="T64" s="315"/>
      <c r="U64" s="315"/>
      <c r="V64" s="315"/>
      <c r="W64" s="315"/>
      <c r="X64" s="315"/>
      <c r="Y64" s="315"/>
      <c r="Z64" s="315"/>
      <c r="AA64" s="315"/>
      <c r="AD64" s="308"/>
      <c r="AE64" s="314"/>
    </row>
    <row r="65" spans="1:32" ht="15">
      <c r="B65" s="315"/>
      <c r="C65" s="315"/>
      <c r="D65" s="315"/>
      <c r="E65" s="315"/>
      <c r="F65" s="315"/>
      <c r="G65" s="315"/>
      <c r="H65" s="315"/>
      <c r="I65" s="315"/>
      <c r="J65" s="315"/>
      <c r="K65" s="315"/>
      <c r="L65" s="315"/>
      <c r="M65" s="315"/>
      <c r="N65" s="315"/>
      <c r="O65" s="315"/>
      <c r="P65" s="315"/>
      <c r="Q65" s="315"/>
      <c r="R65" s="315"/>
      <c r="S65" s="315"/>
      <c r="T65" s="315"/>
      <c r="U65" s="315"/>
      <c r="V65" s="315"/>
      <c r="W65" s="315"/>
      <c r="X65" s="315"/>
      <c r="Y65" s="315"/>
      <c r="Z65" s="315"/>
      <c r="AA65" s="315"/>
      <c r="AD65" s="308"/>
      <c r="AE65" s="314"/>
    </row>
    <row r="66" spans="1:32" ht="15">
      <c r="B66" s="315"/>
      <c r="C66" s="315"/>
      <c r="D66" s="315"/>
      <c r="E66" s="315"/>
      <c r="F66" s="315"/>
      <c r="G66" s="315"/>
      <c r="H66" s="315"/>
      <c r="I66" s="315"/>
      <c r="J66" s="315"/>
      <c r="K66" s="315"/>
      <c r="L66" s="315"/>
      <c r="M66" s="315"/>
      <c r="N66" s="315"/>
      <c r="O66" s="315"/>
      <c r="P66" s="315"/>
      <c r="Q66" s="315"/>
      <c r="R66" s="315"/>
      <c r="S66" s="315"/>
      <c r="T66" s="315"/>
      <c r="U66" s="315"/>
      <c r="V66" s="315"/>
      <c r="W66" s="315"/>
      <c r="X66" s="315"/>
      <c r="Y66" s="315"/>
      <c r="Z66" s="315"/>
      <c r="AA66" s="315"/>
      <c r="AD66" s="308"/>
      <c r="AE66" s="314"/>
    </row>
    <row r="67" spans="1:32" ht="15">
      <c r="G67" s="315"/>
      <c r="H67" s="315"/>
      <c r="I67" s="315"/>
      <c r="J67" s="315"/>
      <c r="K67" s="315"/>
      <c r="L67" s="315"/>
      <c r="M67" s="315"/>
      <c r="N67" s="315"/>
      <c r="O67" s="315"/>
      <c r="P67" s="315"/>
      <c r="Q67" s="315"/>
      <c r="R67" s="315"/>
      <c r="S67" s="315"/>
      <c r="T67" s="315"/>
      <c r="U67" s="315"/>
      <c r="V67" s="315"/>
      <c r="W67" s="315"/>
      <c r="X67" s="315"/>
      <c r="Y67" s="315"/>
      <c r="Z67" s="315"/>
      <c r="AA67" s="315"/>
      <c r="AD67" s="308"/>
      <c r="AE67" s="314"/>
    </row>
    <row r="68" spans="1:32" ht="15">
      <c r="A68" s="318"/>
      <c r="B68" s="315"/>
      <c r="C68" s="315"/>
      <c r="D68" s="315"/>
      <c r="E68" s="315"/>
      <c r="F68" s="315"/>
      <c r="G68" s="315"/>
      <c r="H68" s="315"/>
      <c r="I68" s="315"/>
      <c r="J68" s="315"/>
      <c r="K68" s="315"/>
      <c r="L68" s="315"/>
      <c r="M68" s="315"/>
      <c r="N68" s="315"/>
      <c r="O68" s="315"/>
      <c r="P68" s="315"/>
      <c r="Q68" s="315"/>
      <c r="R68" s="315"/>
      <c r="S68" s="315"/>
      <c r="T68" s="315"/>
      <c r="U68" s="315"/>
      <c r="V68" s="315"/>
      <c r="W68" s="315"/>
      <c r="X68" s="315"/>
      <c r="Y68" s="315"/>
      <c r="Z68" s="315"/>
      <c r="AA68" s="315"/>
      <c r="AD68" s="308"/>
      <c r="AE68" s="314"/>
    </row>
    <row r="69" spans="1:32" ht="15">
      <c r="B69" s="317"/>
      <c r="C69" s="317"/>
      <c r="D69" s="317"/>
      <c r="E69" s="317"/>
      <c r="F69" s="317"/>
      <c r="G69" s="317"/>
      <c r="H69" s="317"/>
      <c r="I69" s="317"/>
      <c r="J69" s="317"/>
      <c r="K69" s="317"/>
      <c r="L69" s="317"/>
      <c r="M69" s="317"/>
      <c r="N69" s="317"/>
      <c r="O69" s="317"/>
      <c r="P69" s="317"/>
      <c r="Q69" s="317"/>
      <c r="R69" s="317"/>
      <c r="S69" s="317"/>
      <c r="T69" s="317"/>
      <c r="U69" s="317"/>
      <c r="V69" s="317"/>
      <c r="W69" s="317"/>
      <c r="X69" s="317"/>
      <c r="Y69" s="317"/>
      <c r="Z69" s="317"/>
      <c r="AA69" s="317"/>
      <c r="AD69" s="308"/>
      <c r="AE69" s="314"/>
    </row>
    <row r="70" spans="1:32" ht="15">
      <c r="B70" s="317"/>
      <c r="C70" s="317"/>
      <c r="D70" s="317"/>
      <c r="E70" s="317"/>
      <c r="F70" s="317"/>
      <c r="G70" s="317"/>
      <c r="H70" s="317"/>
      <c r="I70" s="317"/>
      <c r="J70" s="317"/>
      <c r="K70" s="317"/>
      <c r="L70" s="317"/>
      <c r="M70" s="317"/>
      <c r="N70" s="317"/>
      <c r="O70" s="317"/>
      <c r="P70" s="317"/>
      <c r="Q70" s="317"/>
      <c r="R70" s="317"/>
      <c r="S70" s="317"/>
      <c r="T70" s="317"/>
      <c r="U70" s="317"/>
      <c r="V70" s="317"/>
      <c r="W70" s="317"/>
      <c r="X70" s="317"/>
      <c r="Y70" s="317"/>
      <c r="Z70" s="317"/>
      <c r="AA70" s="317"/>
      <c r="AD70" s="308"/>
      <c r="AE70" s="314"/>
    </row>
    <row r="71" spans="1:32" ht="15">
      <c r="B71" s="316"/>
      <c r="C71" s="316"/>
      <c r="D71" s="316"/>
      <c r="E71" s="316"/>
      <c r="F71" s="316"/>
      <c r="G71" s="316"/>
      <c r="H71" s="316"/>
      <c r="I71" s="316"/>
      <c r="J71" s="316"/>
      <c r="K71" s="316"/>
      <c r="L71" s="316"/>
      <c r="M71" s="316"/>
      <c r="N71" s="316"/>
      <c r="O71" s="316"/>
      <c r="P71" s="316"/>
      <c r="Q71" s="316"/>
      <c r="R71" s="316"/>
      <c r="S71" s="316"/>
      <c r="T71" s="316"/>
      <c r="U71" s="316"/>
      <c r="V71" s="316"/>
      <c r="W71" s="316"/>
      <c r="X71" s="316"/>
      <c r="Y71" s="316"/>
      <c r="Z71" s="316"/>
      <c r="AA71" s="316"/>
      <c r="AD71" s="308"/>
      <c r="AE71" s="314"/>
    </row>
    <row r="72" spans="1:32" ht="15">
      <c r="H72" s="313"/>
      <c r="I72" s="315"/>
      <c r="J72" s="315"/>
      <c r="K72" s="315"/>
      <c r="L72" s="315"/>
      <c r="M72" s="315"/>
      <c r="N72" s="315"/>
      <c r="O72" s="315"/>
      <c r="P72" s="315"/>
      <c r="Q72" s="315"/>
      <c r="R72" s="315"/>
      <c r="S72" s="315"/>
      <c r="T72" s="315"/>
      <c r="U72" s="315"/>
      <c r="V72" s="315"/>
      <c r="W72" s="315"/>
      <c r="X72" s="312"/>
      <c r="Y72" s="315"/>
      <c r="Z72" s="315"/>
      <c r="AA72" s="315"/>
      <c r="AD72" s="308"/>
      <c r="AE72" s="314"/>
      <c r="AF72" s="315"/>
    </row>
    <row r="73" spans="1:32" ht="15">
      <c r="H73" s="313"/>
      <c r="I73" s="315"/>
      <c r="J73" s="315"/>
      <c r="K73" s="315"/>
      <c r="L73" s="315"/>
      <c r="M73" s="315"/>
      <c r="N73" s="315"/>
      <c r="O73" s="315"/>
      <c r="P73" s="315"/>
      <c r="Q73" s="315"/>
      <c r="R73" s="315"/>
      <c r="S73" s="315"/>
      <c r="T73" s="315"/>
      <c r="U73" s="315"/>
      <c r="V73" s="315"/>
      <c r="W73" s="315"/>
      <c r="X73" s="312"/>
      <c r="Y73" s="315"/>
      <c r="Z73" s="315"/>
      <c r="AA73" s="315"/>
      <c r="AD73" s="308"/>
      <c r="AE73" s="314"/>
      <c r="AF73" s="315"/>
    </row>
    <row r="74" spans="1:32" ht="15">
      <c r="H74" s="313"/>
      <c r="I74" s="315"/>
      <c r="J74" s="315"/>
      <c r="K74" s="315"/>
      <c r="L74" s="315"/>
      <c r="M74" s="315"/>
      <c r="N74" s="315"/>
      <c r="O74" s="315"/>
      <c r="P74" s="315"/>
      <c r="Q74" s="315"/>
      <c r="R74" s="315"/>
      <c r="S74" s="315"/>
      <c r="T74" s="315"/>
      <c r="U74" s="315"/>
      <c r="V74" s="315"/>
      <c r="W74" s="315"/>
      <c r="X74" s="312"/>
      <c r="Y74" s="315"/>
      <c r="Z74" s="315"/>
      <c r="AA74" s="315"/>
      <c r="AD74" s="308"/>
      <c r="AE74" s="314"/>
      <c r="AF74" s="315"/>
    </row>
    <row r="75" spans="1:32" ht="15">
      <c r="H75" s="313"/>
      <c r="X75" s="312"/>
      <c r="AD75" s="308"/>
      <c r="AE75" s="314"/>
    </row>
    <row r="76" spans="1:32" ht="15">
      <c r="H76" s="313"/>
      <c r="X76" s="312"/>
      <c r="AD76" s="308"/>
      <c r="AE76" s="314"/>
    </row>
    <row r="77" spans="1:32" ht="15">
      <c r="H77" s="313"/>
      <c r="X77" s="312"/>
      <c r="AD77" s="308"/>
      <c r="AE77" s="314"/>
    </row>
    <row r="78" spans="1:32">
      <c r="H78" s="313"/>
      <c r="X78" s="312"/>
      <c r="AE78" s="314"/>
    </row>
    <row r="79" spans="1:32">
      <c r="H79" s="313"/>
      <c r="X79" s="312"/>
    </row>
    <row r="80" spans="1:32">
      <c r="H80" s="313"/>
      <c r="X80" s="312"/>
    </row>
    <row r="81" spans="8:24">
      <c r="H81" s="313"/>
      <c r="X81" s="312"/>
    </row>
    <row r="82" spans="8:24">
      <c r="H82" s="313"/>
      <c r="X82" s="312"/>
    </row>
    <row r="83" spans="8:24">
      <c r="H83" s="313"/>
      <c r="X83" s="312"/>
    </row>
    <row r="84" spans="8:24">
      <c r="X84" s="312"/>
    </row>
    <row r="85" spans="8:24">
      <c r="X85" s="312"/>
    </row>
    <row r="86" spans="8:24">
      <c r="X86" s="312"/>
    </row>
    <row r="87" spans="8:24">
      <c r="X87" s="312"/>
    </row>
    <row r="88" spans="8:24">
      <c r="X88" s="312"/>
    </row>
    <row r="89" spans="8:24">
      <c r="X89" s="312"/>
    </row>
    <row r="90" spans="8:24">
      <c r="X90" s="312"/>
    </row>
    <row r="91" spans="8:24">
      <c r="X91" s="312"/>
    </row>
    <row r="92" spans="8:24">
      <c r="X92" s="312"/>
    </row>
    <row r="93" spans="8:24">
      <c r="X93" s="312"/>
    </row>
    <row r="94" spans="8:24">
      <c r="X94" s="312"/>
    </row>
    <row r="95" spans="8:24">
      <c r="X95" s="312"/>
    </row>
    <row r="96" spans="8:24">
      <c r="X96" s="312"/>
    </row>
    <row r="97" spans="24:24">
      <c r="X97" s="312"/>
    </row>
  </sheetData>
  <pageMargins left="0.7" right="0.7" top="0.75" bottom="0.75" header="0.3" footer="0.3"/>
  <drawing r:id="rId1"/>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5" tint="0.79998168889431442"/>
    <pageSetUpPr fitToPage="1"/>
  </sheetPr>
  <dimension ref="A1:G61"/>
  <sheetViews>
    <sheetView showGridLines="0" workbookViewId="0">
      <selection activeCell="E16" sqref="E16"/>
    </sheetView>
  </sheetViews>
  <sheetFormatPr baseColWidth="10" defaultColWidth="8" defaultRowHeight="12" customHeight="1"/>
  <cols>
    <col min="1" max="1" width="47.6640625" style="113" customWidth="1"/>
    <col min="2" max="4" width="27.6640625" style="113" customWidth="1"/>
    <col min="5" max="7" width="28" style="113" customWidth="1"/>
    <col min="8" max="16384" width="8" style="113"/>
  </cols>
  <sheetData>
    <row r="1" spans="1:7" ht="15.75" customHeight="1">
      <c r="A1" s="102" t="s">
        <v>528</v>
      </c>
      <c r="B1" s="101"/>
      <c r="C1" s="101"/>
      <c r="D1" s="101"/>
      <c r="E1" s="101"/>
      <c r="F1" s="100"/>
      <c r="G1" s="100" t="s">
        <v>506</v>
      </c>
    </row>
    <row r="2" spans="1:7" ht="15.75" customHeight="1">
      <c r="A2" s="102" t="s">
        <v>529</v>
      </c>
      <c r="B2" s="101"/>
      <c r="C2" s="101"/>
      <c r="D2" s="101"/>
      <c r="E2" s="101"/>
      <c r="F2" s="100"/>
      <c r="G2" s="100" t="s">
        <v>507</v>
      </c>
    </row>
    <row r="3" spans="1:7">
      <c r="A3" s="101"/>
      <c r="B3" s="101"/>
      <c r="C3" s="101"/>
      <c r="D3" s="101"/>
      <c r="E3" s="101"/>
      <c r="F3" s="100"/>
      <c r="G3" s="100" t="s">
        <v>508</v>
      </c>
    </row>
    <row r="4" spans="1:7">
      <c r="A4" s="101"/>
      <c r="B4" s="101"/>
      <c r="C4" s="101"/>
      <c r="D4" s="101"/>
      <c r="E4" s="101"/>
      <c r="F4" s="114"/>
      <c r="G4" s="101"/>
    </row>
    <row r="5" spans="1:7" ht="13.5" customHeight="1">
      <c r="A5" s="115" t="s">
        <v>530</v>
      </c>
      <c r="B5" s="116" t="s">
        <v>512</v>
      </c>
      <c r="C5" s="108" t="s">
        <v>513</v>
      </c>
      <c r="D5" s="108" t="s">
        <v>514</v>
      </c>
      <c r="E5" s="108" t="s">
        <v>515</v>
      </c>
      <c r="F5" s="117" t="s">
        <v>155</v>
      </c>
      <c r="G5" s="117" t="s">
        <v>516</v>
      </c>
    </row>
    <row r="6" spans="1:7" ht="12.75" customHeight="1" thickBot="1">
      <c r="A6" s="118" t="s">
        <v>531</v>
      </c>
      <c r="B6" s="587" t="s">
        <v>518</v>
      </c>
      <c r="C6" s="587"/>
      <c r="D6" s="587"/>
      <c r="E6" s="587"/>
      <c r="F6" s="587"/>
      <c r="G6" s="588"/>
    </row>
    <row r="7" spans="1:7" ht="13.5" customHeight="1" thickTop="1">
      <c r="A7" s="119" t="s">
        <v>532</v>
      </c>
      <c r="B7" s="70">
        <v>2676.3514213340663</v>
      </c>
      <c r="C7" s="70">
        <v>1152.0011488860691</v>
      </c>
      <c r="D7" s="70">
        <v>92.232408364803064</v>
      </c>
      <c r="E7" s="70" t="s">
        <v>533</v>
      </c>
      <c r="F7" s="70" t="s">
        <v>533</v>
      </c>
      <c r="G7" s="70" t="s">
        <v>534</v>
      </c>
    </row>
    <row r="8" spans="1:7" ht="13.5" customHeight="1">
      <c r="A8" s="110" t="s">
        <v>535</v>
      </c>
      <c r="B8" s="106" t="s">
        <v>1</v>
      </c>
      <c r="C8" s="70">
        <v>1150.322948846537</v>
      </c>
      <c r="D8" s="70">
        <v>15.98512185365742</v>
      </c>
      <c r="E8" s="106" t="s">
        <v>1</v>
      </c>
      <c r="F8" s="106" t="s">
        <v>1</v>
      </c>
      <c r="G8" s="70" t="s">
        <v>510</v>
      </c>
    </row>
    <row r="9" spans="1:7" ht="12" customHeight="1">
      <c r="A9" s="110" t="s">
        <v>536</v>
      </c>
      <c r="B9" s="106" t="s">
        <v>1</v>
      </c>
      <c r="C9" s="70">
        <v>1000.1831604917951</v>
      </c>
      <c r="D9" s="106" t="s">
        <v>1</v>
      </c>
      <c r="E9" s="106" t="s">
        <v>1</v>
      </c>
      <c r="F9" s="106" t="s">
        <v>1</v>
      </c>
      <c r="G9" s="106" t="s">
        <v>1</v>
      </c>
    </row>
    <row r="10" spans="1:7" ht="13.5" customHeight="1">
      <c r="A10" s="99" t="s">
        <v>537</v>
      </c>
      <c r="B10" s="106" t="s">
        <v>1</v>
      </c>
      <c r="C10" s="70">
        <v>956.15747149179504</v>
      </c>
      <c r="D10" s="106" t="s">
        <v>1</v>
      </c>
      <c r="E10" s="106" t="s">
        <v>1</v>
      </c>
      <c r="F10" s="106" t="s">
        <v>1</v>
      </c>
      <c r="G10" s="106" t="s">
        <v>1</v>
      </c>
    </row>
    <row r="11" spans="1:7" ht="12" customHeight="1">
      <c r="A11" s="120" t="s">
        <v>538</v>
      </c>
      <c r="B11" s="106" t="s">
        <v>1</v>
      </c>
      <c r="C11" s="106" t="s">
        <v>1</v>
      </c>
      <c r="D11" s="106" t="s">
        <v>1</v>
      </c>
      <c r="E11" s="106" t="s">
        <v>1</v>
      </c>
      <c r="F11" s="106" t="s">
        <v>1</v>
      </c>
      <c r="G11" s="106" t="s">
        <v>1</v>
      </c>
    </row>
    <row r="12" spans="1:7" ht="12" customHeight="1">
      <c r="A12" s="121" t="s">
        <v>539</v>
      </c>
      <c r="B12" s="106" t="s">
        <v>1</v>
      </c>
      <c r="C12" s="70">
        <v>147.49847105453381</v>
      </c>
      <c r="D12" s="106" t="s">
        <v>1</v>
      </c>
      <c r="E12" s="106" t="s">
        <v>1</v>
      </c>
      <c r="F12" s="106" t="s">
        <v>1</v>
      </c>
      <c r="G12" s="106" t="s">
        <v>1</v>
      </c>
    </row>
    <row r="13" spans="1:7" ht="12" customHeight="1">
      <c r="A13" s="121" t="s">
        <v>540</v>
      </c>
      <c r="B13" s="106" t="s">
        <v>1</v>
      </c>
      <c r="C13" s="70">
        <v>808.65900043726128</v>
      </c>
      <c r="D13" s="106" t="s">
        <v>1</v>
      </c>
      <c r="E13" s="106" t="s">
        <v>1</v>
      </c>
      <c r="F13" s="106" t="s">
        <v>1</v>
      </c>
      <c r="G13" s="106" t="s">
        <v>1</v>
      </c>
    </row>
    <row r="14" spans="1:7" ht="12" customHeight="1">
      <c r="A14" s="120" t="s">
        <v>541</v>
      </c>
      <c r="B14" s="106" t="s">
        <v>1</v>
      </c>
      <c r="C14" s="106" t="s">
        <v>1</v>
      </c>
      <c r="D14" s="106" t="s">
        <v>1</v>
      </c>
      <c r="E14" s="106" t="s">
        <v>1</v>
      </c>
      <c r="F14" s="106" t="s">
        <v>1</v>
      </c>
      <c r="G14" s="106" t="s">
        <v>1</v>
      </c>
    </row>
    <row r="15" spans="1:7" ht="12" customHeight="1">
      <c r="A15" s="121" t="s">
        <v>542</v>
      </c>
      <c r="B15" s="106" t="s">
        <v>1</v>
      </c>
      <c r="C15" s="70" t="s">
        <v>1</v>
      </c>
      <c r="D15" s="106" t="s">
        <v>1</v>
      </c>
      <c r="E15" s="106" t="s">
        <v>1</v>
      </c>
      <c r="F15" s="106" t="s">
        <v>1</v>
      </c>
      <c r="G15" s="106" t="s">
        <v>1</v>
      </c>
    </row>
    <row r="16" spans="1:7" ht="12" customHeight="1">
      <c r="A16" s="121" t="s">
        <v>543</v>
      </c>
      <c r="B16" s="106" t="s">
        <v>1</v>
      </c>
      <c r="C16" s="70" t="s">
        <v>1</v>
      </c>
      <c r="D16" s="106" t="s">
        <v>1</v>
      </c>
      <c r="E16" s="106" t="s">
        <v>1</v>
      </c>
      <c r="F16" s="106" t="s">
        <v>1</v>
      </c>
      <c r="G16" s="106" t="s">
        <v>1</v>
      </c>
    </row>
    <row r="17" spans="1:7" ht="12" customHeight="1">
      <c r="A17" s="121" t="s">
        <v>544</v>
      </c>
      <c r="B17" s="106" t="s">
        <v>1</v>
      </c>
      <c r="C17" s="70" t="s">
        <v>1</v>
      </c>
      <c r="D17" s="106" t="s">
        <v>1</v>
      </c>
      <c r="E17" s="106" t="s">
        <v>1</v>
      </c>
      <c r="F17" s="106" t="s">
        <v>1</v>
      </c>
      <c r="G17" s="106" t="s">
        <v>1</v>
      </c>
    </row>
    <row r="18" spans="1:7" ht="12" customHeight="1">
      <c r="A18" s="120" t="s">
        <v>545</v>
      </c>
      <c r="B18" s="106" t="s">
        <v>1</v>
      </c>
      <c r="C18" s="106" t="s">
        <v>1</v>
      </c>
      <c r="D18" s="106" t="s">
        <v>1</v>
      </c>
      <c r="E18" s="106" t="s">
        <v>1</v>
      </c>
      <c r="F18" s="106" t="s">
        <v>1</v>
      </c>
      <c r="G18" s="106" t="s">
        <v>1</v>
      </c>
    </row>
    <row r="19" spans="1:7" ht="12" customHeight="1">
      <c r="A19" s="121" t="s">
        <v>546</v>
      </c>
      <c r="B19" s="106" t="s">
        <v>1</v>
      </c>
      <c r="C19" s="70" t="s">
        <v>1</v>
      </c>
      <c r="D19" s="106" t="s">
        <v>1</v>
      </c>
      <c r="E19" s="106" t="s">
        <v>1</v>
      </c>
      <c r="F19" s="106" t="s">
        <v>1</v>
      </c>
      <c r="G19" s="106" t="s">
        <v>1</v>
      </c>
    </row>
    <row r="20" spans="1:7" ht="12" customHeight="1">
      <c r="A20" s="99" t="s">
        <v>547</v>
      </c>
      <c r="B20" s="106" t="s">
        <v>1</v>
      </c>
      <c r="C20" s="70">
        <v>7.6715999999999998</v>
      </c>
      <c r="D20" s="106" t="s">
        <v>1</v>
      </c>
      <c r="E20" s="106" t="s">
        <v>1</v>
      </c>
      <c r="F20" s="106" t="s">
        <v>1</v>
      </c>
      <c r="G20" s="106" t="s">
        <v>1</v>
      </c>
    </row>
    <row r="21" spans="1:7" ht="12" customHeight="1">
      <c r="A21" s="99" t="s">
        <v>548</v>
      </c>
      <c r="B21" s="106" t="s">
        <v>1</v>
      </c>
      <c r="C21" s="70">
        <v>19.86375</v>
      </c>
      <c r="D21" s="106" t="s">
        <v>1</v>
      </c>
      <c r="E21" s="106" t="s">
        <v>1</v>
      </c>
      <c r="F21" s="106" t="s">
        <v>1</v>
      </c>
      <c r="G21" s="106" t="s">
        <v>1</v>
      </c>
    </row>
    <row r="22" spans="1:7" ht="12" customHeight="1">
      <c r="A22" s="99" t="s">
        <v>549</v>
      </c>
      <c r="B22" s="106" t="s">
        <v>1</v>
      </c>
      <c r="C22" s="70">
        <v>16.490338999999999</v>
      </c>
      <c r="D22" s="106" t="s">
        <v>1</v>
      </c>
      <c r="E22" s="106" t="s">
        <v>1</v>
      </c>
      <c r="F22" s="106" t="s">
        <v>1</v>
      </c>
      <c r="G22" s="106" t="s">
        <v>1</v>
      </c>
    </row>
    <row r="23" spans="1:7" ht="12.75" customHeight="1">
      <c r="A23" s="122" t="s">
        <v>550</v>
      </c>
      <c r="B23" s="106" t="s">
        <v>1</v>
      </c>
      <c r="C23" s="70">
        <v>6.8828100000000001</v>
      </c>
      <c r="D23" s="106"/>
      <c r="E23" s="106" t="s">
        <v>1</v>
      </c>
      <c r="F23" s="106" t="s">
        <v>1</v>
      </c>
      <c r="G23" s="106"/>
    </row>
    <row r="24" spans="1:7">
      <c r="A24" s="122" t="s">
        <v>551</v>
      </c>
      <c r="B24" s="106" t="s">
        <v>1</v>
      </c>
      <c r="C24" s="70">
        <v>0.25199199999999999</v>
      </c>
      <c r="D24" s="106"/>
      <c r="E24" s="106" t="s">
        <v>1</v>
      </c>
      <c r="F24" s="106" t="s">
        <v>1</v>
      </c>
      <c r="G24" s="106"/>
    </row>
    <row r="25" spans="1:7">
      <c r="A25" s="122" t="s">
        <v>552</v>
      </c>
      <c r="B25" s="106" t="s">
        <v>1</v>
      </c>
      <c r="C25" s="70">
        <v>1.0410200000000001</v>
      </c>
      <c r="D25" s="106"/>
      <c r="E25" s="106" t="s">
        <v>1</v>
      </c>
      <c r="F25" s="106" t="s">
        <v>1</v>
      </c>
      <c r="G25" s="106"/>
    </row>
    <row r="26" spans="1:7">
      <c r="A26" s="122" t="s">
        <v>67</v>
      </c>
      <c r="B26" s="106" t="s">
        <v>1</v>
      </c>
      <c r="C26" s="70">
        <v>1.127305</v>
      </c>
      <c r="D26" s="106"/>
      <c r="E26" s="106" t="s">
        <v>1</v>
      </c>
      <c r="F26" s="106" t="s">
        <v>1</v>
      </c>
      <c r="G26" s="106"/>
    </row>
    <row r="27" spans="1:7">
      <c r="A27" s="122" t="s">
        <v>68</v>
      </c>
      <c r="B27" s="106" t="s">
        <v>1</v>
      </c>
      <c r="C27" s="70">
        <v>7.0621200000000002</v>
      </c>
      <c r="D27" s="106"/>
      <c r="E27" s="106" t="s">
        <v>1</v>
      </c>
      <c r="F27" s="106" t="s">
        <v>1</v>
      </c>
      <c r="G27" s="106"/>
    </row>
    <row r="28" spans="1:7">
      <c r="A28" s="122" t="s">
        <v>553</v>
      </c>
      <c r="B28" s="106" t="s">
        <v>1</v>
      </c>
      <c r="C28" s="70">
        <v>0.11040999999999999</v>
      </c>
      <c r="D28" s="106"/>
      <c r="E28" s="106" t="s">
        <v>1</v>
      </c>
      <c r="F28" s="106" t="s">
        <v>1</v>
      </c>
      <c r="G28" s="106"/>
    </row>
    <row r="29" spans="1:7">
      <c r="A29" s="122" t="s">
        <v>73</v>
      </c>
      <c r="B29" s="106" t="s">
        <v>1</v>
      </c>
      <c r="C29" s="70" t="s">
        <v>178</v>
      </c>
      <c r="D29" s="106"/>
      <c r="E29" s="106" t="s">
        <v>1</v>
      </c>
      <c r="F29" s="106" t="s">
        <v>1</v>
      </c>
      <c r="G29" s="106"/>
    </row>
    <row r="30" spans="1:7" ht="12" customHeight="1">
      <c r="A30" s="123" t="s">
        <v>554</v>
      </c>
      <c r="B30" s="106" t="s">
        <v>1</v>
      </c>
      <c r="C30" s="70">
        <v>1.4682000000000001E-2</v>
      </c>
      <c r="D30" s="106" t="s">
        <v>1</v>
      </c>
      <c r="E30" s="106" t="s">
        <v>1</v>
      </c>
      <c r="F30" s="106" t="s">
        <v>1</v>
      </c>
      <c r="G30" s="106" t="s">
        <v>1</v>
      </c>
    </row>
    <row r="31" spans="1:7" ht="13.5" customHeight="1">
      <c r="A31" s="124" t="s">
        <v>555</v>
      </c>
      <c r="B31" s="106" t="s">
        <v>1</v>
      </c>
      <c r="C31" s="70" t="s">
        <v>178</v>
      </c>
      <c r="D31" s="106"/>
      <c r="E31" s="106" t="s">
        <v>1</v>
      </c>
      <c r="F31" s="106" t="s">
        <v>1</v>
      </c>
      <c r="G31" s="106"/>
    </row>
    <row r="32" spans="1:7">
      <c r="A32" s="124" t="s">
        <v>556</v>
      </c>
      <c r="B32" s="106" t="s">
        <v>1</v>
      </c>
      <c r="C32" s="70" t="s">
        <v>178</v>
      </c>
      <c r="D32" s="106"/>
      <c r="E32" s="106" t="s">
        <v>1</v>
      </c>
      <c r="F32" s="106" t="s">
        <v>1</v>
      </c>
      <c r="G32" s="106"/>
    </row>
    <row r="33" spans="1:7">
      <c r="A33" s="124" t="s">
        <v>36</v>
      </c>
      <c r="B33" s="106" t="s">
        <v>1</v>
      </c>
      <c r="C33" s="70">
        <v>1.4682000000000001E-2</v>
      </c>
      <c r="D33" s="106"/>
      <c r="E33" s="106" t="s">
        <v>1</v>
      </c>
      <c r="F33" s="106" t="s">
        <v>1</v>
      </c>
      <c r="G33" s="106"/>
    </row>
    <row r="34" spans="1:7" ht="12" customHeight="1">
      <c r="A34" s="110" t="s">
        <v>557</v>
      </c>
      <c r="B34" s="106" t="s">
        <v>1</v>
      </c>
      <c r="C34" s="70">
        <v>150.13978835474182</v>
      </c>
      <c r="D34" s="70">
        <v>15.98512185365742</v>
      </c>
      <c r="E34" s="106" t="s">
        <v>1</v>
      </c>
      <c r="F34" s="106" t="s">
        <v>1</v>
      </c>
      <c r="G34" s="70" t="s">
        <v>510</v>
      </c>
    </row>
    <row r="35" spans="1:7" ht="12" customHeight="1">
      <c r="A35" s="125" t="s">
        <v>558</v>
      </c>
      <c r="B35" s="106" t="s">
        <v>1</v>
      </c>
      <c r="C35" s="70">
        <v>72.548762551460541</v>
      </c>
      <c r="D35" s="70">
        <v>9.3286166907576398</v>
      </c>
      <c r="E35" s="106" t="s">
        <v>1</v>
      </c>
      <c r="F35" s="106" t="s">
        <v>1</v>
      </c>
      <c r="G35" s="70" t="s">
        <v>510</v>
      </c>
    </row>
    <row r="36" spans="1:7" ht="12" customHeight="1">
      <c r="A36" s="120" t="s">
        <v>538</v>
      </c>
      <c r="B36" s="106" t="s">
        <v>1</v>
      </c>
      <c r="C36" s="106" t="s">
        <v>1</v>
      </c>
      <c r="D36" s="106" t="s">
        <v>1</v>
      </c>
      <c r="E36" s="106" t="s">
        <v>1</v>
      </c>
      <c r="F36" s="106" t="s">
        <v>1</v>
      </c>
      <c r="G36" s="106" t="s">
        <v>1</v>
      </c>
    </row>
    <row r="37" spans="1:7" ht="12" customHeight="1">
      <c r="A37" s="121" t="s">
        <v>539</v>
      </c>
      <c r="B37" s="106" t="s">
        <v>1</v>
      </c>
      <c r="C37" s="70">
        <v>33.521790075208308</v>
      </c>
      <c r="D37" s="70">
        <v>1.26498358516302</v>
      </c>
      <c r="E37" s="106" t="s">
        <v>1</v>
      </c>
      <c r="F37" s="106" t="s">
        <v>1</v>
      </c>
      <c r="G37" s="69" t="s">
        <v>510</v>
      </c>
    </row>
    <row r="38" spans="1:7" ht="12" customHeight="1">
      <c r="A38" s="121" t="s">
        <v>540</v>
      </c>
      <c r="B38" s="106" t="s">
        <v>1</v>
      </c>
      <c r="C38" s="70">
        <v>39.026972476252233</v>
      </c>
      <c r="D38" s="70">
        <v>8.0636331055946204</v>
      </c>
      <c r="E38" s="106" t="s">
        <v>1</v>
      </c>
      <c r="F38" s="106" t="s">
        <v>1</v>
      </c>
      <c r="G38" s="69" t="s">
        <v>510</v>
      </c>
    </row>
    <row r="39" spans="1:7" ht="12" customHeight="1">
      <c r="A39" s="120" t="s">
        <v>541</v>
      </c>
      <c r="B39" s="106" t="s">
        <v>1</v>
      </c>
      <c r="C39" s="106" t="s">
        <v>1</v>
      </c>
      <c r="D39" s="106" t="s">
        <v>1</v>
      </c>
      <c r="E39" s="106" t="s">
        <v>1</v>
      </c>
      <c r="F39" s="106" t="s">
        <v>1</v>
      </c>
      <c r="G39" s="106" t="s">
        <v>1</v>
      </c>
    </row>
    <row r="40" spans="1:7" ht="12" customHeight="1">
      <c r="A40" s="121" t="s">
        <v>542</v>
      </c>
      <c r="B40" s="106" t="s">
        <v>1</v>
      </c>
      <c r="C40" s="70" t="s">
        <v>1</v>
      </c>
      <c r="D40" s="70" t="s">
        <v>1</v>
      </c>
      <c r="E40" s="106" t="s">
        <v>1</v>
      </c>
      <c r="F40" s="106" t="s">
        <v>1</v>
      </c>
      <c r="G40" s="69" t="s">
        <v>1</v>
      </c>
    </row>
    <row r="41" spans="1:7" ht="12" customHeight="1">
      <c r="A41" s="121" t="s">
        <v>543</v>
      </c>
      <c r="B41" s="106" t="s">
        <v>1</v>
      </c>
      <c r="C41" s="70" t="s">
        <v>1</v>
      </c>
      <c r="D41" s="70" t="s">
        <v>1</v>
      </c>
      <c r="E41" s="106" t="s">
        <v>1</v>
      </c>
      <c r="F41" s="106" t="s">
        <v>1</v>
      </c>
      <c r="G41" s="69" t="s">
        <v>1</v>
      </c>
    </row>
    <row r="42" spans="1:7" ht="12" customHeight="1">
      <c r="A42" s="121" t="s">
        <v>544</v>
      </c>
      <c r="B42" s="106" t="s">
        <v>1</v>
      </c>
      <c r="C42" s="70" t="s">
        <v>1</v>
      </c>
      <c r="D42" s="70" t="s">
        <v>1</v>
      </c>
      <c r="E42" s="106" t="s">
        <v>1</v>
      </c>
      <c r="F42" s="106" t="s">
        <v>1</v>
      </c>
      <c r="G42" s="69" t="s">
        <v>1</v>
      </c>
    </row>
    <row r="43" spans="1:7" ht="12" customHeight="1">
      <c r="A43" s="120" t="s">
        <v>545</v>
      </c>
      <c r="B43" s="106" t="s">
        <v>1</v>
      </c>
      <c r="C43" s="106" t="s">
        <v>1</v>
      </c>
      <c r="D43" s="106" t="s">
        <v>1</v>
      </c>
      <c r="E43" s="106" t="s">
        <v>1</v>
      </c>
      <c r="F43" s="106" t="s">
        <v>1</v>
      </c>
      <c r="G43" s="106" t="s">
        <v>1</v>
      </c>
    </row>
    <row r="44" spans="1:7" ht="12" customHeight="1">
      <c r="A44" s="121" t="s">
        <v>559</v>
      </c>
      <c r="B44" s="106" t="s">
        <v>1</v>
      </c>
      <c r="C44" s="70" t="s">
        <v>1</v>
      </c>
      <c r="D44" s="70" t="s">
        <v>1</v>
      </c>
      <c r="E44" s="106" t="s">
        <v>1</v>
      </c>
      <c r="F44" s="106" t="s">
        <v>1</v>
      </c>
      <c r="G44" s="69" t="s">
        <v>1</v>
      </c>
    </row>
    <row r="45" spans="1:7" ht="12" customHeight="1">
      <c r="A45" s="99" t="s">
        <v>547</v>
      </c>
      <c r="B45" s="106" t="s">
        <v>1</v>
      </c>
      <c r="C45" s="70">
        <v>0.27536735496975001</v>
      </c>
      <c r="D45" s="70">
        <v>4.4073032731200001E-2</v>
      </c>
      <c r="E45" s="106" t="s">
        <v>1</v>
      </c>
      <c r="F45" s="106" t="s">
        <v>1</v>
      </c>
      <c r="G45" s="69" t="s">
        <v>510</v>
      </c>
    </row>
    <row r="46" spans="1:7" ht="12" customHeight="1">
      <c r="A46" s="99" t="s">
        <v>548</v>
      </c>
      <c r="B46" s="106" t="s">
        <v>1</v>
      </c>
      <c r="C46" s="70">
        <v>67.785625613240242</v>
      </c>
      <c r="D46" s="70">
        <v>0.38891002188433998</v>
      </c>
      <c r="E46" s="106" t="s">
        <v>1</v>
      </c>
      <c r="F46" s="106" t="s">
        <v>1</v>
      </c>
      <c r="G46" s="69" t="s">
        <v>510</v>
      </c>
    </row>
    <row r="47" spans="1:7" ht="12" customHeight="1">
      <c r="A47" s="99" t="s">
        <v>549</v>
      </c>
      <c r="B47" s="106" t="s">
        <v>1</v>
      </c>
      <c r="C47" s="70">
        <v>9.5300328350712906</v>
      </c>
      <c r="D47" s="70">
        <v>2.3962946603245801</v>
      </c>
      <c r="E47" s="106" t="s">
        <v>1</v>
      </c>
      <c r="F47" s="106" t="s">
        <v>1</v>
      </c>
      <c r="G47" s="70" t="s">
        <v>510</v>
      </c>
    </row>
    <row r="48" spans="1:7" ht="12" customHeight="1">
      <c r="A48" s="122" t="s">
        <v>550</v>
      </c>
      <c r="B48" s="106" t="s">
        <v>1</v>
      </c>
      <c r="C48" s="70">
        <v>0.26981715854554</v>
      </c>
      <c r="D48" s="70">
        <v>0.12312039229662</v>
      </c>
      <c r="E48" s="106" t="s">
        <v>1</v>
      </c>
      <c r="F48" s="106" t="s">
        <v>1</v>
      </c>
      <c r="G48" s="69" t="s">
        <v>510</v>
      </c>
    </row>
    <row r="49" spans="1:7">
      <c r="A49" s="122" t="s">
        <v>551</v>
      </c>
      <c r="B49" s="106" t="s">
        <v>1</v>
      </c>
      <c r="C49" s="70">
        <v>1.042242064447E-2</v>
      </c>
      <c r="D49" s="70">
        <v>3.82521238809E-3</v>
      </c>
      <c r="E49" s="106" t="s">
        <v>1</v>
      </c>
      <c r="F49" s="106" t="s">
        <v>1</v>
      </c>
      <c r="G49" s="69" t="s">
        <v>510</v>
      </c>
    </row>
    <row r="50" spans="1:7">
      <c r="A50" s="122" t="s">
        <v>552</v>
      </c>
      <c r="B50" s="106" t="s">
        <v>1</v>
      </c>
      <c r="C50" s="70">
        <v>1.145122E-2</v>
      </c>
      <c r="D50" s="70">
        <v>1.116350446719E-2</v>
      </c>
      <c r="E50" s="106" t="s">
        <v>1</v>
      </c>
      <c r="F50" s="106" t="s">
        <v>1</v>
      </c>
      <c r="G50" s="69" t="s">
        <v>510</v>
      </c>
    </row>
    <row r="51" spans="1:7">
      <c r="A51" s="122" t="s">
        <v>67</v>
      </c>
      <c r="B51" s="106" t="s">
        <v>1</v>
      </c>
      <c r="C51" s="70">
        <v>7.121869823858E-2</v>
      </c>
      <c r="D51" s="70">
        <v>3.1461313141029998E-2</v>
      </c>
      <c r="E51" s="106" t="s">
        <v>1</v>
      </c>
      <c r="F51" s="106" t="s">
        <v>1</v>
      </c>
      <c r="G51" s="69" t="s">
        <v>510</v>
      </c>
    </row>
    <row r="52" spans="1:7">
      <c r="A52" s="122" t="s">
        <v>68</v>
      </c>
      <c r="B52" s="106" t="s">
        <v>1</v>
      </c>
      <c r="C52" s="70">
        <v>1.02206951366717</v>
      </c>
      <c r="D52" s="70">
        <v>0.19341760749956999</v>
      </c>
      <c r="E52" s="106" t="s">
        <v>1</v>
      </c>
      <c r="F52" s="106" t="s">
        <v>1</v>
      </c>
      <c r="G52" s="69" t="s">
        <v>510</v>
      </c>
    </row>
    <row r="53" spans="1:7">
      <c r="A53" s="122" t="s">
        <v>553</v>
      </c>
      <c r="B53" s="106" t="s">
        <v>1</v>
      </c>
      <c r="C53" s="70">
        <v>8.3911599999999999E-3</v>
      </c>
      <c r="D53" s="70">
        <v>2.8854565495299998E-3</v>
      </c>
      <c r="E53" s="106" t="s">
        <v>1</v>
      </c>
      <c r="F53" s="106" t="s">
        <v>1</v>
      </c>
      <c r="G53" s="69" t="s">
        <v>510</v>
      </c>
    </row>
    <row r="54" spans="1:7">
      <c r="A54" s="122" t="s">
        <v>73</v>
      </c>
      <c r="B54" s="106" t="s">
        <v>1</v>
      </c>
      <c r="C54" s="70">
        <v>7.5445662170921599</v>
      </c>
      <c r="D54" s="70">
        <v>1.89461976052826</v>
      </c>
      <c r="E54" s="106" t="s">
        <v>1</v>
      </c>
      <c r="F54" s="106" t="s">
        <v>1</v>
      </c>
      <c r="G54" s="69" t="s">
        <v>510</v>
      </c>
    </row>
    <row r="55" spans="1:7" ht="12" customHeight="1">
      <c r="A55" s="123" t="s">
        <v>554</v>
      </c>
      <c r="B55" s="106" t="s">
        <v>1</v>
      </c>
      <c r="C55" s="70">
        <v>0.59209644688337004</v>
      </c>
      <c r="D55" s="70">
        <v>0.13580141345429</v>
      </c>
      <c r="E55" s="106" t="s">
        <v>1</v>
      </c>
      <c r="F55" s="106" t="s">
        <v>1</v>
      </c>
      <c r="G55" s="70" t="s">
        <v>510</v>
      </c>
    </row>
    <row r="56" spans="1:7">
      <c r="A56" s="124" t="s">
        <v>555</v>
      </c>
      <c r="B56" s="106" t="s">
        <v>1</v>
      </c>
      <c r="C56" s="70">
        <v>1.92360688337E-3</v>
      </c>
      <c r="D56" s="70">
        <v>6.1344922714399999E-3</v>
      </c>
      <c r="E56" s="106" t="s">
        <v>1</v>
      </c>
      <c r="F56" s="106" t="s">
        <v>1</v>
      </c>
      <c r="G56" s="69" t="s">
        <v>510</v>
      </c>
    </row>
    <row r="57" spans="1:7">
      <c r="A57" s="124" t="s">
        <v>556</v>
      </c>
      <c r="B57" s="106" t="s">
        <v>1</v>
      </c>
      <c r="C57" s="70">
        <v>0.58890039999999999</v>
      </c>
      <c r="D57" s="70">
        <v>0.12624230972570999</v>
      </c>
      <c r="E57" s="106" t="s">
        <v>1</v>
      </c>
      <c r="F57" s="106" t="s">
        <v>1</v>
      </c>
      <c r="G57" s="69" t="s">
        <v>510</v>
      </c>
    </row>
    <row r="58" spans="1:7">
      <c r="A58" s="124" t="s">
        <v>36</v>
      </c>
      <c r="B58" s="106" t="s">
        <v>1</v>
      </c>
      <c r="C58" s="70">
        <v>1.2724399999999999E-3</v>
      </c>
      <c r="D58" s="70">
        <v>3.42461145714E-3</v>
      </c>
      <c r="E58" s="106" t="s">
        <v>1</v>
      </c>
      <c r="F58" s="106" t="s">
        <v>1</v>
      </c>
      <c r="G58" s="69" t="s">
        <v>510</v>
      </c>
    </row>
    <row r="59" spans="1:7" ht="14.25" customHeight="1">
      <c r="A59" s="99" t="s">
        <v>560</v>
      </c>
      <c r="B59" s="106" t="s">
        <v>1</v>
      </c>
      <c r="C59" s="106" t="s">
        <v>1</v>
      </c>
      <c r="D59" s="70">
        <v>3.8272274479596602</v>
      </c>
      <c r="E59" s="106" t="s">
        <v>1</v>
      </c>
      <c r="F59" s="106" t="s">
        <v>1</v>
      </c>
      <c r="G59" s="106" t="s">
        <v>1</v>
      </c>
    </row>
    <row r="60" spans="1:7" ht="12" customHeight="1">
      <c r="A60" s="111"/>
      <c r="B60" s="111"/>
      <c r="C60" s="111"/>
      <c r="D60" s="111"/>
      <c r="E60" s="111"/>
      <c r="F60" s="111"/>
      <c r="G60" s="101"/>
    </row>
    <row r="61" spans="1:7" ht="12" customHeight="1">
      <c r="A61" s="126" t="s">
        <v>561</v>
      </c>
      <c r="B61" s="127"/>
      <c r="C61" s="127"/>
      <c r="D61" s="127"/>
      <c r="E61" s="127"/>
      <c r="F61" s="127"/>
      <c r="G61" s="101"/>
    </row>
  </sheetData>
  <mergeCells count="1">
    <mergeCell ref="B6:G6"/>
  </mergeCells>
  <dataValidations count="1">
    <dataValidation allowBlank="1" showInputMessage="1" showErrorMessage="1" sqref="C48:G65518 A48:B1048576 H1:IV1048576" xr:uid="{00000000-0002-0000-20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headerFooter alignWithMargins="0"/>
  <legacyDrawing r:id="rId1"/>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5" tint="0.79998168889431442"/>
  </sheetPr>
  <dimension ref="A1:L50"/>
  <sheetViews>
    <sheetView workbookViewId="0">
      <selection activeCell="E32" sqref="A1:L50"/>
    </sheetView>
  </sheetViews>
  <sheetFormatPr baseColWidth="10" defaultColWidth="8.6640625" defaultRowHeight="15"/>
  <cols>
    <col min="1" max="1" width="27.1640625" bestFit="1" customWidth="1"/>
    <col min="3" max="3" width="31.6640625" customWidth="1"/>
    <col min="12" max="12" width="31.6640625" customWidth="1"/>
  </cols>
  <sheetData>
    <row r="1" spans="1:12">
      <c r="A1" t="s">
        <v>478</v>
      </c>
      <c r="B1" t="s">
        <v>479</v>
      </c>
      <c r="C1" t="s">
        <v>480</v>
      </c>
      <c r="D1" t="s">
        <v>481</v>
      </c>
      <c r="E1" t="s">
        <v>476</v>
      </c>
      <c r="F1" t="s">
        <v>477</v>
      </c>
      <c r="G1">
        <v>1060.36371688701</v>
      </c>
      <c r="L1" t="s">
        <v>480</v>
      </c>
    </row>
    <row r="2" spans="1:12">
      <c r="A2" t="s">
        <v>478</v>
      </c>
      <c r="B2" t="s">
        <v>479</v>
      </c>
      <c r="C2" t="s">
        <v>480</v>
      </c>
      <c r="D2" t="s">
        <v>481</v>
      </c>
      <c r="E2" t="s">
        <v>476</v>
      </c>
      <c r="F2" t="s">
        <v>482</v>
      </c>
      <c r="G2">
        <v>1106.2568267854199</v>
      </c>
      <c r="L2" t="s">
        <v>491</v>
      </c>
    </row>
    <row r="3" spans="1:12">
      <c r="A3" t="s">
        <v>478</v>
      </c>
      <c r="B3" t="s">
        <v>479</v>
      </c>
      <c r="C3" t="s">
        <v>480</v>
      </c>
      <c r="D3" t="s">
        <v>481</v>
      </c>
      <c r="E3" t="s">
        <v>476</v>
      </c>
      <c r="F3" t="s">
        <v>483</v>
      </c>
      <c r="G3">
        <v>1158.34500969788</v>
      </c>
      <c r="L3" t="s">
        <v>492</v>
      </c>
    </row>
    <row r="4" spans="1:12">
      <c r="A4" t="s">
        <v>478</v>
      </c>
      <c r="B4" t="s">
        <v>479</v>
      </c>
      <c r="C4" t="s">
        <v>480</v>
      </c>
      <c r="D4" t="s">
        <v>481</v>
      </c>
      <c r="E4" t="s">
        <v>476</v>
      </c>
      <c r="F4" t="s">
        <v>484</v>
      </c>
      <c r="G4">
        <v>1216.20745356512</v>
      </c>
      <c r="L4" t="s">
        <v>493</v>
      </c>
    </row>
    <row r="5" spans="1:12">
      <c r="A5" t="s">
        <v>478</v>
      </c>
      <c r="B5" t="s">
        <v>479</v>
      </c>
      <c r="C5" t="s">
        <v>480</v>
      </c>
      <c r="D5" t="s">
        <v>481</v>
      </c>
      <c r="E5" t="s">
        <v>476</v>
      </c>
      <c r="F5" t="s">
        <v>485</v>
      </c>
      <c r="G5">
        <v>1273.0151579471799</v>
      </c>
      <c r="L5" t="s">
        <v>494</v>
      </c>
    </row>
    <row r="6" spans="1:12">
      <c r="A6" t="s">
        <v>478</v>
      </c>
      <c r="B6" t="s">
        <v>479</v>
      </c>
      <c r="C6" t="s">
        <v>480</v>
      </c>
      <c r="D6" t="s">
        <v>481</v>
      </c>
      <c r="E6" t="s">
        <v>476</v>
      </c>
      <c r="F6" t="s">
        <v>486</v>
      </c>
      <c r="G6">
        <v>1327.4912538113001</v>
      </c>
    </row>
    <row r="7" spans="1:12">
      <c r="A7" t="s">
        <v>478</v>
      </c>
      <c r="B7" t="s">
        <v>479</v>
      </c>
      <c r="C7" t="s">
        <v>480</v>
      </c>
      <c r="D7" t="s">
        <v>481</v>
      </c>
      <c r="E7" t="s">
        <v>476</v>
      </c>
      <c r="F7" t="s">
        <v>487</v>
      </c>
      <c r="G7">
        <v>1379.57619007469</v>
      </c>
    </row>
    <row r="8" spans="1:12">
      <c r="A8" t="s">
        <v>478</v>
      </c>
      <c r="B8" t="s">
        <v>479</v>
      </c>
      <c r="C8" t="s">
        <v>480</v>
      </c>
      <c r="D8" t="s">
        <v>481</v>
      </c>
      <c r="E8" t="s">
        <v>476</v>
      </c>
      <c r="F8" t="s">
        <v>488</v>
      </c>
      <c r="G8">
        <v>1430.33857484595</v>
      </c>
    </row>
    <row r="9" spans="1:12">
      <c r="A9" t="s">
        <v>478</v>
      </c>
      <c r="B9" t="s">
        <v>479</v>
      </c>
      <c r="C9" t="s">
        <v>480</v>
      </c>
      <c r="D9" t="s">
        <v>481</v>
      </c>
      <c r="E9" t="s">
        <v>476</v>
      </c>
      <c r="F9" t="s">
        <v>489</v>
      </c>
      <c r="G9">
        <v>1484.76635425021</v>
      </c>
    </row>
    <row r="10" spans="1:12">
      <c r="A10" t="s">
        <v>478</v>
      </c>
      <c r="B10" t="s">
        <v>479</v>
      </c>
      <c r="C10" t="s">
        <v>480</v>
      </c>
      <c r="D10" t="s">
        <v>481</v>
      </c>
      <c r="E10" t="s">
        <v>476</v>
      </c>
      <c r="F10" t="s">
        <v>490</v>
      </c>
      <c r="G10">
        <v>1540.42230718219</v>
      </c>
    </row>
    <row r="11" spans="1:12">
      <c r="A11" t="s">
        <v>478</v>
      </c>
      <c r="B11" t="s">
        <v>479</v>
      </c>
      <c r="C11" t="s">
        <v>491</v>
      </c>
      <c r="D11" t="s">
        <v>481</v>
      </c>
      <c r="E11" t="s">
        <v>476</v>
      </c>
      <c r="F11" t="s">
        <v>477</v>
      </c>
      <c r="G11">
        <v>1006.96029857462</v>
      </c>
    </row>
    <row r="12" spans="1:12">
      <c r="A12" t="s">
        <v>478</v>
      </c>
      <c r="B12" t="s">
        <v>479</v>
      </c>
      <c r="C12" t="s">
        <v>491</v>
      </c>
      <c r="D12" t="s">
        <v>481</v>
      </c>
      <c r="E12" t="s">
        <v>476</v>
      </c>
      <c r="F12" t="s">
        <v>482</v>
      </c>
      <c r="G12">
        <v>1040.4766471647799</v>
      </c>
    </row>
    <row r="13" spans="1:12">
      <c r="A13" t="s">
        <v>478</v>
      </c>
      <c r="B13" t="s">
        <v>479</v>
      </c>
      <c r="C13" t="s">
        <v>491</v>
      </c>
      <c r="D13" t="s">
        <v>481</v>
      </c>
      <c r="E13" t="s">
        <v>476</v>
      </c>
      <c r="F13" t="s">
        <v>483</v>
      </c>
      <c r="G13">
        <v>1071.1082417175501</v>
      </c>
    </row>
    <row r="14" spans="1:12">
      <c r="A14" t="s">
        <v>478</v>
      </c>
      <c r="B14" t="s">
        <v>479</v>
      </c>
      <c r="C14" t="s">
        <v>491</v>
      </c>
      <c r="D14" t="s">
        <v>481</v>
      </c>
      <c r="E14" t="s">
        <v>476</v>
      </c>
      <c r="F14" t="s">
        <v>484</v>
      </c>
      <c r="G14">
        <v>1105.2063219532499</v>
      </c>
    </row>
    <row r="15" spans="1:12">
      <c r="A15" t="s">
        <v>478</v>
      </c>
      <c r="B15" t="s">
        <v>479</v>
      </c>
      <c r="C15" t="s">
        <v>491</v>
      </c>
      <c r="D15" t="s">
        <v>481</v>
      </c>
      <c r="E15" t="s">
        <v>476</v>
      </c>
      <c r="F15" t="s">
        <v>485</v>
      </c>
      <c r="G15">
        <v>1141.1176170599001</v>
      </c>
    </row>
    <row r="16" spans="1:12">
      <c r="A16" t="s">
        <v>478</v>
      </c>
      <c r="B16" t="s">
        <v>479</v>
      </c>
      <c r="C16" t="s">
        <v>491</v>
      </c>
      <c r="D16" t="s">
        <v>481</v>
      </c>
      <c r="E16" t="s">
        <v>476</v>
      </c>
      <c r="F16" t="s">
        <v>486</v>
      </c>
      <c r="G16">
        <v>1174.67145032196</v>
      </c>
    </row>
    <row r="17" spans="1:7">
      <c r="A17" t="s">
        <v>478</v>
      </c>
      <c r="B17" t="s">
        <v>479</v>
      </c>
      <c r="C17" t="s">
        <v>491</v>
      </c>
      <c r="D17" t="s">
        <v>481</v>
      </c>
      <c r="E17" t="s">
        <v>476</v>
      </c>
      <c r="F17" t="s">
        <v>487</v>
      </c>
      <c r="G17">
        <v>1205.2910721691201</v>
      </c>
    </row>
    <row r="18" spans="1:7">
      <c r="A18" t="s">
        <v>478</v>
      </c>
      <c r="B18" t="s">
        <v>479</v>
      </c>
      <c r="C18" t="s">
        <v>491</v>
      </c>
      <c r="D18" t="s">
        <v>481</v>
      </c>
      <c r="E18" t="s">
        <v>476</v>
      </c>
      <c r="F18" t="s">
        <v>488</v>
      </c>
      <c r="G18">
        <v>1236.0068341374799</v>
      </c>
    </row>
    <row r="19" spans="1:7">
      <c r="A19" t="s">
        <v>478</v>
      </c>
      <c r="B19" t="s">
        <v>479</v>
      </c>
      <c r="C19" t="s">
        <v>491</v>
      </c>
      <c r="D19" t="s">
        <v>481</v>
      </c>
      <c r="E19" t="s">
        <v>476</v>
      </c>
      <c r="F19" t="s">
        <v>489</v>
      </c>
      <c r="G19">
        <v>1269.6205077198299</v>
      </c>
    </row>
    <row r="20" spans="1:7">
      <c r="A20" t="s">
        <v>478</v>
      </c>
      <c r="B20" t="s">
        <v>479</v>
      </c>
      <c r="C20" t="s">
        <v>491</v>
      </c>
      <c r="D20" t="s">
        <v>481</v>
      </c>
      <c r="E20" t="s">
        <v>476</v>
      </c>
      <c r="F20" t="s">
        <v>490</v>
      </c>
      <c r="G20">
        <v>1306.70785688861</v>
      </c>
    </row>
    <row r="21" spans="1:7">
      <c r="A21" t="s">
        <v>478</v>
      </c>
      <c r="B21" t="s">
        <v>479</v>
      </c>
      <c r="C21" t="s">
        <v>492</v>
      </c>
      <c r="D21" t="s">
        <v>481</v>
      </c>
      <c r="E21" t="s">
        <v>476</v>
      </c>
      <c r="F21" t="s">
        <v>477</v>
      </c>
      <c r="G21">
        <v>36.657667159648703</v>
      </c>
    </row>
    <row r="22" spans="1:7">
      <c r="A22" t="s">
        <v>478</v>
      </c>
      <c r="B22" t="s">
        <v>479</v>
      </c>
      <c r="C22" t="s">
        <v>492</v>
      </c>
      <c r="D22" t="s">
        <v>481</v>
      </c>
      <c r="E22" t="s">
        <v>476</v>
      </c>
      <c r="F22" t="s">
        <v>482</v>
      </c>
      <c r="G22">
        <v>36.831299896191503</v>
      </c>
    </row>
    <row r="23" spans="1:7">
      <c r="A23" t="s">
        <v>478</v>
      </c>
      <c r="B23" t="s">
        <v>479</v>
      </c>
      <c r="C23" t="s">
        <v>492</v>
      </c>
      <c r="D23" t="s">
        <v>481</v>
      </c>
      <c r="E23" t="s">
        <v>476</v>
      </c>
      <c r="F23" t="s">
        <v>483</v>
      </c>
      <c r="G23">
        <v>38.092333928899102</v>
      </c>
    </row>
    <row r="24" spans="1:7">
      <c r="A24" t="s">
        <v>478</v>
      </c>
      <c r="B24" t="s">
        <v>479</v>
      </c>
      <c r="C24" t="s">
        <v>492</v>
      </c>
      <c r="D24" t="s">
        <v>481</v>
      </c>
      <c r="E24" t="s">
        <v>476</v>
      </c>
      <c r="F24" t="s">
        <v>484</v>
      </c>
      <c r="G24">
        <v>39.913243386660596</v>
      </c>
    </row>
    <row r="25" spans="1:7">
      <c r="A25" t="s">
        <v>478</v>
      </c>
      <c r="B25" t="s">
        <v>479</v>
      </c>
      <c r="C25" t="s">
        <v>492</v>
      </c>
      <c r="D25" t="s">
        <v>481</v>
      </c>
      <c r="E25" t="s">
        <v>476</v>
      </c>
      <c r="F25" t="s">
        <v>485</v>
      </c>
      <c r="G25">
        <v>41.924811114632902</v>
      </c>
    </row>
    <row r="26" spans="1:7">
      <c r="A26" t="s">
        <v>478</v>
      </c>
      <c r="B26" t="s">
        <v>479</v>
      </c>
      <c r="C26" t="s">
        <v>492</v>
      </c>
      <c r="D26" t="s">
        <v>481</v>
      </c>
      <c r="E26" t="s">
        <v>476</v>
      </c>
      <c r="F26" t="s">
        <v>486</v>
      </c>
      <c r="G26">
        <v>44.129443715854499</v>
      </c>
    </row>
    <row r="27" spans="1:7">
      <c r="A27" t="s">
        <v>478</v>
      </c>
      <c r="B27" t="s">
        <v>479</v>
      </c>
      <c r="C27" t="s">
        <v>492</v>
      </c>
      <c r="D27" t="s">
        <v>481</v>
      </c>
      <c r="E27" t="s">
        <v>476</v>
      </c>
      <c r="F27" t="s">
        <v>487</v>
      </c>
      <c r="G27">
        <v>46.505171984532403</v>
      </c>
    </row>
    <row r="28" spans="1:7">
      <c r="A28" t="s">
        <v>478</v>
      </c>
      <c r="B28" t="s">
        <v>479</v>
      </c>
      <c r="C28" t="s">
        <v>492</v>
      </c>
      <c r="D28" t="s">
        <v>481</v>
      </c>
      <c r="E28" t="s">
        <v>476</v>
      </c>
      <c r="F28" t="s">
        <v>488</v>
      </c>
      <c r="G28">
        <v>49.092121842306803</v>
      </c>
    </row>
    <row r="29" spans="1:7">
      <c r="A29" t="s">
        <v>478</v>
      </c>
      <c r="B29" t="s">
        <v>479</v>
      </c>
      <c r="C29" t="s">
        <v>492</v>
      </c>
      <c r="D29" t="s">
        <v>481</v>
      </c>
      <c r="E29" t="s">
        <v>476</v>
      </c>
      <c r="F29" t="s">
        <v>489</v>
      </c>
      <c r="G29">
        <v>52.006039110236998</v>
      </c>
    </row>
    <row r="30" spans="1:7">
      <c r="A30" t="s">
        <v>478</v>
      </c>
      <c r="B30" t="s">
        <v>479</v>
      </c>
      <c r="C30" t="s">
        <v>492</v>
      </c>
      <c r="D30" t="s">
        <v>481</v>
      </c>
      <c r="E30" t="s">
        <v>476</v>
      </c>
      <c r="F30" t="s">
        <v>490</v>
      </c>
      <c r="G30">
        <v>55.232044965780297</v>
      </c>
    </row>
    <row r="31" spans="1:7">
      <c r="A31" t="s">
        <v>478</v>
      </c>
      <c r="B31" t="s">
        <v>479</v>
      </c>
      <c r="C31" t="s">
        <v>493</v>
      </c>
      <c r="D31" t="s">
        <v>481</v>
      </c>
      <c r="E31" t="s">
        <v>476</v>
      </c>
      <c r="F31" t="s">
        <v>477</v>
      </c>
      <c r="G31">
        <v>1170.3143155461</v>
      </c>
    </row>
    <row r="32" spans="1:7">
      <c r="A32" t="s">
        <v>478</v>
      </c>
      <c r="B32" t="s">
        <v>479</v>
      </c>
      <c r="C32" t="s">
        <v>493</v>
      </c>
      <c r="D32" t="s">
        <v>481</v>
      </c>
      <c r="E32" t="s">
        <v>476</v>
      </c>
      <c r="F32" t="s">
        <v>482</v>
      </c>
      <c r="G32">
        <v>1218.6687450873401</v>
      </c>
    </row>
    <row r="33" spans="1:7">
      <c r="A33" t="s">
        <v>478</v>
      </c>
      <c r="B33" t="s">
        <v>479</v>
      </c>
      <c r="C33" t="s">
        <v>493</v>
      </c>
      <c r="D33" t="s">
        <v>481</v>
      </c>
      <c r="E33" t="s">
        <v>476</v>
      </c>
      <c r="F33" t="s">
        <v>483</v>
      </c>
      <c r="G33">
        <v>1313.47702366261</v>
      </c>
    </row>
    <row r="34" spans="1:7">
      <c r="A34" t="s">
        <v>478</v>
      </c>
      <c r="B34" t="s">
        <v>479</v>
      </c>
      <c r="C34" t="s">
        <v>493</v>
      </c>
      <c r="D34" t="s">
        <v>481</v>
      </c>
      <c r="E34" t="s">
        <v>476</v>
      </c>
      <c r="F34" t="s">
        <v>484</v>
      </c>
      <c r="G34">
        <v>1422.93276642213</v>
      </c>
    </row>
    <row r="35" spans="1:7">
      <c r="A35" t="s">
        <v>478</v>
      </c>
      <c r="B35" t="s">
        <v>479</v>
      </c>
      <c r="C35" t="s">
        <v>493</v>
      </c>
      <c r="D35" t="s">
        <v>481</v>
      </c>
      <c r="E35" t="s">
        <v>476</v>
      </c>
      <c r="F35" t="s">
        <v>485</v>
      </c>
      <c r="G35">
        <v>1522.91531016101</v>
      </c>
    </row>
    <row r="36" spans="1:7">
      <c r="A36" t="s">
        <v>478</v>
      </c>
      <c r="B36" t="s">
        <v>479</v>
      </c>
      <c r="C36" t="s">
        <v>493</v>
      </c>
      <c r="D36" t="s">
        <v>481</v>
      </c>
      <c r="E36" t="s">
        <v>476</v>
      </c>
      <c r="F36" t="s">
        <v>486</v>
      </c>
      <c r="G36">
        <v>1622.2296584253199</v>
      </c>
    </row>
    <row r="37" spans="1:7">
      <c r="A37" t="s">
        <v>478</v>
      </c>
      <c r="B37" t="s">
        <v>479</v>
      </c>
      <c r="C37" t="s">
        <v>493</v>
      </c>
      <c r="D37" t="s">
        <v>481</v>
      </c>
      <c r="E37" t="s">
        <v>476</v>
      </c>
      <c r="F37" t="s">
        <v>487</v>
      </c>
      <c r="G37">
        <v>1724.14670612436</v>
      </c>
    </row>
    <row r="38" spans="1:7">
      <c r="A38" t="s">
        <v>478</v>
      </c>
      <c r="B38" t="s">
        <v>479</v>
      </c>
      <c r="C38" t="s">
        <v>493</v>
      </c>
      <c r="D38" t="s">
        <v>481</v>
      </c>
      <c r="E38" t="s">
        <v>476</v>
      </c>
      <c r="F38" t="s">
        <v>488</v>
      </c>
      <c r="G38">
        <v>1826.5687316636099</v>
      </c>
    </row>
    <row r="39" spans="1:7">
      <c r="A39" t="s">
        <v>478</v>
      </c>
      <c r="B39" t="s">
        <v>479</v>
      </c>
      <c r="C39" t="s">
        <v>493</v>
      </c>
      <c r="D39" t="s">
        <v>481</v>
      </c>
      <c r="E39" t="s">
        <v>476</v>
      </c>
      <c r="F39" t="s">
        <v>489</v>
      </c>
      <c r="G39">
        <v>1930.3950010527501</v>
      </c>
    </row>
    <row r="40" spans="1:7">
      <c r="A40" t="s">
        <v>478</v>
      </c>
      <c r="B40" t="s">
        <v>479</v>
      </c>
      <c r="C40" t="s">
        <v>493</v>
      </c>
      <c r="D40" t="s">
        <v>481</v>
      </c>
      <c r="E40" t="s">
        <v>476</v>
      </c>
      <c r="F40" t="s">
        <v>490</v>
      </c>
      <c r="G40">
        <v>2030.900742973</v>
      </c>
    </row>
    <row r="41" spans="1:7">
      <c r="A41" t="s">
        <v>478</v>
      </c>
      <c r="B41" t="s">
        <v>479</v>
      </c>
      <c r="C41" t="s">
        <v>494</v>
      </c>
      <c r="D41" t="s">
        <v>481</v>
      </c>
      <c r="E41" t="s">
        <v>476</v>
      </c>
      <c r="F41" t="s">
        <v>477</v>
      </c>
      <c r="G41">
        <v>8302.0282428653099</v>
      </c>
    </row>
    <row r="42" spans="1:7">
      <c r="A42" t="s">
        <v>478</v>
      </c>
      <c r="B42" t="s">
        <v>479</v>
      </c>
      <c r="C42" t="s">
        <v>494</v>
      </c>
      <c r="D42" t="s">
        <v>481</v>
      </c>
      <c r="E42" t="s">
        <v>476</v>
      </c>
      <c r="F42" t="s">
        <v>482</v>
      </c>
      <c r="G42">
        <v>8707.7077982275405</v>
      </c>
    </row>
    <row r="43" spans="1:7">
      <c r="A43" t="s">
        <v>478</v>
      </c>
      <c r="B43" t="s">
        <v>479</v>
      </c>
      <c r="C43" t="s">
        <v>494</v>
      </c>
      <c r="D43" t="s">
        <v>481</v>
      </c>
      <c r="E43" t="s">
        <v>476</v>
      </c>
      <c r="F43" t="s">
        <v>483</v>
      </c>
      <c r="G43">
        <v>9160.7767704983107</v>
      </c>
    </row>
    <row r="44" spans="1:7">
      <c r="A44" t="s">
        <v>478</v>
      </c>
      <c r="B44" t="s">
        <v>479</v>
      </c>
      <c r="C44" t="s">
        <v>494</v>
      </c>
      <c r="D44" t="s">
        <v>481</v>
      </c>
      <c r="E44" t="s">
        <v>476</v>
      </c>
      <c r="F44" t="s">
        <v>484</v>
      </c>
      <c r="G44">
        <v>9640.15222272561</v>
      </c>
    </row>
    <row r="45" spans="1:7">
      <c r="A45" t="s">
        <v>478</v>
      </c>
      <c r="B45" t="s">
        <v>479</v>
      </c>
      <c r="C45" t="s">
        <v>494</v>
      </c>
      <c r="D45" t="s">
        <v>481</v>
      </c>
      <c r="E45" t="s">
        <v>476</v>
      </c>
      <c r="F45" t="s">
        <v>485</v>
      </c>
      <c r="G45">
        <v>10104.0072745832</v>
      </c>
    </row>
    <row r="46" spans="1:7">
      <c r="A46" t="s">
        <v>478</v>
      </c>
      <c r="B46" t="s">
        <v>479</v>
      </c>
      <c r="C46" t="s">
        <v>494</v>
      </c>
      <c r="D46" t="s">
        <v>481</v>
      </c>
      <c r="E46" t="s">
        <v>476</v>
      </c>
      <c r="F46" t="s">
        <v>486</v>
      </c>
      <c r="G46">
        <v>10538.2869200072</v>
      </c>
    </row>
    <row r="47" spans="1:7">
      <c r="A47" t="s">
        <v>478</v>
      </c>
      <c r="B47" t="s">
        <v>479</v>
      </c>
      <c r="C47" t="s">
        <v>494</v>
      </c>
      <c r="D47" t="s">
        <v>481</v>
      </c>
      <c r="E47" t="s">
        <v>476</v>
      </c>
      <c r="F47" t="s">
        <v>487</v>
      </c>
      <c r="G47">
        <v>10954.644320589699</v>
      </c>
    </row>
    <row r="48" spans="1:7">
      <c r="A48" t="s">
        <v>478</v>
      </c>
      <c r="B48" t="s">
        <v>479</v>
      </c>
      <c r="C48" t="s">
        <v>494</v>
      </c>
      <c r="D48" t="s">
        <v>481</v>
      </c>
      <c r="E48" t="s">
        <v>476</v>
      </c>
      <c r="F48" t="s">
        <v>488</v>
      </c>
      <c r="G48">
        <v>11369.777765410699</v>
      </c>
    </row>
    <row r="49" spans="1:7">
      <c r="A49" t="s">
        <v>478</v>
      </c>
      <c r="B49" t="s">
        <v>479</v>
      </c>
      <c r="C49" t="s">
        <v>494</v>
      </c>
      <c r="D49" t="s">
        <v>481</v>
      </c>
      <c r="E49" t="s">
        <v>476</v>
      </c>
      <c r="F49" t="s">
        <v>489</v>
      </c>
      <c r="G49">
        <v>11787.7709635463</v>
      </c>
    </row>
    <row r="50" spans="1:7">
      <c r="A50" t="s">
        <v>478</v>
      </c>
      <c r="B50" t="s">
        <v>479</v>
      </c>
      <c r="C50" t="s">
        <v>494</v>
      </c>
      <c r="D50" t="s">
        <v>481</v>
      </c>
      <c r="E50" t="s">
        <v>476</v>
      </c>
      <c r="F50" t="s">
        <v>490</v>
      </c>
      <c r="G50">
        <v>12205.5389872908</v>
      </c>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theme="5" tint="0.79998168889431442"/>
  </sheetPr>
  <dimension ref="A1:N174"/>
  <sheetViews>
    <sheetView topLeftCell="A46" workbookViewId="0">
      <selection activeCell="E2" sqref="E2"/>
    </sheetView>
  </sheetViews>
  <sheetFormatPr baseColWidth="10" defaultColWidth="8.6640625" defaultRowHeight="15"/>
  <cols>
    <col min="1" max="1" width="14.33203125" customWidth="1"/>
    <col min="2" max="2" width="21.5" customWidth="1"/>
    <col min="5" max="5" width="14" customWidth="1"/>
    <col min="6" max="6" width="16.5" customWidth="1"/>
    <col min="8" max="8" width="28.6640625" customWidth="1"/>
  </cols>
  <sheetData>
    <row r="1" spans="1:14">
      <c r="A1" t="s">
        <v>368</v>
      </c>
      <c r="B1" t="s">
        <v>369</v>
      </c>
      <c r="C1" t="s">
        <v>370</v>
      </c>
      <c r="D1" t="s">
        <v>371</v>
      </c>
      <c r="E1" t="s">
        <v>372</v>
      </c>
      <c r="F1" t="s">
        <v>373</v>
      </c>
      <c r="G1" t="s">
        <v>374</v>
      </c>
      <c r="H1" t="s">
        <v>375</v>
      </c>
      <c r="I1" t="s">
        <v>376</v>
      </c>
      <c r="J1" t="s">
        <v>5</v>
      </c>
      <c r="K1" t="s">
        <v>377</v>
      </c>
      <c r="L1" t="s">
        <v>378</v>
      </c>
      <c r="M1" t="s">
        <v>379</v>
      </c>
      <c r="N1" t="s">
        <v>380</v>
      </c>
    </row>
    <row r="2" spans="1:14">
      <c r="A2" t="s">
        <v>381</v>
      </c>
      <c r="B2" t="s">
        <v>382</v>
      </c>
      <c r="C2">
        <v>33</v>
      </c>
      <c r="D2" t="s">
        <v>316</v>
      </c>
      <c r="E2">
        <v>5312</v>
      </c>
      <c r="F2" t="s">
        <v>383</v>
      </c>
      <c r="G2">
        <v>44</v>
      </c>
      <c r="H2" t="s">
        <v>80</v>
      </c>
      <c r="I2">
        <v>2011</v>
      </c>
      <c r="J2">
        <v>2011</v>
      </c>
      <c r="K2" t="s">
        <v>384</v>
      </c>
      <c r="L2">
        <v>2401500</v>
      </c>
      <c r="N2" t="s">
        <v>385</v>
      </c>
    </row>
    <row r="3" spans="1:14">
      <c r="A3" t="s">
        <v>381</v>
      </c>
      <c r="B3" t="s">
        <v>382</v>
      </c>
      <c r="C3">
        <v>33</v>
      </c>
      <c r="D3" t="s">
        <v>316</v>
      </c>
      <c r="E3">
        <v>5312</v>
      </c>
      <c r="F3" t="s">
        <v>383</v>
      </c>
      <c r="G3">
        <v>44</v>
      </c>
      <c r="H3" t="s">
        <v>80</v>
      </c>
      <c r="I3">
        <v>2012</v>
      </c>
      <c r="J3">
        <v>2012</v>
      </c>
      <c r="K3" t="s">
        <v>384</v>
      </c>
      <c r="L3">
        <v>2750600</v>
      </c>
      <c r="N3" t="s">
        <v>385</v>
      </c>
    </row>
    <row r="4" spans="1:14">
      <c r="A4" t="s">
        <v>381</v>
      </c>
      <c r="B4" t="s">
        <v>382</v>
      </c>
      <c r="C4">
        <v>33</v>
      </c>
      <c r="D4" t="s">
        <v>316</v>
      </c>
      <c r="E4">
        <v>5312</v>
      </c>
      <c r="F4" t="s">
        <v>383</v>
      </c>
      <c r="G4">
        <v>44</v>
      </c>
      <c r="H4" t="s">
        <v>80</v>
      </c>
      <c r="I4">
        <v>2013</v>
      </c>
      <c r="J4">
        <v>2013</v>
      </c>
      <c r="K4" t="s">
        <v>384</v>
      </c>
      <c r="L4">
        <v>2652300</v>
      </c>
      <c r="N4" t="s">
        <v>385</v>
      </c>
    </row>
    <row r="5" spans="1:14">
      <c r="A5" t="s">
        <v>381</v>
      </c>
      <c r="B5" t="s">
        <v>382</v>
      </c>
      <c r="C5">
        <v>33</v>
      </c>
      <c r="D5" t="s">
        <v>316</v>
      </c>
      <c r="E5">
        <v>5312</v>
      </c>
      <c r="F5" t="s">
        <v>383</v>
      </c>
      <c r="G5">
        <v>44</v>
      </c>
      <c r="H5" t="s">
        <v>80</v>
      </c>
      <c r="I5">
        <v>2014</v>
      </c>
      <c r="J5">
        <v>2014</v>
      </c>
      <c r="K5" t="s">
        <v>384</v>
      </c>
      <c r="L5">
        <v>2136100</v>
      </c>
      <c r="N5" t="s">
        <v>385</v>
      </c>
    </row>
    <row r="6" spans="1:14">
      <c r="A6" t="s">
        <v>381</v>
      </c>
      <c r="B6" t="s">
        <v>382</v>
      </c>
      <c r="C6">
        <v>33</v>
      </c>
      <c r="D6" t="s">
        <v>316</v>
      </c>
      <c r="E6">
        <v>5312</v>
      </c>
      <c r="F6" t="s">
        <v>383</v>
      </c>
      <c r="G6">
        <v>44</v>
      </c>
      <c r="H6" t="s">
        <v>80</v>
      </c>
      <c r="I6">
        <v>2015</v>
      </c>
      <c r="J6">
        <v>2015</v>
      </c>
      <c r="K6" t="s">
        <v>384</v>
      </c>
      <c r="L6">
        <v>2353500</v>
      </c>
      <c r="N6" t="s">
        <v>385</v>
      </c>
    </row>
    <row r="7" spans="1:14">
      <c r="A7" t="s">
        <v>381</v>
      </c>
      <c r="B7" t="s">
        <v>382</v>
      </c>
      <c r="C7">
        <v>33</v>
      </c>
      <c r="D7" t="s">
        <v>316</v>
      </c>
      <c r="E7">
        <v>5312</v>
      </c>
      <c r="F7" t="s">
        <v>383</v>
      </c>
      <c r="G7">
        <v>44</v>
      </c>
      <c r="H7" t="s">
        <v>80</v>
      </c>
      <c r="I7">
        <v>2016</v>
      </c>
      <c r="J7">
        <v>2016</v>
      </c>
      <c r="K7" t="s">
        <v>384</v>
      </c>
      <c r="L7">
        <v>2336800</v>
      </c>
      <c r="N7" t="s">
        <v>385</v>
      </c>
    </row>
    <row r="8" spans="1:14">
      <c r="A8" t="s">
        <v>381</v>
      </c>
      <c r="B8" t="s">
        <v>382</v>
      </c>
      <c r="C8">
        <v>33</v>
      </c>
      <c r="D8" t="s">
        <v>316</v>
      </c>
      <c r="E8">
        <v>5510</v>
      </c>
      <c r="F8" t="s">
        <v>34</v>
      </c>
      <c r="G8">
        <v>44</v>
      </c>
      <c r="H8" t="s">
        <v>80</v>
      </c>
      <c r="I8">
        <v>2011</v>
      </c>
      <c r="J8">
        <v>2011</v>
      </c>
      <c r="K8" t="s">
        <v>386</v>
      </c>
      <c r="L8">
        <v>7891500</v>
      </c>
      <c r="N8" t="s">
        <v>385</v>
      </c>
    </row>
    <row r="9" spans="1:14">
      <c r="A9" t="s">
        <v>381</v>
      </c>
      <c r="B9" t="s">
        <v>382</v>
      </c>
      <c r="C9">
        <v>33</v>
      </c>
      <c r="D9" t="s">
        <v>316</v>
      </c>
      <c r="E9">
        <v>5510</v>
      </c>
      <c r="F9" t="s">
        <v>34</v>
      </c>
      <c r="G9">
        <v>44</v>
      </c>
      <c r="H9" t="s">
        <v>80</v>
      </c>
      <c r="I9">
        <v>2012</v>
      </c>
      <c r="J9">
        <v>2012</v>
      </c>
      <c r="K9" t="s">
        <v>386</v>
      </c>
      <c r="L9">
        <v>8012300</v>
      </c>
      <c r="N9" t="s">
        <v>385</v>
      </c>
    </row>
    <row r="10" spans="1:14">
      <c r="A10" t="s">
        <v>381</v>
      </c>
      <c r="B10" t="s">
        <v>382</v>
      </c>
      <c r="C10">
        <v>33</v>
      </c>
      <c r="D10" t="s">
        <v>316</v>
      </c>
      <c r="E10">
        <v>5510</v>
      </c>
      <c r="F10" t="s">
        <v>34</v>
      </c>
      <c r="G10">
        <v>44</v>
      </c>
      <c r="H10" t="s">
        <v>80</v>
      </c>
      <c r="I10">
        <v>2013</v>
      </c>
      <c r="J10">
        <v>2013</v>
      </c>
      <c r="K10" t="s">
        <v>386</v>
      </c>
      <c r="L10">
        <v>10237100</v>
      </c>
      <c r="N10" t="s">
        <v>385</v>
      </c>
    </row>
    <row r="11" spans="1:14">
      <c r="A11" t="s">
        <v>381</v>
      </c>
      <c r="B11" t="s">
        <v>382</v>
      </c>
      <c r="C11">
        <v>33</v>
      </c>
      <c r="D11" t="s">
        <v>316</v>
      </c>
      <c r="E11">
        <v>5510</v>
      </c>
      <c r="F11" t="s">
        <v>34</v>
      </c>
      <c r="G11">
        <v>44</v>
      </c>
      <c r="H11" t="s">
        <v>80</v>
      </c>
      <c r="I11">
        <v>2014</v>
      </c>
      <c r="J11">
        <v>2014</v>
      </c>
      <c r="K11" t="s">
        <v>386</v>
      </c>
      <c r="L11">
        <v>7119000</v>
      </c>
      <c r="N11" t="s">
        <v>385</v>
      </c>
    </row>
    <row r="12" spans="1:14">
      <c r="A12" t="s">
        <v>381</v>
      </c>
      <c r="B12" t="s">
        <v>382</v>
      </c>
      <c r="C12">
        <v>33</v>
      </c>
      <c r="D12" t="s">
        <v>316</v>
      </c>
      <c r="E12">
        <v>5510</v>
      </c>
      <c r="F12" t="s">
        <v>34</v>
      </c>
      <c r="G12">
        <v>44</v>
      </c>
      <c r="H12" t="s">
        <v>80</v>
      </c>
      <c r="I12">
        <v>2015</v>
      </c>
      <c r="J12">
        <v>2015</v>
      </c>
      <c r="K12" t="s">
        <v>386</v>
      </c>
      <c r="L12">
        <v>8225700</v>
      </c>
      <c r="N12" t="s">
        <v>385</v>
      </c>
    </row>
    <row r="13" spans="1:14">
      <c r="A13" t="s">
        <v>381</v>
      </c>
      <c r="B13" t="s">
        <v>382</v>
      </c>
      <c r="C13">
        <v>33</v>
      </c>
      <c r="D13" t="s">
        <v>316</v>
      </c>
      <c r="E13">
        <v>5510</v>
      </c>
      <c r="F13" t="s">
        <v>34</v>
      </c>
      <c r="G13">
        <v>44</v>
      </c>
      <c r="H13" t="s">
        <v>80</v>
      </c>
      <c r="I13">
        <v>2016</v>
      </c>
      <c r="J13">
        <v>2016</v>
      </c>
      <c r="K13" t="s">
        <v>386</v>
      </c>
      <c r="L13">
        <v>8704300</v>
      </c>
      <c r="N13" t="s">
        <v>385</v>
      </c>
    </row>
    <row r="14" spans="1:14">
      <c r="A14" t="s">
        <v>381</v>
      </c>
      <c r="B14" t="s">
        <v>382</v>
      </c>
      <c r="C14">
        <v>33</v>
      </c>
      <c r="D14" t="s">
        <v>316</v>
      </c>
      <c r="E14">
        <v>5312</v>
      </c>
      <c r="F14" t="s">
        <v>383</v>
      </c>
      <c r="G14">
        <v>176</v>
      </c>
      <c r="H14" t="s">
        <v>388</v>
      </c>
      <c r="I14">
        <v>2011</v>
      </c>
      <c r="J14">
        <v>2011</v>
      </c>
      <c r="K14" t="s">
        <v>384</v>
      </c>
      <c r="L14">
        <v>74500</v>
      </c>
      <c r="N14" t="s">
        <v>385</v>
      </c>
    </row>
    <row r="15" spans="1:14">
      <c r="A15" t="s">
        <v>381</v>
      </c>
      <c r="B15" t="s">
        <v>382</v>
      </c>
      <c r="C15">
        <v>33</v>
      </c>
      <c r="D15" t="s">
        <v>316</v>
      </c>
      <c r="E15">
        <v>5312</v>
      </c>
      <c r="F15" t="s">
        <v>383</v>
      </c>
      <c r="G15">
        <v>176</v>
      </c>
      <c r="H15" t="s">
        <v>388</v>
      </c>
      <c r="I15">
        <v>2012</v>
      </c>
      <c r="J15">
        <v>2012</v>
      </c>
      <c r="K15" t="s">
        <v>384</v>
      </c>
      <c r="L15">
        <v>120700</v>
      </c>
      <c r="N15" t="s">
        <v>385</v>
      </c>
    </row>
    <row r="16" spans="1:14">
      <c r="A16" t="s">
        <v>381</v>
      </c>
      <c r="B16" t="s">
        <v>382</v>
      </c>
      <c r="C16">
        <v>33</v>
      </c>
      <c r="D16" t="s">
        <v>316</v>
      </c>
      <c r="E16">
        <v>5312</v>
      </c>
      <c r="F16" t="s">
        <v>383</v>
      </c>
      <c r="G16">
        <v>176</v>
      </c>
      <c r="H16" t="s">
        <v>388</v>
      </c>
      <c r="I16">
        <v>2013</v>
      </c>
      <c r="J16">
        <v>2013</v>
      </c>
      <c r="K16" t="s">
        <v>384</v>
      </c>
      <c r="L16">
        <v>85000</v>
      </c>
      <c r="N16" t="s">
        <v>385</v>
      </c>
    </row>
    <row r="17" spans="1:14">
      <c r="A17" t="s">
        <v>381</v>
      </c>
      <c r="B17" t="s">
        <v>382</v>
      </c>
      <c r="C17">
        <v>33</v>
      </c>
      <c r="D17" t="s">
        <v>316</v>
      </c>
      <c r="E17">
        <v>5312</v>
      </c>
      <c r="F17" t="s">
        <v>383</v>
      </c>
      <c r="G17">
        <v>176</v>
      </c>
      <c r="H17" t="s">
        <v>388</v>
      </c>
      <c r="I17">
        <v>2014</v>
      </c>
      <c r="J17">
        <v>2014</v>
      </c>
      <c r="K17" t="s">
        <v>384</v>
      </c>
      <c r="L17">
        <v>119700</v>
      </c>
      <c r="N17" t="s">
        <v>385</v>
      </c>
    </row>
    <row r="18" spans="1:14">
      <c r="A18" t="s">
        <v>381</v>
      </c>
      <c r="B18" t="s">
        <v>382</v>
      </c>
      <c r="C18">
        <v>33</v>
      </c>
      <c r="D18" t="s">
        <v>316</v>
      </c>
      <c r="E18">
        <v>5312</v>
      </c>
      <c r="F18" t="s">
        <v>383</v>
      </c>
      <c r="G18">
        <v>176</v>
      </c>
      <c r="H18" t="s">
        <v>388</v>
      </c>
      <c r="I18">
        <v>2015</v>
      </c>
      <c r="J18">
        <v>2015</v>
      </c>
      <c r="K18" t="s">
        <v>384</v>
      </c>
      <c r="L18">
        <v>104400</v>
      </c>
      <c r="N18" t="s">
        <v>385</v>
      </c>
    </row>
    <row r="19" spans="1:14">
      <c r="A19" t="s">
        <v>381</v>
      </c>
      <c r="B19" t="s">
        <v>382</v>
      </c>
      <c r="C19">
        <v>33</v>
      </c>
      <c r="D19" t="s">
        <v>316</v>
      </c>
      <c r="E19">
        <v>5312</v>
      </c>
      <c r="F19" t="s">
        <v>383</v>
      </c>
      <c r="G19">
        <v>176</v>
      </c>
      <c r="H19" t="s">
        <v>388</v>
      </c>
      <c r="I19">
        <v>2016</v>
      </c>
      <c r="J19">
        <v>2016</v>
      </c>
      <c r="K19" t="s">
        <v>384</v>
      </c>
      <c r="L19">
        <v>110500</v>
      </c>
      <c r="N19" t="s">
        <v>385</v>
      </c>
    </row>
    <row r="20" spans="1:14">
      <c r="A20" t="s">
        <v>381</v>
      </c>
      <c r="B20" t="s">
        <v>382</v>
      </c>
      <c r="C20">
        <v>33</v>
      </c>
      <c r="D20" t="s">
        <v>316</v>
      </c>
      <c r="E20">
        <v>5510</v>
      </c>
      <c r="F20" t="s">
        <v>34</v>
      </c>
      <c r="G20">
        <v>176</v>
      </c>
      <c r="H20" t="s">
        <v>388</v>
      </c>
      <c r="I20">
        <v>2011</v>
      </c>
      <c r="J20">
        <v>2011</v>
      </c>
      <c r="K20" t="s">
        <v>386</v>
      </c>
      <c r="L20">
        <v>162500</v>
      </c>
      <c r="N20" t="s">
        <v>385</v>
      </c>
    </row>
    <row r="21" spans="1:14">
      <c r="A21" t="s">
        <v>381</v>
      </c>
      <c r="B21" t="s">
        <v>382</v>
      </c>
      <c r="C21">
        <v>33</v>
      </c>
      <c r="D21" t="s">
        <v>316</v>
      </c>
      <c r="E21">
        <v>5510</v>
      </c>
      <c r="F21" t="s">
        <v>34</v>
      </c>
      <c r="G21">
        <v>176</v>
      </c>
      <c r="H21" t="s">
        <v>388</v>
      </c>
      <c r="I21">
        <v>2012</v>
      </c>
      <c r="J21">
        <v>2012</v>
      </c>
      <c r="K21" t="s">
        <v>386</v>
      </c>
      <c r="L21">
        <v>274400</v>
      </c>
      <c r="N21" t="s">
        <v>385</v>
      </c>
    </row>
    <row r="22" spans="1:14">
      <c r="A22" t="s">
        <v>381</v>
      </c>
      <c r="B22" t="s">
        <v>382</v>
      </c>
      <c r="C22">
        <v>33</v>
      </c>
      <c r="D22" t="s">
        <v>316</v>
      </c>
      <c r="E22">
        <v>5510</v>
      </c>
      <c r="F22" t="s">
        <v>34</v>
      </c>
      <c r="G22">
        <v>176</v>
      </c>
      <c r="H22" t="s">
        <v>388</v>
      </c>
      <c r="I22">
        <v>2013</v>
      </c>
      <c r="J22">
        <v>2013</v>
      </c>
      <c r="K22" t="s">
        <v>386</v>
      </c>
      <c r="L22">
        <v>205900</v>
      </c>
      <c r="N22" t="s">
        <v>385</v>
      </c>
    </row>
    <row r="23" spans="1:14">
      <c r="A23" t="s">
        <v>381</v>
      </c>
      <c r="B23" t="s">
        <v>382</v>
      </c>
      <c r="C23">
        <v>33</v>
      </c>
      <c r="D23" t="s">
        <v>316</v>
      </c>
      <c r="E23">
        <v>5510</v>
      </c>
      <c r="F23" t="s">
        <v>34</v>
      </c>
      <c r="G23">
        <v>176</v>
      </c>
      <c r="H23" t="s">
        <v>388</v>
      </c>
      <c r="I23">
        <v>2014</v>
      </c>
      <c r="J23">
        <v>2014</v>
      </c>
      <c r="K23" t="s">
        <v>386</v>
      </c>
      <c r="L23">
        <v>273200</v>
      </c>
      <c r="N23" t="s">
        <v>385</v>
      </c>
    </row>
    <row r="24" spans="1:14">
      <c r="A24" t="s">
        <v>381</v>
      </c>
      <c r="B24" t="s">
        <v>382</v>
      </c>
      <c r="C24">
        <v>33</v>
      </c>
      <c r="D24" t="s">
        <v>316</v>
      </c>
      <c r="E24">
        <v>5510</v>
      </c>
      <c r="F24" t="s">
        <v>34</v>
      </c>
      <c r="G24">
        <v>176</v>
      </c>
      <c r="H24" t="s">
        <v>388</v>
      </c>
      <c r="I24">
        <v>2015</v>
      </c>
      <c r="J24">
        <v>2015</v>
      </c>
      <c r="K24" t="s">
        <v>386</v>
      </c>
      <c r="L24">
        <v>243300</v>
      </c>
      <c r="N24" t="s">
        <v>385</v>
      </c>
    </row>
    <row r="25" spans="1:14">
      <c r="A25" t="s">
        <v>381</v>
      </c>
      <c r="B25" t="s">
        <v>382</v>
      </c>
      <c r="C25">
        <v>33</v>
      </c>
      <c r="D25" t="s">
        <v>316</v>
      </c>
      <c r="E25">
        <v>5510</v>
      </c>
      <c r="F25" t="s">
        <v>34</v>
      </c>
      <c r="G25">
        <v>176</v>
      </c>
      <c r="H25" t="s">
        <v>388</v>
      </c>
      <c r="I25">
        <v>2016</v>
      </c>
      <c r="J25">
        <v>2016</v>
      </c>
      <c r="K25" t="s">
        <v>386</v>
      </c>
      <c r="L25">
        <v>249400</v>
      </c>
      <c r="N25" t="s">
        <v>385</v>
      </c>
    </row>
    <row r="26" spans="1:14">
      <c r="A26" t="s">
        <v>381</v>
      </c>
      <c r="B26" t="s">
        <v>382</v>
      </c>
      <c r="C26">
        <v>33</v>
      </c>
      <c r="D26" t="s">
        <v>316</v>
      </c>
      <c r="E26">
        <v>5312</v>
      </c>
      <c r="F26" t="s">
        <v>383</v>
      </c>
      <c r="G26">
        <v>181</v>
      </c>
      <c r="H26" t="s">
        <v>389</v>
      </c>
      <c r="I26">
        <v>2011</v>
      </c>
      <c r="J26">
        <v>2011</v>
      </c>
      <c r="K26" t="s">
        <v>384</v>
      </c>
      <c r="L26">
        <v>0</v>
      </c>
      <c r="N26" t="s">
        <v>385</v>
      </c>
    </row>
    <row r="27" spans="1:14">
      <c r="A27" t="s">
        <v>381</v>
      </c>
      <c r="B27" t="s">
        <v>382</v>
      </c>
      <c r="C27">
        <v>33</v>
      </c>
      <c r="D27" t="s">
        <v>316</v>
      </c>
      <c r="E27">
        <v>5312</v>
      </c>
      <c r="F27" t="s">
        <v>383</v>
      </c>
      <c r="G27">
        <v>181</v>
      </c>
      <c r="H27" t="s">
        <v>389</v>
      </c>
      <c r="I27">
        <v>2012</v>
      </c>
      <c r="J27">
        <v>2012</v>
      </c>
      <c r="K27" t="s">
        <v>384</v>
      </c>
      <c r="L27">
        <v>0</v>
      </c>
      <c r="N27" t="s">
        <v>385</v>
      </c>
    </row>
    <row r="28" spans="1:14">
      <c r="A28" t="s">
        <v>381</v>
      </c>
      <c r="B28" t="s">
        <v>382</v>
      </c>
      <c r="C28">
        <v>33</v>
      </c>
      <c r="D28" t="s">
        <v>316</v>
      </c>
      <c r="E28">
        <v>5312</v>
      </c>
      <c r="F28" t="s">
        <v>383</v>
      </c>
      <c r="G28">
        <v>181</v>
      </c>
      <c r="H28" t="s">
        <v>389</v>
      </c>
      <c r="I28">
        <v>2013</v>
      </c>
      <c r="J28">
        <v>2013</v>
      </c>
      <c r="K28" t="s">
        <v>384</v>
      </c>
      <c r="L28">
        <v>0</v>
      </c>
      <c r="N28" t="s">
        <v>385</v>
      </c>
    </row>
    <row r="29" spans="1:14">
      <c r="A29" t="s">
        <v>381</v>
      </c>
      <c r="B29" t="s">
        <v>382</v>
      </c>
      <c r="C29">
        <v>33</v>
      </c>
      <c r="D29" t="s">
        <v>316</v>
      </c>
      <c r="E29">
        <v>5312</v>
      </c>
      <c r="F29" t="s">
        <v>383</v>
      </c>
      <c r="G29">
        <v>181</v>
      </c>
      <c r="H29" t="s">
        <v>389</v>
      </c>
      <c r="I29">
        <v>2014</v>
      </c>
      <c r="J29">
        <v>2014</v>
      </c>
      <c r="K29" t="s">
        <v>384</v>
      </c>
      <c r="M29" t="s">
        <v>192</v>
      </c>
      <c r="N29" t="s">
        <v>390</v>
      </c>
    </row>
    <row r="30" spans="1:14">
      <c r="A30" t="s">
        <v>381</v>
      </c>
      <c r="B30" t="s">
        <v>382</v>
      </c>
      <c r="C30">
        <v>33</v>
      </c>
      <c r="D30" t="s">
        <v>316</v>
      </c>
      <c r="E30">
        <v>5312</v>
      </c>
      <c r="F30" t="s">
        <v>383</v>
      </c>
      <c r="G30">
        <v>181</v>
      </c>
      <c r="H30" t="s">
        <v>389</v>
      </c>
      <c r="I30">
        <v>2015</v>
      </c>
      <c r="J30">
        <v>2015</v>
      </c>
      <c r="K30" t="s">
        <v>384</v>
      </c>
      <c r="M30" t="s">
        <v>192</v>
      </c>
      <c r="N30" t="s">
        <v>390</v>
      </c>
    </row>
    <row r="31" spans="1:14">
      <c r="A31" t="s">
        <v>381</v>
      </c>
      <c r="B31" t="s">
        <v>382</v>
      </c>
      <c r="C31">
        <v>33</v>
      </c>
      <c r="D31" t="s">
        <v>316</v>
      </c>
      <c r="E31">
        <v>5312</v>
      </c>
      <c r="F31" t="s">
        <v>383</v>
      </c>
      <c r="G31">
        <v>181</v>
      </c>
      <c r="H31" t="s">
        <v>389</v>
      </c>
      <c r="I31">
        <v>2016</v>
      </c>
      <c r="J31">
        <v>2016</v>
      </c>
      <c r="K31" t="s">
        <v>384</v>
      </c>
      <c r="M31" t="s">
        <v>192</v>
      </c>
      <c r="N31" t="s">
        <v>390</v>
      </c>
    </row>
    <row r="32" spans="1:14">
      <c r="A32" t="s">
        <v>381</v>
      </c>
      <c r="B32" t="s">
        <v>382</v>
      </c>
      <c r="C32">
        <v>33</v>
      </c>
      <c r="D32" t="s">
        <v>316</v>
      </c>
      <c r="E32">
        <v>5510</v>
      </c>
      <c r="F32" t="s">
        <v>34</v>
      </c>
      <c r="G32">
        <v>181</v>
      </c>
      <c r="H32" t="s">
        <v>389</v>
      </c>
      <c r="I32">
        <v>2011</v>
      </c>
      <c r="J32">
        <v>2011</v>
      </c>
      <c r="K32" t="s">
        <v>386</v>
      </c>
      <c r="L32">
        <v>0</v>
      </c>
      <c r="N32" t="s">
        <v>385</v>
      </c>
    </row>
    <row r="33" spans="1:14">
      <c r="A33" t="s">
        <v>381</v>
      </c>
      <c r="B33" t="s">
        <v>382</v>
      </c>
      <c r="C33">
        <v>33</v>
      </c>
      <c r="D33" t="s">
        <v>316</v>
      </c>
      <c r="E33">
        <v>5510</v>
      </c>
      <c r="F33" t="s">
        <v>34</v>
      </c>
      <c r="G33">
        <v>181</v>
      </c>
      <c r="H33" t="s">
        <v>389</v>
      </c>
      <c r="I33">
        <v>2012</v>
      </c>
      <c r="J33">
        <v>2012</v>
      </c>
      <c r="K33" t="s">
        <v>386</v>
      </c>
      <c r="L33">
        <v>0</v>
      </c>
      <c r="N33" t="s">
        <v>385</v>
      </c>
    </row>
    <row r="34" spans="1:14">
      <c r="A34" t="s">
        <v>381</v>
      </c>
      <c r="B34" t="s">
        <v>382</v>
      </c>
      <c r="C34">
        <v>33</v>
      </c>
      <c r="D34" t="s">
        <v>316</v>
      </c>
      <c r="E34">
        <v>5510</v>
      </c>
      <c r="F34" t="s">
        <v>34</v>
      </c>
      <c r="G34">
        <v>181</v>
      </c>
      <c r="H34" t="s">
        <v>389</v>
      </c>
      <c r="I34">
        <v>2013</v>
      </c>
      <c r="J34">
        <v>2013</v>
      </c>
      <c r="K34" t="s">
        <v>386</v>
      </c>
      <c r="L34">
        <v>0</v>
      </c>
      <c r="N34" t="s">
        <v>385</v>
      </c>
    </row>
    <row r="35" spans="1:14">
      <c r="A35" t="s">
        <v>381</v>
      </c>
      <c r="B35" t="s">
        <v>382</v>
      </c>
      <c r="C35">
        <v>33</v>
      </c>
      <c r="D35" t="s">
        <v>316</v>
      </c>
      <c r="E35">
        <v>5510</v>
      </c>
      <c r="F35" t="s">
        <v>34</v>
      </c>
      <c r="G35">
        <v>181</v>
      </c>
      <c r="H35" t="s">
        <v>389</v>
      </c>
      <c r="I35">
        <v>2014</v>
      </c>
      <c r="J35">
        <v>2014</v>
      </c>
      <c r="K35" t="s">
        <v>386</v>
      </c>
      <c r="M35" t="s">
        <v>192</v>
      </c>
      <c r="N35" t="s">
        <v>390</v>
      </c>
    </row>
    <row r="36" spans="1:14">
      <c r="A36" t="s">
        <v>381</v>
      </c>
      <c r="B36" t="s">
        <v>382</v>
      </c>
      <c r="C36">
        <v>33</v>
      </c>
      <c r="D36" t="s">
        <v>316</v>
      </c>
      <c r="E36">
        <v>5510</v>
      </c>
      <c r="F36" t="s">
        <v>34</v>
      </c>
      <c r="G36">
        <v>181</v>
      </c>
      <c r="H36" t="s">
        <v>389</v>
      </c>
      <c r="I36">
        <v>2015</v>
      </c>
      <c r="J36">
        <v>2015</v>
      </c>
      <c r="K36" t="s">
        <v>386</v>
      </c>
      <c r="M36" t="s">
        <v>192</v>
      </c>
      <c r="N36" t="s">
        <v>390</v>
      </c>
    </row>
    <row r="37" spans="1:14">
      <c r="A37" t="s">
        <v>381</v>
      </c>
      <c r="B37" t="s">
        <v>382</v>
      </c>
      <c r="C37">
        <v>33</v>
      </c>
      <c r="D37" t="s">
        <v>316</v>
      </c>
      <c r="E37">
        <v>5510</v>
      </c>
      <c r="F37" t="s">
        <v>34</v>
      </c>
      <c r="G37">
        <v>181</v>
      </c>
      <c r="H37" t="s">
        <v>389</v>
      </c>
      <c r="I37">
        <v>2016</v>
      </c>
      <c r="J37">
        <v>2016</v>
      </c>
      <c r="K37" t="s">
        <v>386</v>
      </c>
      <c r="M37" t="s">
        <v>192</v>
      </c>
      <c r="N37" t="s">
        <v>390</v>
      </c>
    </row>
    <row r="38" spans="1:14">
      <c r="A38" t="s">
        <v>381</v>
      </c>
      <c r="B38" t="s">
        <v>382</v>
      </c>
      <c r="C38">
        <v>33</v>
      </c>
      <c r="D38" t="s">
        <v>316</v>
      </c>
      <c r="E38">
        <v>5312</v>
      </c>
      <c r="F38" t="s">
        <v>383</v>
      </c>
      <c r="G38">
        <v>191</v>
      </c>
      <c r="H38" t="s">
        <v>391</v>
      </c>
      <c r="I38">
        <v>2011</v>
      </c>
      <c r="J38">
        <v>2011</v>
      </c>
      <c r="K38" t="s">
        <v>384</v>
      </c>
      <c r="L38">
        <v>46700</v>
      </c>
      <c r="N38" t="s">
        <v>385</v>
      </c>
    </row>
    <row r="39" spans="1:14">
      <c r="A39" t="s">
        <v>381</v>
      </c>
      <c r="B39" t="s">
        <v>382</v>
      </c>
      <c r="C39">
        <v>33</v>
      </c>
      <c r="D39" t="s">
        <v>316</v>
      </c>
      <c r="E39">
        <v>5312</v>
      </c>
      <c r="F39" t="s">
        <v>383</v>
      </c>
      <c r="G39">
        <v>191</v>
      </c>
      <c r="H39" t="s">
        <v>391</v>
      </c>
      <c r="I39">
        <v>2012</v>
      </c>
      <c r="J39">
        <v>2012</v>
      </c>
      <c r="K39" t="s">
        <v>384</v>
      </c>
      <c r="L39">
        <v>80100</v>
      </c>
      <c r="N39" t="s">
        <v>385</v>
      </c>
    </row>
    <row r="40" spans="1:14">
      <c r="A40" t="s">
        <v>381</v>
      </c>
      <c r="B40" t="s">
        <v>382</v>
      </c>
      <c r="C40">
        <v>33</v>
      </c>
      <c r="D40" t="s">
        <v>316</v>
      </c>
      <c r="E40">
        <v>5312</v>
      </c>
      <c r="F40" t="s">
        <v>383</v>
      </c>
      <c r="G40">
        <v>191</v>
      </c>
      <c r="H40" t="s">
        <v>391</v>
      </c>
      <c r="I40">
        <v>2013</v>
      </c>
      <c r="J40">
        <v>2013</v>
      </c>
      <c r="K40" t="s">
        <v>384</v>
      </c>
      <c r="L40">
        <v>72000</v>
      </c>
      <c r="N40" t="s">
        <v>385</v>
      </c>
    </row>
    <row r="41" spans="1:14">
      <c r="A41" t="s">
        <v>381</v>
      </c>
      <c r="B41" t="s">
        <v>382</v>
      </c>
      <c r="C41">
        <v>33</v>
      </c>
      <c r="D41" t="s">
        <v>316</v>
      </c>
      <c r="E41">
        <v>5312</v>
      </c>
      <c r="F41" t="s">
        <v>383</v>
      </c>
      <c r="G41">
        <v>191</v>
      </c>
      <c r="H41" t="s">
        <v>391</v>
      </c>
      <c r="I41">
        <v>2014</v>
      </c>
      <c r="J41">
        <v>2014</v>
      </c>
      <c r="K41" t="s">
        <v>384</v>
      </c>
      <c r="L41">
        <v>66000</v>
      </c>
      <c r="N41" t="s">
        <v>385</v>
      </c>
    </row>
    <row r="42" spans="1:14">
      <c r="A42" t="s">
        <v>381</v>
      </c>
      <c r="B42" t="s">
        <v>382</v>
      </c>
      <c r="C42">
        <v>33</v>
      </c>
      <c r="D42" t="s">
        <v>316</v>
      </c>
      <c r="E42">
        <v>5312</v>
      </c>
      <c r="F42" t="s">
        <v>383</v>
      </c>
      <c r="G42">
        <v>191</v>
      </c>
      <c r="H42" t="s">
        <v>391</v>
      </c>
      <c r="I42">
        <v>2015</v>
      </c>
      <c r="J42">
        <v>2015</v>
      </c>
      <c r="K42" t="s">
        <v>384</v>
      </c>
      <c r="L42">
        <v>46500</v>
      </c>
      <c r="N42" t="s">
        <v>385</v>
      </c>
    </row>
    <row r="43" spans="1:14">
      <c r="A43" t="s">
        <v>381</v>
      </c>
      <c r="B43" t="s">
        <v>382</v>
      </c>
      <c r="C43">
        <v>33</v>
      </c>
      <c r="D43" t="s">
        <v>316</v>
      </c>
      <c r="E43">
        <v>5312</v>
      </c>
      <c r="F43" t="s">
        <v>383</v>
      </c>
      <c r="G43">
        <v>191</v>
      </c>
      <c r="H43" t="s">
        <v>391</v>
      </c>
      <c r="I43">
        <v>2016</v>
      </c>
      <c r="J43">
        <v>2016</v>
      </c>
      <c r="K43" t="s">
        <v>384</v>
      </c>
      <c r="L43">
        <v>59800</v>
      </c>
      <c r="N43" t="s">
        <v>385</v>
      </c>
    </row>
    <row r="44" spans="1:14">
      <c r="A44" t="s">
        <v>381</v>
      </c>
      <c r="B44" t="s">
        <v>382</v>
      </c>
      <c r="C44">
        <v>33</v>
      </c>
      <c r="D44" t="s">
        <v>316</v>
      </c>
      <c r="E44">
        <v>5510</v>
      </c>
      <c r="F44" t="s">
        <v>34</v>
      </c>
      <c r="G44">
        <v>191</v>
      </c>
      <c r="H44" t="s">
        <v>391</v>
      </c>
      <c r="I44">
        <v>2011</v>
      </c>
      <c r="J44">
        <v>2011</v>
      </c>
      <c r="K44" t="s">
        <v>386</v>
      </c>
      <c r="L44">
        <v>85600</v>
      </c>
      <c r="N44" t="s">
        <v>385</v>
      </c>
    </row>
    <row r="45" spans="1:14">
      <c r="A45" t="s">
        <v>381</v>
      </c>
      <c r="B45" t="s">
        <v>382</v>
      </c>
      <c r="C45">
        <v>33</v>
      </c>
      <c r="D45" t="s">
        <v>316</v>
      </c>
      <c r="E45">
        <v>5510</v>
      </c>
      <c r="F45" t="s">
        <v>34</v>
      </c>
      <c r="G45">
        <v>191</v>
      </c>
      <c r="H45" t="s">
        <v>391</v>
      </c>
      <c r="I45">
        <v>2012</v>
      </c>
      <c r="J45">
        <v>2012</v>
      </c>
      <c r="K45" t="s">
        <v>386</v>
      </c>
      <c r="L45">
        <v>161400</v>
      </c>
      <c r="N45" t="s">
        <v>385</v>
      </c>
    </row>
    <row r="46" spans="1:14">
      <c r="A46" t="s">
        <v>381</v>
      </c>
      <c r="B46" t="s">
        <v>382</v>
      </c>
      <c r="C46">
        <v>33</v>
      </c>
      <c r="D46" t="s">
        <v>316</v>
      </c>
      <c r="E46">
        <v>5510</v>
      </c>
      <c r="F46" t="s">
        <v>34</v>
      </c>
      <c r="G46">
        <v>191</v>
      </c>
      <c r="H46" t="s">
        <v>391</v>
      </c>
      <c r="I46">
        <v>2013</v>
      </c>
      <c r="J46">
        <v>2013</v>
      </c>
      <c r="K46" t="s">
        <v>386</v>
      </c>
      <c r="L46">
        <v>169400</v>
      </c>
      <c r="N46" t="s">
        <v>385</v>
      </c>
    </row>
    <row r="47" spans="1:14">
      <c r="A47" t="s">
        <v>381</v>
      </c>
      <c r="B47" t="s">
        <v>382</v>
      </c>
      <c r="C47">
        <v>33</v>
      </c>
      <c r="D47" t="s">
        <v>316</v>
      </c>
      <c r="E47">
        <v>5510</v>
      </c>
      <c r="F47" t="s">
        <v>34</v>
      </c>
      <c r="G47">
        <v>191</v>
      </c>
      <c r="H47" t="s">
        <v>391</v>
      </c>
      <c r="I47">
        <v>2014</v>
      </c>
      <c r="J47">
        <v>2014</v>
      </c>
      <c r="K47" t="s">
        <v>386</v>
      </c>
      <c r="L47">
        <v>123000</v>
      </c>
      <c r="N47" t="s">
        <v>385</v>
      </c>
    </row>
    <row r="48" spans="1:14">
      <c r="A48" t="s">
        <v>381</v>
      </c>
      <c r="B48" t="s">
        <v>382</v>
      </c>
      <c r="C48">
        <v>33</v>
      </c>
      <c r="D48" t="s">
        <v>316</v>
      </c>
      <c r="E48">
        <v>5510</v>
      </c>
      <c r="F48" t="s">
        <v>34</v>
      </c>
      <c r="G48">
        <v>191</v>
      </c>
      <c r="H48" t="s">
        <v>391</v>
      </c>
      <c r="I48">
        <v>2015</v>
      </c>
      <c r="J48">
        <v>2015</v>
      </c>
      <c r="K48" t="s">
        <v>386</v>
      </c>
      <c r="L48">
        <v>83500</v>
      </c>
      <c r="N48" t="s">
        <v>385</v>
      </c>
    </row>
    <row r="49" spans="1:14">
      <c r="A49" t="s">
        <v>381</v>
      </c>
      <c r="B49" t="s">
        <v>382</v>
      </c>
      <c r="C49">
        <v>33</v>
      </c>
      <c r="D49" t="s">
        <v>316</v>
      </c>
      <c r="E49">
        <v>5510</v>
      </c>
      <c r="F49" t="s">
        <v>34</v>
      </c>
      <c r="G49">
        <v>191</v>
      </c>
      <c r="H49" t="s">
        <v>391</v>
      </c>
      <c r="I49">
        <v>2016</v>
      </c>
      <c r="J49">
        <v>2016</v>
      </c>
      <c r="K49" t="s">
        <v>386</v>
      </c>
      <c r="L49">
        <v>106900</v>
      </c>
      <c r="N49" t="s">
        <v>385</v>
      </c>
    </row>
    <row r="50" spans="1:14">
      <c r="A50" t="s">
        <v>381</v>
      </c>
      <c r="B50" t="s">
        <v>382</v>
      </c>
      <c r="C50">
        <v>33</v>
      </c>
      <c r="D50" t="s">
        <v>316</v>
      </c>
      <c r="E50">
        <v>5312</v>
      </c>
      <c r="F50" t="s">
        <v>383</v>
      </c>
      <c r="G50">
        <v>201</v>
      </c>
      <c r="H50" t="s">
        <v>392</v>
      </c>
      <c r="I50">
        <v>2011</v>
      </c>
      <c r="J50">
        <v>2011</v>
      </c>
      <c r="K50" t="s">
        <v>384</v>
      </c>
      <c r="L50">
        <v>1004700</v>
      </c>
      <c r="N50" t="s">
        <v>385</v>
      </c>
    </row>
    <row r="51" spans="1:14">
      <c r="A51" t="s">
        <v>381</v>
      </c>
      <c r="B51" t="s">
        <v>382</v>
      </c>
      <c r="C51">
        <v>33</v>
      </c>
      <c r="D51" t="s">
        <v>316</v>
      </c>
      <c r="E51">
        <v>5312</v>
      </c>
      <c r="F51" t="s">
        <v>383</v>
      </c>
      <c r="G51">
        <v>201</v>
      </c>
      <c r="H51" t="s">
        <v>392</v>
      </c>
      <c r="I51">
        <v>2012</v>
      </c>
      <c r="J51">
        <v>2012</v>
      </c>
      <c r="K51" t="s">
        <v>384</v>
      </c>
      <c r="L51">
        <v>1003900</v>
      </c>
      <c r="N51" t="s">
        <v>385</v>
      </c>
    </row>
    <row r="52" spans="1:14">
      <c r="A52" t="s">
        <v>381</v>
      </c>
      <c r="B52" t="s">
        <v>382</v>
      </c>
      <c r="C52">
        <v>33</v>
      </c>
      <c r="D52" t="s">
        <v>316</v>
      </c>
      <c r="E52">
        <v>5312</v>
      </c>
      <c r="F52" t="s">
        <v>383</v>
      </c>
      <c r="G52">
        <v>201</v>
      </c>
      <c r="H52" t="s">
        <v>392</v>
      </c>
      <c r="I52">
        <v>2013</v>
      </c>
      <c r="J52">
        <v>2013</v>
      </c>
      <c r="K52" t="s">
        <v>384</v>
      </c>
      <c r="L52">
        <v>1090700</v>
      </c>
      <c r="N52" t="s">
        <v>385</v>
      </c>
    </row>
    <row r="53" spans="1:14">
      <c r="A53" t="s">
        <v>381</v>
      </c>
      <c r="B53" t="s">
        <v>382</v>
      </c>
      <c r="C53">
        <v>33</v>
      </c>
      <c r="D53" t="s">
        <v>316</v>
      </c>
      <c r="E53">
        <v>5312</v>
      </c>
      <c r="F53" t="s">
        <v>383</v>
      </c>
      <c r="G53">
        <v>201</v>
      </c>
      <c r="H53" t="s">
        <v>392</v>
      </c>
      <c r="I53">
        <v>2014</v>
      </c>
      <c r="J53">
        <v>2014</v>
      </c>
      <c r="K53" t="s">
        <v>384</v>
      </c>
      <c r="L53">
        <v>1217100</v>
      </c>
      <c r="N53" t="s">
        <v>385</v>
      </c>
    </row>
    <row r="54" spans="1:14">
      <c r="A54" t="s">
        <v>381</v>
      </c>
      <c r="B54" t="s">
        <v>382</v>
      </c>
      <c r="C54">
        <v>33</v>
      </c>
      <c r="D54" t="s">
        <v>316</v>
      </c>
      <c r="E54">
        <v>5312</v>
      </c>
      <c r="F54" t="s">
        <v>383</v>
      </c>
      <c r="G54">
        <v>201</v>
      </c>
      <c r="H54" t="s">
        <v>392</v>
      </c>
      <c r="I54">
        <v>2015</v>
      </c>
      <c r="J54">
        <v>2015</v>
      </c>
      <c r="K54" t="s">
        <v>384</v>
      </c>
      <c r="L54">
        <v>1630000</v>
      </c>
      <c r="N54" t="s">
        <v>385</v>
      </c>
    </row>
    <row r="55" spans="1:14">
      <c r="A55" t="s">
        <v>381</v>
      </c>
      <c r="B55" t="s">
        <v>382</v>
      </c>
      <c r="C55">
        <v>33</v>
      </c>
      <c r="D55" t="s">
        <v>316</v>
      </c>
      <c r="E55">
        <v>5312</v>
      </c>
      <c r="F55" t="s">
        <v>383</v>
      </c>
      <c r="G55">
        <v>201</v>
      </c>
      <c r="H55" t="s">
        <v>392</v>
      </c>
      <c r="I55">
        <v>2016</v>
      </c>
      <c r="J55">
        <v>2016</v>
      </c>
      <c r="K55" t="s">
        <v>384</v>
      </c>
      <c r="L55">
        <v>2175200</v>
      </c>
      <c r="N55" t="s">
        <v>385</v>
      </c>
    </row>
    <row r="56" spans="1:14">
      <c r="A56" t="s">
        <v>381</v>
      </c>
      <c r="B56" t="s">
        <v>382</v>
      </c>
      <c r="C56">
        <v>33</v>
      </c>
      <c r="D56" t="s">
        <v>316</v>
      </c>
      <c r="E56">
        <v>5510</v>
      </c>
      <c r="F56" t="s">
        <v>34</v>
      </c>
      <c r="G56">
        <v>201</v>
      </c>
      <c r="H56" t="s">
        <v>392</v>
      </c>
      <c r="I56">
        <v>2011</v>
      </c>
      <c r="J56">
        <v>2011</v>
      </c>
      <c r="K56" t="s">
        <v>386</v>
      </c>
      <c r="L56">
        <v>1573500</v>
      </c>
      <c r="N56" t="s">
        <v>385</v>
      </c>
    </row>
    <row r="57" spans="1:14">
      <c r="A57" t="s">
        <v>381</v>
      </c>
      <c r="B57" t="s">
        <v>382</v>
      </c>
      <c r="C57">
        <v>33</v>
      </c>
      <c r="D57" t="s">
        <v>316</v>
      </c>
      <c r="E57">
        <v>5510</v>
      </c>
      <c r="F57" t="s">
        <v>34</v>
      </c>
      <c r="G57">
        <v>201</v>
      </c>
      <c r="H57" t="s">
        <v>392</v>
      </c>
      <c r="I57">
        <v>2012</v>
      </c>
      <c r="J57">
        <v>2012</v>
      </c>
      <c r="K57" t="s">
        <v>386</v>
      </c>
      <c r="L57">
        <v>1537900</v>
      </c>
      <c r="N57" t="s">
        <v>385</v>
      </c>
    </row>
    <row r="58" spans="1:14">
      <c r="A58" t="s">
        <v>381</v>
      </c>
      <c r="B58" t="s">
        <v>382</v>
      </c>
      <c r="C58">
        <v>33</v>
      </c>
      <c r="D58" t="s">
        <v>316</v>
      </c>
      <c r="E58">
        <v>5510</v>
      </c>
      <c r="F58" t="s">
        <v>34</v>
      </c>
      <c r="G58">
        <v>201</v>
      </c>
      <c r="H58" t="s">
        <v>392</v>
      </c>
      <c r="I58">
        <v>2013</v>
      </c>
      <c r="J58">
        <v>2013</v>
      </c>
      <c r="K58" t="s">
        <v>386</v>
      </c>
      <c r="L58">
        <v>2261700</v>
      </c>
      <c r="N58" t="s">
        <v>385</v>
      </c>
    </row>
    <row r="59" spans="1:14">
      <c r="A59" t="s">
        <v>381</v>
      </c>
      <c r="B59" t="s">
        <v>382</v>
      </c>
      <c r="C59">
        <v>33</v>
      </c>
      <c r="D59" t="s">
        <v>316</v>
      </c>
      <c r="E59">
        <v>5510</v>
      </c>
      <c r="F59" t="s">
        <v>34</v>
      </c>
      <c r="G59">
        <v>201</v>
      </c>
      <c r="H59" t="s">
        <v>392</v>
      </c>
      <c r="I59">
        <v>2014</v>
      </c>
      <c r="J59">
        <v>2014</v>
      </c>
      <c r="K59" t="s">
        <v>386</v>
      </c>
      <c r="L59">
        <v>1987000</v>
      </c>
      <c r="N59" t="s">
        <v>385</v>
      </c>
    </row>
    <row r="60" spans="1:14">
      <c r="A60" t="s">
        <v>381</v>
      </c>
      <c r="B60" t="s">
        <v>382</v>
      </c>
      <c r="C60">
        <v>33</v>
      </c>
      <c r="D60" t="s">
        <v>316</v>
      </c>
      <c r="E60">
        <v>5510</v>
      </c>
      <c r="F60" t="s">
        <v>34</v>
      </c>
      <c r="G60">
        <v>201</v>
      </c>
      <c r="H60" t="s">
        <v>392</v>
      </c>
      <c r="I60">
        <v>2015</v>
      </c>
      <c r="J60">
        <v>2015</v>
      </c>
      <c r="K60" t="s">
        <v>386</v>
      </c>
      <c r="L60">
        <v>2540500</v>
      </c>
      <c r="N60" t="s">
        <v>385</v>
      </c>
    </row>
    <row r="61" spans="1:14">
      <c r="A61" t="s">
        <v>381</v>
      </c>
      <c r="B61" t="s">
        <v>382</v>
      </c>
      <c r="C61">
        <v>33</v>
      </c>
      <c r="D61" t="s">
        <v>316</v>
      </c>
      <c r="E61">
        <v>5510</v>
      </c>
      <c r="F61" t="s">
        <v>34</v>
      </c>
      <c r="G61">
        <v>201</v>
      </c>
      <c r="H61" t="s">
        <v>392</v>
      </c>
      <c r="I61">
        <v>2016</v>
      </c>
      <c r="J61">
        <v>2016</v>
      </c>
      <c r="K61" t="s">
        <v>386</v>
      </c>
      <c r="L61">
        <v>3233800</v>
      </c>
      <c r="N61" t="s">
        <v>385</v>
      </c>
    </row>
    <row r="62" spans="1:14">
      <c r="A62" t="s">
        <v>381</v>
      </c>
      <c r="B62" t="s">
        <v>382</v>
      </c>
      <c r="C62">
        <v>33</v>
      </c>
      <c r="D62" t="s">
        <v>316</v>
      </c>
      <c r="E62">
        <v>5312</v>
      </c>
      <c r="F62" t="s">
        <v>383</v>
      </c>
      <c r="G62">
        <v>56</v>
      </c>
      <c r="H62" t="s">
        <v>387</v>
      </c>
      <c r="I62">
        <v>2011</v>
      </c>
      <c r="J62">
        <v>2011</v>
      </c>
      <c r="K62" t="s">
        <v>384</v>
      </c>
      <c r="L62">
        <v>1201700</v>
      </c>
      <c r="N62" t="s">
        <v>385</v>
      </c>
    </row>
    <row r="63" spans="1:14">
      <c r="A63" t="s">
        <v>381</v>
      </c>
      <c r="B63" t="s">
        <v>382</v>
      </c>
      <c r="C63">
        <v>33</v>
      </c>
      <c r="D63" t="s">
        <v>316</v>
      </c>
      <c r="E63">
        <v>5312</v>
      </c>
      <c r="F63" t="s">
        <v>383</v>
      </c>
      <c r="G63">
        <v>56</v>
      </c>
      <c r="H63" t="s">
        <v>387</v>
      </c>
      <c r="I63">
        <v>2012</v>
      </c>
      <c r="J63">
        <v>2012</v>
      </c>
      <c r="K63" t="s">
        <v>384</v>
      </c>
      <c r="L63">
        <v>1417900</v>
      </c>
      <c r="N63" t="s">
        <v>385</v>
      </c>
    </row>
    <row r="64" spans="1:14">
      <c r="A64" t="s">
        <v>381</v>
      </c>
      <c r="B64" t="s">
        <v>382</v>
      </c>
      <c r="C64">
        <v>33</v>
      </c>
      <c r="D64" t="s">
        <v>316</v>
      </c>
      <c r="E64">
        <v>5312</v>
      </c>
      <c r="F64" t="s">
        <v>383</v>
      </c>
      <c r="G64">
        <v>56</v>
      </c>
      <c r="H64" t="s">
        <v>387</v>
      </c>
      <c r="I64">
        <v>2013</v>
      </c>
      <c r="J64">
        <v>2013</v>
      </c>
      <c r="K64" t="s">
        <v>384</v>
      </c>
      <c r="L64">
        <v>1480400</v>
      </c>
      <c r="N64" t="s">
        <v>385</v>
      </c>
    </row>
    <row r="65" spans="1:14">
      <c r="A65" t="s">
        <v>381</v>
      </c>
      <c r="B65" t="s">
        <v>382</v>
      </c>
      <c r="C65">
        <v>33</v>
      </c>
      <c r="D65" t="s">
        <v>316</v>
      </c>
      <c r="E65">
        <v>5312</v>
      </c>
      <c r="F65" t="s">
        <v>383</v>
      </c>
      <c r="G65">
        <v>56</v>
      </c>
      <c r="H65" t="s">
        <v>387</v>
      </c>
      <c r="I65">
        <v>2014</v>
      </c>
      <c r="J65">
        <v>2014</v>
      </c>
      <c r="K65" t="s">
        <v>384</v>
      </c>
      <c r="L65">
        <v>1226600</v>
      </c>
      <c r="N65" t="s">
        <v>385</v>
      </c>
    </row>
    <row r="66" spans="1:14">
      <c r="A66" t="s">
        <v>381</v>
      </c>
      <c r="B66" t="s">
        <v>382</v>
      </c>
      <c r="C66">
        <v>33</v>
      </c>
      <c r="D66" t="s">
        <v>316</v>
      </c>
      <c r="E66">
        <v>5312</v>
      </c>
      <c r="F66" t="s">
        <v>383</v>
      </c>
      <c r="G66">
        <v>56</v>
      </c>
      <c r="H66" t="s">
        <v>387</v>
      </c>
      <c r="I66">
        <v>2015</v>
      </c>
      <c r="J66">
        <v>2015</v>
      </c>
      <c r="K66" t="s">
        <v>384</v>
      </c>
      <c r="L66">
        <v>1311700</v>
      </c>
      <c r="N66" t="s">
        <v>385</v>
      </c>
    </row>
    <row r="67" spans="1:14">
      <c r="A67" t="s">
        <v>381</v>
      </c>
      <c r="B67" t="s">
        <v>382</v>
      </c>
      <c r="C67">
        <v>33</v>
      </c>
      <c r="D67" t="s">
        <v>316</v>
      </c>
      <c r="E67">
        <v>5312</v>
      </c>
      <c r="F67" t="s">
        <v>383</v>
      </c>
      <c r="G67">
        <v>56</v>
      </c>
      <c r="H67" t="s">
        <v>387</v>
      </c>
      <c r="I67">
        <v>2016</v>
      </c>
      <c r="J67">
        <v>2016</v>
      </c>
      <c r="K67" t="s">
        <v>384</v>
      </c>
      <c r="L67">
        <v>1317700</v>
      </c>
      <c r="N67" t="s">
        <v>385</v>
      </c>
    </row>
    <row r="68" spans="1:14">
      <c r="A68" t="s">
        <v>381</v>
      </c>
      <c r="B68" t="s">
        <v>382</v>
      </c>
      <c r="C68">
        <v>33</v>
      </c>
      <c r="D68" t="s">
        <v>316</v>
      </c>
      <c r="E68">
        <v>5510</v>
      </c>
      <c r="F68" t="s">
        <v>34</v>
      </c>
      <c r="G68">
        <v>56</v>
      </c>
      <c r="H68" t="s">
        <v>387</v>
      </c>
      <c r="I68">
        <v>2011</v>
      </c>
      <c r="J68">
        <v>2011</v>
      </c>
      <c r="K68" t="s">
        <v>386</v>
      </c>
      <c r="L68">
        <v>10688700</v>
      </c>
      <c r="N68" t="s">
        <v>385</v>
      </c>
    </row>
    <row r="69" spans="1:14">
      <c r="A69" t="s">
        <v>381</v>
      </c>
      <c r="B69" t="s">
        <v>382</v>
      </c>
      <c r="C69">
        <v>33</v>
      </c>
      <c r="D69" t="s">
        <v>316</v>
      </c>
      <c r="E69">
        <v>5510</v>
      </c>
      <c r="F69" t="s">
        <v>34</v>
      </c>
      <c r="G69">
        <v>56</v>
      </c>
      <c r="H69" t="s">
        <v>387</v>
      </c>
      <c r="I69">
        <v>2012</v>
      </c>
      <c r="J69">
        <v>2012</v>
      </c>
      <c r="K69" t="s">
        <v>386</v>
      </c>
      <c r="L69">
        <v>13060100</v>
      </c>
      <c r="N69" t="s">
        <v>385</v>
      </c>
    </row>
    <row r="70" spans="1:14">
      <c r="A70" t="s">
        <v>381</v>
      </c>
      <c r="B70" t="s">
        <v>382</v>
      </c>
      <c r="C70">
        <v>33</v>
      </c>
      <c r="D70" t="s">
        <v>316</v>
      </c>
      <c r="E70">
        <v>5510</v>
      </c>
      <c r="F70" t="s">
        <v>34</v>
      </c>
      <c r="G70">
        <v>56</v>
      </c>
      <c r="H70" t="s">
        <v>387</v>
      </c>
      <c r="I70">
        <v>2013</v>
      </c>
      <c r="J70">
        <v>2013</v>
      </c>
      <c r="K70" t="s">
        <v>386</v>
      </c>
      <c r="L70">
        <v>14193800</v>
      </c>
      <c r="N70" t="s">
        <v>385</v>
      </c>
    </row>
    <row r="71" spans="1:14">
      <c r="A71" t="s">
        <v>381</v>
      </c>
      <c r="B71" t="s">
        <v>382</v>
      </c>
      <c r="C71">
        <v>33</v>
      </c>
      <c r="D71" t="s">
        <v>316</v>
      </c>
      <c r="E71">
        <v>5510</v>
      </c>
      <c r="F71" t="s">
        <v>34</v>
      </c>
      <c r="G71">
        <v>56</v>
      </c>
      <c r="H71" t="s">
        <v>387</v>
      </c>
      <c r="I71">
        <v>2014</v>
      </c>
      <c r="J71">
        <v>2014</v>
      </c>
      <c r="K71" t="s">
        <v>386</v>
      </c>
      <c r="L71">
        <v>11486800</v>
      </c>
      <c r="N71" t="s">
        <v>385</v>
      </c>
    </row>
    <row r="72" spans="1:14">
      <c r="A72" t="s">
        <v>381</v>
      </c>
      <c r="B72" t="s">
        <v>382</v>
      </c>
      <c r="C72">
        <v>33</v>
      </c>
      <c r="D72" t="s">
        <v>316</v>
      </c>
      <c r="E72">
        <v>5510</v>
      </c>
      <c r="F72" t="s">
        <v>34</v>
      </c>
      <c r="G72">
        <v>56</v>
      </c>
      <c r="H72" t="s">
        <v>387</v>
      </c>
      <c r="I72">
        <v>2015</v>
      </c>
      <c r="J72">
        <v>2015</v>
      </c>
      <c r="K72" t="s">
        <v>386</v>
      </c>
      <c r="L72">
        <v>13559100</v>
      </c>
      <c r="N72" t="s">
        <v>385</v>
      </c>
    </row>
    <row r="73" spans="1:14">
      <c r="A73" t="s">
        <v>381</v>
      </c>
      <c r="B73" t="s">
        <v>382</v>
      </c>
      <c r="C73">
        <v>33</v>
      </c>
      <c r="D73" t="s">
        <v>316</v>
      </c>
      <c r="E73">
        <v>5510</v>
      </c>
      <c r="F73" t="s">
        <v>34</v>
      </c>
      <c r="G73">
        <v>56</v>
      </c>
      <c r="H73" t="s">
        <v>387</v>
      </c>
      <c r="I73">
        <v>2016</v>
      </c>
      <c r="J73">
        <v>2016</v>
      </c>
      <c r="K73" t="s">
        <v>386</v>
      </c>
      <c r="L73">
        <v>12349400</v>
      </c>
      <c r="N73" t="s">
        <v>385</v>
      </c>
    </row>
    <row r="74" spans="1:14">
      <c r="A74" t="s">
        <v>381</v>
      </c>
      <c r="B74" t="s">
        <v>382</v>
      </c>
      <c r="C74">
        <v>33</v>
      </c>
      <c r="D74" t="s">
        <v>316</v>
      </c>
      <c r="E74">
        <v>5312</v>
      </c>
      <c r="F74" t="s">
        <v>383</v>
      </c>
      <c r="G74">
        <v>236</v>
      </c>
      <c r="H74" t="s">
        <v>82</v>
      </c>
      <c r="I74">
        <v>2011</v>
      </c>
      <c r="J74">
        <v>2011</v>
      </c>
      <c r="K74" t="s">
        <v>384</v>
      </c>
      <c r="L74">
        <v>1554200</v>
      </c>
      <c r="N74" t="s">
        <v>385</v>
      </c>
    </row>
    <row r="75" spans="1:14">
      <c r="A75" t="s">
        <v>381</v>
      </c>
      <c r="B75" t="s">
        <v>382</v>
      </c>
      <c r="C75">
        <v>33</v>
      </c>
      <c r="D75" t="s">
        <v>316</v>
      </c>
      <c r="E75">
        <v>5312</v>
      </c>
      <c r="F75" t="s">
        <v>383</v>
      </c>
      <c r="G75">
        <v>236</v>
      </c>
      <c r="H75" t="s">
        <v>82</v>
      </c>
      <c r="I75">
        <v>2012</v>
      </c>
      <c r="J75">
        <v>2012</v>
      </c>
      <c r="K75" t="s">
        <v>384</v>
      </c>
      <c r="L75">
        <v>1679000</v>
      </c>
      <c r="N75" t="s">
        <v>385</v>
      </c>
    </row>
    <row r="76" spans="1:14">
      <c r="A76" t="s">
        <v>381</v>
      </c>
      <c r="B76" t="s">
        <v>382</v>
      </c>
      <c r="C76">
        <v>33</v>
      </c>
      <c r="D76" t="s">
        <v>316</v>
      </c>
      <c r="E76">
        <v>5312</v>
      </c>
      <c r="F76" t="s">
        <v>383</v>
      </c>
      <c r="G76">
        <v>236</v>
      </c>
      <c r="H76" t="s">
        <v>82</v>
      </c>
      <c r="I76">
        <v>2013</v>
      </c>
      <c r="J76">
        <v>2013</v>
      </c>
      <c r="K76" t="s">
        <v>384</v>
      </c>
      <c r="L76">
        <v>1860100</v>
      </c>
      <c r="N76" t="s">
        <v>385</v>
      </c>
    </row>
    <row r="77" spans="1:14">
      <c r="A77" t="s">
        <v>381</v>
      </c>
      <c r="B77" t="s">
        <v>382</v>
      </c>
      <c r="C77">
        <v>33</v>
      </c>
      <c r="D77" t="s">
        <v>316</v>
      </c>
      <c r="E77">
        <v>5312</v>
      </c>
      <c r="F77" t="s">
        <v>383</v>
      </c>
      <c r="G77">
        <v>236</v>
      </c>
      <c r="H77" t="s">
        <v>82</v>
      </c>
      <c r="I77">
        <v>2014</v>
      </c>
      <c r="J77">
        <v>2014</v>
      </c>
      <c r="K77" t="s">
        <v>384</v>
      </c>
      <c r="L77">
        <v>2235100</v>
      </c>
      <c r="N77" t="s">
        <v>385</v>
      </c>
    </row>
    <row r="78" spans="1:14">
      <c r="A78" t="s">
        <v>381</v>
      </c>
      <c r="B78" t="s">
        <v>382</v>
      </c>
      <c r="C78">
        <v>33</v>
      </c>
      <c r="D78" t="s">
        <v>316</v>
      </c>
      <c r="E78">
        <v>5312</v>
      </c>
      <c r="F78" t="s">
        <v>383</v>
      </c>
      <c r="G78">
        <v>236</v>
      </c>
      <c r="H78" t="s">
        <v>82</v>
      </c>
      <c r="I78">
        <v>2015</v>
      </c>
      <c r="J78">
        <v>2015</v>
      </c>
      <c r="K78" t="s">
        <v>384</v>
      </c>
      <c r="L78">
        <v>2197400</v>
      </c>
      <c r="N78" t="s">
        <v>385</v>
      </c>
    </row>
    <row r="79" spans="1:14">
      <c r="A79" t="s">
        <v>381</v>
      </c>
      <c r="B79" t="s">
        <v>382</v>
      </c>
      <c r="C79">
        <v>33</v>
      </c>
      <c r="D79" t="s">
        <v>316</v>
      </c>
      <c r="E79">
        <v>5312</v>
      </c>
      <c r="F79" t="s">
        <v>383</v>
      </c>
      <c r="G79">
        <v>236</v>
      </c>
      <c r="H79" t="s">
        <v>82</v>
      </c>
      <c r="I79">
        <v>2016</v>
      </c>
      <c r="J79">
        <v>2016</v>
      </c>
      <c r="K79" t="s">
        <v>384</v>
      </c>
      <c r="L79">
        <v>2190500</v>
      </c>
      <c r="N79" t="s">
        <v>385</v>
      </c>
    </row>
    <row r="80" spans="1:14">
      <c r="A80" t="s">
        <v>381</v>
      </c>
      <c r="B80" t="s">
        <v>382</v>
      </c>
      <c r="C80">
        <v>33</v>
      </c>
      <c r="D80" t="s">
        <v>316</v>
      </c>
      <c r="E80">
        <v>5510</v>
      </c>
      <c r="F80" t="s">
        <v>34</v>
      </c>
      <c r="G80">
        <v>236</v>
      </c>
      <c r="H80" t="s">
        <v>82</v>
      </c>
      <c r="I80">
        <v>2011</v>
      </c>
      <c r="J80">
        <v>2011</v>
      </c>
      <c r="K80" t="s">
        <v>386</v>
      </c>
      <c r="L80">
        <v>4466500</v>
      </c>
      <c r="N80" t="s">
        <v>385</v>
      </c>
    </row>
    <row r="81" spans="1:14">
      <c r="A81" t="s">
        <v>381</v>
      </c>
      <c r="B81" t="s">
        <v>382</v>
      </c>
      <c r="C81">
        <v>33</v>
      </c>
      <c r="D81" t="s">
        <v>316</v>
      </c>
      <c r="E81">
        <v>5510</v>
      </c>
      <c r="F81" t="s">
        <v>34</v>
      </c>
      <c r="G81">
        <v>236</v>
      </c>
      <c r="H81" t="s">
        <v>82</v>
      </c>
      <c r="I81">
        <v>2012</v>
      </c>
      <c r="J81">
        <v>2012</v>
      </c>
      <c r="K81" t="s">
        <v>386</v>
      </c>
      <c r="L81">
        <v>5086400</v>
      </c>
      <c r="N81" t="s">
        <v>385</v>
      </c>
    </row>
    <row r="82" spans="1:14">
      <c r="A82" t="s">
        <v>381</v>
      </c>
      <c r="B82" t="s">
        <v>382</v>
      </c>
      <c r="C82">
        <v>33</v>
      </c>
      <c r="D82" t="s">
        <v>316</v>
      </c>
      <c r="E82">
        <v>5510</v>
      </c>
      <c r="F82" t="s">
        <v>34</v>
      </c>
      <c r="G82">
        <v>236</v>
      </c>
      <c r="H82" t="s">
        <v>82</v>
      </c>
      <c r="I82">
        <v>2013</v>
      </c>
      <c r="J82">
        <v>2013</v>
      </c>
      <c r="K82" t="s">
        <v>386</v>
      </c>
      <c r="L82">
        <v>5358900</v>
      </c>
      <c r="N82" t="s">
        <v>385</v>
      </c>
    </row>
    <row r="83" spans="1:14">
      <c r="A83" t="s">
        <v>381</v>
      </c>
      <c r="B83" t="s">
        <v>382</v>
      </c>
      <c r="C83">
        <v>33</v>
      </c>
      <c r="D83" t="s">
        <v>316</v>
      </c>
      <c r="E83">
        <v>5510</v>
      </c>
      <c r="F83" t="s">
        <v>34</v>
      </c>
      <c r="G83">
        <v>236</v>
      </c>
      <c r="H83" t="s">
        <v>82</v>
      </c>
      <c r="I83">
        <v>2014</v>
      </c>
      <c r="J83">
        <v>2014</v>
      </c>
      <c r="K83" t="s">
        <v>386</v>
      </c>
      <c r="L83">
        <v>6048600</v>
      </c>
      <c r="N83" t="s">
        <v>385</v>
      </c>
    </row>
    <row r="84" spans="1:14">
      <c r="A84" t="s">
        <v>381</v>
      </c>
      <c r="B84" t="s">
        <v>382</v>
      </c>
      <c r="C84">
        <v>33</v>
      </c>
      <c r="D84" t="s">
        <v>316</v>
      </c>
      <c r="E84">
        <v>5510</v>
      </c>
      <c r="F84" t="s">
        <v>34</v>
      </c>
      <c r="G84">
        <v>236</v>
      </c>
      <c r="H84" t="s">
        <v>82</v>
      </c>
      <c r="I84">
        <v>2015</v>
      </c>
      <c r="J84">
        <v>2015</v>
      </c>
      <c r="K84" t="s">
        <v>386</v>
      </c>
      <c r="L84">
        <v>6371000</v>
      </c>
      <c r="N84" t="s">
        <v>385</v>
      </c>
    </row>
    <row r="85" spans="1:14">
      <c r="A85" t="s">
        <v>381</v>
      </c>
      <c r="B85" t="s">
        <v>382</v>
      </c>
      <c r="C85">
        <v>33</v>
      </c>
      <c r="D85" t="s">
        <v>316</v>
      </c>
      <c r="E85">
        <v>5510</v>
      </c>
      <c r="F85" t="s">
        <v>34</v>
      </c>
      <c r="G85">
        <v>236</v>
      </c>
      <c r="H85" t="s">
        <v>82</v>
      </c>
      <c r="I85">
        <v>2016</v>
      </c>
      <c r="J85">
        <v>2016</v>
      </c>
      <c r="K85" t="s">
        <v>386</v>
      </c>
      <c r="L85">
        <v>5827100</v>
      </c>
      <c r="N85" t="s">
        <v>385</v>
      </c>
    </row>
    <row r="86" spans="1:14">
      <c r="A86" t="s">
        <v>381</v>
      </c>
      <c r="B86" t="s">
        <v>382</v>
      </c>
      <c r="C86">
        <v>33</v>
      </c>
      <c r="D86" t="s">
        <v>316</v>
      </c>
      <c r="E86">
        <v>5312</v>
      </c>
      <c r="F86" t="s">
        <v>383</v>
      </c>
      <c r="G86">
        <v>15</v>
      </c>
      <c r="H86" t="s">
        <v>81</v>
      </c>
      <c r="I86">
        <v>2011</v>
      </c>
      <c r="J86">
        <v>2011</v>
      </c>
      <c r="K86" t="s">
        <v>384</v>
      </c>
      <c r="L86">
        <v>8552500</v>
      </c>
      <c r="N86" t="s">
        <v>385</v>
      </c>
    </row>
    <row r="87" spans="1:14">
      <c r="A87" t="s">
        <v>381</v>
      </c>
      <c r="B87" t="s">
        <v>382</v>
      </c>
      <c r="C87">
        <v>33</v>
      </c>
      <c r="D87" t="s">
        <v>316</v>
      </c>
      <c r="E87">
        <v>5312</v>
      </c>
      <c r="F87" t="s">
        <v>383</v>
      </c>
      <c r="G87">
        <v>15</v>
      </c>
      <c r="H87" t="s">
        <v>81</v>
      </c>
      <c r="I87">
        <v>2012</v>
      </c>
      <c r="J87">
        <v>2012</v>
      </c>
      <c r="K87" t="s">
        <v>384</v>
      </c>
      <c r="L87">
        <v>9497200</v>
      </c>
      <c r="N87" t="s">
        <v>385</v>
      </c>
    </row>
    <row r="88" spans="1:14">
      <c r="A88" t="s">
        <v>381</v>
      </c>
      <c r="B88" t="s">
        <v>382</v>
      </c>
      <c r="C88">
        <v>33</v>
      </c>
      <c r="D88" t="s">
        <v>316</v>
      </c>
      <c r="E88">
        <v>5312</v>
      </c>
      <c r="F88" t="s">
        <v>383</v>
      </c>
      <c r="G88">
        <v>15</v>
      </c>
      <c r="H88" t="s">
        <v>81</v>
      </c>
      <c r="I88">
        <v>2013</v>
      </c>
      <c r="J88">
        <v>2013</v>
      </c>
      <c r="K88" t="s">
        <v>384</v>
      </c>
      <c r="L88">
        <v>10441500</v>
      </c>
      <c r="N88" t="s">
        <v>385</v>
      </c>
    </row>
    <row r="89" spans="1:14">
      <c r="A89" t="s">
        <v>381</v>
      </c>
      <c r="B89" t="s">
        <v>382</v>
      </c>
      <c r="C89">
        <v>33</v>
      </c>
      <c r="D89" t="s">
        <v>316</v>
      </c>
      <c r="E89">
        <v>5312</v>
      </c>
      <c r="F89" t="s">
        <v>383</v>
      </c>
      <c r="G89">
        <v>15</v>
      </c>
      <c r="H89" t="s">
        <v>81</v>
      </c>
      <c r="I89">
        <v>2014</v>
      </c>
      <c r="J89">
        <v>2014</v>
      </c>
      <c r="K89" t="s">
        <v>384</v>
      </c>
      <c r="L89">
        <v>9480100</v>
      </c>
      <c r="N89" t="s">
        <v>385</v>
      </c>
    </row>
    <row r="90" spans="1:14">
      <c r="A90" t="s">
        <v>381</v>
      </c>
      <c r="B90" t="s">
        <v>382</v>
      </c>
      <c r="C90">
        <v>33</v>
      </c>
      <c r="D90" t="s">
        <v>316</v>
      </c>
      <c r="E90">
        <v>5312</v>
      </c>
      <c r="F90" t="s">
        <v>383</v>
      </c>
      <c r="G90">
        <v>15</v>
      </c>
      <c r="H90" t="s">
        <v>81</v>
      </c>
      <c r="I90">
        <v>2015</v>
      </c>
      <c r="J90">
        <v>2015</v>
      </c>
      <c r="K90" t="s">
        <v>384</v>
      </c>
      <c r="L90">
        <v>9577400</v>
      </c>
      <c r="N90" t="s">
        <v>385</v>
      </c>
    </row>
    <row r="91" spans="1:14">
      <c r="A91" t="s">
        <v>381</v>
      </c>
      <c r="B91" t="s">
        <v>382</v>
      </c>
      <c r="C91">
        <v>33</v>
      </c>
      <c r="D91" t="s">
        <v>316</v>
      </c>
      <c r="E91">
        <v>5312</v>
      </c>
      <c r="F91" t="s">
        <v>383</v>
      </c>
      <c r="G91">
        <v>15</v>
      </c>
      <c r="H91" t="s">
        <v>81</v>
      </c>
      <c r="I91">
        <v>2016</v>
      </c>
      <c r="J91">
        <v>2016</v>
      </c>
      <c r="K91" t="s">
        <v>384</v>
      </c>
      <c r="L91">
        <v>9261600</v>
      </c>
      <c r="N91" t="s">
        <v>385</v>
      </c>
    </row>
    <row r="92" spans="1:14">
      <c r="A92" t="s">
        <v>381</v>
      </c>
      <c r="B92" t="s">
        <v>382</v>
      </c>
      <c r="C92">
        <v>33</v>
      </c>
      <c r="D92" t="s">
        <v>316</v>
      </c>
      <c r="E92">
        <v>5510</v>
      </c>
      <c r="F92" t="s">
        <v>34</v>
      </c>
      <c r="G92">
        <v>15</v>
      </c>
      <c r="H92" t="s">
        <v>81</v>
      </c>
      <c r="I92">
        <v>2011</v>
      </c>
      <c r="J92">
        <v>2011</v>
      </c>
      <c r="K92" t="s">
        <v>386</v>
      </c>
      <c r="L92">
        <v>25288000</v>
      </c>
      <c r="N92" t="s">
        <v>385</v>
      </c>
    </row>
    <row r="93" spans="1:14">
      <c r="A93" t="s">
        <v>381</v>
      </c>
      <c r="B93" t="s">
        <v>382</v>
      </c>
      <c r="C93">
        <v>33</v>
      </c>
      <c r="D93" t="s">
        <v>316</v>
      </c>
      <c r="E93">
        <v>5510</v>
      </c>
      <c r="F93" t="s">
        <v>34</v>
      </c>
      <c r="G93">
        <v>15</v>
      </c>
      <c r="H93" t="s">
        <v>81</v>
      </c>
      <c r="I93">
        <v>2012</v>
      </c>
      <c r="J93">
        <v>2012</v>
      </c>
      <c r="K93" t="s">
        <v>386</v>
      </c>
      <c r="L93">
        <v>27205200</v>
      </c>
      <c r="N93" t="s">
        <v>385</v>
      </c>
    </row>
    <row r="94" spans="1:14">
      <c r="A94" t="s">
        <v>381</v>
      </c>
      <c r="B94" t="s">
        <v>382</v>
      </c>
      <c r="C94">
        <v>33</v>
      </c>
      <c r="D94" t="s">
        <v>316</v>
      </c>
      <c r="E94">
        <v>5510</v>
      </c>
      <c r="F94" t="s">
        <v>34</v>
      </c>
      <c r="G94">
        <v>15</v>
      </c>
      <c r="H94" t="s">
        <v>81</v>
      </c>
      <c r="I94">
        <v>2013</v>
      </c>
      <c r="J94">
        <v>2013</v>
      </c>
      <c r="K94" t="s">
        <v>386</v>
      </c>
      <c r="L94">
        <v>37529600</v>
      </c>
      <c r="N94" t="s">
        <v>385</v>
      </c>
    </row>
    <row r="95" spans="1:14">
      <c r="A95" t="s">
        <v>381</v>
      </c>
      <c r="B95" t="s">
        <v>382</v>
      </c>
      <c r="C95">
        <v>33</v>
      </c>
      <c r="D95" t="s">
        <v>316</v>
      </c>
      <c r="E95">
        <v>5510</v>
      </c>
      <c r="F95" t="s">
        <v>34</v>
      </c>
      <c r="G95">
        <v>15</v>
      </c>
      <c r="H95" t="s">
        <v>81</v>
      </c>
      <c r="I95">
        <v>2014</v>
      </c>
      <c r="J95">
        <v>2014</v>
      </c>
      <c r="K95" t="s">
        <v>386</v>
      </c>
      <c r="L95">
        <v>29419600</v>
      </c>
      <c r="N95" t="s">
        <v>385</v>
      </c>
    </row>
    <row r="96" spans="1:14">
      <c r="A96" t="s">
        <v>381</v>
      </c>
      <c r="B96" t="s">
        <v>382</v>
      </c>
      <c r="C96">
        <v>33</v>
      </c>
      <c r="D96" t="s">
        <v>316</v>
      </c>
      <c r="E96">
        <v>5510</v>
      </c>
      <c r="F96" t="s">
        <v>34</v>
      </c>
      <c r="G96">
        <v>15</v>
      </c>
      <c r="H96" t="s">
        <v>81</v>
      </c>
      <c r="I96">
        <v>2015</v>
      </c>
      <c r="J96">
        <v>2015</v>
      </c>
      <c r="K96" t="s">
        <v>386</v>
      </c>
      <c r="L96">
        <v>27594100</v>
      </c>
      <c r="N96" t="s">
        <v>385</v>
      </c>
    </row>
    <row r="97" spans="1:14">
      <c r="A97" t="s">
        <v>381</v>
      </c>
      <c r="B97" t="s">
        <v>382</v>
      </c>
      <c r="C97">
        <v>33</v>
      </c>
      <c r="D97" t="s">
        <v>316</v>
      </c>
      <c r="E97">
        <v>5510</v>
      </c>
      <c r="F97" t="s">
        <v>34</v>
      </c>
      <c r="G97">
        <v>15</v>
      </c>
      <c r="H97" t="s">
        <v>81</v>
      </c>
      <c r="I97">
        <v>2016</v>
      </c>
      <c r="J97">
        <v>2016</v>
      </c>
      <c r="K97" t="s">
        <v>386</v>
      </c>
      <c r="L97">
        <v>30486700</v>
      </c>
      <c r="N97" t="s">
        <v>385</v>
      </c>
    </row>
    <row r="98" spans="1:14">
      <c r="A98" t="s">
        <v>448</v>
      </c>
      <c r="B98" t="s">
        <v>449</v>
      </c>
      <c r="C98">
        <v>33</v>
      </c>
      <c r="D98" t="s">
        <v>316</v>
      </c>
      <c r="E98">
        <v>5114</v>
      </c>
      <c r="F98" t="s">
        <v>450</v>
      </c>
      <c r="G98">
        <v>1181</v>
      </c>
      <c r="H98" t="s">
        <v>451</v>
      </c>
      <c r="I98">
        <v>2012</v>
      </c>
      <c r="J98">
        <v>2012</v>
      </c>
      <c r="K98" t="s">
        <v>452</v>
      </c>
      <c r="L98">
        <v>690037</v>
      </c>
      <c r="N98" t="s">
        <v>385</v>
      </c>
    </row>
    <row r="99" spans="1:14">
      <c r="A99" t="s">
        <v>448</v>
      </c>
      <c r="B99" t="s">
        <v>449</v>
      </c>
      <c r="C99">
        <v>33</v>
      </c>
      <c r="D99" t="s">
        <v>316</v>
      </c>
      <c r="E99">
        <v>5114</v>
      </c>
      <c r="F99" t="s">
        <v>450</v>
      </c>
      <c r="G99">
        <v>1181</v>
      </c>
      <c r="H99" t="s">
        <v>451</v>
      </c>
      <c r="I99">
        <v>2013</v>
      </c>
      <c r="J99">
        <v>2013</v>
      </c>
      <c r="K99" t="s">
        <v>452</v>
      </c>
      <c r="L99">
        <v>667397</v>
      </c>
      <c r="N99" t="s">
        <v>385</v>
      </c>
    </row>
    <row r="100" spans="1:14">
      <c r="A100" t="s">
        <v>448</v>
      </c>
      <c r="B100" t="s">
        <v>449</v>
      </c>
      <c r="C100">
        <v>33</v>
      </c>
      <c r="D100" t="s">
        <v>316</v>
      </c>
      <c r="E100">
        <v>5114</v>
      </c>
      <c r="F100" t="s">
        <v>450</v>
      </c>
      <c r="G100">
        <v>1181</v>
      </c>
      <c r="H100" t="s">
        <v>451</v>
      </c>
      <c r="I100">
        <v>2014</v>
      </c>
      <c r="J100">
        <v>2014</v>
      </c>
      <c r="K100" t="s">
        <v>452</v>
      </c>
      <c r="L100">
        <v>696252</v>
      </c>
      <c r="N100" t="s">
        <v>385</v>
      </c>
    </row>
    <row r="101" spans="1:14">
      <c r="A101" t="s">
        <v>448</v>
      </c>
      <c r="B101" t="s">
        <v>449</v>
      </c>
      <c r="C101">
        <v>33</v>
      </c>
      <c r="D101" t="s">
        <v>316</v>
      </c>
      <c r="E101">
        <v>5114</v>
      </c>
      <c r="F101" t="s">
        <v>450</v>
      </c>
      <c r="G101">
        <v>1181</v>
      </c>
      <c r="H101" t="s">
        <v>451</v>
      </c>
      <c r="I101">
        <v>2015</v>
      </c>
      <c r="J101">
        <v>2015</v>
      </c>
      <c r="K101" t="s">
        <v>452</v>
      </c>
      <c r="L101">
        <v>698429</v>
      </c>
      <c r="M101" t="s">
        <v>453</v>
      </c>
      <c r="N101" t="s">
        <v>454</v>
      </c>
    </row>
    <row r="102" spans="1:14">
      <c r="A102" t="s">
        <v>448</v>
      </c>
      <c r="B102" t="s">
        <v>449</v>
      </c>
      <c r="C102">
        <v>33</v>
      </c>
      <c r="D102" t="s">
        <v>316</v>
      </c>
      <c r="E102">
        <v>5114</v>
      </c>
      <c r="F102" t="s">
        <v>450</v>
      </c>
      <c r="G102">
        <v>1181</v>
      </c>
      <c r="H102" t="s">
        <v>451</v>
      </c>
      <c r="I102">
        <v>2016</v>
      </c>
      <c r="J102">
        <v>2016</v>
      </c>
      <c r="K102" t="s">
        <v>452</v>
      </c>
      <c r="L102">
        <v>686733</v>
      </c>
      <c r="M102" t="s">
        <v>453</v>
      </c>
      <c r="N102" t="s">
        <v>454</v>
      </c>
    </row>
    <row r="103" spans="1:14">
      <c r="A103" t="s">
        <v>448</v>
      </c>
      <c r="B103" t="s">
        <v>449</v>
      </c>
      <c r="C103">
        <v>33</v>
      </c>
      <c r="D103" t="s">
        <v>316</v>
      </c>
      <c r="E103">
        <v>5111</v>
      </c>
      <c r="F103" t="s">
        <v>450</v>
      </c>
      <c r="G103">
        <v>866</v>
      </c>
      <c r="H103" t="s">
        <v>455</v>
      </c>
      <c r="I103">
        <v>2012</v>
      </c>
      <c r="J103">
        <v>2012</v>
      </c>
      <c r="K103" t="s">
        <v>456</v>
      </c>
      <c r="L103">
        <v>12245000</v>
      </c>
      <c r="N103" t="s">
        <v>385</v>
      </c>
    </row>
    <row r="104" spans="1:14">
      <c r="A104" t="s">
        <v>448</v>
      </c>
      <c r="B104" t="s">
        <v>449</v>
      </c>
      <c r="C104">
        <v>33</v>
      </c>
      <c r="D104" t="s">
        <v>316</v>
      </c>
      <c r="E104">
        <v>5111</v>
      </c>
      <c r="F104" t="s">
        <v>450</v>
      </c>
      <c r="G104">
        <v>866</v>
      </c>
      <c r="H104" t="s">
        <v>455</v>
      </c>
      <c r="I104">
        <v>2013</v>
      </c>
      <c r="J104">
        <v>2013</v>
      </c>
      <c r="K104" t="s">
        <v>456</v>
      </c>
      <c r="L104">
        <v>12305000</v>
      </c>
      <c r="N104" t="s">
        <v>385</v>
      </c>
    </row>
    <row r="105" spans="1:14">
      <c r="A105" t="s">
        <v>448</v>
      </c>
      <c r="B105" t="s">
        <v>449</v>
      </c>
      <c r="C105">
        <v>33</v>
      </c>
      <c r="D105" t="s">
        <v>316</v>
      </c>
      <c r="E105">
        <v>5111</v>
      </c>
      <c r="F105" t="s">
        <v>450</v>
      </c>
      <c r="G105">
        <v>866</v>
      </c>
      <c r="H105" t="s">
        <v>455</v>
      </c>
      <c r="I105">
        <v>2014</v>
      </c>
      <c r="J105">
        <v>2014</v>
      </c>
      <c r="K105" t="s">
        <v>456</v>
      </c>
      <c r="L105">
        <v>12220000</v>
      </c>
      <c r="N105" t="s">
        <v>385</v>
      </c>
    </row>
    <row r="106" spans="1:14">
      <c r="A106" t="s">
        <v>448</v>
      </c>
      <c r="B106" t="s">
        <v>449</v>
      </c>
      <c r="C106">
        <v>33</v>
      </c>
      <c r="D106" t="s">
        <v>316</v>
      </c>
      <c r="E106">
        <v>5111</v>
      </c>
      <c r="F106" t="s">
        <v>450</v>
      </c>
      <c r="G106">
        <v>866</v>
      </c>
      <c r="H106" t="s">
        <v>455</v>
      </c>
      <c r="I106">
        <v>2015</v>
      </c>
      <c r="J106">
        <v>2015</v>
      </c>
      <c r="K106" t="s">
        <v>456</v>
      </c>
      <c r="L106">
        <v>11925000</v>
      </c>
      <c r="M106" t="s">
        <v>457</v>
      </c>
      <c r="N106" t="s">
        <v>458</v>
      </c>
    </row>
    <row r="107" spans="1:14">
      <c r="A107" t="s">
        <v>448</v>
      </c>
      <c r="B107" t="s">
        <v>449</v>
      </c>
      <c r="C107">
        <v>33</v>
      </c>
      <c r="D107" t="s">
        <v>316</v>
      </c>
      <c r="E107">
        <v>5111</v>
      </c>
      <c r="F107" t="s">
        <v>450</v>
      </c>
      <c r="G107">
        <v>866</v>
      </c>
      <c r="H107" t="s">
        <v>455</v>
      </c>
      <c r="I107">
        <v>2016</v>
      </c>
      <c r="J107">
        <v>2016</v>
      </c>
      <c r="K107" t="s">
        <v>456</v>
      </c>
      <c r="L107">
        <v>12035000</v>
      </c>
      <c r="M107" t="s">
        <v>457</v>
      </c>
      <c r="N107" t="s">
        <v>458</v>
      </c>
    </row>
    <row r="108" spans="1:14">
      <c r="A108" t="s">
        <v>448</v>
      </c>
      <c r="B108" t="s">
        <v>449</v>
      </c>
      <c r="C108">
        <v>33</v>
      </c>
      <c r="D108" t="s">
        <v>316</v>
      </c>
      <c r="E108">
        <v>5112</v>
      </c>
      <c r="F108" t="s">
        <v>450</v>
      </c>
      <c r="G108">
        <v>1057</v>
      </c>
      <c r="H108" t="s">
        <v>459</v>
      </c>
      <c r="I108">
        <v>2012</v>
      </c>
      <c r="J108">
        <v>2012</v>
      </c>
      <c r="K108" t="s">
        <v>460</v>
      </c>
      <c r="L108">
        <v>166000</v>
      </c>
      <c r="M108" t="s">
        <v>461</v>
      </c>
      <c r="N108" t="s">
        <v>462</v>
      </c>
    </row>
    <row r="109" spans="1:14">
      <c r="A109" t="s">
        <v>448</v>
      </c>
      <c r="B109" t="s">
        <v>449</v>
      </c>
      <c r="C109">
        <v>33</v>
      </c>
      <c r="D109" t="s">
        <v>316</v>
      </c>
      <c r="E109">
        <v>5112</v>
      </c>
      <c r="F109" t="s">
        <v>450</v>
      </c>
      <c r="G109">
        <v>1057</v>
      </c>
      <c r="H109" t="s">
        <v>459</v>
      </c>
      <c r="I109">
        <v>2013</v>
      </c>
      <c r="J109">
        <v>2013</v>
      </c>
      <c r="K109" t="s">
        <v>460</v>
      </c>
      <c r="L109">
        <v>166500</v>
      </c>
      <c r="M109" t="s">
        <v>461</v>
      </c>
      <c r="N109" t="s">
        <v>462</v>
      </c>
    </row>
    <row r="110" spans="1:14">
      <c r="A110" t="s">
        <v>448</v>
      </c>
      <c r="B110" t="s">
        <v>449</v>
      </c>
      <c r="C110">
        <v>33</v>
      </c>
      <c r="D110" t="s">
        <v>316</v>
      </c>
      <c r="E110">
        <v>5112</v>
      </c>
      <c r="F110" t="s">
        <v>450</v>
      </c>
      <c r="G110">
        <v>1057</v>
      </c>
      <c r="H110" t="s">
        <v>459</v>
      </c>
      <c r="I110">
        <v>2014</v>
      </c>
      <c r="J110">
        <v>2014</v>
      </c>
      <c r="K110" t="s">
        <v>460</v>
      </c>
      <c r="L110">
        <v>167000</v>
      </c>
      <c r="M110" t="s">
        <v>461</v>
      </c>
      <c r="N110" t="s">
        <v>462</v>
      </c>
    </row>
    <row r="111" spans="1:14">
      <c r="A111" t="s">
        <v>448</v>
      </c>
      <c r="B111" t="s">
        <v>449</v>
      </c>
      <c r="C111">
        <v>33</v>
      </c>
      <c r="D111" t="s">
        <v>316</v>
      </c>
      <c r="E111">
        <v>5112</v>
      </c>
      <c r="F111" t="s">
        <v>450</v>
      </c>
      <c r="G111">
        <v>1057</v>
      </c>
      <c r="H111" t="s">
        <v>459</v>
      </c>
      <c r="I111">
        <v>2015</v>
      </c>
      <c r="J111">
        <v>2015</v>
      </c>
      <c r="K111" t="s">
        <v>460</v>
      </c>
      <c r="L111">
        <v>167470</v>
      </c>
      <c r="M111" t="s">
        <v>453</v>
      </c>
      <c r="N111" t="s">
        <v>454</v>
      </c>
    </row>
    <row r="112" spans="1:14">
      <c r="A112" t="s">
        <v>448</v>
      </c>
      <c r="B112" t="s">
        <v>449</v>
      </c>
      <c r="C112">
        <v>33</v>
      </c>
      <c r="D112" t="s">
        <v>316</v>
      </c>
      <c r="E112">
        <v>5112</v>
      </c>
      <c r="F112" t="s">
        <v>450</v>
      </c>
      <c r="G112">
        <v>1057</v>
      </c>
      <c r="H112" t="s">
        <v>459</v>
      </c>
      <c r="I112">
        <v>2016</v>
      </c>
      <c r="J112">
        <v>2016</v>
      </c>
      <c r="K112" t="s">
        <v>460</v>
      </c>
      <c r="L112">
        <v>169646</v>
      </c>
      <c r="M112" t="s">
        <v>453</v>
      </c>
      <c r="N112" t="s">
        <v>454</v>
      </c>
    </row>
    <row r="113" spans="1:14">
      <c r="A113" t="s">
        <v>448</v>
      </c>
      <c r="B113" t="s">
        <v>449</v>
      </c>
      <c r="C113">
        <v>33</v>
      </c>
      <c r="D113" t="s">
        <v>316</v>
      </c>
      <c r="E113">
        <v>5112</v>
      </c>
      <c r="F113" t="s">
        <v>450</v>
      </c>
      <c r="G113">
        <v>1068</v>
      </c>
      <c r="H113" t="s">
        <v>463</v>
      </c>
      <c r="I113">
        <v>2012</v>
      </c>
      <c r="J113">
        <v>2012</v>
      </c>
      <c r="K113" t="s">
        <v>460</v>
      </c>
      <c r="L113">
        <v>1400</v>
      </c>
      <c r="M113" t="s">
        <v>461</v>
      </c>
      <c r="N113" t="s">
        <v>462</v>
      </c>
    </row>
    <row r="114" spans="1:14">
      <c r="A114" t="s">
        <v>448</v>
      </c>
      <c r="B114" t="s">
        <v>449</v>
      </c>
      <c r="C114">
        <v>33</v>
      </c>
      <c r="D114" t="s">
        <v>316</v>
      </c>
      <c r="E114">
        <v>5112</v>
      </c>
      <c r="F114" t="s">
        <v>450</v>
      </c>
      <c r="G114">
        <v>1068</v>
      </c>
      <c r="H114" t="s">
        <v>463</v>
      </c>
      <c r="I114">
        <v>2013</v>
      </c>
      <c r="J114">
        <v>2013</v>
      </c>
      <c r="K114" t="s">
        <v>460</v>
      </c>
      <c r="L114">
        <v>1450</v>
      </c>
      <c r="M114" t="s">
        <v>461</v>
      </c>
      <c r="N114" t="s">
        <v>462</v>
      </c>
    </row>
    <row r="115" spans="1:14">
      <c r="A115" t="s">
        <v>448</v>
      </c>
      <c r="B115" t="s">
        <v>449</v>
      </c>
      <c r="C115">
        <v>33</v>
      </c>
      <c r="D115" t="s">
        <v>316</v>
      </c>
      <c r="E115">
        <v>5112</v>
      </c>
      <c r="F115" t="s">
        <v>450</v>
      </c>
      <c r="G115">
        <v>1068</v>
      </c>
      <c r="H115" t="s">
        <v>463</v>
      </c>
      <c r="I115">
        <v>2014</v>
      </c>
      <c r="J115">
        <v>2014</v>
      </c>
      <c r="K115" t="s">
        <v>460</v>
      </c>
      <c r="L115">
        <v>1450</v>
      </c>
      <c r="M115" t="s">
        <v>461</v>
      </c>
      <c r="N115" t="s">
        <v>462</v>
      </c>
    </row>
    <row r="116" spans="1:14">
      <c r="A116" t="s">
        <v>448</v>
      </c>
      <c r="B116" t="s">
        <v>449</v>
      </c>
      <c r="C116">
        <v>33</v>
      </c>
      <c r="D116" t="s">
        <v>316</v>
      </c>
      <c r="E116">
        <v>5112</v>
      </c>
      <c r="F116" t="s">
        <v>450</v>
      </c>
      <c r="G116">
        <v>1068</v>
      </c>
      <c r="H116" t="s">
        <v>463</v>
      </c>
      <c r="I116">
        <v>2015</v>
      </c>
      <c r="J116">
        <v>2015</v>
      </c>
      <c r="K116" t="s">
        <v>460</v>
      </c>
      <c r="L116">
        <v>1446</v>
      </c>
      <c r="M116" t="s">
        <v>453</v>
      </c>
      <c r="N116" t="s">
        <v>454</v>
      </c>
    </row>
    <row r="117" spans="1:14">
      <c r="A117" t="s">
        <v>448</v>
      </c>
      <c r="B117" t="s">
        <v>449</v>
      </c>
      <c r="C117">
        <v>33</v>
      </c>
      <c r="D117" t="s">
        <v>316</v>
      </c>
      <c r="E117">
        <v>5112</v>
      </c>
      <c r="F117" t="s">
        <v>450</v>
      </c>
      <c r="G117">
        <v>1068</v>
      </c>
      <c r="H117" t="s">
        <v>463</v>
      </c>
      <c r="I117">
        <v>2016</v>
      </c>
      <c r="J117">
        <v>2016</v>
      </c>
      <c r="K117" t="s">
        <v>460</v>
      </c>
      <c r="L117">
        <v>1477</v>
      </c>
      <c r="M117" t="s">
        <v>453</v>
      </c>
      <c r="N117" t="s">
        <v>454</v>
      </c>
    </row>
    <row r="118" spans="1:14">
      <c r="A118" t="s">
        <v>448</v>
      </c>
      <c r="B118" t="s">
        <v>449</v>
      </c>
      <c r="C118">
        <v>33</v>
      </c>
      <c r="D118" t="s">
        <v>316</v>
      </c>
      <c r="E118">
        <v>5112</v>
      </c>
      <c r="F118" t="s">
        <v>450</v>
      </c>
      <c r="G118">
        <v>1072</v>
      </c>
      <c r="H118" t="s">
        <v>464</v>
      </c>
      <c r="I118">
        <v>2012</v>
      </c>
      <c r="J118">
        <v>2012</v>
      </c>
      <c r="K118" t="s">
        <v>460</v>
      </c>
      <c r="L118">
        <v>330</v>
      </c>
      <c r="M118" t="s">
        <v>461</v>
      </c>
      <c r="N118" t="s">
        <v>462</v>
      </c>
    </row>
    <row r="119" spans="1:14">
      <c r="A119" t="s">
        <v>448</v>
      </c>
      <c r="B119" t="s">
        <v>449</v>
      </c>
      <c r="C119">
        <v>33</v>
      </c>
      <c r="D119" t="s">
        <v>316</v>
      </c>
      <c r="E119">
        <v>5112</v>
      </c>
      <c r="F119" t="s">
        <v>450</v>
      </c>
      <c r="G119">
        <v>1072</v>
      </c>
      <c r="H119" t="s">
        <v>464</v>
      </c>
      <c r="I119">
        <v>2013</v>
      </c>
      <c r="J119">
        <v>2013</v>
      </c>
      <c r="K119" t="s">
        <v>460</v>
      </c>
      <c r="L119">
        <v>350</v>
      </c>
      <c r="M119" t="s">
        <v>461</v>
      </c>
      <c r="N119" t="s">
        <v>462</v>
      </c>
    </row>
    <row r="120" spans="1:14">
      <c r="A120" t="s">
        <v>448</v>
      </c>
      <c r="B120" t="s">
        <v>449</v>
      </c>
      <c r="C120">
        <v>33</v>
      </c>
      <c r="D120" t="s">
        <v>316</v>
      </c>
      <c r="E120">
        <v>5112</v>
      </c>
      <c r="F120" t="s">
        <v>450</v>
      </c>
      <c r="G120">
        <v>1072</v>
      </c>
      <c r="H120" t="s">
        <v>464</v>
      </c>
      <c r="I120">
        <v>2014</v>
      </c>
      <c r="J120">
        <v>2014</v>
      </c>
      <c r="K120" t="s">
        <v>460</v>
      </c>
      <c r="L120">
        <v>350</v>
      </c>
      <c r="M120" t="s">
        <v>461</v>
      </c>
      <c r="N120" t="s">
        <v>462</v>
      </c>
    </row>
    <row r="121" spans="1:14">
      <c r="A121" t="s">
        <v>448</v>
      </c>
      <c r="B121" t="s">
        <v>449</v>
      </c>
      <c r="C121">
        <v>33</v>
      </c>
      <c r="D121" t="s">
        <v>316</v>
      </c>
      <c r="E121">
        <v>5112</v>
      </c>
      <c r="F121" t="s">
        <v>450</v>
      </c>
      <c r="G121">
        <v>1072</v>
      </c>
      <c r="H121" t="s">
        <v>464</v>
      </c>
      <c r="I121">
        <v>2015</v>
      </c>
      <c r="J121">
        <v>2015</v>
      </c>
      <c r="K121" t="s">
        <v>460</v>
      </c>
      <c r="L121">
        <v>342</v>
      </c>
      <c r="M121" t="s">
        <v>453</v>
      </c>
      <c r="N121" t="s">
        <v>454</v>
      </c>
    </row>
    <row r="122" spans="1:14">
      <c r="A122" t="s">
        <v>448</v>
      </c>
      <c r="B122" t="s">
        <v>449</v>
      </c>
      <c r="C122">
        <v>33</v>
      </c>
      <c r="D122" t="s">
        <v>316</v>
      </c>
      <c r="E122">
        <v>5112</v>
      </c>
      <c r="F122" t="s">
        <v>450</v>
      </c>
      <c r="G122">
        <v>1072</v>
      </c>
      <c r="H122" t="s">
        <v>464</v>
      </c>
      <c r="I122">
        <v>2016</v>
      </c>
      <c r="J122">
        <v>2016</v>
      </c>
      <c r="K122" t="s">
        <v>460</v>
      </c>
      <c r="L122">
        <v>323</v>
      </c>
      <c r="M122" t="s">
        <v>453</v>
      </c>
      <c r="N122" t="s">
        <v>454</v>
      </c>
    </row>
    <row r="123" spans="1:14">
      <c r="A123" t="s">
        <v>448</v>
      </c>
      <c r="B123" t="s">
        <v>449</v>
      </c>
      <c r="C123">
        <v>33</v>
      </c>
      <c r="D123" t="s">
        <v>316</v>
      </c>
      <c r="E123">
        <v>5111</v>
      </c>
      <c r="F123" t="s">
        <v>450</v>
      </c>
      <c r="G123">
        <v>1016</v>
      </c>
      <c r="H123" t="s">
        <v>67</v>
      </c>
      <c r="I123">
        <v>2012</v>
      </c>
      <c r="J123">
        <v>2012</v>
      </c>
      <c r="K123" t="s">
        <v>456</v>
      </c>
      <c r="L123">
        <v>30000</v>
      </c>
      <c r="M123" t="s">
        <v>461</v>
      </c>
      <c r="N123" t="s">
        <v>462</v>
      </c>
    </row>
    <row r="124" spans="1:14">
      <c r="A124" t="s">
        <v>448</v>
      </c>
      <c r="B124" t="s">
        <v>449</v>
      </c>
      <c r="C124">
        <v>33</v>
      </c>
      <c r="D124" t="s">
        <v>316</v>
      </c>
      <c r="E124">
        <v>5111</v>
      </c>
      <c r="F124" t="s">
        <v>450</v>
      </c>
      <c r="G124">
        <v>1016</v>
      </c>
      <c r="H124" t="s">
        <v>67</v>
      </c>
      <c r="I124">
        <v>2013</v>
      </c>
      <c r="J124">
        <v>2013</v>
      </c>
      <c r="K124" t="s">
        <v>456</v>
      </c>
      <c r="L124">
        <v>30000</v>
      </c>
      <c r="M124" t="s">
        <v>461</v>
      </c>
      <c r="N124" t="s">
        <v>462</v>
      </c>
    </row>
    <row r="125" spans="1:14">
      <c r="A125" t="s">
        <v>448</v>
      </c>
      <c r="B125" t="s">
        <v>449</v>
      </c>
      <c r="C125">
        <v>33</v>
      </c>
      <c r="D125" t="s">
        <v>316</v>
      </c>
      <c r="E125">
        <v>5111</v>
      </c>
      <c r="F125" t="s">
        <v>450</v>
      </c>
      <c r="G125">
        <v>1016</v>
      </c>
      <c r="H125" t="s">
        <v>67</v>
      </c>
      <c r="I125">
        <v>2014</v>
      </c>
      <c r="J125">
        <v>2014</v>
      </c>
      <c r="K125" t="s">
        <v>456</v>
      </c>
      <c r="L125">
        <v>30000</v>
      </c>
      <c r="M125" t="s">
        <v>461</v>
      </c>
      <c r="N125" t="s">
        <v>462</v>
      </c>
    </row>
    <row r="126" spans="1:14">
      <c r="A126" t="s">
        <v>448</v>
      </c>
      <c r="B126" t="s">
        <v>449</v>
      </c>
      <c r="C126">
        <v>33</v>
      </c>
      <c r="D126" t="s">
        <v>316</v>
      </c>
      <c r="E126">
        <v>5111</v>
      </c>
      <c r="F126" t="s">
        <v>450</v>
      </c>
      <c r="G126">
        <v>1016</v>
      </c>
      <c r="H126" t="s">
        <v>67</v>
      </c>
      <c r="I126">
        <v>2015</v>
      </c>
      <c r="J126">
        <v>2015</v>
      </c>
      <c r="K126" t="s">
        <v>456</v>
      </c>
      <c r="L126">
        <v>30005</v>
      </c>
      <c r="M126" t="s">
        <v>453</v>
      </c>
      <c r="N126" t="s">
        <v>454</v>
      </c>
    </row>
    <row r="127" spans="1:14">
      <c r="A127" t="s">
        <v>448</v>
      </c>
      <c r="B127" t="s">
        <v>449</v>
      </c>
      <c r="C127">
        <v>33</v>
      </c>
      <c r="D127" t="s">
        <v>316</v>
      </c>
      <c r="E127">
        <v>5111</v>
      </c>
      <c r="F127" t="s">
        <v>450</v>
      </c>
      <c r="G127">
        <v>1016</v>
      </c>
      <c r="H127" t="s">
        <v>67</v>
      </c>
      <c r="I127">
        <v>2016</v>
      </c>
      <c r="J127">
        <v>2016</v>
      </c>
      <c r="K127" t="s">
        <v>456</v>
      </c>
      <c r="L127">
        <v>30074</v>
      </c>
      <c r="M127" t="s">
        <v>453</v>
      </c>
      <c r="N127" t="s">
        <v>454</v>
      </c>
    </row>
    <row r="128" spans="1:14">
      <c r="A128" t="s">
        <v>448</v>
      </c>
      <c r="B128" t="s">
        <v>449</v>
      </c>
      <c r="C128">
        <v>33</v>
      </c>
      <c r="D128" t="s">
        <v>316</v>
      </c>
      <c r="E128">
        <v>5111</v>
      </c>
      <c r="F128" t="s">
        <v>450</v>
      </c>
      <c r="G128">
        <v>1096</v>
      </c>
      <c r="H128" t="s">
        <v>68</v>
      </c>
      <c r="I128">
        <v>2012</v>
      </c>
      <c r="J128">
        <v>2012</v>
      </c>
      <c r="K128" t="s">
        <v>456</v>
      </c>
      <c r="L128">
        <v>407000</v>
      </c>
      <c r="M128" t="s">
        <v>461</v>
      </c>
      <c r="N128" t="s">
        <v>462</v>
      </c>
    </row>
    <row r="129" spans="1:14">
      <c r="A129" t="s">
        <v>448</v>
      </c>
      <c r="B129" t="s">
        <v>449</v>
      </c>
      <c r="C129">
        <v>33</v>
      </c>
      <c r="D129" t="s">
        <v>316</v>
      </c>
      <c r="E129">
        <v>5111</v>
      </c>
      <c r="F129" t="s">
        <v>450</v>
      </c>
      <c r="G129">
        <v>1096</v>
      </c>
      <c r="H129" t="s">
        <v>68</v>
      </c>
      <c r="I129">
        <v>2013</v>
      </c>
      <c r="J129">
        <v>2013</v>
      </c>
      <c r="K129" t="s">
        <v>456</v>
      </c>
      <c r="L129">
        <v>407000</v>
      </c>
      <c r="M129" t="s">
        <v>461</v>
      </c>
      <c r="N129" t="s">
        <v>462</v>
      </c>
    </row>
    <row r="130" spans="1:14">
      <c r="A130" t="s">
        <v>448</v>
      </c>
      <c r="B130" t="s">
        <v>449</v>
      </c>
      <c r="C130">
        <v>33</v>
      </c>
      <c r="D130" t="s">
        <v>316</v>
      </c>
      <c r="E130">
        <v>5111</v>
      </c>
      <c r="F130" t="s">
        <v>450</v>
      </c>
      <c r="G130">
        <v>1096</v>
      </c>
      <c r="H130" t="s">
        <v>68</v>
      </c>
      <c r="I130">
        <v>2014</v>
      </c>
      <c r="J130">
        <v>2014</v>
      </c>
      <c r="K130" t="s">
        <v>456</v>
      </c>
      <c r="L130">
        <v>408000</v>
      </c>
      <c r="M130" t="s">
        <v>461</v>
      </c>
      <c r="N130" t="s">
        <v>462</v>
      </c>
    </row>
    <row r="131" spans="1:14">
      <c r="A131" t="s">
        <v>448</v>
      </c>
      <c r="B131" t="s">
        <v>449</v>
      </c>
      <c r="C131">
        <v>33</v>
      </c>
      <c r="D131" t="s">
        <v>316</v>
      </c>
      <c r="E131">
        <v>5111</v>
      </c>
      <c r="F131" t="s">
        <v>450</v>
      </c>
      <c r="G131">
        <v>1096</v>
      </c>
      <c r="H131" t="s">
        <v>68</v>
      </c>
      <c r="I131">
        <v>2015</v>
      </c>
      <c r="J131">
        <v>2015</v>
      </c>
      <c r="K131" t="s">
        <v>456</v>
      </c>
      <c r="L131">
        <v>400391</v>
      </c>
      <c r="M131" t="s">
        <v>453</v>
      </c>
      <c r="N131" t="s">
        <v>454</v>
      </c>
    </row>
    <row r="132" spans="1:14">
      <c r="A132" t="s">
        <v>448</v>
      </c>
      <c r="B132" t="s">
        <v>449</v>
      </c>
      <c r="C132">
        <v>33</v>
      </c>
      <c r="D132" t="s">
        <v>316</v>
      </c>
      <c r="E132">
        <v>5111</v>
      </c>
      <c r="F132" t="s">
        <v>450</v>
      </c>
      <c r="G132">
        <v>1096</v>
      </c>
      <c r="H132" t="s">
        <v>68</v>
      </c>
      <c r="I132">
        <v>2016</v>
      </c>
      <c r="J132">
        <v>2016</v>
      </c>
      <c r="K132" t="s">
        <v>456</v>
      </c>
      <c r="L132">
        <v>398802</v>
      </c>
      <c r="M132" t="s">
        <v>453</v>
      </c>
      <c r="N132" t="s">
        <v>454</v>
      </c>
    </row>
    <row r="133" spans="1:14">
      <c r="A133" t="s">
        <v>448</v>
      </c>
      <c r="B133" t="s">
        <v>449</v>
      </c>
      <c r="C133">
        <v>33</v>
      </c>
      <c r="D133" t="s">
        <v>316</v>
      </c>
      <c r="E133">
        <v>5111</v>
      </c>
      <c r="F133" t="s">
        <v>450</v>
      </c>
      <c r="G133">
        <v>1110</v>
      </c>
      <c r="H133" t="s">
        <v>465</v>
      </c>
      <c r="I133">
        <v>2012</v>
      </c>
      <c r="J133">
        <v>2012</v>
      </c>
      <c r="K133" t="s">
        <v>456</v>
      </c>
      <c r="L133">
        <v>4000</v>
      </c>
      <c r="M133" t="s">
        <v>461</v>
      </c>
      <c r="N133" t="s">
        <v>462</v>
      </c>
    </row>
    <row r="134" spans="1:14">
      <c r="A134" t="s">
        <v>448</v>
      </c>
      <c r="B134" t="s">
        <v>449</v>
      </c>
      <c r="C134">
        <v>33</v>
      </c>
      <c r="D134" t="s">
        <v>316</v>
      </c>
      <c r="E134">
        <v>5111</v>
      </c>
      <c r="F134" t="s">
        <v>450</v>
      </c>
      <c r="G134">
        <v>1110</v>
      </c>
      <c r="H134" t="s">
        <v>465</v>
      </c>
      <c r="I134">
        <v>2013</v>
      </c>
      <c r="J134">
        <v>2013</v>
      </c>
      <c r="K134" t="s">
        <v>456</v>
      </c>
      <c r="L134">
        <v>4000</v>
      </c>
      <c r="M134" t="s">
        <v>461</v>
      </c>
      <c r="N134" t="s">
        <v>462</v>
      </c>
    </row>
    <row r="135" spans="1:14">
      <c r="A135" t="s">
        <v>448</v>
      </c>
      <c r="B135" t="s">
        <v>449</v>
      </c>
      <c r="C135">
        <v>33</v>
      </c>
      <c r="D135" t="s">
        <v>316</v>
      </c>
      <c r="E135">
        <v>5111</v>
      </c>
      <c r="F135" t="s">
        <v>450</v>
      </c>
      <c r="G135">
        <v>1110</v>
      </c>
      <c r="H135" t="s">
        <v>465</v>
      </c>
      <c r="I135">
        <v>2014</v>
      </c>
      <c r="J135">
        <v>2014</v>
      </c>
      <c r="K135" t="s">
        <v>456</v>
      </c>
      <c r="L135">
        <v>4000</v>
      </c>
      <c r="M135" t="s">
        <v>461</v>
      </c>
      <c r="N135" t="s">
        <v>462</v>
      </c>
    </row>
    <row r="136" spans="1:14">
      <c r="A136" t="s">
        <v>448</v>
      </c>
      <c r="B136" t="s">
        <v>449</v>
      </c>
      <c r="C136">
        <v>33</v>
      </c>
      <c r="D136" t="s">
        <v>316</v>
      </c>
      <c r="E136">
        <v>5111</v>
      </c>
      <c r="F136" t="s">
        <v>450</v>
      </c>
      <c r="G136">
        <v>1110</v>
      </c>
      <c r="H136" t="s">
        <v>465</v>
      </c>
      <c r="I136">
        <v>2015</v>
      </c>
      <c r="J136">
        <v>2015</v>
      </c>
      <c r="K136" t="s">
        <v>456</v>
      </c>
      <c r="L136">
        <v>4000</v>
      </c>
      <c r="M136" t="s">
        <v>453</v>
      </c>
      <c r="N136" t="s">
        <v>454</v>
      </c>
    </row>
    <row r="137" spans="1:14">
      <c r="A137" t="s">
        <v>448</v>
      </c>
      <c r="B137" t="s">
        <v>449</v>
      </c>
      <c r="C137">
        <v>33</v>
      </c>
      <c r="D137" t="s">
        <v>316</v>
      </c>
      <c r="E137">
        <v>5111</v>
      </c>
      <c r="F137" t="s">
        <v>450</v>
      </c>
      <c r="G137">
        <v>1110</v>
      </c>
      <c r="H137" t="s">
        <v>465</v>
      </c>
      <c r="I137">
        <v>2016</v>
      </c>
      <c r="J137">
        <v>2016</v>
      </c>
      <c r="K137" t="s">
        <v>456</v>
      </c>
      <c r="L137">
        <v>4000</v>
      </c>
      <c r="M137" t="s">
        <v>453</v>
      </c>
      <c r="N137" t="s">
        <v>454</v>
      </c>
    </row>
    <row r="138" spans="1:14">
      <c r="A138" t="s">
        <v>448</v>
      </c>
      <c r="B138" t="s">
        <v>449</v>
      </c>
      <c r="C138">
        <v>33</v>
      </c>
      <c r="D138" t="s">
        <v>316</v>
      </c>
      <c r="E138">
        <v>5111</v>
      </c>
      <c r="F138" t="s">
        <v>450</v>
      </c>
      <c r="G138">
        <v>1034</v>
      </c>
      <c r="H138" t="s">
        <v>466</v>
      </c>
      <c r="I138">
        <v>2012</v>
      </c>
      <c r="J138">
        <v>2012</v>
      </c>
      <c r="K138" t="s">
        <v>456</v>
      </c>
      <c r="L138">
        <v>12625000</v>
      </c>
      <c r="N138" t="s">
        <v>385</v>
      </c>
    </row>
    <row r="139" spans="1:14">
      <c r="A139" t="s">
        <v>448</v>
      </c>
      <c r="B139" t="s">
        <v>449</v>
      </c>
      <c r="C139">
        <v>33</v>
      </c>
      <c r="D139" t="s">
        <v>316</v>
      </c>
      <c r="E139">
        <v>5111</v>
      </c>
      <c r="F139" t="s">
        <v>450</v>
      </c>
      <c r="G139">
        <v>1034</v>
      </c>
      <c r="H139" t="s">
        <v>466</v>
      </c>
      <c r="I139">
        <v>2013</v>
      </c>
      <c r="J139">
        <v>2013</v>
      </c>
      <c r="K139" t="s">
        <v>456</v>
      </c>
      <c r="L139">
        <v>12610000</v>
      </c>
      <c r="N139" t="s">
        <v>385</v>
      </c>
    </row>
    <row r="140" spans="1:14">
      <c r="A140" t="s">
        <v>448</v>
      </c>
      <c r="B140" t="s">
        <v>449</v>
      </c>
      <c r="C140">
        <v>33</v>
      </c>
      <c r="D140" t="s">
        <v>316</v>
      </c>
      <c r="E140">
        <v>5111</v>
      </c>
      <c r="F140" t="s">
        <v>450</v>
      </c>
      <c r="G140">
        <v>1034</v>
      </c>
      <c r="H140" t="s">
        <v>466</v>
      </c>
      <c r="I140">
        <v>2014</v>
      </c>
      <c r="J140">
        <v>2014</v>
      </c>
      <c r="K140" t="s">
        <v>456</v>
      </c>
      <c r="L140">
        <v>12940000</v>
      </c>
      <c r="N140" t="s">
        <v>385</v>
      </c>
    </row>
    <row r="141" spans="1:14">
      <c r="A141" t="s">
        <v>448</v>
      </c>
      <c r="B141" t="s">
        <v>449</v>
      </c>
      <c r="C141">
        <v>33</v>
      </c>
      <c r="D141" t="s">
        <v>316</v>
      </c>
      <c r="E141">
        <v>5111</v>
      </c>
      <c r="F141" t="s">
        <v>450</v>
      </c>
      <c r="G141">
        <v>1034</v>
      </c>
      <c r="H141" t="s">
        <v>466</v>
      </c>
      <c r="I141">
        <v>2015</v>
      </c>
      <c r="J141">
        <v>2015</v>
      </c>
      <c r="K141" t="s">
        <v>456</v>
      </c>
      <c r="L141">
        <v>13247904</v>
      </c>
      <c r="M141" t="s">
        <v>453</v>
      </c>
      <c r="N141" t="s">
        <v>454</v>
      </c>
    </row>
    <row r="142" spans="1:14">
      <c r="A142" t="s">
        <v>448</v>
      </c>
      <c r="B142" t="s">
        <v>449</v>
      </c>
      <c r="C142">
        <v>33</v>
      </c>
      <c r="D142" t="s">
        <v>316</v>
      </c>
      <c r="E142">
        <v>5111</v>
      </c>
      <c r="F142" t="s">
        <v>450</v>
      </c>
      <c r="G142">
        <v>1034</v>
      </c>
      <c r="H142" t="s">
        <v>466</v>
      </c>
      <c r="I142">
        <v>2016</v>
      </c>
      <c r="J142">
        <v>2016</v>
      </c>
      <c r="K142" t="s">
        <v>456</v>
      </c>
      <c r="L142">
        <v>12770461</v>
      </c>
      <c r="M142" t="s">
        <v>453</v>
      </c>
      <c r="N142" t="s">
        <v>454</v>
      </c>
    </row>
    <row r="143" spans="1:14">
      <c r="A143" t="s">
        <v>448</v>
      </c>
      <c r="B143" t="s">
        <v>449</v>
      </c>
      <c r="C143">
        <v>33</v>
      </c>
      <c r="D143" t="s">
        <v>316</v>
      </c>
      <c r="E143">
        <v>5111</v>
      </c>
      <c r="F143" t="s">
        <v>450</v>
      </c>
      <c r="G143">
        <v>976</v>
      </c>
      <c r="H143" t="s">
        <v>66</v>
      </c>
      <c r="I143">
        <v>2012</v>
      </c>
      <c r="J143">
        <v>2012</v>
      </c>
      <c r="K143" t="s">
        <v>456</v>
      </c>
      <c r="L143">
        <v>888300</v>
      </c>
      <c r="N143" t="s">
        <v>385</v>
      </c>
    </row>
    <row r="144" spans="1:14">
      <c r="A144" t="s">
        <v>448</v>
      </c>
      <c r="B144" t="s">
        <v>449</v>
      </c>
      <c r="C144">
        <v>33</v>
      </c>
      <c r="D144" t="s">
        <v>316</v>
      </c>
      <c r="E144">
        <v>5111</v>
      </c>
      <c r="F144" t="s">
        <v>450</v>
      </c>
      <c r="G144">
        <v>976</v>
      </c>
      <c r="H144" t="s">
        <v>66</v>
      </c>
      <c r="I144">
        <v>2013</v>
      </c>
      <c r="J144">
        <v>2013</v>
      </c>
      <c r="K144" t="s">
        <v>456</v>
      </c>
      <c r="L144">
        <v>899500</v>
      </c>
      <c r="N144" t="s">
        <v>385</v>
      </c>
    </row>
    <row r="145" spans="1:14">
      <c r="A145" t="s">
        <v>448</v>
      </c>
      <c r="B145" t="s">
        <v>449</v>
      </c>
      <c r="C145">
        <v>33</v>
      </c>
      <c r="D145" t="s">
        <v>316</v>
      </c>
      <c r="E145">
        <v>5111</v>
      </c>
      <c r="F145" t="s">
        <v>450</v>
      </c>
      <c r="G145">
        <v>976</v>
      </c>
      <c r="H145" t="s">
        <v>66</v>
      </c>
      <c r="I145">
        <v>2014</v>
      </c>
      <c r="J145">
        <v>2014</v>
      </c>
      <c r="K145" t="s">
        <v>456</v>
      </c>
      <c r="L145">
        <v>874700</v>
      </c>
      <c r="N145" t="s">
        <v>385</v>
      </c>
    </row>
    <row r="146" spans="1:14">
      <c r="A146" t="s">
        <v>448</v>
      </c>
      <c r="B146" t="s">
        <v>449</v>
      </c>
      <c r="C146">
        <v>33</v>
      </c>
      <c r="D146" t="s">
        <v>316</v>
      </c>
      <c r="E146">
        <v>5111</v>
      </c>
      <c r="F146" t="s">
        <v>450</v>
      </c>
      <c r="G146">
        <v>976</v>
      </c>
      <c r="H146" t="s">
        <v>66</v>
      </c>
      <c r="I146">
        <v>2015</v>
      </c>
      <c r="J146">
        <v>2015</v>
      </c>
      <c r="K146" t="s">
        <v>456</v>
      </c>
      <c r="L146">
        <v>842300</v>
      </c>
      <c r="M146" t="s">
        <v>457</v>
      </c>
      <c r="N146" t="s">
        <v>458</v>
      </c>
    </row>
    <row r="147" spans="1:14">
      <c r="A147" t="s">
        <v>448</v>
      </c>
      <c r="B147" t="s">
        <v>449</v>
      </c>
      <c r="C147">
        <v>33</v>
      </c>
      <c r="D147" t="s">
        <v>316</v>
      </c>
      <c r="E147">
        <v>5111</v>
      </c>
      <c r="F147" t="s">
        <v>450</v>
      </c>
      <c r="G147">
        <v>976</v>
      </c>
      <c r="H147" t="s">
        <v>66</v>
      </c>
      <c r="I147">
        <v>2016</v>
      </c>
      <c r="J147">
        <v>2016</v>
      </c>
      <c r="K147" t="s">
        <v>456</v>
      </c>
      <c r="L147">
        <v>826400</v>
      </c>
      <c r="M147" t="s">
        <v>457</v>
      </c>
      <c r="N147" t="s">
        <v>458</v>
      </c>
    </row>
    <row r="148" spans="1:14">
      <c r="A148" t="s">
        <v>448</v>
      </c>
      <c r="B148" t="s">
        <v>449</v>
      </c>
      <c r="C148">
        <v>33</v>
      </c>
      <c r="D148" t="s">
        <v>316</v>
      </c>
      <c r="E148">
        <v>5112</v>
      </c>
      <c r="F148" t="s">
        <v>450</v>
      </c>
      <c r="G148">
        <v>1079</v>
      </c>
      <c r="H148" t="s">
        <v>467</v>
      </c>
      <c r="I148">
        <v>2012</v>
      </c>
      <c r="J148">
        <v>2012</v>
      </c>
      <c r="K148" t="s">
        <v>460</v>
      </c>
      <c r="L148">
        <v>5500</v>
      </c>
      <c r="M148" t="s">
        <v>461</v>
      </c>
      <c r="N148" t="s">
        <v>462</v>
      </c>
    </row>
    <row r="149" spans="1:14">
      <c r="A149" t="s">
        <v>448</v>
      </c>
      <c r="B149" t="s">
        <v>449</v>
      </c>
      <c r="C149">
        <v>33</v>
      </c>
      <c r="D149" t="s">
        <v>316</v>
      </c>
      <c r="E149">
        <v>5112</v>
      </c>
      <c r="F149" t="s">
        <v>450</v>
      </c>
      <c r="G149">
        <v>1079</v>
      </c>
      <c r="H149" t="s">
        <v>467</v>
      </c>
      <c r="I149">
        <v>2013</v>
      </c>
      <c r="J149">
        <v>2013</v>
      </c>
      <c r="K149" t="s">
        <v>460</v>
      </c>
      <c r="L149">
        <v>5700</v>
      </c>
      <c r="M149" t="s">
        <v>461</v>
      </c>
      <c r="N149" t="s">
        <v>462</v>
      </c>
    </row>
    <row r="150" spans="1:14">
      <c r="A150" t="s">
        <v>448</v>
      </c>
      <c r="B150" t="s">
        <v>449</v>
      </c>
      <c r="C150">
        <v>33</v>
      </c>
      <c r="D150" t="s">
        <v>316</v>
      </c>
      <c r="E150">
        <v>5112</v>
      </c>
      <c r="F150" t="s">
        <v>450</v>
      </c>
      <c r="G150">
        <v>1079</v>
      </c>
      <c r="H150" t="s">
        <v>467</v>
      </c>
      <c r="I150">
        <v>2014</v>
      </c>
      <c r="J150">
        <v>2014</v>
      </c>
      <c r="K150" t="s">
        <v>460</v>
      </c>
      <c r="L150">
        <v>5700</v>
      </c>
      <c r="M150" t="s">
        <v>461</v>
      </c>
      <c r="N150" t="s">
        <v>462</v>
      </c>
    </row>
    <row r="151" spans="1:14">
      <c r="A151" t="s">
        <v>448</v>
      </c>
      <c r="B151" t="s">
        <v>449</v>
      </c>
      <c r="C151">
        <v>33</v>
      </c>
      <c r="D151" t="s">
        <v>316</v>
      </c>
      <c r="E151">
        <v>5112</v>
      </c>
      <c r="F151" t="s">
        <v>450</v>
      </c>
      <c r="G151">
        <v>1079</v>
      </c>
      <c r="H151" t="s">
        <v>467</v>
      </c>
      <c r="I151">
        <v>2015</v>
      </c>
      <c r="J151">
        <v>2015</v>
      </c>
      <c r="K151" t="s">
        <v>460</v>
      </c>
      <c r="L151">
        <v>5680</v>
      </c>
      <c r="M151" t="s">
        <v>453</v>
      </c>
      <c r="N151" t="s">
        <v>454</v>
      </c>
    </row>
    <row r="152" spans="1:14">
      <c r="A152" t="s">
        <v>448</v>
      </c>
      <c r="B152" t="s">
        <v>449</v>
      </c>
      <c r="C152">
        <v>33</v>
      </c>
      <c r="D152" t="s">
        <v>316</v>
      </c>
      <c r="E152">
        <v>5112</v>
      </c>
      <c r="F152" t="s">
        <v>450</v>
      </c>
      <c r="G152">
        <v>1079</v>
      </c>
      <c r="H152" t="s">
        <v>467</v>
      </c>
      <c r="I152">
        <v>2016</v>
      </c>
      <c r="J152">
        <v>2016</v>
      </c>
      <c r="K152" t="s">
        <v>460</v>
      </c>
      <c r="L152">
        <v>5696</v>
      </c>
      <c r="M152" t="s">
        <v>453</v>
      </c>
      <c r="N152" t="s">
        <v>454</v>
      </c>
    </row>
    <row r="153" spans="1:14">
      <c r="A153" t="s">
        <v>468</v>
      </c>
      <c r="B153" t="s">
        <v>469</v>
      </c>
      <c r="C153">
        <v>33</v>
      </c>
      <c r="D153" t="s">
        <v>316</v>
      </c>
      <c r="E153">
        <v>5320</v>
      </c>
      <c r="F153" t="s">
        <v>470</v>
      </c>
      <c r="G153">
        <v>867</v>
      </c>
      <c r="H153" t="s">
        <v>471</v>
      </c>
      <c r="I153">
        <v>2012</v>
      </c>
      <c r="J153">
        <v>2012</v>
      </c>
      <c r="K153" t="s">
        <v>456</v>
      </c>
      <c r="L153">
        <v>3110300</v>
      </c>
      <c r="M153" t="s">
        <v>472</v>
      </c>
      <c r="N153" t="s">
        <v>473</v>
      </c>
    </row>
    <row r="154" spans="1:14">
      <c r="A154" t="s">
        <v>468</v>
      </c>
      <c r="B154" t="s">
        <v>469</v>
      </c>
      <c r="C154">
        <v>33</v>
      </c>
      <c r="D154" t="s">
        <v>316</v>
      </c>
      <c r="E154">
        <v>5320</v>
      </c>
      <c r="F154" t="s">
        <v>470</v>
      </c>
      <c r="G154">
        <v>867</v>
      </c>
      <c r="H154" t="s">
        <v>471</v>
      </c>
      <c r="I154">
        <v>2013</v>
      </c>
      <c r="J154">
        <v>2013</v>
      </c>
      <c r="K154" t="s">
        <v>456</v>
      </c>
      <c r="L154">
        <v>3066200</v>
      </c>
      <c r="M154" t="s">
        <v>472</v>
      </c>
      <c r="N154" t="s">
        <v>473</v>
      </c>
    </row>
    <row r="155" spans="1:14">
      <c r="A155" t="s">
        <v>468</v>
      </c>
      <c r="B155" t="s">
        <v>469</v>
      </c>
      <c r="C155">
        <v>33</v>
      </c>
      <c r="D155" t="s">
        <v>316</v>
      </c>
      <c r="E155">
        <v>5320</v>
      </c>
      <c r="F155" t="s">
        <v>470</v>
      </c>
      <c r="G155">
        <v>867</v>
      </c>
      <c r="H155" t="s">
        <v>471</v>
      </c>
      <c r="I155">
        <v>2014</v>
      </c>
      <c r="J155">
        <v>2014</v>
      </c>
      <c r="K155" t="s">
        <v>456</v>
      </c>
      <c r="L155">
        <v>2797900</v>
      </c>
      <c r="M155" t="s">
        <v>472</v>
      </c>
      <c r="N155" t="s">
        <v>473</v>
      </c>
    </row>
    <row r="156" spans="1:14">
      <c r="A156" t="s">
        <v>468</v>
      </c>
      <c r="B156" t="s">
        <v>469</v>
      </c>
      <c r="C156">
        <v>33</v>
      </c>
      <c r="D156" t="s">
        <v>316</v>
      </c>
      <c r="E156">
        <v>5320</v>
      </c>
      <c r="F156" t="s">
        <v>470</v>
      </c>
      <c r="G156">
        <v>867</v>
      </c>
      <c r="H156" t="s">
        <v>471</v>
      </c>
      <c r="I156">
        <v>2015</v>
      </c>
      <c r="J156">
        <v>2015</v>
      </c>
      <c r="K156" t="s">
        <v>456</v>
      </c>
      <c r="L156">
        <v>2738998</v>
      </c>
      <c r="M156" t="s">
        <v>453</v>
      </c>
      <c r="N156" t="s">
        <v>454</v>
      </c>
    </row>
    <row r="157" spans="1:14">
      <c r="A157" t="s">
        <v>468</v>
      </c>
      <c r="B157" t="s">
        <v>469</v>
      </c>
      <c r="C157">
        <v>33</v>
      </c>
      <c r="D157" t="s">
        <v>316</v>
      </c>
      <c r="E157">
        <v>5320</v>
      </c>
      <c r="F157" t="s">
        <v>470</v>
      </c>
      <c r="G157">
        <v>867</v>
      </c>
      <c r="H157" t="s">
        <v>471</v>
      </c>
      <c r="I157">
        <v>2016</v>
      </c>
      <c r="J157">
        <v>2016</v>
      </c>
      <c r="K157" t="s">
        <v>456</v>
      </c>
      <c r="L157">
        <v>3030117</v>
      </c>
      <c r="M157" t="s">
        <v>453</v>
      </c>
      <c r="N157" t="s">
        <v>454</v>
      </c>
    </row>
    <row r="158" spans="1:14">
      <c r="A158" t="s">
        <v>468</v>
      </c>
      <c r="B158" t="s">
        <v>469</v>
      </c>
      <c r="C158">
        <v>33</v>
      </c>
      <c r="D158" t="s">
        <v>316</v>
      </c>
      <c r="E158">
        <v>5318</v>
      </c>
      <c r="F158" t="s">
        <v>474</v>
      </c>
      <c r="G158">
        <v>882</v>
      </c>
      <c r="H158" t="s">
        <v>475</v>
      </c>
      <c r="I158">
        <v>2012</v>
      </c>
      <c r="J158">
        <v>2012</v>
      </c>
      <c r="K158" t="s">
        <v>456</v>
      </c>
      <c r="L158">
        <v>958400</v>
      </c>
      <c r="N158" t="s">
        <v>385</v>
      </c>
    </row>
    <row r="159" spans="1:14">
      <c r="A159" t="s">
        <v>468</v>
      </c>
      <c r="B159" t="s">
        <v>469</v>
      </c>
      <c r="C159">
        <v>33</v>
      </c>
      <c r="D159" t="s">
        <v>316</v>
      </c>
      <c r="E159">
        <v>5318</v>
      </c>
      <c r="F159" t="s">
        <v>474</v>
      </c>
      <c r="G159">
        <v>882</v>
      </c>
      <c r="H159" t="s">
        <v>475</v>
      </c>
      <c r="I159">
        <v>2013</v>
      </c>
      <c r="J159">
        <v>2013</v>
      </c>
      <c r="K159" t="s">
        <v>456</v>
      </c>
      <c r="L159">
        <v>960500</v>
      </c>
      <c r="N159" t="s">
        <v>385</v>
      </c>
    </row>
    <row r="160" spans="1:14">
      <c r="A160" t="s">
        <v>468</v>
      </c>
      <c r="B160" t="s">
        <v>469</v>
      </c>
      <c r="C160">
        <v>33</v>
      </c>
      <c r="D160" t="s">
        <v>316</v>
      </c>
      <c r="E160">
        <v>5318</v>
      </c>
      <c r="F160" t="s">
        <v>474</v>
      </c>
      <c r="G160">
        <v>882</v>
      </c>
      <c r="H160" t="s">
        <v>475</v>
      </c>
      <c r="I160">
        <v>2014</v>
      </c>
      <c r="J160">
        <v>2014</v>
      </c>
      <c r="K160" t="s">
        <v>456</v>
      </c>
      <c r="L160">
        <v>959300</v>
      </c>
      <c r="N160" t="s">
        <v>385</v>
      </c>
    </row>
    <row r="161" spans="1:14">
      <c r="A161" t="s">
        <v>468</v>
      </c>
      <c r="B161" t="s">
        <v>469</v>
      </c>
      <c r="C161">
        <v>33</v>
      </c>
      <c r="D161" t="s">
        <v>316</v>
      </c>
      <c r="E161">
        <v>5318</v>
      </c>
      <c r="F161" t="s">
        <v>474</v>
      </c>
      <c r="G161">
        <v>882</v>
      </c>
      <c r="H161" t="s">
        <v>475</v>
      </c>
      <c r="I161">
        <v>2015</v>
      </c>
      <c r="J161">
        <v>2015</v>
      </c>
      <c r="K161" t="s">
        <v>456</v>
      </c>
      <c r="L161">
        <v>1030592</v>
      </c>
      <c r="M161" t="s">
        <v>453</v>
      </c>
      <c r="N161" t="s">
        <v>454</v>
      </c>
    </row>
    <row r="162" spans="1:14">
      <c r="A162" t="s">
        <v>468</v>
      </c>
      <c r="B162" t="s">
        <v>469</v>
      </c>
      <c r="C162">
        <v>33</v>
      </c>
      <c r="D162" t="s">
        <v>316</v>
      </c>
      <c r="E162">
        <v>5318</v>
      </c>
      <c r="F162" t="s">
        <v>474</v>
      </c>
      <c r="G162">
        <v>882</v>
      </c>
      <c r="H162" t="s">
        <v>475</v>
      </c>
      <c r="I162">
        <v>2016</v>
      </c>
      <c r="J162">
        <v>2016</v>
      </c>
      <c r="K162" t="s">
        <v>456</v>
      </c>
      <c r="L162">
        <v>1038634</v>
      </c>
      <c r="M162" t="s">
        <v>453</v>
      </c>
      <c r="N162" t="s">
        <v>454</v>
      </c>
    </row>
    <row r="163" spans="1:14">
      <c r="A163" t="s">
        <v>468</v>
      </c>
      <c r="B163" t="s">
        <v>469</v>
      </c>
      <c r="C163">
        <v>33</v>
      </c>
      <c r="D163" t="s">
        <v>316</v>
      </c>
      <c r="E163">
        <v>5323</v>
      </c>
      <c r="F163" t="s">
        <v>34</v>
      </c>
      <c r="G163">
        <v>1094</v>
      </c>
      <c r="H163" t="s">
        <v>496</v>
      </c>
      <c r="I163">
        <v>2012</v>
      </c>
      <c r="J163">
        <v>2012</v>
      </c>
      <c r="K163" t="s">
        <v>460</v>
      </c>
      <c r="L163">
        <v>595945</v>
      </c>
      <c r="N163" t="s">
        <v>385</v>
      </c>
    </row>
    <row r="164" spans="1:14">
      <c r="A164" t="s">
        <v>468</v>
      </c>
      <c r="B164" t="s">
        <v>469</v>
      </c>
      <c r="C164">
        <v>33</v>
      </c>
      <c r="D164" t="s">
        <v>316</v>
      </c>
      <c r="E164">
        <v>5323</v>
      </c>
      <c r="F164" t="s">
        <v>34</v>
      </c>
      <c r="G164">
        <v>1094</v>
      </c>
      <c r="H164" t="s">
        <v>496</v>
      </c>
      <c r="I164">
        <v>2013</v>
      </c>
      <c r="J164">
        <v>2013</v>
      </c>
      <c r="K164" t="s">
        <v>460</v>
      </c>
      <c r="L164">
        <v>599919</v>
      </c>
      <c r="N164" t="s">
        <v>385</v>
      </c>
    </row>
    <row r="165" spans="1:14">
      <c r="A165" t="s">
        <v>468</v>
      </c>
      <c r="B165" t="s">
        <v>469</v>
      </c>
      <c r="C165">
        <v>33</v>
      </c>
      <c r="D165" t="s">
        <v>316</v>
      </c>
      <c r="E165">
        <v>5424</v>
      </c>
      <c r="F165" t="s">
        <v>497</v>
      </c>
      <c r="G165">
        <v>1094</v>
      </c>
      <c r="H165" t="s">
        <v>496</v>
      </c>
      <c r="I165">
        <v>2012</v>
      </c>
      <c r="J165">
        <v>2012</v>
      </c>
      <c r="K165" t="s">
        <v>498</v>
      </c>
      <c r="L165">
        <v>16440</v>
      </c>
      <c r="M165" t="s">
        <v>472</v>
      </c>
      <c r="N165" t="s">
        <v>473</v>
      </c>
    </row>
    <row r="166" spans="1:14">
      <c r="A166" t="s">
        <v>468</v>
      </c>
      <c r="B166" t="s">
        <v>469</v>
      </c>
      <c r="C166">
        <v>33</v>
      </c>
      <c r="D166" t="s">
        <v>316</v>
      </c>
      <c r="E166">
        <v>5424</v>
      </c>
      <c r="F166" t="s">
        <v>497</v>
      </c>
      <c r="G166">
        <v>1094</v>
      </c>
      <c r="H166" t="s">
        <v>496</v>
      </c>
      <c r="I166">
        <v>2013</v>
      </c>
      <c r="J166">
        <v>2013</v>
      </c>
      <c r="K166" t="s">
        <v>498</v>
      </c>
      <c r="L166">
        <v>16540</v>
      </c>
      <c r="M166" t="s">
        <v>472</v>
      </c>
      <c r="N166" t="s">
        <v>473</v>
      </c>
    </row>
    <row r="167" spans="1:14">
      <c r="A167" t="s">
        <v>468</v>
      </c>
      <c r="B167" t="s">
        <v>469</v>
      </c>
      <c r="C167">
        <v>33</v>
      </c>
      <c r="D167" t="s">
        <v>316</v>
      </c>
      <c r="E167">
        <v>5510</v>
      </c>
      <c r="F167" t="s">
        <v>34</v>
      </c>
      <c r="G167">
        <v>1094</v>
      </c>
      <c r="H167" t="s">
        <v>496</v>
      </c>
      <c r="I167">
        <v>2012</v>
      </c>
      <c r="J167">
        <v>2012</v>
      </c>
      <c r="K167" t="s">
        <v>386</v>
      </c>
      <c r="L167">
        <v>979735</v>
      </c>
      <c r="M167" t="s">
        <v>461</v>
      </c>
      <c r="N167" t="s">
        <v>462</v>
      </c>
    </row>
    <row r="168" spans="1:14">
      <c r="A168" t="s">
        <v>468</v>
      </c>
      <c r="B168" t="s">
        <v>469</v>
      </c>
      <c r="C168">
        <v>33</v>
      </c>
      <c r="D168" t="s">
        <v>316</v>
      </c>
      <c r="E168">
        <v>5510</v>
      </c>
      <c r="F168" t="s">
        <v>34</v>
      </c>
      <c r="G168">
        <v>1094</v>
      </c>
      <c r="H168" t="s">
        <v>496</v>
      </c>
      <c r="I168">
        <v>2013</v>
      </c>
      <c r="J168">
        <v>2013</v>
      </c>
      <c r="K168" t="s">
        <v>386</v>
      </c>
      <c r="L168">
        <v>992270</v>
      </c>
      <c r="M168" t="s">
        <v>461</v>
      </c>
      <c r="N168" t="s">
        <v>462</v>
      </c>
    </row>
    <row r="169" spans="1:14">
      <c r="A169" t="s">
        <v>468</v>
      </c>
      <c r="B169" t="s">
        <v>469</v>
      </c>
      <c r="C169">
        <v>33</v>
      </c>
      <c r="D169" t="s">
        <v>316</v>
      </c>
      <c r="E169">
        <v>5323</v>
      </c>
      <c r="F169" t="s">
        <v>34</v>
      </c>
      <c r="G169">
        <v>1087</v>
      </c>
      <c r="H169" t="s">
        <v>499</v>
      </c>
      <c r="I169">
        <v>2012</v>
      </c>
      <c r="J169">
        <v>2012</v>
      </c>
      <c r="K169" t="s">
        <v>460</v>
      </c>
      <c r="L169">
        <v>24141</v>
      </c>
      <c r="N169" t="s">
        <v>385</v>
      </c>
    </row>
    <row r="170" spans="1:14">
      <c r="A170" t="s">
        <v>468</v>
      </c>
      <c r="B170" t="s">
        <v>469</v>
      </c>
      <c r="C170">
        <v>33</v>
      </c>
      <c r="D170" t="s">
        <v>316</v>
      </c>
      <c r="E170">
        <v>5323</v>
      </c>
      <c r="F170" t="s">
        <v>34</v>
      </c>
      <c r="G170">
        <v>1087</v>
      </c>
      <c r="H170" t="s">
        <v>499</v>
      </c>
      <c r="I170">
        <v>2013</v>
      </c>
      <c r="J170">
        <v>2013</v>
      </c>
      <c r="K170" t="s">
        <v>460</v>
      </c>
      <c r="L170">
        <v>24936</v>
      </c>
      <c r="N170" t="s">
        <v>385</v>
      </c>
    </row>
    <row r="171" spans="1:14">
      <c r="A171" t="s">
        <v>468</v>
      </c>
      <c r="B171" t="s">
        <v>469</v>
      </c>
      <c r="C171">
        <v>33</v>
      </c>
      <c r="D171" t="s">
        <v>316</v>
      </c>
      <c r="E171">
        <v>5424</v>
      </c>
      <c r="F171" t="s">
        <v>497</v>
      </c>
      <c r="G171">
        <v>1087</v>
      </c>
      <c r="H171" t="s">
        <v>499</v>
      </c>
      <c r="I171">
        <v>2012</v>
      </c>
      <c r="J171">
        <v>2012</v>
      </c>
      <c r="K171" t="s">
        <v>498</v>
      </c>
      <c r="L171">
        <v>65946</v>
      </c>
      <c r="M171" t="s">
        <v>472</v>
      </c>
      <c r="N171" t="s">
        <v>473</v>
      </c>
    </row>
    <row r="172" spans="1:14">
      <c r="A172" t="s">
        <v>468</v>
      </c>
      <c r="B172" t="s">
        <v>469</v>
      </c>
      <c r="C172">
        <v>33</v>
      </c>
      <c r="D172" t="s">
        <v>316</v>
      </c>
      <c r="E172">
        <v>5424</v>
      </c>
      <c r="F172" t="s">
        <v>497</v>
      </c>
      <c r="G172">
        <v>1087</v>
      </c>
      <c r="H172" t="s">
        <v>499</v>
      </c>
      <c r="I172">
        <v>2013</v>
      </c>
      <c r="J172">
        <v>2013</v>
      </c>
      <c r="K172" t="s">
        <v>498</v>
      </c>
      <c r="L172">
        <v>66731</v>
      </c>
      <c r="M172" t="s">
        <v>472</v>
      </c>
      <c r="N172" t="s">
        <v>473</v>
      </c>
    </row>
    <row r="173" spans="1:14">
      <c r="A173" t="s">
        <v>468</v>
      </c>
      <c r="B173" t="s">
        <v>469</v>
      </c>
      <c r="C173">
        <v>33</v>
      </c>
      <c r="D173" t="s">
        <v>316</v>
      </c>
      <c r="E173">
        <v>5510</v>
      </c>
      <c r="F173" t="s">
        <v>34</v>
      </c>
      <c r="G173">
        <v>1087</v>
      </c>
      <c r="H173" t="s">
        <v>499</v>
      </c>
      <c r="I173">
        <v>2012</v>
      </c>
      <c r="J173">
        <v>2012</v>
      </c>
      <c r="K173" t="s">
        <v>386</v>
      </c>
      <c r="L173">
        <v>159200</v>
      </c>
      <c r="M173" t="s">
        <v>457</v>
      </c>
      <c r="N173" t="s">
        <v>458</v>
      </c>
    </row>
    <row r="174" spans="1:14">
      <c r="A174" t="s">
        <v>468</v>
      </c>
      <c r="B174" t="s">
        <v>469</v>
      </c>
      <c r="C174">
        <v>33</v>
      </c>
      <c r="D174" t="s">
        <v>316</v>
      </c>
      <c r="E174">
        <v>5510</v>
      </c>
      <c r="F174" t="s">
        <v>34</v>
      </c>
      <c r="G174">
        <v>1087</v>
      </c>
      <c r="H174" t="s">
        <v>499</v>
      </c>
      <c r="I174">
        <v>2013</v>
      </c>
      <c r="J174">
        <v>2013</v>
      </c>
      <c r="K174" t="s">
        <v>386</v>
      </c>
      <c r="L174">
        <v>166400</v>
      </c>
      <c r="M174" t="s">
        <v>457</v>
      </c>
      <c r="N174" t="s">
        <v>458</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5" tint="0.79998168889431442"/>
    <pageSetUpPr fitToPage="1"/>
  </sheetPr>
  <dimension ref="A1:G43"/>
  <sheetViews>
    <sheetView showGridLines="0" workbookViewId="0">
      <selection activeCell="G14" sqref="G14"/>
    </sheetView>
  </sheetViews>
  <sheetFormatPr baseColWidth="10" defaultColWidth="8" defaultRowHeight="12" customHeight="1"/>
  <cols>
    <col min="1" max="1" width="44.33203125" style="113" customWidth="1"/>
    <col min="2" max="2" width="40.6640625" style="113" customWidth="1"/>
    <col min="3" max="3" width="16.5" style="113" customWidth="1"/>
    <col min="4" max="4" width="22.33203125" style="113" customWidth="1"/>
    <col min="5" max="5" width="16.6640625" style="113" customWidth="1"/>
    <col min="6" max="16384" width="8" style="113"/>
  </cols>
  <sheetData>
    <row r="1" spans="1:7" ht="16">
      <c r="A1" s="591" t="s">
        <v>566</v>
      </c>
      <c r="B1" s="591"/>
      <c r="C1" s="101"/>
      <c r="D1" s="101"/>
      <c r="E1" s="100" t="s">
        <v>506</v>
      </c>
      <c r="G1" s="230"/>
    </row>
    <row r="2" spans="1:7" ht="18">
      <c r="A2" s="591" t="s">
        <v>567</v>
      </c>
      <c r="B2" s="591"/>
      <c r="C2" s="101"/>
      <c r="D2" s="101"/>
      <c r="E2" s="100" t="s">
        <v>507</v>
      </c>
    </row>
    <row r="3" spans="1:7" ht="16">
      <c r="A3" s="102" t="s">
        <v>568</v>
      </c>
      <c r="B3" s="103"/>
      <c r="C3" s="101"/>
      <c r="D3" s="101"/>
      <c r="E3" s="100" t="s">
        <v>508</v>
      </c>
    </row>
    <row r="4" spans="1:7" ht="12" customHeight="1">
      <c r="A4" s="101"/>
      <c r="B4" s="101"/>
      <c r="C4" s="101"/>
      <c r="D4" s="101"/>
      <c r="E4" s="101"/>
    </row>
    <row r="5" spans="1:7" ht="27" customHeight="1">
      <c r="A5" s="128" t="s">
        <v>511</v>
      </c>
      <c r="B5" s="592" t="s">
        <v>569</v>
      </c>
      <c r="C5" s="593"/>
      <c r="D5" s="104" t="s">
        <v>570</v>
      </c>
      <c r="E5" s="129" t="s">
        <v>571</v>
      </c>
    </row>
    <row r="6" spans="1:7" ht="12" customHeight="1">
      <c r="A6" s="130"/>
      <c r="B6" s="105" t="s">
        <v>572</v>
      </c>
      <c r="C6" s="112" t="s">
        <v>378</v>
      </c>
      <c r="D6" s="105"/>
      <c r="E6" s="131" t="s">
        <v>514</v>
      </c>
    </row>
    <row r="7" spans="1:7" ht="29.25" customHeight="1" thickBot="1">
      <c r="A7" s="132"/>
      <c r="B7" s="133"/>
      <c r="C7" s="134" t="s">
        <v>573</v>
      </c>
      <c r="D7" s="135" t="s">
        <v>574</v>
      </c>
      <c r="E7" s="136" t="s">
        <v>518</v>
      </c>
    </row>
    <row r="8" spans="1:7" ht="29.25" customHeight="1" thickTop="1">
      <c r="A8" s="137" t="s">
        <v>575</v>
      </c>
      <c r="B8" s="106" t="s">
        <v>1</v>
      </c>
      <c r="C8" s="106" t="s">
        <v>1</v>
      </c>
      <c r="D8" s="106" t="s">
        <v>1</v>
      </c>
      <c r="E8" s="68">
        <v>62.841554827484032</v>
      </c>
    </row>
    <row r="9" spans="1:7" ht="29.25" customHeight="1">
      <c r="A9" s="138" t="s">
        <v>576</v>
      </c>
      <c r="B9" s="68" t="s">
        <v>1</v>
      </c>
      <c r="C9" s="69">
        <v>2592999999.9999981</v>
      </c>
      <c r="D9" s="68">
        <v>8.5197527317299997E-3</v>
      </c>
      <c r="E9" s="69">
        <v>34.715558166722452</v>
      </c>
    </row>
    <row r="10" spans="1:7" ht="29.25" customHeight="1">
      <c r="A10" s="138" t="s">
        <v>577</v>
      </c>
      <c r="B10" s="68" t="s">
        <v>1</v>
      </c>
      <c r="C10" s="68">
        <v>341627062.44281316</v>
      </c>
      <c r="D10" s="68">
        <v>1.1636919012159999E-2</v>
      </c>
      <c r="E10" s="68">
        <v>6.2471930054413596</v>
      </c>
    </row>
    <row r="11" spans="1:7" ht="25.5" customHeight="1">
      <c r="A11" s="138" t="s">
        <v>578</v>
      </c>
      <c r="B11" s="68" t="s">
        <v>1</v>
      </c>
      <c r="C11" s="69">
        <v>341627062.44281316</v>
      </c>
      <c r="D11" s="68">
        <v>1.1636919012159999E-2</v>
      </c>
      <c r="E11" s="69">
        <v>6.2471930054413596</v>
      </c>
    </row>
    <row r="12" spans="1:7" ht="22.5" customHeight="1">
      <c r="A12" s="138" t="s">
        <v>579</v>
      </c>
      <c r="B12" s="68" t="s">
        <v>1</v>
      </c>
      <c r="C12" s="69" t="s">
        <v>178</v>
      </c>
      <c r="D12" s="68" t="s">
        <v>178</v>
      </c>
      <c r="E12" s="69" t="s">
        <v>178</v>
      </c>
    </row>
    <row r="13" spans="1:7" ht="20.25" customHeight="1">
      <c r="A13" s="139" t="s">
        <v>580</v>
      </c>
      <c r="B13" s="68" t="s">
        <v>1</v>
      </c>
      <c r="C13" s="69" t="s">
        <v>178</v>
      </c>
      <c r="D13" s="68" t="s">
        <v>178</v>
      </c>
      <c r="E13" s="69" t="s">
        <v>178</v>
      </c>
    </row>
    <row r="14" spans="1:7" ht="14.25" customHeight="1">
      <c r="A14" s="138" t="s">
        <v>581</v>
      </c>
      <c r="B14" s="68" t="s">
        <v>1</v>
      </c>
      <c r="C14" s="69">
        <v>295786020.14507705</v>
      </c>
      <c r="D14" s="68">
        <v>1.5067066726900001E-3</v>
      </c>
      <c r="E14" s="69">
        <v>0.70032721037958001</v>
      </c>
    </row>
    <row r="15" spans="1:7" ht="14.25" customHeight="1">
      <c r="A15" s="138" t="s">
        <v>582</v>
      </c>
      <c r="B15" s="68" t="s">
        <v>1</v>
      </c>
      <c r="C15" s="69">
        <v>1342536483.5520172</v>
      </c>
      <c r="D15" s="68">
        <v>8.7405273201699996E-3</v>
      </c>
      <c r="E15" s="69">
        <v>18.439892134408481</v>
      </c>
    </row>
    <row r="16" spans="1:7" ht="25.5" customHeight="1">
      <c r="A16" s="138" t="s">
        <v>583</v>
      </c>
      <c r="B16" s="68" t="s">
        <v>1</v>
      </c>
      <c r="C16" s="69">
        <v>114559040.27272727</v>
      </c>
      <c r="D16" s="68">
        <v>1.408435848011E-2</v>
      </c>
      <c r="E16" s="69">
        <v>2.5354852133893</v>
      </c>
    </row>
    <row r="17" spans="1:5" ht="14.25" customHeight="1">
      <c r="A17" s="138" t="s">
        <v>584</v>
      </c>
      <c r="B17" s="68" t="s">
        <v>1</v>
      </c>
      <c r="C17" s="69">
        <v>16155.609999999997</v>
      </c>
      <c r="D17" s="68">
        <v>8.0000000000001208</v>
      </c>
      <c r="E17" s="69">
        <v>0.20309909714286001</v>
      </c>
    </row>
    <row r="18" spans="1:5" ht="14.25" customHeight="1">
      <c r="A18" s="138" t="s">
        <v>585</v>
      </c>
      <c r="B18" s="68" t="s">
        <v>1</v>
      </c>
      <c r="C18" s="69" t="s">
        <v>510</v>
      </c>
      <c r="D18" s="68" t="s">
        <v>510</v>
      </c>
      <c r="E18" s="69" t="s">
        <v>510</v>
      </c>
    </row>
    <row r="19" spans="1:5" ht="27" customHeight="1">
      <c r="A19" s="140" t="s">
        <v>586</v>
      </c>
      <c r="B19" s="106" t="s">
        <v>1</v>
      </c>
      <c r="C19" s="106" t="s">
        <v>1</v>
      </c>
      <c r="D19" s="106" t="s">
        <v>1</v>
      </c>
      <c r="E19" s="68">
        <v>13.36222279374781</v>
      </c>
    </row>
    <row r="20" spans="1:5" ht="24" customHeight="1">
      <c r="A20" s="141" t="s">
        <v>587</v>
      </c>
      <c r="B20" s="68" t="s">
        <v>1</v>
      </c>
      <c r="C20" s="69">
        <v>255061264.43786567</v>
      </c>
      <c r="D20" s="68">
        <v>0.01</v>
      </c>
      <c r="E20" s="69">
        <v>4.0081055840235997</v>
      </c>
    </row>
    <row r="21" spans="1:5">
      <c r="A21" s="141" t="s">
        <v>588</v>
      </c>
      <c r="B21" s="68" t="s">
        <v>1</v>
      </c>
      <c r="C21" s="69">
        <v>793682672.3402369</v>
      </c>
      <c r="D21" s="68">
        <v>7.4999999999999997E-3</v>
      </c>
      <c r="E21" s="69">
        <v>9.35411720972421</v>
      </c>
    </row>
    <row r="22" spans="1:5" ht="12" customHeight="1">
      <c r="A22" s="101"/>
      <c r="B22" s="101"/>
      <c r="C22" s="101"/>
      <c r="D22" s="101"/>
      <c r="E22" s="101"/>
    </row>
    <row r="23" spans="1:5" ht="11.25" customHeight="1">
      <c r="A23" s="584" t="s">
        <v>589</v>
      </c>
      <c r="B23" s="584"/>
      <c r="C23" s="584"/>
      <c r="D23" s="584"/>
      <c r="E23" s="584"/>
    </row>
    <row r="24" spans="1:5" ht="13">
      <c r="A24" s="594" t="s">
        <v>590</v>
      </c>
      <c r="B24" s="594"/>
      <c r="C24" s="594"/>
      <c r="D24" s="594"/>
      <c r="E24" s="594"/>
    </row>
    <row r="25" spans="1:5">
      <c r="A25" s="589" t="s">
        <v>591</v>
      </c>
      <c r="B25" s="590"/>
      <c r="C25" s="590"/>
      <c r="D25" s="590"/>
      <c r="E25" s="590"/>
    </row>
    <row r="26" spans="1:5" ht="14.25" customHeight="1">
      <c r="A26" s="596" t="s">
        <v>592</v>
      </c>
      <c r="B26" s="596"/>
      <c r="C26" s="596"/>
      <c r="D26" s="596"/>
      <c r="E26" s="596"/>
    </row>
    <row r="27" spans="1:5" ht="14.25" customHeight="1">
      <c r="A27" s="596" t="s">
        <v>593</v>
      </c>
      <c r="B27" s="596"/>
      <c r="C27" s="596"/>
      <c r="D27" s="596"/>
      <c r="E27" s="596"/>
    </row>
    <row r="28" spans="1:5" ht="13">
      <c r="A28" s="597" t="s">
        <v>594</v>
      </c>
      <c r="B28" s="597"/>
      <c r="C28" s="597"/>
      <c r="D28" s="597"/>
      <c r="E28" s="597"/>
    </row>
    <row r="29" spans="1:5" ht="13">
      <c r="A29" s="142"/>
      <c r="B29" s="142"/>
      <c r="C29" s="142"/>
      <c r="D29" s="142"/>
      <c r="E29" s="142"/>
    </row>
    <row r="30" spans="1:5" ht="13">
      <c r="A30" s="143" t="s">
        <v>595</v>
      </c>
      <c r="B30" s="142"/>
      <c r="C30" s="142"/>
      <c r="D30" s="142"/>
      <c r="E30" s="142"/>
    </row>
    <row r="31" spans="1:5" ht="14">
      <c r="A31" s="144" t="s">
        <v>596</v>
      </c>
      <c r="B31" s="145" t="s">
        <v>572</v>
      </c>
      <c r="C31" s="146" t="s">
        <v>378</v>
      </c>
      <c r="D31" s="142"/>
      <c r="E31" s="142"/>
    </row>
    <row r="32" spans="1:5" ht="26">
      <c r="A32" s="147" t="s">
        <v>597</v>
      </c>
      <c r="B32" s="147" t="s">
        <v>598</v>
      </c>
      <c r="C32" s="69">
        <v>5.9744287716390003E-2</v>
      </c>
      <c r="D32" s="142"/>
      <c r="E32" s="142"/>
    </row>
    <row r="33" spans="1:5" ht="26">
      <c r="A33" s="147" t="s">
        <v>599</v>
      </c>
      <c r="B33" s="147" t="s">
        <v>600</v>
      </c>
      <c r="C33" s="69">
        <v>0.30967571128971</v>
      </c>
      <c r="D33" s="142"/>
      <c r="E33" s="142"/>
    </row>
    <row r="34" spans="1:5" ht="26">
      <c r="A34" s="147" t="s">
        <v>601</v>
      </c>
      <c r="B34" s="147" t="s">
        <v>602</v>
      </c>
      <c r="C34" s="69">
        <v>0.18556285346709001</v>
      </c>
      <c r="D34" s="142"/>
      <c r="E34" s="142"/>
    </row>
    <row r="35" spans="1:5" ht="13">
      <c r="A35" s="148" t="s">
        <v>603</v>
      </c>
      <c r="B35" s="149"/>
      <c r="C35" s="69" t="s">
        <v>1</v>
      </c>
      <c r="D35" s="142"/>
      <c r="E35" s="142"/>
    </row>
    <row r="36" spans="1:5" ht="13">
      <c r="A36" s="150" t="s">
        <v>604</v>
      </c>
      <c r="B36" s="142"/>
      <c r="C36" s="142"/>
      <c r="D36" s="142"/>
      <c r="E36" s="142"/>
    </row>
    <row r="37" spans="1:5" ht="13">
      <c r="A37" s="151"/>
      <c r="B37" s="142"/>
      <c r="C37" s="142"/>
      <c r="D37" s="142"/>
      <c r="E37" s="142"/>
    </row>
    <row r="38" spans="1:5" ht="12" customHeight="1">
      <c r="A38" s="598" t="s">
        <v>522</v>
      </c>
      <c r="B38" s="599"/>
      <c r="C38" s="599"/>
      <c r="D38" s="599"/>
      <c r="E38" s="600"/>
    </row>
    <row r="39" spans="1:5" ht="27" customHeight="1">
      <c r="A39" s="601" t="s">
        <v>605</v>
      </c>
      <c r="B39" s="602"/>
      <c r="C39" s="602"/>
      <c r="D39" s="602"/>
      <c r="E39" s="603"/>
    </row>
    <row r="40" spans="1:5" ht="12" customHeight="1">
      <c r="A40" s="604" t="s">
        <v>606</v>
      </c>
      <c r="B40" s="605"/>
      <c r="C40" s="605"/>
      <c r="D40" s="605"/>
      <c r="E40" s="606"/>
    </row>
    <row r="41" spans="1:5" ht="12" customHeight="1">
      <c r="A41" s="152" t="s">
        <v>607</v>
      </c>
      <c r="B41" s="153"/>
      <c r="C41" s="153"/>
      <c r="D41" s="153"/>
      <c r="E41" s="154"/>
    </row>
    <row r="42" spans="1:5" ht="12" customHeight="1">
      <c r="A42" s="155" t="s">
        <v>608</v>
      </c>
      <c r="B42" s="156"/>
      <c r="C42" s="156"/>
      <c r="D42" s="156"/>
      <c r="E42" s="157"/>
    </row>
    <row r="43" spans="1:5" ht="12" customHeight="1">
      <c r="A43" s="158" t="s">
        <v>609</v>
      </c>
      <c r="B43" s="557" t="s">
        <v>610</v>
      </c>
      <c r="C43" s="595"/>
      <c r="D43" s="595"/>
      <c r="E43" s="595"/>
    </row>
  </sheetData>
  <mergeCells count="13">
    <mergeCell ref="B43:E43"/>
    <mergeCell ref="A26:E26"/>
    <mergeCell ref="A27:E27"/>
    <mergeCell ref="A28:E28"/>
    <mergeCell ref="A38:E38"/>
    <mergeCell ref="A39:E39"/>
    <mergeCell ref="A40:E40"/>
    <mergeCell ref="A25:E25"/>
    <mergeCell ref="A1:B1"/>
    <mergeCell ref="A2:B2"/>
    <mergeCell ref="B5:C5"/>
    <mergeCell ref="A23:E23"/>
    <mergeCell ref="A24:E24"/>
  </mergeCells>
  <dataValidations count="1">
    <dataValidation allowBlank="1" showInputMessage="1" showErrorMessage="1" sqref="A45:E65509 F1:IN65509" xr:uid="{00000000-0002-0000-23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headerFooter alignWithMargins="0"/>
  <legacyDrawing r:id="rId1"/>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5" tint="0.79998168889431442"/>
  </sheetPr>
  <dimension ref="A1:H134"/>
  <sheetViews>
    <sheetView topLeftCell="A79" workbookViewId="0">
      <selection activeCell="C100" sqref="C100"/>
    </sheetView>
  </sheetViews>
  <sheetFormatPr baseColWidth="10" defaultColWidth="8.6640625" defaultRowHeight="15"/>
  <cols>
    <col min="1" max="1" width="43.6640625" bestFit="1" customWidth="1"/>
    <col min="2" max="4" width="5.6640625" bestFit="1" customWidth="1"/>
    <col min="5" max="7" width="10.5" bestFit="1" customWidth="1"/>
    <col min="8" max="8" width="14.1640625" bestFit="1" customWidth="1"/>
  </cols>
  <sheetData>
    <row r="1" spans="1:8" ht="16">
      <c r="A1" s="591" t="s">
        <v>614</v>
      </c>
      <c r="B1" s="591"/>
      <c r="C1" s="101"/>
      <c r="D1" s="101"/>
      <c r="E1" s="101"/>
      <c r="F1" s="101"/>
      <c r="G1" s="101"/>
      <c r="H1" s="100" t="s">
        <v>506</v>
      </c>
    </row>
    <row r="2" spans="1:8" ht="16">
      <c r="A2" s="102" t="s">
        <v>568</v>
      </c>
      <c r="B2" s="103"/>
      <c r="C2" s="101"/>
      <c r="D2" s="101"/>
      <c r="E2" s="101"/>
      <c r="F2" s="101"/>
      <c r="G2" s="101"/>
      <c r="H2" s="100" t="s">
        <v>507</v>
      </c>
    </row>
    <row r="3" spans="1:8">
      <c r="A3" s="101"/>
      <c r="B3" s="101"/>
      <c r="C3" s="101"/>
      <c r="D3" s="101"/>
      <c r="E3" s="101"/>
      <c r="F3" s="101"/>
      <c r="G3" s="101"/>
      <c r="H3" s="100" t="s">
        <v>508</v>
      </c>
    </row>
    <row r="4" spans="1:8">
      <c r="A4" s="101"/>
      <c r="B4" s="101"/>
      <c r="C4" s="101"/>
      <c r="D4" s="101"/>
      <c r="E4" s="101"/>
      <c r="F4" s="101"/>
      <c r="G4" s="101"/>
      <c r="H4" s="107"/>
    </row>
    <row r="5" spans="1:8">
      <c r="A5" s="607" t="s">
        <v>615</v>
      </c>
      <c r="B5" s="159" t="s">
        <v>616</v>
      </c>
      <c r="C5" s="160" t="s">
        <v>513</v>
      </c>
      <c r="D5" s="160" t="s">
        <v>514</v>
      </c>
      <c r="E5" s="160" t="s">
        <v>515</v>
      </c>
      <c r="F5" s="161" t="s">
        <v>155</v>
      </c>
      <c r="G5" s="162" t="s">
        <v>516</v>
      </c>
      <c r="H5" s="161" t="s">
        <v>517</v>
      </c>
    </row>
    <row r="6" spans="1:8" ht="16" thickBot="1">
      <c r="A6" s="608"/>
      <c r="B6" s="609" t="s">
        <v>518</v>
      </c>
      <c r="C6" s="610"/>
      <c r="D6" s="610"/>
      <c r="E6" s="610"/>
      <c r="F6" s="610"/>
      <c r="G6" s="610"/>
      <c r="H6" s="611"/>
    </row>
    <row r="7" spans="1:8" ht="16" thickTop="1">
      <c r="A7" s="163" t="s">
        <v>617</v>
      </c>
      <c r="B7" s="70">
        <v>413.57439993231696</v>
      </c>
      <c r="C7" s="70">
        <v>923.7734383736223</v>
      </c>
      <c r="D7" s="70">
        <v>3.9954037288743098</v>
      </c>
      <c r="E7" s="70" t="s">
        <v>618</v>
      </c>
      <c r="F7" s="70" t="s">
        <v>618</v>
      </c>
      <c r="G7" s="70" t="s">
        <v>618</v>
      </c>
      <c r="H7" s="70" t="s">
        <v>519</v>
      </c>
    </row>
    <row r="8" spans="1:8">
      <c r="A8" s="164" t="s">
        <v>619</v>
      </c>
      <c r="B8" s="70" t="s">
        <v>620</v>
      </c>
      <c r="C8" s="70">
        <v>885.86221494275549</v>
      </c>
      <c r="D8" s="106" t="s">
        <v>1</v>
      </c>
      <c r="E8" s="70" t="s">
        <v>621</v>
      </c>
      <c r="F8" s="70" t="s">
        <v>621</v>
      </c>
      <c r="G8" s="70" t="s">
        <v>621</v>
      </c>
      <c r="H8" s="106" t="s">
        <v>1</v>
      </c>
    </row>
    <row r="9" spans="1:8">
      <c r="A9" s="109" t="s">
        <v>622</v>
      </c>
      <c r="B9" s="70" t="s">
        <v>620</v>
      </c>
      <c r="C9" s="70">
        <v>740.88149579294338</v>
      </c>
      <c r="D9" s="106" t="s">
        <v>1</v>
      </c>
      <c r="E9" s="69" t="s">
        <v>510</v>
      </c>
      <c r="F9" s="69" t="s">
        <v>510</v>
      </c>
      <c r="G9" s="69" t="s">
        <v>510</v>
      </c>
      <c r="H9" s="106" t="s">
        <v>1</v>
      </c>
    </row>
    <row r="10" spans="1:8">
      <c r="A10" s="109" t="s">
        <v>623</v>
      </c>
      <c r="B10" s="70" t="s">
        <v>520</v>
      </c>
      <c r="C10" s="70">
        <v>144.98071914981213</v>
      </c>
      <c r="D10" s="106" t="s">
        <v>1</v>
      </c>
      <c r="E10" s="69" t="s">
        <v>510</v>
      </c>
      <c r="F10" s="69" t="s">
        <v>510</v>
      </c>
      <c r="G10" s="69" t="s">
        <v>510</v>
      </c>
      <c r="H10" s="106" t="s">
        <v>1</v>
      </c>
    </row>
    <row r="11" spans="1:8">
      <c r="A11" s="165" t="s">
        <v>624</v>
      </c>
      <c r="B11" s="70" t="s">
        <v>509</v>
      </c>
      <c r="C11" s="70" t="s">
        <v>509</v>
      </c>
      <c r="D11" s="106" t="s">
        <v>1</v>
      </c>
      <c r="E11" s="70" t="s">
        <v>509</v>
      </c>
      <c r="F11" s="70" t="s">
        <v>509</v>
      </c>
      <c r="G11" s="70" t="s">
        <v>509</v>
      </c>
      <c r="H11" s="106" t="s">
        <v>1</v>
      </c>
    </row>
    <row r="12" spans="1:8">
      <c r="A12" s="164" t="s">
        <v>625</v>
      </c>
      <c r="B12" s="106" t="s">
        <v>1</v>
      </c>
      <c r="C12" s="70">
        <v>21.88903186560373</v>
      </c>
      <c r="D12" s="70">
        <v>1.31334191193622</v>
      </c>
      <c r="E12" s="70" t="s">
        <v>178</v>
      </c>
      <c r="F12" s="70" t="s">
        <v>178</v>
      </c>
      <c r="G12" s="70" t="s">
        <v>178</v>
      </c>
      <c r="H12" s="106" t="s">
        <v>1</v>
      </c>
    </row>
    <row r="13" spans="1:8">
      <c r="A13" s="166" t="s">
        <v>626</v>
      </c>
      <c r="B13" s="106" t="s">
        <v>1</v>
      </c>
      <c r="C13" s="70">
        <v>21.88903186560373</v>
      </c>
      <c r="D13" s="70">
        <v>1.31334191193622</v>
      </c>
      <c r="E13" s="69" t="s">
        <v>178</v>
      </c>
      <c r="F13" s="69" t="s">
        <v>178</v>
      </c>
      <c r="G13" s="69" t="s">
        <v>178</v>
      </c>
      <c r="H13" s="106" t="s">
        <v>1</v>
      </c>
    </row>
    <row r="14" spans="1:8">
      <c r="A14" s="166" t="s">
        <v>627</v>
      </c>
      <c r="B14" s="106" t="s">
        <v>1</v>
      </c>
      <c r="C14" s="70" t="s">
        <v>628</v>
      </c>
      <c r="D14" s="70" t="s">
        <v>628</v>
      </c>
      <c r="E14" s="69" t="s">
        <v>178</v>
      </c>
      <c r="F14" s="69" t="s">
        <v>178</v>
      </c>
      <c r="G14" s="69" t="s">
        <v>178</v>
      </c>
      <c r="H14" s="106" t="s">
        <v>1</v>
      </c>
    </row>
    <row r="15" spans="1:8">
      <c r="A15" s="164" t="s">
        <v>629</v>
      </c>
      <c r="B15" s="70">
        <v>413.57439993231696</v>
      </c>
      <c r="C15" s="70">
        <v>0.26226094538304001</v>
      </c>
      <c r="D15" s="70">
        <v>0.44250894827407999</v>
      </c>
      <c r="E15" s="70" t="s">
        <v>521</v>
      </c>
      <c r="F15" s="70" t="s">
        <v>521</v>
      </c>
      <c r="G15" s="70" t="s">
        <v>521</v>
      </c>
      <c r="H15" s="70" t="s">
        <v>521</v>
      </c>
    </row>
    <row r="16" spans="1:8">
      <c r="A16" s="109" t="s">
        <v>630</v>
      </c>
      <c r="B16" s="70">
        <v>413.57439993231696</v>
      </c>
      <c r="C16" s="70">
        <v>0.26226094538304001</v>
      </c>
      <c r="D16" s="70">
        <v>0.44250894827407999</v>
      </c>
      <c r="E16" s="69" t="s">
        <v>510</v>
      </c>
      <c r="F16" s="69" t="s">
        <v>510</v>
      </c>
      <c r="G16" s="69" t="s">
        <v>510</v>
      </c>
      <c r="H16" s="69" t="s">
        <v>510</v>
      </c>
    </row>
    <row r="17" spans="1:8">
      <c r="A17" s="109" t="s">
        <v>631</v>
      </c>
      <c r="B17" s="70" t="s">
        <v>533</v>
      </c>
      <c r="C17" s="70" t="s">
        <v>533</v>
      </c>
      <c r="D17" s="70" t="s">
        <v>533</v>
      </c>
      <c r="E17" s="69" t="s">
        <v>178</v>
      </c>
      <c r="F17" s="69" t="s">
        <v>178</v>
      </c>
      <c r="G17" s="69" t="s">
        <v>178</v>
      </c>
      <c r="H17" s="69" t="s">
        <v>178</v>
      </c>
    </row>
    <row r="18" spans="1:8">
      <c r="A18" s="164" t="s">
        <v>632</v>
      </c>
      <c r="B18" s="106" t="s">
        <v>1</v>
      </c>
      <c r="C18" s="70">
        <v>15.75993061988</v>
      </c>
      <c r="D18" s="70">
        <v>2.2395528686640098</v>
      </c>
      <c r="E18" s="70" t="s">
        <v>621</v>
      </c>
      <c r="F18" s="70" t="s">
        <v>621</v>
      </c>
      <c r="G18" s="70" t="s">
        <v>621</v>
      </c>
      <c r="H18" s="106" t="s">
        <v>1</v>
      </c>
    </row>
    <row r="19" spans="1:8">
      <c r="A19" s="109" t="s">
        <v>633</v>
      </c>
      <c r="B19" s="106" t="s">
        <v>1</v>
      </c>
      <c r="C19" s="70">
        <v>15.20293061988</v>
      </c>
      <c r="D19" s="70">
        <v>2.2395528686640098</v>
      </c>
      <c r="E19" s="69" t="s">
        <v>510</v>
      </c>
      <c r="F19" s="69" t="s">
        <v>510</v>
      </c>
      <c r="G19" s="69" t="s">
        <v>510</v>
      </c>
      <c r="H19" s="106" t="s">
        <v>1</v>
      </c>
    </row>
    <row r="20" spans="1:8">
      <c r="A20" s="109" t="s">
        <v>634</v>
      </c>
      <c r="B20" s="106" t="s">
        <v>1</v>
      </c>
      <c r="C20" s="70">
        <v>0.55700000000000005</v>
      </c>
      <c r="D20" s="70" t="s">
        <v>178</v>
      </c>
      <c r="E20" s="69" t="s">
        <v>510</v>
      </c>
      <c r="F20" s="69" t="s">
        <v>510</v>
      </c>
      <c r="G20" s="69" t="s">
        <v>510</v>
      </c>
      <c r="H20" s="106" t="s">
        <v>1</v>
      </c>
    </row>
    <row r="21" spans="1:8">
      <c r="A21" s="109" t="s">
        <v>635</v>
      </c>
      <c r="B21" s="106" t="s">
        <v>1</v>
      </c>
      <c r="C21" s="70" t="s">
        <v>509</v>
      </c>
      <c r="D21" s="70" t="s">
        <v>509</v>
      </c>
      <c r="E21" s="70" t="s">
        <v>509</v>
      </c>
      <c r="F21" s="70" t="s">
        <v>509</v>
      </c>
      <c r="G21" s="70" t="s">
        <v>509</v>
      </c>
      <c r="H21" s="106" t="s">
        <v>1</v>
      </c>
    </row>
    <row r="22" spans="1:8">
      <c r="A22" s="164" t="s">
        <v>636</v>
      </c>
      <c r="B22" s="70" t="s">
        <v>520</v>
      </c>
      <c r="C22" s="70" t="s">
        <v>520</v>
      </c>
      <c r="D22" s="70" t="s">
        <v>520</v>
      </c>
      <c r="E22" s="70" t="s">
        <v>520</v>
      </c>
      <c r="F22" s="70" t="s">
        <v>520</v>
      </c>
      <c r="G22" s="70" t="s">
        <v>520</v>
      </c>
      <c r="H22" s="70" t="s">
        <v>520</v>
      </c>
    </row>
    <row r="23" spans="1:8">
      <c r="A23" s="164" t="s">
        <v>637</v>
      </c>
      <c r="B23" s="106" t="s">
        <v>1</v>
      </c>
      <c r="C23" s="106" t="s">
        <v>1</v>
      </c>
      <c r="D23" s="106" t="s">
        <v>1</v>
      </c>
      <c r="E23" s="106" t="s">
        <v>1</v>
      </c>
      <c r="F23" s="106" t="s">
        <v>1</v>
      </c>
      <c r="G23" s="106" t="s">
        <v>1</v>
      </c>
      <c r="H23" s="106" t="s">
        <v>1</v>
      </c>
    </row>
    <row r="24" spans="1:8">
      <c r="A24" s="166" t="s">
        <v>638</v>
      </c>
      <c r="B24" s="69" t="s">
        <v>178</v>
      </c>
      <c r="C24" s="106" t="s">
        <v>1</v>
      </c>
      <c r="D24" s="106" t="s">
        <v>1</v>
      </c>
      <c r="E24" s="106" t="s">
        <v>1</v>
      </c>
      <c r="F24" s="106" t="s">
        <v>1</v>
      </c>
      <c r="G24" s="106" t="s">
        <v>1</v>
      </c>
      <c r="H24" s="106" t="s">
        <v>1</v>
      </c>
    </row>
    <row r="25" spans="1:8">
      <c r="A25" s="166" t="s">
        <v>639</v>
      </c>
      <c r="B25" s="69" t="s">
        <v>178</v>
      </c>
      <c r="C25" s="106" t="s">
        <v>1</v>
      </c>
      <c r="D25" s="106" t="s">
        <v>1</v>
      </c>
      <c r="E25" s="106" t="s">
        <v>1</v>
      </c>
      <c r="F25" s="106" t="s">
        <v>1</v>
      </c>
      <c r="G25" s="106" t="s">
        <v>1</v>
      </c>
      <c r="H25" s="106" t="s">
        <v>1</v>
      </c>
    </row>
    <row r="26" spans="1:8">
      <c r="A26" s="167" t="s">
        <v>640</v>
      </c>
      <c r="B26" s="69" t="s">
        <v>178</v>
      </c>
      <c r="C26" s="106" t="s">
        <v>1</v>
      </c>
      <c r="D26" s="106" t="s">
        <v>1</v>
      </c>
      <c r="E26" s="106" t="s">
        <v>1</v>
      </c>
      <c r="F26" s="106" t="s">
        <v>1</v>
      </c>
      <c r="G26" s="106" t="s">
        <v>1</v>
      </c>
      <c r="H26" s="106" t="s">
        <v>1</v>
      </c>
    </row>
    <row r="28" spans="1:8" ht="16">
      <c r="A28" s="591" t="s">
        <v>614</v>
      </c>
      <c r="B28" s="591"/>
      <c r="C28" s="101"/>
      <c r="D28" s="101"/>
      <c r="E28" s="101"/>
      <c r="F28" s="101"/>
      <c r="G28" s="101"/>
      <c r="H28" s="100" t="s">
        <v>641</v>
      </c>
    </row>
    <row r="29" spans="1:8" ht="16">
      <c r="A29" s="102" t="s">
        <v>568</v>
      </c>
      <c r="B29" s="103"/>
      <c r="C29" s="101"/>
      <c r="D29" s="101"/>
      <c r="E29" s="101"/>
      <c r="F29" s="101"/>
      <c r="G29" s="101"/>
      <c r="H29" s="100" t="s">
        <v>507</v>
      </c>
    </row>
    <row r="30" spans="1:8">
      <c r="A30" s="101"/>
      <c r="B30" s="101"/>
      <c r="C30" s="101"/>
      <c r="D30" s="101"/>
      <c r="E30" s="101"/>
      <c r="F30" s="101"/>
      <c r="G30" s="101"/>
      <c r="H30" s="100" t="s">
        <v>508</v>
      </c>
    </row>
    <row r="31" spans="1:8">
      <c r="A31" s="101"/>
      <c r="B31" s="101"/>
      <c r="C31" s="101"/>
      <c r="D31" s="101"/>
      <c r="E31" s="101"/>
      <c r="F31" s="101"/>
      <c r="G31" s="101"/>
      <c r="H31" s="107"/>
    </row>
    <row r="32" spans="1:8">
      <c r="A32" s="607" t="s">
        <v>615</v>
      </c>
      <c r="B32" s="159" t="s">
        <v>616</v>
      </c>
      <c r="C32" s="160" t="s">
        <v>513</v>
      </c>
      <c r="D32" s="160" t="s">
        <v>514</v>
      </c>
      <c r="E32" s="160" t="s">
        <v>515</v>
      </c>
      <c r="F32" s="161" t="s">
        <v>155</v>
      </c>
      <c r="G32" s="162" t="s">
        <v>516</v>
      </c>
      <c r="H32" s="161" t="s">
        <v>517</v>
      </c>
    </row>
    <row r="33" spans="1:8" ht="16" thickBot="1">
      <c r="A33" s="608"/>
      <c r="B33" s="609" t="s">
        <v>518</v>
      </c>
      <c r="C33" s="610"/>
      <c r="D33" s="610"/>
      <c r="E33" s="610"/>
      <c r="F33" s="610"/>
      <c r="G33" s="610"/>
      <c r="H33" s="611"/>
    </row>
    <row r="34" spans="1:8" ht="16" thickTop="1">
      <c r="A34" s="163" t="s">
        <v>617</v>
      </c>
      <c r="B34" s="70">
        <v>413.56440255504026</v>
      </c>
      <c r="C34" s="70">
        <v>917.99888962806983</v>
      </c>
      <c r="D34" s="70">
        <v>4.0074054270192399</v>
      </c>
      <c r="E34" s="70" t="s">
        <v>642</v>
      </c>
      <c r="F34" s="70" t="s">
        <v>642</v>
      </c>
      <c r="G34" s="70" t="s">
        <v>642</v>
      </c>
      <c r="H34" s="70" t="s">
        <v>519</v>
      </c>
    </row>
    <row r="35" spans="1:8">
      <c r="A35" s="164" t="s">
        <v>619</v>
      </c>
      <c r="B35" s="70" t="s">
        <v>643</v>
      </c>
      <c r="C35" s="70">
        <v>879.86136497432415</v>
      </c>
      <c r="D35" s="106" t="s">
        <v>1</v>
      </c>
      <c r="E35" s="70" t="s">
        <v>621</v>
      </c>
      <c r="F35" s="70" t="s">
        <v>621</v>
      </c>
      <c r="G35" s="70" t="s">
        <v>621</v>
      </c>
      <c r="H35" s="106" t="s">
        <v>1</v>
      </c>
    </row>
    <row r="36" spans="1:8">
      <c r="A36" s="109" t="s">
        <v>622</v>
      </c>
      <c r="B36" s="70" t="s">
        <v>643</v>
      </c>
      <c r="C36" s="70">
        <v>731.9048477055901</v>
      </c>
      <c r="D36" s="106" t="s">
        <v>1</v>
      </c>
      <c r="E36" s="69" t="s">
        <v>510</v>
      </c>
      <c r="F36" s="69" t="s">
        <v>510</v>
      </c>
      <c r="G36" s="69" t="s">
        <v>510</v>
      </c>
      <c r="H36" s="106" t="s">
        <v>1</v>
      </c>
    </row>
    <row r="37" spans="1:8">
      <c r="A37" s="109" t="s">
        <v>623</v>
      </c>
      <c r="B37" s="70" t="s">
        <v>520</v>
      </c>
      <c r="C37" s="70">
        <v>147.95651726873405</v>
      </c>
      <c r="D37" s="106" t="s">
        <v>1</v>
      </c>
      <c r="E37" s="69" t="s">
        <v>510</v>
      </c>
      <c r="F37" s="69" t="s">
        <v>510</v>
      </c>
      <c r="G37" s="69" t="s">
        <v>510</v>
      </c>
      <c r="H37" s="106" t="s">
        <v>1</v>
      </c>
    </row>
    <row r="38" spans="1:8">
      <c r="A38" s="165" t="s">
        <v>624</v>
      </c>
      <c r="B38" s="70" t="s">
        <v>509</v>
      </c>
      <c r="C38" s="70" t="s">
        <v>509</v>
      </c>
      <c r="D38" s="106" t="s">
        <v>1</v>
      </c>
      <c r="E38" s="70" t="s">
        <v>509</v>
      </c>
      <c r="F38" s="70" t="s">
        <v>509</v>
      </c>
      <c r="G38" s="70" t="s">
        <v>509</v>
      </c>
      <c r="H38" s="106" t="s">
        <v>1</v>
      </c>
    </row>
    <row r="39" spans="1:8">
      <c r="A39" s="164" t="s">
        <v>625</v>
      </c>
      <c r="B39" s="106" t="s">
        <v>1</v>
      </c>
      <c r="C39" s="70">
        <v>22.244055998885159</v>
      </c>
      <c r="D39" s="70">
        <v>1.33464335993311</v>
      </c>
      <c r="E39" s="70" t="s">
        <v>178</v>
      </c>
      <c r="F39" s="70" t="s">
        <v>178</v>
      </c>
      <c r="G39" s="70" t="s">
        <v>178</v>
      </c>
      <c r="H39" s="106" t="s">
        <v>1</v>
      </c>
    </row>
    <row r="40" spans="1:8">
      <c r="A40" s="166" t="s">
        <v>626</v>
      </c>
      <c r="B40" s="106" t="s">
        <v>1</v>
      </c>
      <c r="C40" s="70">
        <v>22.244055998885159</v>
      </c>
      <c r="D40" s="70">
        <v>1.33464335993311</v>
      </c>
      <c r="E40" s="69" t="s">
        <v>178</v>
      </c>
      <c r="F40" s="69" t="s">
        <v>178</v>
      </c>
      <c r="G40" s="69" t="s">
        <v>178</v>
      </c>
      <c r="H40" s="106" t="s">
        <v>1</v>
      </c>
    </row>
    <row r="41" spans="1:8">
      <c r="A41" s="166" t="s">
        <v>627</v>
      </c>
      <c r="B41" s="106" t="s">
        <v>1</v>
      </c>
      <c r="C41" s="70" t="s">
        <v>628</v>
      </c>
      <c r="D41" s="70" t="s">
        <v>628</v>
      </c>
      <c r="E41" s="69" t="s">
        <v>178</v>
      </c>
      <c r="F41" s="69" t="s">
        <v>178</v>
      </c>
      <c r="G41" s="69" t="s">
        <v>178</v>
      </c>
      <c r="H41" s="106" t="s">
        <v>1</v>
      </c>
    </row>
    <row r="42" spans="1:8">
      <c r="A42" s="164" t="s">
        <v>629</v>
      </c>
      <c r="B42" s="70">
        <v>413.56440255504026</v>
      </c>
      <c r="C42" s="70">
        <v>0.25744774236052997</v>
      </c>
      <c r="D42" s="70">
        <v>0.44123997605635001</v>
      </c>
      <c r="E42" s="70" t="s">
        <v>521</v>
      </c>
      <c r="F42" s="70" t="s">
        <v>521</v>
      </c>
      <c r="G42" s="70" t="s">
        <v>521</v>
      </c>
      <c r="H42" s="70" t="s">
        <v>521</v>
      </c>
    </row>
    <row r="43" spans="1:8">
      <c r="A43" s="109" t="s">
        <v>630</v>
      </c>
      <c r="B43" s="70">
        <v>413.56440255504026</v>
      </c>
      <c r="C43" s="70">
        <v>0.25744774236052997</v>
      </c>
      <c r="D43" s="70">
        <v>0.44123997605635001</v>
      </c>
      <c r="E43" s="69" t="s">
        <v>510</v>
      </c>
      <c r="F43" s="69" t="s">
        <v>510</v>
      </c>
      <c r="G43" s="69" t="s">
        <v>510</v>
      </c>
      <c r="H43" s="69" t="s">
        <v>510</v>
      </c>
    </row>
    <row r="44" spans="1:8">
      <c r="A44" s="109" t="s">
        <v>631</v>
      </c>
      <c r="B44" s="70" t="s">
        <v>533</v>
      </c>
      <c r="C44" s="70" t="s">
        <v>533</v>
      </c>
      <c r="D44" s="70" t="s">
        <v>533</v>
      </c>
      <c r="E44" s="69" t="s">
        <v>178</v>
      </c>
      <c r="F44" s="69" t="s">
        <v>178</v>
      </c>
      <c r="G44" s="69" t="s">
        <v>178</v>
      </c>
      <c r="H44" s="69" t="s">
        <v>178</v>
      </c>
    </row>
    <row r="45" spans="1:8">
      <c r="A45" s="164" t="s">
        <v>632</v>
      </c>
      <c r="B45" s="106" t="s">
        <v>1</v>
      </c>
      <c r="C45" s="70">
        <v>15.636020912499999</v>
      </c>
      <c r="D45" s="70">
        <v>2.2315220910297802</v>
      </c>
      <c r="E45" s="70" t="s">
        <v>621</v>
      </c>
      <c r="F45" s="70" t="s">
        <v>621</v>
      </c>
      <c r="G45" s="70" t="s">
        <v>621</v>
      </c>
      <c r="H45" s="106" t="s">
        <v>1</v>
      </c>
    </row>
    <row r="46" spans="1:8">
      <c r="A46" s="109" t="s">
        <v>633</v>
      </c>
      <c r="B46" s="106" t="s">
        <v>1</v>
      </c>
      <c r="C46" s="70">
        <v>15.092020912500001</v>
      </c>
      <c r="D46" s="70">
        <v>2.2315220910297802</v>
      </c>
      <c r="E46" s="69" t="s">
        <v>510</v>
      </c>
      <c r="F46" s="69" t="s">
        <v>510</v>
      </c>
      <c r="G46" s="69" t="s">
        <v>510</v>
      </c>
      <c r="H46" s="106" t="s">
        <v>1</v>
      </c>
    </row>
    <row r="47" spans="1:8">
      <c r="A47" s="109" t="s">
        <v>634</v>
      </c>
      <c r="B47" s="106" t="s">
        <v>1</v>
      </c>
      <c r="C47" s="70">
        <v>0.54400000000000004</v>
      </c>
      <c r="D47" s="70" t="s">
        <v>178</v>
      </c>
      <c r="E47" s="69" t="s">
        <v>510</v>
      </c>
      <c r="F47" s="69" t="s">
        <v>510</v>
      </c>
      <c r="G47" s="69" t="s">
        <v>510</v>
      </c>
      <c r="H47" s="106" t="s">
        <v>1</v>
      </c>
    </row>
    <row r="48" spans="1:8">
      <c r="A48" s="109" t="s">
        <v>635</v>
      </c>
      <c r="B48" s="106" t="s">
        <v>1</v>
      </c>
      <c r="C48" s="70" t="s">
        <v>509</v>
      </c>
      <c r="D48" s="70" t="s">
        <v>509</v>
      </c>
      <c r="E48" s="70" t="s">
        <v>509</v>
      </c>
      <c r="F48" s="70" t="s">
        <v>509</v>
      </c>
      <c r="G48" s="70" t="s">
        <v>509</v>
      </c>
      <c r="H48" s="106" t="s">
        <v>1</v>
      </c>
    </row>
    <row r="49" spans="1:8">
      <c r="A49" s="164" t="s">
        <v>636</v>
      </c>
      <c r="B49" s="70" t="s">
        <v>520</v>
      </c>
      <c r="C49" s="70" t="s">
        <v>520</v>
      </c>
      <c r="D49" s="70" t="s">
        <v>520</v>
      </c>
      <c r="E49" s="70" t="s">
        <v>520</v>
      </c>
      <c r="F49" s="70" t="s">
        <v>520</v>
      </c>
      <c r="G49" s="70" t="s">
        <v>520</v>
      </c>
      <c r="H49" s="70" t="s">
        <v>520</v>
      </c>
    </row>
    <row r="50" spans="1:8">
      <c r="A50" s="164" t="s">
        <v>637</v>
      </c>
      <c r="B50" s="106" t="s">
        <v>1</v>
      </c>
      <c r="C50" s="106" t="s">
        <v>1</v>
      </c>
      <c r="D50" s="106" t="s">
        <v>1</v>
      </c>
      <c r="E50" s="106" t="s">
        <v>1</v>
      </c>
      <c r="F50" s="106" t="s">
        <v>1</v>
      </c>
      <c r="G50" s="106" t="s">
        <v>1</v>
      </c>
      <c r="H50" s="106" t="s">
        <v>1</v>
      </c>
    </row>
    <row r="51" spans="1:8">
      <c r="A51" s="166" t="s">
        <v>638</v>
      </c>
      <c r="B51" s="69" t="s">
        <v>178</v>
      </c>
      <c r="C51" s="106" t="s">
        <v>1</v>
      </c>
      <c r="D51" s="106" t="s">
        <v>1</v>
      </c>
      <c r="E51" s="106" t="s">
        <v>1</v>
      </c>
      <c r="F51" s="106" t="s">
        <v>1</v>
      </c>
      <c r="G51" s="106" t="s">
        <v>1</v>
      </c>
      <c r="H51" s="106" t="s">
        <v>1</v>
      </c>
    </row>
    <row r="52" spans="1:8">
      <c r="A52" s="166" t="s">
        <v>639</v>
      </c>
      <c r="B52" s="69" t="s">
        <v>178</v>
      </c>
      <c r="C52" s="106" t="s">
        <v>1</v>
      </c>
      <c r="D52" s="106" t="s">
        <v>1</v>
      </c>
      <c r="E52" s="106" t="s">
        <v>1</v>
      </c>
      <c r="F52" s="106" t="s">
        <v>1</v>
      </c>
      <c r="G52" s="106" t="s">
        <v>1</v>
      </c>
      <c r="H52" s="106" t="s">
        <v>1</v>
      </c>
    </row>
    <row r="53" spans="1:8">
      <c r="A53" s="167" t="s">
        <v>640</v>
      </c>
      <c r="B53" s="69" t="s">
        <v>178</v>
      </c>
      <c r="C53" s="106" t="s">
        <v>1</v>
      </c>
      <c r="D53" s="106" t="s">
        <v>1</v>
      </c>
      <c r="E53" s="106" t="s">
        <v>1</v>
      </c>
      <c r="F53" s="106" t="s">
        <v>1</v>
      </c>
      <c r="G53" s="106" t="s">
        <v>1</v>
      </c>
      <c r="H53" s="106" t="s">
        <v>1</v>
      </c>
    </row>
    <row r="55" spans="1:8" ht="16">
      <c r="A55" s="591" t="s">
        <v>614</v>
      </c>
      <c r="B55" s="591"/>
      <c r="C55" s="101"/>
      <c r="D55" s="101"/>
      <c r="E55" s="101"/>
      <c r="F55" s="101"/>
      <c r="G55" s="101"/>
      <c r="H55" s="100" t="s">
        <v>644</v>
      </c>
    </row>
    <row r="56" spans="1:8" ht="16">
      <c r="A56" s="102" t="s">
        <v>568</v>
      </c>
      <c r="B56" s="103"/>
      <c r="C56" s="101"/>
      <c r="D56" s="101"/>
      <c r="E56" s="101"/>
      <c r="F56" s="101"/>
      <c r="G56" s="101"/>
      <c r="H56" s="100" t="s">
        <v>507</v>
      </c>
    </row>
    <row r="57" spans="1:8">
      <c r="A57" s="101"/>
      <c r="B57" s="101"/>
      <c r="C57" s="101"/>
      <c r="D57" s="101"/>
      <c r="E57" s="101"/>
      <c r="F57" s="101"/>
      <c r="G57" s="101"/>
      <c r="H57" s="100" t="s">
        <v>508</v>
      </c>
    </row>
    <row r="58" spans="1:8">
      <c r="A58" s="101"/>
      <c r="B58" s="101"/>
      <c r="C58" s="101"/>
      <c r="D58" s="101"/>
      <c r="E58" s="101"/>
      <c r="F58" s="101"/>
      <c r="G58" s="101"/>
      <c r="H58" s="107"/>
    </row>
    <row r="59" spans="1:8">
      <c r="A59" s="607" t="s">
        <v>615</v>
      </c>
      <c r="B59" s="159" t="s">
        <v>616</v>
      </c>
      <c r="C59" s="160" t="s">
        <v>513</v>
      </c>
      <c r="D59" s="160" t="s">
        <v>514</v>
      </c>
      <c r="E59" s="160" t="s">
        <v>515</v>
      </c>
      <c r="F59" s="161" t="s">
        <v>155</v>
      </c>
      <c r="G59" s="162" t="s">
        <v>516</v>
      </c>
      <c r="H59" s="161" t="s">
        <v>517</v>
      </c>
    </row>
    <row r="60" spans="1:8" ht="16" thickBot="1">
      <c r="A60" s="608"/>
      <c r="B60" s="609" t="s">
        <v>518</v>
      </c>
      <c r="C60" s="610"/>
      <c r="D60" s="610"/>
      <c r="E60" s="610"/>
      <c r="F60" s="610"/>
      <c r="G60" s="610"/>
      <c r="H60" s="611"/>
    </row>
    <row r="61" spans="1:8" ht="16" thickTop="1">
      <c r="A61" s="163" t="s">
        <v>617</v>
      </c>
      <c r="B61" s="70">
        <v>411.45725422823597</v>
      </c>
      <c r="C61" s="70">
        <v>911.99476298450395</v>
      </c>
      <c r="D61" s="70">
        <v>3.9792746788602198</v>
      </c>
      <c r="E61" s="70" t="s">
        <v>642</v>
      </c>
      <c r="F61" s="70" t="s">
        <v>642</v>
      </c>
      <c r="G61" s="70" t="s">
        <v>642</v>
      </c>
      <c r="H61" s="70" t="s">
        <v>519</v>
      </c>
    </row>
    <row r="62" spans="1:8">
      <c r="A62" s="164" t="s">
        <v>619</v>
      </c>
      <c r="B62" s="70" t="s">
        <v>643</v>
      </c>
      <c r="C62" s="70">
        <v>874.04375412747663</v>
      </c>
      <c r="D62" s="106" t="s">
        <v>1</v>
      </c>
      <c r="E62" s="70" t="s">
        <v>621</v>
      </c>
      <c r="F62" s="70" t="s">
        <v>621</v>
      </c>
      <c r="G62" s="70" t="s">
        <v>621</v>
      </c>
      <c r="H62" s="106" t="s">
        <v>1</v>
      </c>
    </row>
    <row r="63" spans="1:8">
      <c r="A63" s="109" t="s">
        <v>622</v>
      </c>
      <c r="B63" s="70" t="s">
        <v>620</v>
      </c>
      <c r="C63" s="70">
        <v>723.14745215717312</v>
      </c>
      <c r="D63" s="106" t="s">
        <v>1</v>
      </c>
      <c r="E63" s="69" t="s">
        <v>510</v>
      </c>
      <c r="F63" s="69" t="s">
        <v>510</v>
      </c>
      <c r="G63" s="69" t="s">
        <v>510</v>
      </c>
      <c r="H63" s="106" t="s">
        <v>1</v>
      </c>
    </row>
    <row r="64" spans="1:8">
      <c r="A64" s="109" t="s">
        <v>623</v>
      </c>
      <c r="B64" s="70" t="s">
        <v>520</v>
      </c>
      <c r="C64" s="70">
        <v>150.89630197030354</v>
      </c>
      <c r="D64" s="106" t="s">
        <v>1</v>
      </c>
      <c r="E64" s="69" t="s">
        <v>510</v>
      </c>
      <c r="F64" s="69" t="s">
        <v>510</v>
      </c>
      <c r="G64" s="69" t="s">
        <v>510</v>
      </c>
      <c r="H64" s="106" t="s">
        <v>1</v>
      </c>
    </row>
    <row r="65" spans="1:8">
      <c r="A65" s="165" t="s">
        <v>624</v>
      </c>
      <c r="B65" s="70" t="s">
        <v>509</v>
      </c>
      <c r="C65" s="70" t="s">
        <v>509</v>
      </c>
      <c r="D65" s="106" t="s">
        <v>1</v>
      </c>
      <c r="E65" s="70" t="s">
        <v>509</v>
      </c>
      <c r="F65" s="70" t="s">
        <v>509</v>
      </c>
      <c r="G65" s="70" t="s">
        <v>509</v>
      </c>
      <c r="H65" s="106" t="s">
        <v>1</v>
      </c>
    </row>
    <row r="66" spans="1:8">
      <c r="A66" s="164" t="s">
        <v>625</v>
      </c>
      <c r="B66" s="106" t="s">
        <v>1</v>
      </c>
      <c r="C66" s="70">
        <v>22.02692231996501</v>
      </c>
      <c r="D66" s="70">
        <v>1.3216153391979</v>
      </c>
      <c r="E66" s="70" t="s">
        <v>178</v>
      </c>
      <c r="F66" s="70" t="s">
        <v>178</v>
      </c>
      <c r="G66" s="70" t="s">
        <v>178</v>
      </c>
      <c r="H66" s="106" t="s">
        <v>1</v>
      </c>
    </row>
    <row r="67" spans="1:8">
      <c r="A67" s="166" t="s">
        <v>626</v>
      </c>
      <c r="B67" s="106" t="s">
        <v>1</v>
      </c>
      <c r="C67" s="70">
        <v>22.02692231996501</v>
      </c>
      <c r="D67" s="70">
        <v>1.3216153391979</v>
      </c>
      <c r="E67" s="69" t="s">
        <v>178</v>
      </c>
      <c r="F67" s="69" t="s">
        <v>178</v>
      </c>
      <c r="G67" s="69" t="s">
        <v>178</v>
      </c>
      <c r="H67" s="106" t="s">
        <v>1</v>
      </c>
    </row>
    <row r="68" spans="1:8">
      <c r="A68" s="166" t="s">
        <v>627</v>
      </c>
      <c r="B68" s="106" t="s">
        <v>1</v>
      </c>
      <c r="C68" s="70" t="s">
        <v>628</v>
      </c>
      <c r="D68" s="70" t="s">
        <v>628</v>
      </c>
      <c r="E68" s="69" t="s">
        <v>178</v>
      </c>
      <c r="F68" s="69" t="s">
        <v>178</v>
      </c>
      <c r="G68" s="69" t="s">
        <v>178</v>
      </c>
      <c r="H68" s="106" t="s">
        <v>1</v>
      </c>
    </row>
    <row r="69" spans="1:8">
      <c r="A69" s="164" t="s">
        <v>629</v>
      </c>
      <c r="B69" s="70">
        <v>411.45725422823597</v>
      </c>
      <c r="C69" s="70">
        <v>0.25263385586227999</v>
      </c>
      <c r="D69" s="70">
        <v>0.43966888049093</v>
      </c>
      <c r="E69" s="70" t="s">
        <v>521</v>
      </c>
      <c r="F69" s="70" t="s">
        <v>521</v>
      </c>
      <c r="G69" s="70" t="s">
        <v>521</v>
      </c>
      <c r="H69" s="70" t="s">
        <v>521</v>
      </c>
    </row>
    <row r="70" spans="1:8">
      <c r="A70" s="109" t="s">
        <v>630</v>
      </c>
      <c r="B70" s="70">
        <v>411.45725422823597</v>
      </c>
      <c r="C70" s="70">
        <v>0.25263385586227999</v>
      </c>
      <c r="D70" s="70">
        <v>0.43966888049093</v>
      </c>
      <c r="E70" s="69" t="s">
        <v>510</v>
      </c>
      <c r="F70" s="69" t="s">
        <v>510</v>
      </c>
      <c r="G70" s="69" t="s">
        <v>510</v>
      </c>
      <c r="H70" s="69" t="s">
        <v>510</v>
      </c>
    </row>
    <row r="71" spans="1:8">
      <c r="A71" s="109" t="s">
        <v>631</v>
      </c>
      <c r="B71" s="70" t="s">
        <v>533</v>
      </c>
      <c r="C71" s="70" t="s">
        <v>533</v>
      </c>
      <c r="D71" s="70" t="s">
        <v>533</v>
      </c>
      <c r="E71" s="69" t="s">
        <v>178</v>
      </c>
      <c r="F71" s="69" t="s">
        <v>178</v>
      </c>
      <c r="G71" s="69" t="s">
        <v>178</v>
      </c>
      <c r="H71" s="69" t="s">
        <v>178</v>
      </c>
    </row>
    <row r="72" spans="1:8">
      <c r="A72" s="164" t="s">
        <v>632</v>
      </c>
      <c r="B72" s="106" t="s">
        <v>1</v>
      </c>
      <c r="C72" s="70">
        <v>15.6714526812</v>
      </c>
      <c r="D72" s="70">
        <v>2.2179904591713901</v>
      </c>
      <c r="E72" s="70" t="s">
        <v>621</v>
      </c>
      <c r="F72" s="70" t="s">
        <v>621</v>
      </c>
      <c r="G72" s="70" t="s">
        <v>621</v>
      </c>
      <c r="H72" s="106" t="s">
        <v>1</v>
      </c>
    </row>
    <row r="73" spans="1:8">
      <c r="A73" s="109" t="s">
        <v>633</v>
      </c>
      <c r="B73" s="106" t="s">
        <v>1</v>
      </c>
      <c r="C73" s="70">
        <v>14.948452681199999</v>
      </c>
      <c r="D73" s="70">
        <v>2.2179904591713901</v>
      </c>
      <c r="E73" s="69" t="s">
        <v>510</v>
      </c>
      <c r="F73" s="69" t="s">
        <v>510</v>
      </c>
      <c r="G73" s="69" t="s">
        <v>510</v>
      </c>
      <c r="H73" s="106" t="s">
        <v>1</v>
      </c>
    </row>
    <row r="74" spans="1:8">
      <c r="A74" s="109" t="s">
        <v>634</v>
      </c>
      <c r="B74" s="106" t="s">
        <v>1</v>
      </c>
      <c r="C74" s="70">
        <v>0.72299999999999998</v>
      </c>
      <c r="D74" s="70" t="s">
        <v>178</v>
      </c>
      <c r="E74" s="69" t="s">
        <v>510</v>
      </c>
      <c r="F74" s="69" t="s">
        <v>510</v>
      </c>
      <c r="G74" s="69" t="s">
        <v>510</v>
      </c>
      <c r="H74" s="106" t="s">
        <v>1</v>
      </c>
    </row>
    <row r="75" spans="1:8">
      <c r="A75" s="109" t="s">
        <v>635</v>
      </c>
      <c r="B75" s="106" t="s">
        <v>1</v>
      </c>
      <c r="C75" s="70" t="s">
        <v>509</v>
      </c>
      <c r="D75" s="70" t="s">
        <v>509</v>
      </c>
      <c r="E75" s="70" t="s">
        <v>509</v>
      </c>
      <c r="F75" s="70" t="s">
        <v>509</v>
      </c>
      <c r="G75" s="70" t="s">
        <v>509</v>
      </c>
      <c r="H75" s="106" t="s">
        <v>1</v>
      </c>
    </row>
    <row r="76" spans="1:8">
      <c r="A76" s="164" t="s">
        <v>636</v>
      </c>
      <c r="B76" s="70" t="s">
        <v>520</v>
      </c>
      <c r="C76" s="70" t="s">
        <v>520</v>
      </c>
      <c r="D76" s="70" t="s">
        <v>520</v>
      </c>
      <c r="E76" s="70" t="s">
        <v>520</v>
      </c>
      <c r="F76" s="70" t="s">
        <v>520</v>
      </c>
      <c r="G76" s="70" t="s">
        <v>520</v>
      </c>
      <c r="H76" s="70" t="s">
        <v>520</v>
      </c>
    </row>
    <row r="77" spans="1:8">
      <c r="A77" s="164" t="s">
        <v>637</v>
      </c>
      <c r="B77" s="106" t="s">
        <v>1</v>
      </c>
      <c r="C77" s="106" t="s">
        <v>1</v>
      </c>
      <c r="D77" s="106" t="s">
        <v>1</v>
      </c>
      <c r="E77" s="106" t="s">
        <v>1</v>
      </c>
      <c r="F77" s="106" t="s">
        <v>1</v>
      </c>
      <c r="G77" s="106" t="s">
        <v>1</v>
      </c>
      <c r="H77" s="106" t="s">
        <v>1</v>
      </c>
    </row>
    <row r="78" spans="1:8">
      <c r="A78" s="166" t="s">
        <v>638</v>
      </c>
      <c r="B78" s="69" t="s">
        <v>178</v>
      </c>
      <c r="C78" s="106" t="s">
        <v>1</v>
      </c>
      <c r="D78" s="106" t="s">
        <v>1</v>
      </c>
      <c r="E78" s="106" t="s">
        <v>1</v>
      </c>
      <c r="F78" s="106" t="s">
        <v>1</v>
      </c>
      <c r="G78" s="106" t="s">
        <v>1</v>
      </c>
      <c r="H78" s="106" t="s">
        <v>1</v>
      </c>
    </row>
    <row r="79" spans="1:8">
      <c r="A79" s="166" t="s">
        <v>639</v>
      </c>
      <c r="B79" s="69" t="s">
        <v>178</v>
      </c>
      <c r="C79" s="106" t="s">
        <v>1</v>
      </c>
      <c r="D79" s="106" t="s">
        <v>1</v>
      </c>
      <c r="E79" s="106" t="s">
        <v>1</v>
      </c>
      <c r="F79" s="106" t="s">
        <v>1</v>
      </c>
      <c r="G79" s="106" t="s">
        <v>1</v>
      </c>
      <c r="H79" s="106" t="s">
        <v>1</v>
      </c>
    </row>
    <row r="80" spans="1:8">
      <c r="A80" s="167" t="s">
        <v>640</v>
      </c>
      <c r="B80" s="69" t="s">
        <v>178</v>
      </c>
      <c r="C80" s="106" t="s">
        <v>1</v>
      </c>
      <c r="D80" s="106" t="s">
        <v>1</v>
      </c>
      <c r="E80" s="106" t="s">
        <v>1</v>
      </c>
      <c r="F80" s="106" t="s">
        <v>1</v>
      </c>
      <c r="G80" s="106" t="s">
        <v>1</v>
      </c>
      <c r="H80" s="106" t="s">
        <v>1</v>
      </c>
    </row>
    <row r="82" spans="1:8" ht="16">
      <c r="A82" s="591" t="s">
        <v>614</v>
      </c>
      <c r="B82" s="591"/>
      <c r="C82" s="101"/>
      <c r="D82" s="101"/>
      <c r="E82" s="101"/>
      <c r="F82" s="101"/>
      <c r="G82" s="101"/>
      <c r="H82" s="100" t="s">
        <v>645</v>
      </c>
    </row>
    <row r="83" spans="1:8" ht="16">
      <c r="A83" s="102" t="s">
        <v>568</v>
      </c>
      <c r="B83" s="103"/>
      <c r="C83" s="101"/>
      <c r="D83" s="101"/>
      <c r="E83" s="101"/>
      <c r="F83" s="101"/>
      <c r="G83" s="101"/>
      <c r="H83" s="100" t="s">
        <v>507</v>
      </c>
    </row>
    <row r="84" spans="1:8">
      <c r="A84" s="101"/>
      <c r="B84" s="101"/>
      <c r="C84" s="101"/>
      <c r="D84" s="101"/>
      <c r="E84" s="101"/>
      <c r="F84" s="101"/>
      <c r="G84" s="101"/>
      <c r="H84" s="100" t="s">
        <v>508</v>
      </c>
    </row>
    <row r="85" spans="1:8">
      <c r="A85" s="101"/>
      <c r="B85" s="101"/>
      <c r="C85" s="101"/>
      <c r="D85" s="101"/>
      <c r="E85" s="101"/>
      <c r="F85" s="101"/>
      <c r="G85" s="101"/>
      <c r="H85" s="107"/>
    </row>
    <row r="86" spans="1:8">
      <c r="A86" s="607" t="s">
        <v>615</v>
      </c>
      <c r="B86" s="159" t="s">
        <v>616</v>
      </c>
      <c r="C86" s="160" t="s">
        <v>513</v>
      </c>
      <c r="D86" s="160" t="s">
        <v>514</v>
      </c>
      <c r="E86" s="160" t="s">
        <v>515</v>
      </c>
      <c r="F86" s="161" t="s">
        <v>155</v>
      </c>
      <c r="G86" s="162" t="s">
        <v>516</v>
      </c>
      <c r="H86" s="161" t="s">
        <v>517</v>
      </c>
    </row>
    <row r="87" spans="1:8" ht="16" thickBot="1">
      <c r="A87" s="608"/>
      <c r="B87" s="609" t="s">
        <v>518</v>
      </c>
      <c r="C87" s="610"/>
      <c r="D87" s="610"/>
      <c r="E87" s="610"/>
      <c r="F87" s="610"/>
      <c r="G87" s="610"/>
      <c r="H87" s="611"/>
    </row>
    <row r="88" spans="1:8" ht="16" thickTop="1">
      <c r="A88" s="163" t="s">
        <v>617</v>
      </c>
      <c r="B88" s="70">
        <v>401.38812704347441</v>
      </c>
      <c r="C88" s="70">
        <v>908.45894053895518</v>
      </c>
      <c r="D88" s="70">
        <v>3.9419702277726199</v>
      </c>
      <c r="E88" s="70" t="s">
        <v>642</v>
      </c>
      <c r="F88" s="70" t="s">
        <v>642</v>
      </c>
      <c r="G88" s="70" t="s">
        <v>642</v>
      </c>
      <c r="H88" s="70" t="s">
        <v>519</v>
      </c>
    </row>
    <row r="89" spans="1:8">
      <c r="A89" s="164" t="s">
        <v>619</v>
      </c>
      <c r="B89" s="70" t="s">
        <v>643</v>
      </c>
      <c r="C89" s="70">
        <v>870.80206386375573</v>
      </c>
      <c r="D89" s="106" t="s">
        <v>1</v>
      </c>
      <c r="E89" s="70" t="s">
        <v>621</v>
      </c>
      <c r="F89" s="70" t="s">
        <v>621</v>
      </c>
      <c r="G89" s="70" t="s">
        <v>621</v>
      </c>
      <c r="H89" s="106" t="s">
        <v>1</v>
      </c>
    </row>
    <row r="90" spans="1:8">
      <c r="A90" s="109" t="s">
        <v>622</v>
      </c>
      <c r="B90" s="70" t="s">
        <v>620</v>
      </c>
      <c r="C90" s="70">
        <v>717.01422835616802</v>
      </c>
      <c r="D90" s="106" t="s">
        <v>1</v>
      </c>
      <c r="E90" s="69" t="s">
        <v>510</v>
      </c>
      <c r="F90" s="69" t="s">
        <v>510</v>
      </c>
      <c r="G90" s="69" t="s">
        <v>510</v>
      </c>
      <c r="H90" s="106" t="s">
        <v>1</v>
      </c>
    </row>
    <row r="91" spans="1:8">
      <c r="A91" s="109" t="s">
        <v>623</v>
      </c>
      <c r="B91" s="70" t="s">
        <v>520</v>
      </c>
      <c r="C91" s="70">
        <v>153.78783550758777</v>
      </c>
      <c r="D91" s="106" t="s">
        <v>1</v>
      </c>
      <c r="E91" s="69" t="s">
        <v>510</v>
      </c>
      <c r="F91" s="69" t="s">
        <v>510</v>
      </c>
      <c r="G91" s="69" t="s">
        <v>510</v>
      </c>
      <c r="H91" s="106" t="s">
        <v>1</v>
      </c>
    </row>
    <row r="92" spans="1:8">
      <c r="A92" s="165" t="s">
        <v>624</v>
      </c>
      <c r="B92" s="70" t="s">
        <v>509</v>
      </c>
      <c r="C92" s="70" t="s">
        <v>509</v>
      </c>
      <c r="D92" s="106" t="s">
        <v>1</v>
      </c>
      <c r="E92" s="70" t="s">
        <v>509</v>
      </c>
      <c r="F92" s="70" t="s">
        <v>509</v>
      </c>
      <c r="G92" s="70" t="s">
        <v>509</v>
      </c>
      <c r="H92" s="106" t="s">
        <v>1</v>
      </c>
    </row>
    <row r="93" spans="1:8">
      <c r="A93" s="164" t="s">
        <v>625</v>
      </c>
      <c r="B93" s="106" t="s">
        <v>1</v>
      </c>
      <c r="C93" s="70">
        <v>21.9169712651221</v>
      </c>
      <c r="D93" s="70">
        <v>1.3150182759073299</v>
      </c>
      <c r="E93" s="70" t="s">
        <v>178</v>
      </c>
      <c r="F93" s="70" t="s">
        <v>178</v>
      </c>
      <c r="G93" s="70" t="s">
        <v>178</v>
      </c>
      <c r="H93" s="106" t="s">
        <v>1</v>
      </c>
    </row>
    <row r="94" spans="1:8">
      <c r="A94" s="166" t="s">
        <v>626</v>
      </c>
      <c r="B94" s="106" t="s">
        <v>1</v>
      </c>
      <c r="C94" s="70">
        <v>21.9169712651221</v>
      </c>
      <c r="D94" s="70">
        <v>1.3150182759073299</v>
      </c>
      <c r="E94" s="69" t="s">
        <v>178</v>
      </c>
      <c r="F94" s="69" t="s">
        <v>178</v>
      </c>
      <c r="G94" s="69" t="s">
        <v>178</v>
      </c>
      <c r="H94" s="106" t="s">
        <v>1</v>
      </c>
    </row>
    <row r="95" spans="1:8">
      <c r="A95" s="166" t="s">
        <v>627</v>
      </c>
      <c r="B95" s="106" t="s">
        <v>1</v>
      </c>
      <c r="C95" s="70" t="s">
        <v>628</v>
      </c>
      <c r="D95" s="70" t="s">
        <v>628</v>
      </c>
      <c r="E95" s="69" t="s">
        <v>178</v>
      </c>
      <c r="F95" s="69" t="s">
        <v>178</v>
      </c>
      <c r="G95" s="69" t="s">
        <v>178</v>
      </c>
      <c r="H95" s="106" t="s">
        <v>1</v>
      </c>
    </row>
    <row r="96" spans="1:8">
      <c r="A96" s="164" t="s">
        <v>629</v>
      </c>
      <c r="B96" s="70">
        <v>401.38812704347441</v>
      </c>
      <c r="C96" s="70">
        <v>0.24706552445731</v>
      </c>
      <c r="D96" s="70">
        <v>0.42368246040871999</v>
      </c>
      <c r="E96" s="70" t="s">
        <v>521</v>
      </c>
      <c r="F96" s="70" t="s">
        <v>521</v>
      </c>
      <c r="G96" s="70" t="s">
        <v>521</v>
      </c>
      <c r="H96" s="70" t="s">
        <v>521</v>
      </c>
    </row>
    <row r="97" spans="1:8">
      <c r="A97" s="109" t="s">
        <v>630</v>
      </c>
      <c r="B97" s="70">
        <v>401.38812704347441</v>
      </c>
      <c r="C97" s="70">
        <v>0.24706552445731</v>
      </c>
      <c r="D97" s="70">
        <v>0.42368246040871999</v>
      </c>
      <c r="E97" s="69" t="s">
        <v>510</v>
      </c>
      <c r="F97" s="69" t="s">
        <v>510</v>
      </c>
      <c r="G97" s="69" t="s">
        <v>510</v>
      </c>
      <c r="H97" s="69" t="s">
        <v>510</v>
      </c>
    </row>
    <row r="98" spans="1:8">
      <c r="A98" s="109" t="s">
        <v>631</v>
      </c>
      <c r="B98" s="70" t="s">
        <v>533</v>
      </c>
      <c r="C98" s="70" t="s">
        <v>533</v>
      </c>
      <c r="D98" s="70" t="s">
        <v>533</v>
      </c>
      <c r="E98" s="69" t="s">
        <v>178</v>
      </c>
      <c r="F98" s="69" t="s">
        <v>178</v>
      </c>
      <c r="G98" s="69" t="s">
        <v>178</v>
      </c>
      <c r="H98" s="69" t="s">
        <v>178</v>
      </c>
    </row>
    <row r="99" spans="1:8">
      <c r="A99" s="164" t="s">
        <v>632</v>
      </c>
      <c r="B99" s="106" t="s">
        <v>1</v>
      </c>
      <c r="C99" s="70">
        <v>15.49283988562</v>
      </c>
      <c r="D99" s="70">
        <v>2.2032694914565698</v>
      </c>
      <c r="E99" s="70" t="s">
        <v>621</v>
      </c>
      <c r="F99" s="70" t="s">
        <v>621</v>
      </c>
      <c r="G99" s="70" t="s">
        <v>621</v>
      </c>
      <c r="H99" s="106" t="s">
        <v>1</v>
      </c>
    </row>
    <row r="100" spans="1:8">
      <c r="A100" s="109" t="s">
        <v>633</v>
      </c>
      <c r="B100" s="106" t="s">
        <v>1</v>
      </c>
      <c r="C100" s="402">
        <v>14.80183988562</v>
      </c>
      <c r="D100" s="70">
        <v>2.2032694914565698</v>
      </c>
      <c r="E100" s="69" t="s">
        <v>510</v>
      </c>
      <c r="F100" s="69" t="s">
        <v>510</v>
      </c>
      <c r="G100" s="69" t="s">
        <v>510</v>
      </c>
      <c r="H100" s="106" t="s">
        <v>1</v>
      </c>
    </row>
    <row r="101" spans="1:8">
      <c r="A101" s="109" t="s">
        <v>634</v>
      </c>
      <c r="B101" s="106" t="s">
        <v>1</v>
      </c>
      <c r="C101" s="70">
        <v>0.69099999999999995</v>
      </c>
      <c r="D101" s="70" t="s">
        <v>178</v>
      </c>
      <c r="E101" s="69" t="s">
        <v>510</v>
      </c>
      <c r="F101" s="69" t="s">
        <v>510</v>
      </c>
      <c r="G101" s="69" t="s">
        <v>510</v>
      </c>
      <c r="H101" s="106" t="s">
        <v>1</v>
      </c>
    </row>
    <row r="102" spans="1:8">
      <c r="A102" s="109" t="s">
        <v>635</v>
      </c>
      <c r="B102" s="106" t="s">
        <v>1</v>
      </c>
      <c r="C102" s="70" t="s">
        <v>509</v>
      </c>
      <c r="D102" s="70" t="s">
        <v>509</v>
      </c>
      <c r="E102" s="70" t="s">
        <v>509</v>
      </c>
      <c r="F102" s="70" t="s">
        <v>509</v>
      </c>
      <c r="G102" s="70" t="s">
        <v>509</v>
      </c>
      <c r="H102" s="106" t="s">
        <v>1</v>
      </c>
    </row>
    <row r="103" spans="1:8">
      <c r="A103" s="164" t="s">
        <v>636</v>
      </c>
      <c r="B103" s="70" t="s">
        <v>520</v>
      </c>
      <c r="C103" s="70" t="s">
        <v>520</v>
      </c>
      <c r="D103" s="70" t="s">
        <v>520</v>
      </c>
      <c r="E103" s="70" t="s">
        <v>520</v>
      </c>
      <c r="F103" s="70" t="s">
        <v>520</v>
      </c>
      <c r="G103" s="70" t="s">
        <v>520</v>
      </c>
      <c r="H103" s="70" t="s">
        <v>520</v>
      </c>
    </row>
    <row r="104" spans="1:8">
      <c r="A104" s="164" t="s">
        <v>637</v>
      </c>
      <c r="B104" s="106" t="s">
        <v>1</v>
      </c>
      <c r="C104" s="106" t="s">
        <v>1</v>
      </c>
      <c r="D104" s="106" t="s">
        <v>1</v>
      </c>
      <c r="E104" s="106" t="s">
        <v>1</v>
      </c>
      <c r="F104" s="106" t="s">
        <v>1</v>
      </c>
      <c r="G104" s="106" t="s">
        <v>1</v>
      </c>
      <c r="H104" s="106" t="s">
        <v>1</v>
      </c>
    </row>
    <row r="105" spans="1:8">
      <c r="A105" s="166" t="s">
        <v>638</v>
      </c>
      <c r="B105" s="69" t="s">
        <v>178</v>
      </c>
      <c r="C105" s="106" t="s">
        <v>1</v>
      </c>
      <c r="D105" s="106" t="s">
        <v>1</v>
      </c>
      <c r="E105" s="106" t="s">
        <v>1</v>
      </c>
      <c r="F105" s="106" t="s">
        <v>1</v>
      </c>
      <c r="G105" s="106" t="s">
        <v>1</v>
      </c>
      <c r="H105" s="106" t="s">
        <v>1</v>
      </c>
    </row>
    <row r="106" spans="1:8">
      <c r="A106" s="166" t="s">
        <v>639</v>
      </c>
      <c r="B106" s="69" t="s">
        <v>178</v>
      </c>
      <c r="C106" s="106" t="s">
        <v>1</v>
      </c>
      <c r="D106" s="106" t="s">
        <v>1</v>
      </c>
      <c r="E106" s="106" t="s">
        <v>1</v>
      </c>
      <c r="F106" s="106" t="s">
        <v>1</v>
      </c>
      <c r="G106" s="106" t="s">
        <v>1</v>
      </c>
      <c r="H106" s="106" t="s">
        <v>1</v>
      </c>
    </row>
    <row r="107" spans="1:8">
      <c r="A107" s="167" t="s">
        <v>640</v>
      </c>
      <c r="B107" s="69" t="s">
        <v>178</v>
      </c>
      <c r="C107" s="106" t="s">
        <v>1</v>
      </c>
      <c r="D107" s="106" t="s">
        <v>1</v>
      </c>
      <c r="E107" s="106" t="s">
        <v>1</v>
      </c>
      <c r="F107" s="106" t="s">
        <v>1</v>
      </c>
      <c r="G107" s="106" t="s">
        <v>1</v>
      </c>
      <c r="H107" s="106" t="s">
        <v>1</v>
      </c>
    </row>
    <row r="109" spans="1:8" ht="16">
      <c r="A109" s="591" t="s">
        <v>614</v>
      </c>
      <c r="B109" s="591"/>
      <c r="C109" s="101"/>
      <c r="D109" s="101"/>
      <c r="E109" s="101"/>
      <c r="F109" s="101"/>
      <c r="G109" s="101"/>
      <c r="H109" s="100" t="s">
        <v>646</v>
      </c>
    </row>
    <row r="110" spans="1:8" ht="16">
      <c r="A110" s="102" t="s">
        <v>568</v>
      </c>
      <c r="B110" s="103"/>
      <c r="C110" s="101"/>
      <c r="D110" s="101"/>
      <c r="E110" s="101"/>
      <c r="F110" s="101"/>
      <c r="G110" s="101"/>
      <c r="H110" s="100" t="s">
        <v>507</v>
      </c>
    </row>
    <row r="111" spans="1:8">
      <c r="A111" s="101"/>
      <c r="B111" s="101"/>
      <c r="C111" s="101"/>
      <c r="D111" s="101"/>
      <c r="E111" s="101"/>
      <c r="F111" s="101"/>
      <c r="G111" s="101"/>
      <c r="H111" s="100" t="s">
        <v>508</v>
      </c>
    </row>
    <row r="112" spans="1:8">
      <c r="A112" s="101"/>
      <c r="B112" s="101"/>
      <c r="C112" s="101"/>
      <c r="D112" s="101"/>
      <c r="E112" s="101"/>
      <c r="F112" s="101"/>
      <c r="G112" s="101"/>
      <c r="H112" s="107"/>
    </row>
    <row r="113" spans="1:8">
      <c r="A113" s="607" t="s">
        <v>615</v>
      </c>
      <c r="B113" s="159" t="s">
        <v>616</v>
      </c>
      <c r="C113" s="160" t="s">
        <v>513</v>
      </c>
      <c r="D113" s="160" t="s">
        <v>514</v>
      </c>
      <c r="E113" s="160" t="s">
        <v>515</v>
      </c>
      <c r="F113" s="161" t="s">
        <v>155</v>
      </c>
      <c r="G113" s="162" t="s">
        <v>516</v>
      </c>
      <c r="H113" s="161" t="s">
        <v>517</v>
      </c>
    </row>
    <row r="114" spans="1:8" ht="16" thickBot="1">
      <c r="A114" s="608"/>
      <c r="B114" s="609" t="s">
        <v>518</v>
      </c>
      <c r="C114" s="610"/>
      <c r="D114" s="610"/>
      <c r="E114" s="610"/>
      <c r="F114" s="610"/>
      <c r="G114" s="610"/>
      <c r="H114" s="611"/>
    </row>
    <row r="115" spans="1:8" ht="16" thickTop="1">
      <c r="A115" s="163" t="s">
        <v>617</v>
      </c>
      <c r="B115" s="70">
        <v>472.59033099745545</v>
      </c>
      <c r="C115" s="70">
        <v>922.89551110708794</v>
      </c>
      <c r="D115" s="70">
        <v>4.0522607647484303</v>
      </c>
      <c r="E115" s="70" t="s">
        <v>642</v>
      </c>
      <c r="F115" s="70" t="s">
        <v>642</v>
      </c>
      <c r="G115" s="70" t="s">
        <v>642</v>
      </c>
      <c r="H115" s="70" t="s">
        <v>519</v>
      </c>
    </row>
    <row r="116" spans="1:8">
      <c r="A116" s="164" t="s">
        <v>619</v>
      </c>
      <c r="B116" s="70" t="s">
        <v>643</v>
      </c>
      <c r="C116" s="70">
        <v>885.65976527634245</v>
      </c>
      <c r="D116" s="106" t="s">
        <v>1</v>
      </c>
      <c r="E116" s="70" t="s">
        <v>621</v>
      </c>
      <c r="F116" s="70" t="s">
        <v>621</v>
      </c>
      <c r="G116" s="70" t="s">
        <v>621</v>
      </c>
      <c r="H116" s="106" t="s">
        <v>1</v>
      </c>
    </row>
    <row r="117" spans="1:8">
      <c r="A117" s="109" t="s">
        <v>622</v>
      </c>
      <c r="B117" s="70" t="s">
        <v>620</v>
      </c>
      <c r="C117" s="70">
        <v>729.04223794940492</v>
      </c>
      <c r="D117" s="106" t="s">
        <v>1</v>
      </c>
      <c r="E117" s="69" t="s">
        <v>510</v>
      </c>
      <c r="F117" s="69" t="s">
        <v>510</v>
      </c>
      <c r="G117" s="69" t="s">
        <v>510</v>
      </c>
      <c r="H117" s="106" t="s">
        <v>1</v>
      </c>
    </row>
    <row r="118" spans="1:8">
      <c r="A118" s="109" t="s">
        <v>623</v>
      </c>
      <c r="B118" s="70" t="s">
        <v>520</v>
      </c>
      <c r="C118" s="70">
        <v>156.61752732693748</v>
      </c>
      <c r="D118" s="106" t="s">
        <v>1</v>
      </c>
      <c r="E118" s="69" t="s">
        <v>510</v>
      </c>
      <c r="F118" s="69" t="s">
        <v>510</v>
      </c>
      <c r="G118" s="69" t="s">
        <v>510</v>
      </c>
      <c r="H118" s="106" t="s">
        <v>1</v>
      </c>
    </row>
    <row r="119" spans="1:8">
      <c r="A119" s="165" t="s">
        <v>624</v>
      </c>
      <c r="B119" s="70" t="s">
        <v>509</v>
      </c>
      <c r="C119" s="70" t="s">
        <v>509</v>
      </c>
      <c r="D119" s="106" t="s">
        <v>1</v>
      </c>
      <c r="E119" s="70" t="s">
        <v>509</v>
      </c>
      <c r="F119" s="70" t="s">
        <v>509</v>
      </c>
      <c r="G119" s="70" t="s">
        <v>509</v>
      </c>
      <c r="H119" s="106" t="s">
        <v>1</v>
      </c>
    </row>
    <row r="120" spans="1:8">
      <c r="A120" s="164" t="s">
        <v>625</v>
      </c>
      <c r="B120" s="106" t="s">
        <v>1</v>
      </c>
      <c r="C120" s="70">
        <v>21.654830950849231</v>
      </c>
      <c r="D120" s="70">
        <v>1.2992898570509499</v>
      </c>
      <c r="E120" s="70" t="s">
        <v>178</v>
      </c>
      <c r="F120" s="70" t="s">
        <v>178</v>
      </c>
      <c r="G120" s="70" t="s">
        <v>178</v>
      </c>
      <c r="H120" s="106" t="s">
        <v>1</v>
      </c>
    </row>
    <row r="121" spans="1:8">
      <c r="A121" s="166" t="s">
        <v>626</v>
      </c>
      <c r="B121" s="106" t="s">
        <v>1</v>
      </c>
      <c r="C121" s="70">
        <v>21.654830950849231</v>
      </c>
      <c r="D121" s="70">
        <v>1.2992898570509499</v>
      </c>
      <c r="E121" s="69" t="s">
        <v>178</v>
      </c>
      <c r="F121" s="69" t="s">
        <v>178</v>
      </c>
      <c r="G121" s="69" t="s">
        <v>178</v>
      </c>
      <c r="H121" s="106" t="s">
        <v>1</v>
      </c>
    </row>
    <row r="122" spans="1:8">
      <c r="A122" s="166" t="s">
        <v>627</v>
      </c>
      <c r="B122" s="106" t="s">
        <v>1</v>
      </c>
      <c r="C122" s="70" t="s">
        <v>628</v>
      </c>
      <c r="D122" s="70" t="s">
        <v>628</v>
      </c>
      <c r="E122" s="69" t="s">
        <v>178</v>
      </c>
      <c r="F122" s="69" t="s">
        <v>178</v>
      </c>
      <c r="G122" s="69" t="s">
        <v>178</v>
      </c>
      <c r="H122" s="106" t="s">
        <v>1</v>
      </c>
    </row>
    <row r="123" spans="1:8">
      <c r="A123" s="164" t="s">
        <v>629</v>
      </c>
      <c r="B123" s="70">
        <v>472.59033099745545</v>
      </c>
      <c r="C123" s="70">
        <v>0.24993802795628001</v>
      </c>
      <c r="D123" s="70">
        <v>0.56480398212187999</v>
      </c>
      <c r="E123" s="70" t="s">
        <v>521</v>
      </c>
      <c r="F123" s="70" t="s">
        <v>521</v>
      </c>
      <c r="G123" s="70" t="s">
        <v>521</v>
      </c>
      <c r="H123" s="70" t="s">
        <v>521</v>
      </c>
    </row>
    <row r="124" spans="1:8">
      <c r="A124" s="109" t="s">
        <v>630</v>
      </c>
      <c r="B124" s="70">
        <v>472.59033099745545</v>
      </c>
      <c r="C124" s="70">
        <v>0.24993802795628001</v>
      </c>
      <c r="D124" s="70">
        <v>0.56480398212187999</v>
      </c>
      <c r="E124" s="69" t="s">
        <v>510</v>
      </c>
      <c r="F124" s="69" t="s">
        <v>510</v>
      </c>
      <c r="G124" s="69" t="s">
        <v>510</v>
      </c>
      <c r="H124" s="69" t="s">
        <v>510</v>
      </c>
    </row>
    <row r="125" spans="1:8">
      <c r="A125" s="109" t="s">
        <v>631</v>
      </c>
      <c r="B125" s="70" t="s">
        <v>533</v>
      </c>
      <c r="C125" s="70" t="s">
        <v>533</v>
      </c>
      <c r="D125" s="70" t="s">
        <v>533</v>
      </c>
      <c r="E125" s="69" t="s">
        <v>178</v>
      </c>
      <c r="F125" s="69" t="s">
        <v>178</v>
      </c>
      <c r="G125" s="69" t="s">
        <v>178</v>
      </c>
      <c r="H125" s="69" t="s">
        <v>178</v>
      </c>
    </row>
    <row r="126" spans="1:8">
      <c r="A126" s="164" t="s">
        <v>632</v>
      </c>
      <c r="B126" s="106" t="s">
        <v>1</v>
      </c>
      <c r="C126" s="70">
        <v>15.330976851939999</v>
      </c>
      <c r="D126" s="70">
        <v>2.1881669255756</v>
      </c>
      <c r="E126" s="70" t="s">
        <v>621</v>
      </c>
      <c r="F126" s="70" t="s">
        <v>621</v>
      </c>
      <c r="G126" s="70" t="s">
        <v>621</v>
      </c>
      <c r="H126" s="106" t="s">
        <v>1</v>
      </c>
    </row>
    <row r="127" spans="1:8">
      <c r="A127" s="109" t="s">
        <v>633</v>
      </c>
      <c r="B127" s="106" t="s">
        <v>1</v>
      </c>
      <c r="C127" s="402">
        <v>14.648976851940001</v>
      </c>
      <c r="D127" s="70">
        <v>2.1881669255756</v>
      </c>
      <c r="E127" s="69" t="s">
        <v>510</v>
      </c>
      <c r="F127" s="69" t="s">
        <v>510</v>
      </c>
      <c r="G127" s="69" t="s">
        <v>510</v>
      </c>
      <c r="H127" s="106" t="s">
        <v>1</v>
      </c>
    </row>
    <row r="128" spans="1:8">
      <c r="A128" s="109" t="s">
        <v>634</v>
      </c>
      <c r="B128" s="106" t="s">
        <v>1</v>
      </c>
      <c r="C128" s="70">
        <v>0.68200000000000005</v>
      </c>
      <c r="D128" s="70" t="s">
        <v>178</v>
      </c>
      <c r="E128" s="69" t="s">
        <v>510</v>
      </c>
      <c r="F128" s="69" t="s">
        <v>510</v>
      </c>
      <c r="G128" s="69" t="s">
        <v>510</v>
      </c>
      <c r="H128" s="106" t="s">
        <v>1</v>
      </c>
    </row>
    <row r="129" spans="1:8">
      <c r="A129" s="109" t="s">
        <v>635</v>
      </c>
      <c r="B129" s="106" t="s">
        <v>1</v>
      </c>
      <c r="C129" s="70" t="s">
        <v>509</v>
      </c>
      <c r="D129" s="70" t="s">
        <v>509</v>
      </c>
      <c r="E129" s="70" t="s">
        <v>509</v>
      </c>
      <c r="F129" s="70" t="s">
        <v>509</v>
      </c>
      <c r="G129" s="70" t="s">
        <v>509</v>
      </c>
      <c r="H129" s="106" t="s">
        <v>1</v>
      </c>
    </row>
    <row r="130" spans="1:8">
      <c r="A130" s="164" t="s">
        <v>636</v>
      </c>
      <c r="B130" s="70" t="s">
        <v>520</v>
      </c>
      <c r="C130" s="70" t="s">
        <v>520</v>
      </c>
      <c r="D130" s="70" t="s">
        <v>520</v>
      </c>
      <c r="E130" s="70" t="s">
        <v>520</v>
      </c>
      <c r="F130" s="70" t="s">
        <v>520</v>
      </c>
      <c r="G130" s="70" t="s">
        <v>520</v>
      </c>
      <c r="H130" s="70" t="s">
        <v>520</v>
      </c>
    </row>
    <row r="131" spans="1:8">
      <c r="A131" s="164" t="s">
        <v>637</v>
      </c>
      <c r="B131" s="106" t="s">
        <v>1</v>
      </c>
      <c r="C131" s="106" t="s">
        <v>1</v>
      </c>
      <c r="D131" s="106" t="s">
        <v>1</v>
      </c>
      <c r="E131" s="106" t="s">
        <v>1</v>
      </c>
      <c r="F131" s="106" t="s">
        <v>1</v>
      </c>
      <c r="G131" s="106" t="s">
        <v>1</v>
      </c>
      <c r="H131" s="106" t="s">
        <v>1</v>
      </c>
    </row>
    <row r="132" spans="1:8">
      <c r="A132" s="166" t="s">
        <v>638</v>
      </c>
      <c r="B132" s="69" t="s">
        <v>178</v>
      </c>
      <c r="C132" s="106" t="s">
        <v>1</v>
      </c>
      <c r="D132" s="106" t="s">
        <v>1</v>
      </c>
      <c r="E132" s="106" t="s">
        <v>1</v>
      </c>
      <c r="F132" s="106" t="s">
        <v>1</v>
      </c>
      <c r="G132" s="106" t="s">
        <v>1</v>
      </c>
      <c r="H132" s="106" t="s">
        <v>1</v>
      </c>
    </row>
    <row r="133" spans="1:8">
      <c r="A133" s="166" t="s">
        <v>639</v>
      </c>
      <c r="B133" s="69" t="s">
        <v>178</v>
      </c>
      <c r="C133" s="106" t="s">
        <v>1</v>
      </c>
      <c r="D133" s="106" t="s">
        <v>1</v>
      </c>
      <c r="E133" s="106" t="s">
        <v>1</v>
      </c>
      <c r="F133" s="106" t="s">
        <v>1</v>
      </c>
      <c r="G133" s="106" t="s">
        <v>1</v>
      </c>
      <c r="H133" s="106" t="s">
        <v>1</v>
      </c>
    </row>
    <row r="134" spans="1:8">
      <c r="A134" s="167" t="s">
        <v>640</v>
      </c>
      <c r="B134" s="69" t="s">
        <v>178</v>
      </c>
      <c r="C134" s="106" t="s">
        <v>1</v>
      </c>
      <c r="D134" s="106" t="s">
        <v>1</v>
      </c>
      <c r="E134" s="106" t="s">
        <v>1</v>
      </c>
      <c r="F134" s="106" t="s">
        <v>1</v>
      </c>
      <c r="G134" s="106" t="s">
        <v>1</v>
      </c>
      <c r="H134" s="106" t="s">
        <v>1</v>
      </c>
    </row>
  </sheetData>
  <mergeCells count="15">
    <mergeCell ref="A109:B109"/>
    <mergeCell ref="A113:A114"/>
    <mergeCell ref="B114:H114"/>
    <mergeCell ref="A55:B55"/>
    <mergeCell ref="A59:A60"/>
    <mergeCell ref="B60:H60"/>
    <mergeCell ref="A82:B82"/>
    <mergeCell ref="A86:A87"/>
    <mergeCell ref="B87:H87"/>
    <mergeCell ref="A1:B1"/>
    <mergeCell ref="A5:A6"/>
    <mergeCell ref="B6:H6"/>
    <mergeCell ref="A28:B28"/>
    <mergeCell ref="A32:A33"/>
    <mergeCell ref="B33:H33"/>
  </mergeCells>
  <pageMargins left="0.7" right="0.7" top="0.75" bottom="0.75" header="0.3" footer="0.3"/>
  <legacyDrawing r:id="rId1"/>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5" tint="0.79998168889431442"/>
  </sheetPr>
  <dimension ref="A1:V136"/>
  <sheetViews>
    <sheetView topLeftCell="A63" workbookViewId="0">
      <selection activeCell="B1" sqref="B1"/>
    </sheetView>
  </sheetViews>
  <sheetFormatPr baseColWidth="10" defaultColWidth="8.6640625" defaultRowHeight="15"/>
  <sheetData>
    <row r="1" spans="1:22" ht="19" thickBot="1">
      <c r="A1" s="73" t="s">
        <v>395</v>
      </c>
      <c r="B1" s="73"/>
      <c r="C1" s="73"/>
      <c r="D1" s="73"/>
      <c r="E1" s="73"/>
      <c r="F1" s="73"/>
      <c r="G1" s="73"/>
      <c r="H1" s="73"/>
      <c r="I1" s="73"/>
      <c r="J1" s="73"/>
      <c r="K1" s="73"/>
      <c r="L1" s="73"/>
      <c r="M1" s="73"/>
      <c r="N1" s="73"/>
      <c r="O1" s="73"/>
      <c r="P1" s="73"/>
      <c r="Q1" s="73"/>
      <c r="R1" s="73"/>
      <c r="S1" s="73"/>
      <c r="T1" s="73"/>
      <c r="U1" s="73"/>
      <c r="V1" s="73"/>
    </row>
    <row r="2" spans="1:22" ht="16" thickTop="1">
      <c r="A2" s="74"/>
      <c r="B2" s="75"/>
      <c r="C2" s="75"/>
      <c r="D2" s="75"/>
      <c r="E2" s="75"/>
      <c r="F2" s="75"/>
      <c r="G2" s="75"/>
      <c r="H2" s="75"/>
      <c r="I2" s="75"/>
      <c r="J2" s="75"/>
      <c r="K2" s="75"/>
      <c r="L2" s="75"/>
      <c r="M2" s="75"/>
      <c r="N2" s="75"/>
      <c r="O2" s="75"/>
      <c r="P2" s="75"/>
      <c r="Q2" s="75"/>
      <c r="R2" s="75"/>
      <c r="S2" s="75"/>
      <c r="T2" s="75"/>
      <c r="U2" s="75"/>
      <c r="V2" s="75"/>
    </row>
    <row r="3" spans="1:22">
      <c r="A3" s="74"/>
      <c r="B3" s="76" t="s">
        <v>396</v>
      </c>
      <c r="C3" s="76" t="s">
        <v>397</v>
      </c>
      <c r="D3" s="76" t="s">
        <v>398</v>
      </c>
      <c r="E3" s="76" t="s">
        <v>399</v>
      </c>
      <c r="F3" s="76" t="s">
        <v>400</v>
      </c>
      <c r="G3" s="76" t="s">
        <v>401</v>
      </c>
      <c r="H3" s="76" t="s">
        <v>402</v>
      </c>
      <c r="I3" s="76" t="s">
        <v>403</v>
      </c>
      <c r="J3" s="76" t="s">
        <v>404</v>
      </c>
      <c r="K3" s="76" t="s">
        <v>405</v>
      </c>
      <c r="L3" s="76" t="s">
        <v>406</v>
      </c>
      <c r="M3" s="76" t="s">
        <v>407</v>
      </c>
      <c r="N3" s="76" t="s">
        <v>408</v>
      </c>
      <c r="O3" s="76" t="s">
        <v>409</v>
      </c>
      <c r="P3" s="76" t="s">
        <v>410</v>
      </c>
      <c r="Q3" s="76" t="s">
        <v>411</v>
      </c>
      <c r="R3" s="76" t="s">
        <v>412</v>
      </c>
      <c r="S3" s="76" t="s">
        <v>413</v>
      </c>
      <c r="T3" s="76" t="s">
        <v>414</v>
      </c>
      <c r="U3" s="76" t="s">
        <v>415</v>
      </c>
      <c r="V3" s="76" t="s">
        <v>416</v>
      </c>
    </row>
    <row r="4" spans="1:22">
      <c r="A4" s="77"/>
      <c r="B4" s="78"/>
      <c r="C4" s="78"/>
      <c r="D4" s="78"/>
      <c r="E4" s="78"/>
      <c r="F4" s="78"/>
      <c r="G4" s="78"/>
      <c r="H4" s="78"/>
      <c r="I4" s="78"/>
      <c r="J4" s="78"/>
      <c r="K4" s="78"/>
      <c r="L4" s="78"/>
      <c r="M4" s="78"/>
      <c r="N4" s="78"/>
      <c r="O4" s="78"/>
      <c r="P4" s="78"/>
      <c r="Q4" s="78"/>
      <c r="R4" s="78"/>
      <c r="S4" s="78"/>
      <c r="T4" s="78"/>
      <c r="U4" s="78"/>
      <c r="V4" s="78"/>
    </row>
    <row r="5" spans="1:22">
      <c r="A5" s="74"/>
      <c r="B5" s="75"/>
      <c r="C5" s="75"/>
      <c r="D5" s="75"/>
      <c r="E5" s="75"/>
      <c r="F5" s="75"/>
      <c r="G5" s="75"/>
      <c r="H5" s="75"/>
      <c r="I5" s="75"/>
      <c r="J5" s="75"/>
      <c r="K5" s="75"/>
      <c r="L5" s="75"/>
      <c r="M5" s="75"/>
      <c r="N5" s="75"/>
      <c r="O5" s="75"/>
      <c r="P5" s="75"/>
      <c r="Q5" s="75"/>
      <c r="R5" s="75"/>
      <c r="S5" s="75"/>
      <c r="T5" s="75"/>
      <c r="U5" s="75"/>
      <c r="V5" s="75"/>
    </row>
    <row r="6" spans="1:22">
      <c r="A6" s="74"/>
      <c r="B6" s="3"/>
      <c r="C6" s="3"/>
      <c r="D6" s="3"/>
      <c r="E6" s="3"/>
      <c r="F6" s="79" t="s">
        <v>417</v>
      </c>
      <c r="G6" s="80"/>
      <c r="H6" s="80"/>
      <c r="I6" s="80"/>
      <c r="J6" s="3"/>
      <c r="K6" s="80"/>
      <c r="L6" s="80"/>
      <c r="M6" s="80"/>
      <c r="N6" s="80"/>
      <c r="O6" s="80"/>
      <c r="P6" s="80"/>
      <c r="Q6" s="79" t="s">
        <v>417</v>
      </c>
      <c r="R6" s="3"/>
      <c r="S6" s="3"/>
      <c r="T6" s="3"/>
      <c r="U6" s="3"/>
      <c r="V6" s="3"/>
    </row>
    <row r="7" spans="1:22">
      <c r="A7" s="74" t="s">
        <v>418</v>
      </c>
      <c r="B7" s="81">
        <v>10585</v>
      </c>
      <c r="C7" s="81">
        <v>8836</v>
      </c>
      <c r="D7" s="81">
        <v>10215</v>
      </c>
      <c r="E7" s="81">
        <v>9389</v>
      </c>
      <c r="F7" s="81">
        <v>9404</v>
      </c>
      <c r="G7" s="81">
        <v>9682</v>
      </c>
      <c r="H7" s="81">
        <v>8640</v>
      </c>
      <c r="I7" s="81">
        <v>10032</v>
      </c>
      <c r="J7" s="81">
        <v>9638</v>
      </c>
      <c r="K7" s="81">
        <v>8269</v>
      </c>
      <c r="L7" s="81">
        <v>8600</v>
      </c>
      <c r="M7" s="81">
        <v>8733.8757774669102</v>
      </c>
      <c r="N7" s="81">
        <v>8796.6240314905863</v>
      </c>
      <c r="O7" s="81">
        <v>8767.1556042743214</v>
      </c>
      <c r="P7" s="81">
        <v>8770.2571524970517</v>
      </c>
      <c r="Q7" s="81">
        <v>8809.1715835948889</v>
      </c>
      <c r="R7" s="81">
        <v>8816.5753015531627</v>
      </c>
      <c r="S7" s="81">
        <v>8777.0064494483158</v>
      </c>
      <c r="T7" s="81">
        <v>8784.9138096118313</v>
      </c>
      <c r="U7" s="81">
        <v>8782.8137058077173</v>
      </c>
      <c r="V7" s="81">
        <v>8780.2092506852205</v>
      </c>
    </row>
    <row r="8" spans="1:22">
      <c r="A8" s="74"/>
      <c r="B8" s="82"/>
      <c r="C8" s="82"/>
      <c r="D8" s="82"/>
      <c r="E8" s="82"/>
      <c r="F8" s="82"/>
      <c r="G8" s="82"/>
      <c r="H8" s="82"/>
      <c r="I8" s="82"/>
      <c r="J8" s="82"/>
      <c r="K8" s="82"/>
      <c r="L8" s="82"/>
      <c r="M8" s="82"/>
      <c r="N8" s="82"/>
      <c r="O8" s="82"/>
      <c r="P8" s="82"/>
      <c r="Q8" s="82"/>
      <c r="R8" s="82"/>
      <c r="S8" s="82"/>
      <c r="T8" s="82"/>
      <c r="U8" s="82"/>
      <c r="V8" s="82"/>
    </row>
    <row r="9" spans="1:22">
      <c r="A9" s="74"/>
      <c r="B9" s="3"/>
      <c r="C9" s="3"/>
      <c r="D9" s="3"/>
      <c r="E9" s="3"/>
      <c r="F9" s="83" t="s">
        <v>419</v>
      </c>
      <c r="G9" s="80"/>
      <c r="H9" s="80"/>
      <c r="I9" s="80"/>
      <c r="J9" s="3"/>
      <c r="K9" s="80"/>
      <c r="L9" s="80"/>
      <c r="M9" s="80"/>
      <c r="N9" s="80"/>
      <c r="O9" s="80"/>
      <c r="P9" s="80"/>
      <c r="Q9" s="83" t="s">
        <v>419</v>
      </c>
      <c r="R9" s="3"/>
      <c r="S9" s="3"/>
      <c r="T9" s="3"/>
      <c r="U9" s="3"/>
      <c r="V9" s="3"/>
    </row>
    <row r="10" spans="1:22">
      <c r="A10" s="74" t="s">
        <v>420</v>
      </c>
      <c r="B10" s="84">
        <v>1.9431270666036844</v>
      </c>
      <c r="C10" s="84">
        <v>1.8331824354911725</v>
      </c>
      <c r="D10" s="84">
        <v>2.256387665198238</v>
      </c>
      <c r="E10" s="84">
        <v>2.6409628288422624</v>
      </c>
      <c r="F10" s="84">
        <v>2.7379838366652489</v>
      </c>
      <c r="G10" s="84">
        <v>2.60948151208428</v>
      </c>
      <c r="H10" s="84">
        <v>2.321064814814815</v>
      </c>
      <c r="I10" s="84">
        <v>2.8519736842105261</v>
      </c>
      <c r="J10" s="84">
        <v>2.7856401743100228</v>
      </c>
      <c r="K10" s="84">
        <v>2.8016688837828032</v>
      </c>
      <c r="L10" s="84">
        <v>2.8139534883720931</v>
      </c>
      <c r="M10" s="84">
        <v>2.8688060339120147</v>
      </c>
      <c r="N10" s="84">
        <v>2.88847513829446</v>
      </c>
      <c r="O10" s="84">
        <v>2.9098200268443923</v>
      </c>
      <c r="P10" s="84">
        <v>2.930034604782783</v>
      </c>
      <c r="Q10" s="84">
        <v>2.953159821708975</v>
      </c>
      <c r="R10" s="84">
        <v>2.9724829489404669</v>
      </c>
      <c r="S10" s="84">
        <v>2.9838682651858672</v>
      </c>
      <c r="T10" s="84">
        <v>2.9972077019200514</v>
      </c>
      <c r="U10" s="84">
        <v>3.0218986025757566</v>
      </c>
      <c r="V10" s="84">
        <v>3.0397080912333871</v>
      </c>
    </row>
    <row r="11" spans="1:22">
      <c r="A11" s="74"/>
      <c r="B11" s="85"/>
      <c r="C11" s="85"/>
      <c r="D11" s="85"/>
      <c r="E11" s="85"/>
      <c r="F11" s="85"/>
      <c r="G11" s="85"/>
      <c r="H11" s="85"/>
      <c r="I11" s="85"/>
      <c r="J11" s="85"/>
      <c r="K11" s="85"/>
      <c r="L11" s="85"/>
      <c r="M11" s="85"/>
      <c r="N11" s="85"/>
      <c r="O11" s="85"/>
      <c r="P11" s="85"/>
      <c r="Q11" s="85"/>
      <c r="R11" s="85"/>
      <c r="S11" s="85"/>
      <c r="T11" s="85"/>
      <c r="U11" s="85"/>
      <c r="V11" s="85"/>
    </row>
    <row r="12" spans="1:22">
      <c r="A12" s="74"/>
      <c r="B12" s="3"/>
      <c r="C12" s="3"/>
      <c r="D12" s="3"/>
      <c r="E12" s="3"/>
      <c r="F12" s="86" t="s">
        <v>421</v>
      </c>
      <c r="G12" s="80"/>
      <c r="H12" s="80"/>
      <c r="I12" s="80"/>
      <c r="J12" s="3"/>
      <c r="K12" s="80"/>
      <c r="L12" s="80"/>
      <c r="M12" s="80"/>
      <c r="N12" s="80"/>
      <c r="O12" s="80"/>
      <c r="P12" s="80"/>
      <c r="Q12" s="86" t="s">
        <v>421</v>
      </c>
      <c r="R12" s="3"/>
      <c r="S12" s="3"/>
      <c r="T12" s="3"/>
      <c r="U12" s="3"/>
      <c r="V12" s="3"/>
    </row>
    <row r="13" spans="1:22">
      <c r="A13" s="74" t="s">
        <v>34</v>
      </c>
      <c r="B13" s="81">
        <v>20568</v>
      </c>
      <c r="C13" s="81">
        <v>16198</v>
      </c>
      <c r="D13" s="81">
        <v>23049</v>
      </c>
      <c r="E13" s="81">
        <v>24796</v>
      </c>
      <c r="F13" s="81">
        <v>25748</v>
      </c>
      <c r="G13" s="81">
        <v>25265</v>
      </c>
      <c r="H13" s="81">
        <v>20054</v>
      </c>
      <c r="I13" s="81">
        <v>28611</v>
      </c>
      <c r="J13" s="81">
        <v>26848</v>
      </c>
      <c r="K13" s="81">
        <v>23167</v>
      </c>
      <c r="L13" s="81">
        <v>24200</v>
      </c>
      <c r="M13" s="81">
        <v>25055.795529379811</v>
      </c>
      <c r="N13" s="81">
        <v>25408.829801008011</v>
      </c>
      <c r="O13" s="81">
        <v>25510.844973443876</v>
      </c>
      <c r="P13" s="81">
        <v>25697.156964054186</v>
      </c>
      <c r="Q13" s="81">
        <v>26014.891594431989</v>
      </c>
      <c r="R13" s="81">
        <v>26207.119740950606</v>
      </c>
      <c r="S13" s="81">
        <v>26189.430977586217</v>
      </c>
      <c r="T13" s="81">
        <v>26330.211376669347</v>
      </c>
      <c r="U13" s="81">
        <v>26540.772514991128</v>
      </c>
      <c r="V13" s="81">
        <v>26689.273162957736</v>
      </c>
    </row>
    <row r="14" spans="1:22">
      <c r="A14" s="74" t="s">
        <v>422</v>
      </c>
      <c r="B14" s="81">
        <v>9658</v>
      </c>
      <c r="C14" s="81">
        <v>6549</v>
      </c>
      <c r="D14" s="81">
        <v>5725</v>
      </c>
      <c r="E14" s="81">
        <v>5985</v>
      </c>
      <c r="F14" s="81">
        <v>7922</v>
      </c>
      <c r="G14" s="81">
        <v>9698</v>
      </c>
      <c r="H14" s="81">
        <v>6865</v>
      </c>
      <c r="I14" s="81">
        <v>4406</v>
      </c>
      <c r="J14" s="81">
        <v>6547</v>
      </c>
      <c r="K14" s="81">
        <v>7829</v>
      </c>
      <c r="L14" s="81">
        <v>7189</v>
      </c>
      <c r="M14" s="81">
        <v>4989</v>
      </c>
      <c r="N14" s="81">
        <v>5005.5596533790831</v>
      </c>
      <c r="O14" s="81">
        <v>4954.3603119285799</v>
      </c>
      <c r="P14" s="81">
        <v>4863.7572977653617</v>
      </c>
      <c r="Q14" s="81">
        <v>4880.3509095237296</v>
      </c>
      <c r="R14" s="81">
        <v>4946.3242283737436</v>
      </c>
      <c r="S14" s="81">
        <v>5085.5845131234</v>
      </c>
      <c r="T14" s="81">
        <v>5138.7960367769556</v>
      </c>
      <c r="U14" s="81">
        <v>5207.0451382616175</v>
      </c>
      <c r="V14" s="81">
        <v>5305.7392677204571</v>
      </c>
    </row>
    <row r="15" spans="1:22">
      <c r="A15" s="74" t="s">
        <v>423</v>
      </c>
      <c r="B15" s="81">
        <v>30226</v>
      </c>
      <c r="C15" s="81">
        <v>22747</v>
      </c>
      <c r="D15" s="81">
        <v>28774</v>
      </c>
      <c r="E15" s="81">
        <v>30781</v>
      </c>
      <c r="F15" s="81">
        <v>33670</v>
      </c>
      <c r="G15" s="81">
        <v>34963</v>
      </c>
      <c r="H15" s="81">
        <v>26919</v>
      </c>
      <c r="I15" s="81">
        <v>33017</v>
      </c>
      <c r="J15" s="81">
        <v>33395</v>
      </c>
      <c r="K15" s="81">
        <v>30996</v>
      </c>
      <c r="L15" s="81">
        <v>31389</v>
      </c>
      <c r="M15" s="81">
        <v>30044.795529379811</v>
      </c>
      <c r="N15" s="81">
        <v>30414.389454387092</v>
      </c>
      <c r="O15" s="81">
        <v>30465.205285372456</v>
      </c>
      <c r="P15" s="81">
        <v>30560.914261819547</v>
      </c>
      <c r="Q15" s="81">
        <v>30895.24250395572</v>
      </c>
      <c r="R15" s="81">
        <v>31153.443969324348</v>
      </c>
      <c r="S15" s="81">
        <v>31275.015490709615</v>
      </c>
      <c r="T15" s="81">
        <v>31469.007413446303</v>
      </c>
      <c r="U15" s="81">
        <v>31747.817653252743</v>
      </c>
      <c r="V15" s="81">
        <v>31995.012430678195</v>
      </c>
    </row>
    <row r="16" spans="1:22">
      <c r="A16" s="74"/>
      <c r="B16" s="81"/>
      <c r="C16" s="81"/>
      <c r="D16" s="81"/>
      <c r="E16" s="81"/>
      <c r="F16" s="81"/>
      <c r="G16" s="81"/>
      <c r="H16" s="81"/>
      <c r="I16" s="81"/>
      <c r="J16" s="81"/>
      <c r="K16" s="81"/>
      <c r="L16" s="81"/>
      <c r="M16" s="81"/>
      <c r="N16" s="81"/>
      <c r="O16" s="81"/>
      <c r="P16" s="81"/>
      <c r="Q16" s="81"/>
      <c r="R16" s="81"/>
      <c r="S16" s="81"/>
      <c r="T16" s="81"/>
      <c r="U16" s="81"/>
      <c r="V16" s="81"/>
    </row>
    <row r="17" spans="1:22">
      <c r="A17" s="74" t="s">
        <v>424</v>
      </c>
      <c r="B17" s="81">
        <v>3575</v>
      </c>
      <c r="C17" s="81">
        <v>3749</v>
      </c>
      <c r="D17" s="81">
        <v>3131</v>
      </c>
      <c r="E17" s="81">
        <v>3834</v>
      </c>
      <c r="F17" s="81">
        <v>3817</v>
      </c>
      <c r="G17" s="81">
        <v>4456</v>
      </c>
      <c r="H17" s="81">
        <v>2167</v>
      </c>
      <c r="I17" s="81">
        <v>3240</v>
      </c>
      <c r="J17" s="81">
        <v>2222</v>
      </c>
      <c r="K17" s="81">
        <v>2886</v>
      </c>
      <c r="L17" s="81">
        <v>3700</v>
      </c>
      <c r="M17" s="81">
        <v>3295.5927294326129</v>
      </c>
      <c r="N17" s="81">
        <v>3384.4931249046444</v>
      </c>
      <c r="O17" s="81">
        <v>3367.1712714662785</v>
      </c>
      <c r="P17" s="81">
        <v>3458.991879217574</v>
      </c>
      <c r="Q17" s="81">
        <v>3499.5896451269659</v>
      </c>
      <c r="R17" s="81">
        <v>3587.4724078866943</v>
      </c>
      <c r="S17" s="81">
        <v>3618.7455105228414</v>
      </c>
      <c r="T17" s="81">
        <v>3633.0151009421002</v>
      </c>
      <c r="U17" s="81">
        <v>3669.5889557436003</v>
      </c>
      <c r="V17" s="81">
        <v>3716.130941054611</v>
      </c>
    </row>
    <row r="18" spans="1:22">
      <c r="A18" s="74" t="s">
        <v>425</v>
      </c>
      <c r="B18" s="81">
        <v>4171</v>
      </c>
      <c r="C18" s="81">
        <v>4223</v>
      </c>
      <c r="D18" s="81">
        <v>4048</v>
      </c>
      <c r="E18" s="81">
        <v>4406</v>
      </c>
      <c r="F18" s="81">
        <v>4420</v>
      </c>
      <c r="G18" s="81">
        <v>4528</v>
      </c>
      <c r="H18" s="81">
        <v>4626</v>
      </c>
      <c r="I18" s="81">
        <v>4737</v>
      </c>
      <c r="J18" s="81">
        <v>4705</v>
      </c>
      <c r="K18" s="81">
        <v>4850</v>
      </c>
      <c r="L18" s="81">
        <v>5100</v>
      </c>
      <c r="M18" s="81">
        <v>5330.9303334333563</v>
      </c>
      <c r="N18" s="81">
        <v>5422.1652953707598</v>
      </c>
      <c r="O18" s="81">
        <v>5469.2964140798131</v>
      </c>
      <c r="P18" s="81">
        <v>5533.2882324760576</v>
      </c>
      <c r="Q18" s="81">
        <v>5608.3791538579299</v>
      </c>
      <c r="R18" s="81">
        <v>5707.9725376488859</v>
      </c>
      <c r="S18" s="81">
        <v>5772.9316153388918</v>
      </c>
      <c r="T18" s="81">
        <v>5833.5226698371771</v>
      </c>
      <c r="U18" s="81">
        <v>5917.1954218331184</v>
      </c>
      <c r="V18" s="81">
        <v>5976.2259742893702</v>
      </c>
    </row>
    <row r="19" spans="1:22">
      <c r="A19" s="74" t="s">
        <v>426</v>
      </c>
      <c r="B19" s="81">
        <v>6549</v>
      </c>
      <c r="C19" s="81">
        <v>5725</v>
      </c>
      <c r="D19" s="81">
        <v>5985</v>
      </c>
      <c r="E19" s="81">
        <v>7922</v>
      </c>
      <c r="F19" s="81">
        <v>9698</v>
      </c>
      <c r="G19" s="81">
        <v>6865</v>
      </c>
      <c r="H19" s="81">
        <v>4406</v>
      </c>
      <c r="I19" s="81">
        <v>6547</v>
      </c>
      <c r="J19" s="81">
        <v>7829</v>
      </c>
      <c r="K19" s="81">
        <v>7189</v>
      </c>
      <c r="L19" s="81">
        <v>4989</v>
      </c>
      <c r="M19" s="81">
        <v>5005.5596533790831</v>
      </c>
      <c r="N19" s="81">
        <v>4954.3603119285799</v>
      </c>
      <c r="O19" s="81">
        <v>4863.7572977653617</v>
      </c>
      <c r="P19" s="81">
        <v>4880.3509095237296</v>
      </c>
      <c r="Q19" s="81">
        <v>4946.3242283737436</v>
      </c>
      <c r="R19" s="81">
        <v>5085.5845131234</v>
      </c>
      <c r="S19" s="81">
        <v>5138.7960367769556</v>
      </c>
      <c r="T19" s="81">
        <v>5207.0451382616175</v>
      </c>
      <c r="U19" s="81">
        <v>5305.7392677204571</v>
      </c>
      <c r="V19" s="81">
        <v>5368.9574873351939</v>
      </c>
    </row>
    <row r="20" spans="1:22">
      <c r="A20" s="74" t="s">
        <v>427</v>
      </c>
      <c r="B20" s="81">
        <v>14295</v>
      </c>
      <c r="C20" s="81">
        <v>13697</v>
      </c>
      <c r="D20" s="81">
        <v>13164</v>
      </c>
      <c r="E20" s="81">
        <v>16162</v>
      </c>
      <c r="F20" s="81">
        <v>17935</v>
      </c>
      <c r="G20" s="81">
        <v>15849</v>
      </c>
      <c r="H20" s="81">
        <v>11199</v>
      </c>
      <c r="I20" s="81">
        <v>14524</v>
      </c>
      <c r="J20" s="81">
        <v>14756</v>
      </c>
      <c r="K20" s="81">
        <v>14925</v>
      </c>
      <c r="L20" s="81">
        <v>13789</v>
      </c>
      <c r="M20" s="81">
        <v>13632.082468541174</v>
      </c>
      <c r="N20" s="81">
        <v>13761.019177271261</v>
      </c>
      <c r="O20" s="81">
        <v>13700.224572308549</v>
      </c>
      <c r="P20" s="81">
        <v>13872.631397192037</v>
      </c>
      <c r="Q20" s="81">
        <v>14054.292695807953</v>
      </c>
      <c r="R20" s="81">
        <v>14381.029765696256</v>
      </c>
      <c r="S20" s="81">
        <v>14530.473070114638</v>
      </c>
      <c r="T20" s="81">
        <v>14673.583036291207</v>
      </c>
      <c r="U20" s="81">
        <v>14892.52365109389</v>
      </c>
      <c r="V20" s="81">
        <v>15061.314233045348</v>
      </c>
    </row>
    <row r="21" spans="1:22">
      <c r="A21" s="74"/>
      <c r="B21" s="81"/>
      <c r="C21" s="81"/>
      <c r="D21" s="81"/>
      <c r="E21" s="81"/>
      <c r="F21" s="81"/>
      <c r="G21" s="81"/>
      <c r="H21" s="81"/>
      <c r="I21" s="81"/>
      <c r="J21" s="81"/>
      <c r="K21" s="81"/>
      <c r="L21" s="81"/>
      <c r="M21" s="81"/>
      <c r="N21" s="81"/>
      <c r="O21" s="81"/>
      <c r="P21" s="81"/>
      <c r="Q21" s="81"/>
      <c r="R21" s="81"/>
      <c r="S21" s="81"/>
      <c r="T21" s="81"/>
      <c r="U21" s="81"/>
      <c r="V21" s="81"/>
    </row>
    <row r="22" spans="1:22">
      <c r="A22" s="74" t="s">
        <v>428</v>
      </c>
      <c r="B22" s="81">
        <v>15931</v>
      </c>
      <c r="C22" s="81">
        <v>9050</v>
      </c>
      <c r="D22" s="81">
        <v>15610</v>
      </c>
      <c r="E22" s="81">
        <v>14619</v>
      </c>
      <c r="F22" s="81">
        <v>15735</v>
      </c>
      <c r="G22" s="81">
        <v>19114</v>
      </c>
      <c r="H22" s="81">
        <v>15720</v>
      </c>
      <c r="I22" s="81">
        <v>18493</v>
      </c>
      <c r="J22" s="81">
        <v>18639</v>
      </c>
      <c r="K22" s="81">
        <v>16071</v>
      </c>
      <c r="L22" s="81">
        <v>17600</v>
      </c>
      <c r="M22" s="81">
        <v>16412.713060838636</v>
      </c>
      <c r="N22" s="81">
        <v>16653.370277115831</v>
      </c>
      <c r="O22" s="81">
        <v>16764.980713063909</v>
      </c>
      <c r="P22" s="81">
        <v>16688.282864627508</v>
      </c>
      <c r="Q22" s="81">
        <v>16840.949808147765</v>
      </c>
      <c r="R22" s="81">
        <v>16772.41420362809</v>
      </c>
      <c r="S22" s="81">
        <v>16744.542420594975</v>
      </c>
      <c r="T22" s="81">
        <v>16795.424377155097</v>
      </c>
      <c r="U22" s="81">
        <v>16855.294002158851</v>
      </c>
      <c r="V22" s="81">
        <v>16933.698197632846</v>
      </c>
    </row>
    <row r="24" spans="1:22" ht="19" thickBot="1">
      <c r="A24" s="73" t="s">
        <v>429</v>
      </c>
      <c r="B24" s="87"/>
      <c r="C24" s="87"/>
      <c r="D24" s="87"/>
      <c r="E24" s="87"/>
      <c r="F24" s="87"/>
      <c r="G24" s="87"/>
      <c r="H24" s="87"/>
      <c r="I24" s="87"/>
      <c r="J24" s="87"/>
      <c r="K24" s="87"/>
      <c r="L24" s="87"/>
      <c r="M24" s="87"/>
      <c r="N24" s="87"/>
      <c r="O24" s="87"/>
      <c r="P24" s="87"/>
      <c r="Q24" s="87"/>
      <c r="R24" s="87"/>
      <c r="S24" s="87"/>
      <c r="T24" s="87"/>
      <c r="U24" s="87"/>
      <c r="V24" s="87"/>
    </row>
    <row r="25" spans="1:22" ht="16" thickTop="1">
      <c r="A25" s="74"/>
      <c r="B25" s="74"/>
      <c r="C25" s="74"/>
      <c r="D25" s="74"/>
      <c r="E25" s="74"/>
      <c r="F25" s="74"/>
      <c r="G25" s="74"/>
      <c r="H25" s="74"/>
      <c r="I25" s="74"/>
      <c r="J25" s="74"/>
      <c r="K25" s="74"/>
      <c r="L25" s="74"/>
      <c r="M25" s="74"/>
      <c r="N25" s="74"/>
      <c r="O25" s="74"/>
      <c r="P25" s="74"/>
      <c r="Q25" s="74"/>
      <c r="R25" s="74"/>
      <c r="S25" s="74"/>
      <c r="T25" s="74"/>
      <c r="U25" s="74"/>
      <c r="V25" s="74"/>
    </row>
    <row r="26" spans="1:22">
      <c r="A26" s="74"/>
      <c r="B26" s="76" t="s">
        <v>396</v>
      </c>
      <c r="C26" s="76" t="s">
        <v>397</v>
      </c>
      <c r="D26" s="76" t="s">
        <v>398</v>
      </c>
      <c r="E26" s="76" t="s">
        <v>399</v>
      </c>
      <c r="F26" s="76" t="s">
        <v>400</v>
      </c>
      <c r="G26" s="76" t="s">
        <v>401</v>
      </c>
      <c r="H26" s="76" t="s">
        <v>402</v>
      </c>
      <c r="I26" s="76" t="s">
        <v>403</v>
      </c>
      <c r="J26" s="76" t="s">
        <v>404</v>
      </c>
      <c r="K26" s="76" t="s">
        <v>405</v>
      </c>
      <c r="L26" s="76" t="s">
        <v>406</v>
      </c>
      <c r="M26" s="76" t="s">
        <v>407</v>
      </c>
      <c r="N26" s="76" t="s">
        <v>408</v>
      </c>
      <c r="O26" s="76" t="s">
        <v>409</v>
      </c>
      <c r="P26" s="76" t="s">
        <v>410</v>
      </c>
      <c r="Q26" s="76" t="s">
        <v>411</v>
      </c>
      <c r="R26" s="76" t="s">
        <v>412</v>
      </c>
      <c r="S26" s="76" t="s">
        <v>413</v>
      </c>
      <c r="T26" s="76" t="s">
        <v>414</v>
      </c>
      <c r="U26" s="76" t="s">
        <v>415</v>
      </c>
      <c r="V26" s="76" t="s">
        <v>416</v>
      </c>
    </row>
    <row r="27" spans="1:22">
      <c r="A27" s="88"/>
      <c r="B27" s="78"/>
      <c r="C27" s="78"/>
      <c r="D27" s="78"/>
      <c r="E27" s="78"/>
      <c r="F27" s="78"/>
      <c r="G27" s="78"/>
      <c r="H27" s="78"/>
      <c r="I27" s="78"/>
      <c r="J27" s="78"/>
      <c r="K27" s="78"/>
      <c r="L27" s="78"/>
      <c r="M27" s="78"/>
      <c r="N27" s="78"/>
      <c r="O27" s="78"/>
      <c r="P27" s="78"/>
      <c r="Q27" s="78"/>
      <c r="R27" s="78"/>
      <c r="S27" s="78"/>
      <c r="T27" s="78"/>
      <c r="U27" s="78"/>
      <c r="V27" s="78"/>
    </row>
    <row r="28" spans="1:22">
      <c r="A28" s="74"/>
      <c r="B28" s="74"/>
      <c r="C28" s="74"/>
      <c r="D28" s="74"/>
      <c r="E28" s="74"/>
      <c r="F28" s="74"/>
      <c r="G28" s="74"/>
      <c r="H28" s="74"/>
      <c r="I28" s="74"/>
      <c r="J28" s="74"/>
      <c r="K28" s="74"/>
      <c r="L28" s="74"/>
      <c r="M28" s="74"/>
      <c r="N28" s="74"/>
      <c r="O28" s="74"/>
      <c r="P28" s="74"/>
      <c r="Q28" s="74"/>
      <c r="R28" s="74"/>
      <c r="S28" s="74"/>
      <c r="T28" s="74"/>
      <c r="U28" s="74"/>
      <c r="V28" s="74"/>
    </row>
    <row r="29" spans="1:22">
      <c r="A29" s="89" t="s">
        <v>79</v>
      </c>
      <c r="B29" s="3"/>
      <c r="C29" s="3"/>
      <c r="D29" s="3"/>
      <c r="E29" s="3"/>
      <c r="F29" s="86" t="s">
        <v>417</v>
      </c>
      <c r="G29" s="80"/>
      <c r="H29" s="80"/>
      <c r="I29" s="80"/>
      <c r="J29" s="3"/>
      <c r="K29" s="80"/>
      <c r="L29" s="80"/>
      <c r="M29" s="80"/>
      <c r="N29" s="80"/>
      <c r="O29" s="80"/>
      <c r="P29" s="80"/>
      <c r="Q29" s="86" t="s">
        <v>417</v>
      </c>
      <c r="R29" s="3"/>
      <c r="S29" s="3"/>
      <c r="T29" s="3"/>
      <c r="U29" s="3"/>
      <c r="V29" s="3"/>
    </row>
    <row r="30" spans="1:22">
      <c r="A30" s="74" t="s">
        <v>418</v>
      </c>
      <c r="B30" s="81">
        <v>1268</v>
      </c>
      <c r="C30" s="81">
        <v>1283</v>
      </c>
      <c r="D30" s="81">
        <v>1226</v>
      </c>
      <c r="E30" s="81">
        <v>1072</v>
      </c>
      <c r="F30" s="81">
        <v>1085</v>
      </c>
      <c r="G30" s="81">
        <v>1061</v>
      </c>
      <c r="H30" s="81">
        <v>1370</v>
      </c>
      <c r="I30" s="81">
        <v>1169</v>
      </c>
      <c r="J30" s="81">
        <v>1142</v>
      </c>
      <c r="K30" s="81">
        <v>1203</v>
      </c>
      <c r="L30" s="81">
        <v>1200</v>
      </c>
      <c r="M30" s="81">
        <v>1255.5575506245177</v>
      </c>
      <c r="N30" s="81">
        <v>1235.7921011226158</v>
      </c>
      <c r="O30" s="81">
        <v>1255.6243549779333</v>
      </c>
      <c r="P30" s="81">
        <v>1242.6900417204549</v>
      </c>
      <c r="Q30" s="81">
        <v>1239.0047904541159</v>
      </c>
      <c r="R30" s="81">
        <v>1228.2671884279534</v>
      </c>
      <c r="S30" s="81">
        <v>1229.0475520871123</v>
      </c>
      <c r="T30" s="81">
        <v>1226.6241809555568</v>
      </c>
      <c r="U30" s="81">
        <v>1223.192314283898</v>
      </c>
      <c r="V30" s="81">
        <v>1215.5861017608929</v>
      </c>
    </row>
    <row r="31" spans="1:22">
      <c r="A31" s="74"/>
      <c r="B31" s="84"/>
      <c r="C31" s="84"/>
      <c r="D31" s="84"/>
      <c r="E31" s="84"/>
      <c r="F31" s="84"/>
      <c r="G31" s="84"/>
      <c r="H31" s="84"/>
      <c r="I31" s="84"/>
      <c r="J31" s="84"/>
      <c r="K31" s="84"/>
      <c r="L31" s="84"/>
      <c r="M31" s="84"/>
      <c r="N31" s="84"/>
      <c r="O31" s="84"/>
      <c r="P31" s="84"/>
      <c r="Q31" s="84"/>
      <c r="R31" s="84"/>
      <c r="S31" s="84"/>
      <c r="T31" s="84"/>
      <c r="U31" s="84"/>
      <c r="V31" s="84"/>
    </row>
    <row r="32" spans="1:22">
      <c r="A32" s="74"/>
      <c r="B32" s="3"/>
      <c r="C32" s="3"/>
      <c r="D32" s="3"/>
      <c r="E32" s="3"/>
      <c r="F32" s="90" t="s">
        <v>419</v>
      </c>
      <c r="G32" s="80"/>
      <c r="H32" s="80"/>
      <c r="I32" s="80"/>
      <c r="J32" s="3"/>
      <c r="K32" s="80"/>
      <c r="L32" s="80"/>
      <c r="M32" s="80"/>
      <c r="N32" s="80"/>
      <c r="O32" s="80"/>
      <c r="P32" s="80"/>
      <c r="Q32" s="90" t="s">
        <v>419</v>
      </c>
      <c r="R32" s="3"/>
      <c r="S32" s="3"/>
      <c r="T32" s="3"/>
      <c r="U32" s="3"/>
      <c r="V32" s="3"/>
    </row>
    <row r="33" spans="1:22">
      <c r="A33" s="74" t="s">
        <v>420</v>
      </c>
      <c r="B33" s="84">
        <v>6.6159305993690856</v>
      </c>
      <c r="C33" s="84">
        <v>7.0140296180826187</v>
      </c>
      <c r="D33" s="84">
        <v>7.8197389885807507</v>
      </c>
      <c r="E33" s="84">
        <v>8.2434701492537314</v>
      </c>
      <c r="F33" s="84">
        <v>8.6009216589861754</v>
      </c>
      <c r="G33" s="84">
        <v>8.4731385485391133</v>
      </c>
      <c r="H33" s="84">
        <v>8.5029197080291965</v>
      </c>
      <c r="I33" s="84">
        <v>9.0607356715141147</v>
      </c>
      <c r="J33" s="84">
        <v>8.3721541155866905</v>
      </c>
      <c r="K33" s="84">
        <v>9.7373233582709897</v>
      </c>
      <c r="L33" s="84">
        <v>8.3333333333333339</v>
      </c>
      <c r="M33" s="84">
        <v>9.0625109211080748</v>
      </c>
      <c r="N33" s="84">
        <v>9.1436995213892036</v>
      </c>
      <c r="O33" s="84">
        <v>9.2486569492634558</v>
      </c>
      <c r="P33" s="84">
        <v>9.3552004151291293</v>
      </c>
      <c r="Q33" s="84">
        <v>9.4625077581548975</v>
      </c>
      <c r="R33" s="84">
        <v>9.5377218013397247</v>
      </c>
      <c r="S33" s="84">
        <v>9.6005753985046596</v>
      </c>
      <c r="T33" s="84">
        <v>9.666174651441942</v>
      </c>
      <c r="U33" s="84">
        <v>9.7679846816862455</v>
      </c>
      <c r="V33" s="84">
        <v>9.8062889120182817</v>
      </c>
    </row>
    <row r="34" spans="1:22">
      <c r="A34" s="74"/>
      <c r="B34" s="91"/>
      <c r="C34" s="91"/>
      <c r="D34" s="91"/>
      <c r="E34" s="91"/>
      <c r="F34" s="91"/>
      <c r="G34" s="91"/>
      <c r="H34" s="91"/>
      <c r="I34" s="91"/>
      <c r="J34" s="91"/>
      <c r="K34" s="91"/>
      <c r="L34" s="91"/>
      <c r="M34" s="91"/>
      <c r="N34" s="91"/>
      <c r="O34" s="91"/>
      <c r="P34" s="91"/>
      <c r="Q34" s="91"/>
      <c r="R34" s="91"/>
      <c r="S34" s="91"/>
      <c r="T34" s="91"/>
      <c r="U34" s="91"/>
      <c r="V34" s="91"/>
    </row>
    <row r="35" spans="1:22">
      <c r="A35" s="74"/>
      <c r="B35" s="3"/>
      <c r="C35" s="3"/>
      <c r="D35" s="3"/>
      <c r="E35" s="3"/>
      <c r="F35" s="86" t="s">
        <v>421</v>
      </c>
      <c r="G35" s="80"/>
      <c r="H35" s="80"/>
      <c r="I35" s="80"/>
      <c r="J35" s="3"/>
      <c r="K35" s="80"/>
      <c r="L35" s="80"/>
      <c r="M35" s="80"/>
      <c r="N35" s="80"/>
      <c r="O35" s="80"/>
      <c r="P35" s="80"/>
      <c r="Q35" s="86" t="s">
        <v>421</v>
      </c>
      <c r="R35" s="3"/>
      <c r="S35" s="3"/>
      <c r="T35" s="3"/>
      <c r="U35" s="3"/>
      <c r="V35" s="3"/>
    </row>
    <row r="36" spans="1:22">
      <c r="A36" s="74" t="s">
        <v>34</v>
      </c>
      <c r="B36" s="81">
        <v>8389</v>
      </c>
      <c r="C36" s="81">
        <v>8999</v>
      </c>
      <c r="D36" s="81">
        <v>9587</v>
      </c>
      <c r="E36" s="81">
        <v>8837</v>
      </c>
      <c r="F36" s="81">
        <v>9332</v>
      </c>
      <c r="G36" s="81">
        <v>8990</v>
      </c>
      <c r="H36" s="81">
        <v>11649</v>
      </c>
      <c r="I36" s="81">
        <v>10592</v>
      </c>
      <c r="J36" s="81">
        <v>9561</v>
      </c>
      <c r="K36" s="81">
        <v>11714</v>
      </c>
      <c r="L36" s="81">
        <v>10000</v>
      </c>
      <c r="M36" s="81">
        <v>11378.504014396483</v>
      </c>
      <c r="N36" s="81">
        <v>11299.711628544959</v>
      </c>
      <c r="O36" s="81">
        <v>11612.838970764704</v>
      </c>
      <c r="P36" s="81">
        <v>11625.614328196292</v>
      </c>
      <c r="Q36" s="81">
        <v>11724.092404037669</v>
      </c>
      <c r="R36" s="81">
        <v>11714.870743066631</v>
      </c>
      <c r="S36" s="81">
        <v>11799.563765070623</v>
      </c>
      <c r="T36" s="81">
        <v>11856.763602874164</v>
      </c>
      <c r="U36" s="81">
        <v>11948.123836331217</v>
      </c>
      <c r="V36" s="81">
        <v>11920.388566122097</v>
      </c>
    </row>
    <row r="37" spans="1:22">
      <c r="A37" s="74" t="s">
        <v>422</v>
      </c>
      <c r="B37" s="81">
        <v>880</v>
      </c>
      <c r="C37" s="81">
        <v>1056</v>
      </c>
      <c r="D37" s="81">
        <v>1111</v>
      </c>
      <c r="E37" s="81">
        <v>1143</v>
      </c>
      <c r="F37" s="81">
        <v>1802</v>
      </c>
      <c r="G37" s="81">
        <v>2001</v>
      </c>
      <c r="H37" s="81">
        <v>1337</v>
      </c>
      <c r="I37" s="81">
        <v>1457</v>
      </c>
      <c r="J37" s="81">
        <v>1833</v>
      </c>
      <c r="K37" s="81">
        <v>1758</v>
      </c>
      <c r="L37" s="81">
        <v>1278</v>
      </c>
      <c r="M37" s="81">
        <v>1178</v>
      </c>
      <c r="N37" s="81">
        <v>1277.271668123085</v>
      </c>
      <c r="O37" s="81">
        <v>1273.9901382404541</v>
      </c>
      <c r="P37" s="81">
        <v>1297.9431997277934</v>
      </c>
      <c r="Q37" s="81">
        <v>1289.0955817324211</v>
      </c>
      <c r="R37" s="81">
        <v>1289.5661483623694</v>
      </c>
      <c r="S37" s="81">
        <v>1286.8484230570932</v>
      </c>
      <c r="T37" s="81">
        <v>1299.1306886896009</v>
      </c>
      <c r="U37" s="81">
        <v>1316.8175882880573</v>
      </c>
      <c r="V37" s="81">
        <v>1336.2698862458544</v>
      </c>
    </row>
    <row r="38" spans="1:22">
      <c r="A38" s="74" t="s">
        <v>423</v>
      </c>
      <c r="B38" s="81">
        <v>9269</v>
      </c>
      <c r="C38" s="81">
        <v>10055</v>
      </c>
      <c r="D38" s="81">
        <v>10698</v>
      </c>
      <c r="E38" s="81">
        <v>9980</v>
      </c>
      <c r="F38" s="81">
        <v>11134</v>
      </c>
      <c r="G38" s="81">
        <v>10991</v>
      </c>
      <c r="H38" s="81">
        <v>12986</v>
      </c>
      <c r="I38" s="81">
        <v>12049</v>
      </c>
      <c r="J38" s="81">
        <v>11394</v>
      </c>
      <c r="K38" s="81">
        <v>13472</v>
      </c>
      <c r="L38" s="81">
        <v>11278</v>
      </c>
      <c r="M38" s="81">
        <v>12556.504014396483</v>
      </c>
      <c r="N38" s="81">
        <v>12576.983330030249</v>
      </c>
      <c r="O38" s="81">
        <v>12886.828992937148</v>
      </c>
      <c r="P38" s="81">
        <v>12923.557671914896</v>
      </c>
      <c r="Q38" s="81">
        <v>13013.188054667566</v>
      </c>
      <c r="R38" s="81">
        <v>13004.436852255112</v>
      </c>
      <c r="S38" s="81">
        <v>13086.412008705323</v>
      </c>
      <c r="T38" s="81">
        <v>13155.894216894725</v>
      </c>
      <c r="U38" s="81">
        <v>13264.941363969278</v>
      </c>
      <c r="V38" s="81">
        <v>13256.658398390606</v>
      </c>
    </row>
    <row r="39" spans="1:22">
      <c r="A39" s="3"/>
      <c r="B39" s="74"/>
      <c r="C39" s="74"/>
      <c r="D39" s="74"/>
      <c r="E39" s="74"/>
      <c r="F39" s="74"/>
      <c r="G39" s="74"/>
      <c r="H39" s="74"/>
      <c r="I39" s="74"/>
      <c r="J39" s="74"/>
      <c r="K39" s="74"/>
      <c r="L39" s="74"/>
      <c r="M39" s="74"/>
      <c r="N39" s="74"/>
      <c r="O39" s="74"/>
      <c r="P39" s="74"/>
      <c r="Q39" s="74"/>
      <c r="R39" s="74"/>
      <c r="S39" s="74"/>
      <c r="T39" s="74"/>
      <c r="U39" s="74"/>
      <c r="V39" s="74"/>
    </row>
    <row r="40" spans="1:22">
      <c r="A40" s="74" t="s">
        <v>424</v>
      </c>
      <c r="B40" s="81">
        <v>9645</v>
      </c>
      <c r="C40" s="81">
        <v>10156</v>
      </c>
      <c r="D40" s="81">
        <v>8785</v>
      </c>
      <c r="E40" s="81">
        <v>7906</v>
      </c>
      <c r="F40" s="81">
        <v>8518</v>
      </c>
      <c r="G40" s="81">
        <v>8447</v>
      </c>
      <c r="H40" s="81">
        <v>10184</v>
      </c>
      <c r="I40" s="81">
        <v>7557</v>
      </c>
      <c r="J40" s="81">
        <v>6996</v>
      </c>
      <c r="K40" s="81">
        <v>6674</v>
      </c>
      <c r="L40" s="81">
        <v>6300</v>
      </c>
      <c r="M40" s="81">
        <v>6865.0575040105095</v>
      </c>
      <c r="N40" s="81">
        <v>7041.5259371800266</v>
      </c>
      <c r="O40" s="81">
        <v>7213.6774779024026</v>
      </c>
      <c r="P40" s="81">
        <v>7310.9234261119191</v>
      </c>
      <c r="Q40" s="81">
        <v>7341.5364089212972</v>
      </c>
      <c r="R40" s="81">
        <v>7401.8687949433361</v>
      </c>
      <c r="S40" s="81">
        <v>7529.9431032115099</v>
      </c>
      <c r="T40" s="81">
        <v>7639.6226299707832</v>
      </c>
      <c r="U40" s="81">
        <v>7781.1644414572329</v>
      </c>
      <c r="V40" s="81">
        <v>7910.5698821391425</v>
      </c>
    </row>
    <row r="41" spans="1:22">
      <c r="A41" s="74" t="s">
        <v>425</v>
      </c>
      <c r="B41" s="81">
        <v>2320</v>
      </c>
      <c r="C41" s="81">
        <v>2420</v>
      </c>
      <c r="D41" s="81">
        <v>2430</v>
      </c>
      <c r="E41" s="81">
        <v>2405</v>
      </c>
      <c r="F41" s="81">
        <v>2290</v>
      </c>
      <c r="G41" s="81">
        <v>2995</v>
      </c>
      <c r="H41" s="81">
        <v>3585</v>
      </c>
      <c r="I41" s="81">
        <v>4130</v>
      </c>
      <c r="J41" s="81">
        <v>4610</v>
      </c>
      <c r="K41" s="81">
        <v>4760</v>
      </c>
      <c r="L41" s="81">
        <v>4700</v>
      </c>
      <c r="M41" s="81">
        <v>5173.6488607590081</v>
      </c>
      <c r="N41" s="81">
        <v>5346.6399378047627</v>
      </c>
      <c r="O41" s="81">
        <v>5515.1156969530357</v>
      </c>
      <c r="P41" s="81">
        <v>5555.1228731808133</v>
      </c>
      <c r="Q41" s="81">
        <v>5620.5800119861597</v>
      </c>
      <c r="R41" s="81">
        <v>5724.0430517976129</v>
      </c>
      <c r="S41" s="81">
        <v>5857.1957552942431</v>
      </c>
      <c r="T41" s="81">
        <v>5987.8990038997163</v>
      </c>
      <c r="U41" s="81">
        <v>6114.3867993246376</v>
      </c>
      <c r="V41" s="81">
        <v>6214.6392242363136</v>
      </c>
    </row>
    <row r="42" spans="1:22">
      <c r="A42" s="74" t="s">
        <v>426</v>
      </c>
      <c r="B42" s="81">
        <v>1056</v>
      </c>
      <c r="C42" s="81">
        <v>1111</v>
      </c>
      <c r="D42" s="81">
        <v>1143</v>
      </c>
      <c r="E42" s="81">
        <v>1802</v>
      </c>
      <c r="F42" s="81">
        <v>2001</v>
      </c>
      <c r="G42" s="81">
        <v>1337</v>
      </c>
      <c r="H42" s="81">
        <v>1457</v>
      </c>
      <c r="I42" s="81">
        <v>1833</v>
      </c>
      <c r="J42" s="81">
        <v>1758</v>
      </c>
      <c r="K42" s="81">
        <v>1278</v>
      </c>
      <c r="L42" s="81">
        <v>1178</v>
      </c>
      <c r="M42" s="81">
        <v>1277.271668123085</v>
      </c>
      <c r="N42" s="81">
        <v>1273.9901382404541</v>
      </c>
      <c r="O42" s="81">
        <v>1297.9431997277934</v>
      </c>
      <c r="P42" s="81">
        <v>1289.0955817324211</v>
      </c>
      <c r="Q42" s="81">
        <v>1289.5661483623694</v>
      </c>
      <c r="R42" s="81">
        <v>1286.8484230570932</v>
      </c>
      <c r="S42" s="81">
        <v>1299.1306886896009</v>
      </c>
      <c r="T42" s="81">
        <v>1316.8175882880573</v>
      </c>
      <c r="U42" s="81">
        <v>1336.2698862458544</v>
      </c>
      <c r="V42" s="81">
        <v>1347.0429076981438</v>
      </c>
    </row>
    <row r="43" spans="1:22">
      <c r="A43" s="74" t="s">
        <v>427</v>
      </c>
      <c r="B43" s="81">
        <v>13021</v>
      </c>
      <c r="C43" s="81">
        <v>13687</v>
      </c>
      <c r="D43" s="81">
        <v>12358</v>
      </c>
      <c r="E43" s="81">
        <v>12113</v>
      </c>
      <c r="F43" s="81">
        <v>12809</v>
      </c>
      <c r="G43" s="81">
        <v>12779</v>
      </c>
      <c r="H43" s="81">
        <v>15226</v>
      </c>
      <c r="I43" s="81">
        <v>13520</v>
      </c>
      <c r="J43" s="81">
        <v>13364</v>
      </c>
      <c r="K43" s="81">
        <v>12712</v>
      </c>
      <c r="L43" s="81">
        <v>12178</v>
      </c>
      <c r="M43" s="81">
        <v>13315.978035017426</v>
      </c>
      <c r="N43" s="81">
        <v>13662.155481719943</v>
      </c>
      <c r="O43" s="81">
        <v>14026.737245971039</v>
      </c>
      <c r="P43" s="81">
        <v>14155.142653830779</v>
      </c>
      <c r="Q43" s="81">
        <v>14251.681973346345</v>
      </c>
      <c r="R43" s="81">
        <v>14412.759131127648</v>
      </c>
      <c r="S43" s="81">
        <v>14686.268967977405</v>
      </c>
      <c r="T43" s="81">
        <v>14944.338898154077</v>
      </c>
      <c r="U43" s="81">
        <v>15231.820669661347</v>
      </c>
      <c r="V43" s="81">
        <v>15472.251568434804</v>
      </c>
    </row>
    <row r="44" spans="1:22">
      <c r="A44" s="3"/>
      <c r="B44" s="74"/>
      <c r="C44" s="74"/>
      <c r="D44" s="74"/>
      <c r="E44" s="74"/>
      <c r="F44" s="74"/>
      <c r="G44" s="74"/>
      <c r="H44" s="74"/>
      <c r="I44" s="74"/>
      <c r="J44" s="74"/>
      <c r="K44" s="74"/>
      <c r="L44" s="74"/>
      <c r="M44" s="74"/>
      <c r="N44" s="74"/>
      <c r="O44" s="74"/>
      <c r="P44" s="74"/>
      <c r="Q44" s="74"/>
      <c r="R44" s="74"/>
      <c r="S44" s="74"/>
      <c r="T44" s="74"/>
      <c r="U44" s="74"/>
      <c r="V44" s="74"/>
    </row>
    <row r="45" spans="1:22">
      <c r="A45" s="74" t="s">
        <v>428</v>
      </c>
      <c r="B45" s="81">
        <v>-3752</v>
      </c>
      <c r="C45" s="81">
        <v>-3632</v>
      </c>
      <c r="D45" s="81">
        <v>-1660</v>
      </c>
      <c r="E45" s="81">
        <v>-2133</v>
      </c>
      <c r="F45" s="81">
        <v>-1675</v>
      </c>
      <c r="G45" s="81">
        <v>-1788</v>
      </c>
      <c r="H45" s="81">
        <v>-2240</v>
      </c>
      <c r="I45" s="81">
        <v>-1471</v>
      </c>
      <c r="J45" s="81">
        <v>-1970</v>
      </c>
      <c r="K45" s="81">
        <v>760</v>
      </c>
      <c r="L45" s="81">
        <v>-900</v>
      </c>
      <c r="M45" s="81">
        <v>-759.47405274277116</v>
      </c>
      <c r="N45" s="81">
        <v>-1085.1714643839969</v>
      </c>
      <c r="O45" s="81">
        <v>-1139.9087538706935</v>
      </c>
      <c r="P45" s="81">
        <v>-1231.5867530016712</v>
      </c>
      <c r="Q45" s="81">
        <v>-1238.4942026949175</v>
      </c>
      <c r="R45" s="81">
        <v>-1408.3204758423872</v>
      </c>
      <c r="S45" s="81">
        <v>-1599.8550355542593</v>
      </c>
      <c r="T45" s="81">
        <v>-1788.4436705143307</v>
      </c>
      <c r="U45" s="81">
        <v>-1966.878449363352</v>
      </c>
      <c r="V45" s="81">
        <v>-2215.5923156039098</v>
      </c>
    </row>
    <row r="46" spans="1:22">
      <c r="A46" s="74"/>
      <c r="B46" s="92"/>
      <c r="C46" s="92"/>
      <c r="D46" s="92"/>
      <c r="E46" s="92"/>
      <c r="F46" s="92"/>
      <c r="G46" s="92"/>
      <c r="H46" s="92"/>
      <c r="I46" s="92"/>
      <c r="J46" s="92"/>
      <c r="K46" s="92"/>
      <c r="L46" s="92"/>
      <c r="M46" s="92"/>
      <c r="N46" s="92"/>
      <c r="O46" s="92"/>
      <c r="P46" s="92"/>
      <c r="Q46" s="92"/>
      <c r="R46" s="92"/>
      <c r="S46" s="92"/>
      <c r="T46" s="92"/>
      <c r="U46" s="92"/>
      <c r="V46" s="92"/>
    </row>
    <row r="47" spans="1:22">
      <c r="A47" s="89" t="s">
        <v>80</v>
      </c>
      <c r="B47" s="3"/>
      <c r="C47" s="3"/>
      <c r="D47" s="3"/>
      <c r="E47" s="3"/>
      <c r="F47" s="86" t="s">
        <v>417</v>
      </c>
      <c r="G47" s="80"/>
      <c r="H47" s="80"/>
      <c r="I47" s="80"/>
      <c r="J47" s="3"/>
      <c r="K47" s="80"/>
      <c r="L47" s="80"/>
      <c r="M47" s="80"/>
      <c r="N47" s="80"/>
      <c r="O47" s="80"/>
      <c r="P47" s="80"/>
      <c r="Q47" s="86" t="s">
        <v>417</v>
      </c>
      <c r="R47" s="3"/>
      <c r="S47" s="3"/>
      <c r="T47" s="3"/>
      <c r="U47" s="3"/>
      <c r="V47" s="3"/>
    </row>
    <row r="48" spans="1:22">
      <c r="A48" s="74" t="s">
        <v>418</v>
      </c>
      <c r="B48" s="81">
        <v>4150</v>
      </c>
      <c r="C48" s="81">
        <v>3348</v>
      </c>
      <c r="D48" s="81">
        <v>4397</v>
      </c>
      <c r="E48" s="81">
        <v>3841</v>
      </c>
      <c r="F48" s="81">
        <v>3634</v>
      </c>
      <c r="G48" s="81">
        <v>3223</v>
      </c>
      <c r="H48" s="81">
        <v>3998</v>
      </c>
      <c r="I48" s="81">
        <v>3502</v>
      </c>
      <c r="J48" s="81">
        <v>2918</v>
      </c>
      <c r="K48" s="81">
        <v>2387</v>
      </c>
      <c r="L48" s="81">
        <v>2350</v>
      </c>
      <c r="M48" s="81">
        <v>3031.5213378760645</v>
      </c>
      <c r="N48" s="81">
        <v>3004.8849998782289</v>
      </c>
      <c r="O48" s="81">
        <v>2958.4578339802147</v>
      </c>
      <c r="P48" s="81">
        <v>3006.6024634711639</v>
      </c>
      <c r="Q48" s="81">
        <v>3009.6924363777616</v>
      </c>
      <c r="R48" s="81">
        <v>3055.6091386895578</v>
      </c>
      <c r="S48" s="81">
        <v>3078.6879952979543</v>
      </c>
      <c r="T48" s="81">
        <v>3122.4535641706516</v>
      </c>
      <c r="U48" s="81">
        <v>3138.4190762098251</v>
      </c>
      <c r="V48" s="81">
        <v>3177.5238827277626</v>
      </c>
    </row>
    <row r="49" spans="1:22">
      <c r="A49" s="74"/>
      <c r="B49" s="84"/>
      <c r="C49" s="84"/>
      <c r="D49" s="84"/>
      <c r="E49" s="84"/>
      <c r="F49" s="84"/>
      <c r="G49" s="84"/>
      <c r="H49" s="84"/>
      <c r="I49" s="84"/>
      <c r="J49" s="84"/>
      <c r="K49" s="84"/>
      <c r="L49" s="84"/>
      <c r="M49" s="84"/>
      <c r="N49" s="84"/>
      <c r="O49" s="84"/>
      <c r="P49" s="84"/>
      <c r="Q49" s="84"/>
      <c r="R49" s="84"/>
      <c r="S49" s="84"/>
      <c r="T49" s="84"/>
      <c r="U49" s="84"/>
      <c r="V49" s="84"/>
    </row>
    <row r="50" spans="1:22">
      <c r="A50" s="74"/>
      <c r="B50" s="3"/>
      <c r="C50" s="3"/>
      <c r="D50" s="3"/>
      <c r="E50" s="3"/>
      <c r="F50" s="90" t="s">
        <v>419</v>
      </c>
      <c r="G50" s="80"/>
      <c r="H50" s="80"/>
      <c r="I50" s="80"/>
      <c r="J50" s="3"/>
      <c r="K50" s="80"/>
      <c r="L50" s="80"/>
      <c r="M50" s="80"/>
      <c r="N50" s="80"/>
      <c r="O50" s="80"/>
      <c r="P50" s="80"/>
      <c r="Q50" s="90" t="s">
        <v>419</v>
      </c>
      <c r="R50" s="3"/>
      <c r="S50" s="3"/>
      <c r="T50" s="3"/>
      <c r="U50" s="3"/>
      <c r="V50" s="3"/>
    </row>
    <row r="51" spans="1:22">
      <c r="A51" s="74" t="s">
        <v>420</v>
      </c>
      <c r="B51" s="84">
        <v>2.6134939759036144</v>
      </c>
      <c r="C51" s="84">
        <v>2.2368578255675029</v>
      </c>
      <c r="D51" s="84">
        <v>2.7664316579486012</v>
      </c>
      <c r="E51" s="84">
        <v>3.2692007289768288</v>
      </c>
      <c r="F51" s="84">
        <v>3.2135388002201433</v>
      </c>
      <c r="G51" s="84">
        <v>2.9702140862550417</v>
      </c>
      <c r="H51" s="84">
        <v>2.7473736868434218</v>
      </c>
      <c r="I51" s="84">
        <v>3.3640776699029127</v>
      </c>
      <c r="J51" s="84">
        <v>3.2614804660726526</v>
      </c>
      <c r="K51" s="84">
        <v>3.1860075408462505</v>
      </c>
      <c r="L51" s="84">
        <v>3.3617021276595747</v>
      </c>
      <c r="M51" s="84">
        <v>3.3895376377393305</v>
      </c>
      <c r="N51" s="84">
        <v>3.4235526980854631</v>
      </c>
      <c r="O51" s="84">
        <v>3.461624376883476</v>
      </c>
      <c r="P51" s="84">
        <v>3.500508310680825</v>
      </c>
      <c r="Q51" s="84">
        <v>3.5392964269665352</v>
      </c>
      <c r="R51" s="84">
        <v>3.5705459666572636</v>
      </c>
      <c r="S51" s="84">
        <v>3.6006244709957143</v>
      </c>
      <c r="T51" s="84">
        <v>3.6300245980429411</v>
      </c>
      <c r="U51" s="84">
        <v>3.663875886124984</v>
      </c>
      <c r="V51" s="84">
        <v>3.6937829953830992</v>
      </c>
    </row>
    <row r="52" spans="1:22">
      <c r="A52" s="74"/>
      <c r="B52" s="84"/>
      <c r="C52" s="84"/>
      <c r="D52" s="84"/>
      <c r="E52" s="84"/>
      <c r="F52" s="84"/>
      <c r="G52" s="84"/>
      <c r="H52" s="84"/>
      <c r="I52" s="84"/>
      <c r="J52" s="84"/>
      <c r="K52" s="84"/>
      <c r="L52" s="84"/>
      <c r="M52" s="84"/>
      <c r="N52" s="84"/>
      <c r="O52" s="84"/>
      <c r="P52" s="84"/>
      <c r="Q52" s="84"/>
      <c r="R52" s="84"/>
      <c r="S52" s="84"/>
      <c r="T52" s="84"/>
      <c r="U52" s="84"/>
      <c r="V52" s="84"/>
    </row>
    <row r="53" spans="1:22">
      <c r="A53" s="74"/>
      <c r="B53" s="3"/>
      <c r="C53" s="3"/>
      <c r="D53" s="3"/>
      <c r="E53" s="3"/>
      <c r="F53" s="86" t="s">
        <v>421</v>
      </c>
      <c r="G53" s="80"/>
      <c r="H53" s="80"/>
      <c r="I53" s="80"/>
      <c r="J53" s="3"/>
      <c r="K53" s="80"/>
      <c r="L53" s="80"/>
      <c r="M53" s="80"/>
      <c r="N53" s="80"/>
      <c r="O53" s="80"/>
      <c r="P53" s="80"/>
      <c r="Q53" s="86" t="s">
        <v>421</v>
      </c>
      <c r="R53" s="3"/>
      <c r="S53" s="3"/>
      <c r="T53" s="3"/>
      <c r="U53" s="3"/>
      <c r="V53" s="3"/>
    </row>
    <row r="54" spans="1:22">
      <c r="A54" s="74" t="s">
        <v>34</v>
      </c>
      <c r="B54" s="81">
        <v>10846</v>
      </c>
      <c r="C54" s="81">
        <v>7489</v>
      </c>
      <c r="D54" s="81">
        <v>12164</v>
      </c>
      <c r="E54" s="81">
        <v>12557</v>
      </c>
      <c r="F54" s="81">
        <v>11678</v>
      </c>
      <c r="G54" s="81">
        <v>9573</v>
      </c>
      <c r="H54" s="81">
        <v>10984</v>
      </c>
      <c r="I54" s="81">
        <v>11781</v>
      </c>
      <c r="J54" s="81">
        <v>9517</v>
      </c>
      <c r="K54" s="81">
        <v>7605</v>
      </c>
      <c r="L54" s="81">
        <v>7900</v>
      </c>
      <c r="M54" s="81">
        <v>10275.455674154045</v>
      </c>
      <c r="N54" s="81">
        <v>10287.382125202281</v>
      </c>
      <c r="O54" s="81">
        <v>10241.069795095551</v>
      </c>
      <c r="P54" s="81">
        <v>10524.636876091201</v>
      </c>
      <c r="Q54" s="81">
        <v>10652.193723888799</v>
      </c>
      <c r="R54" s="81">
        <v>10910.192845544105</v>
      </c>
      <c r="S54" s="81">
        <v>11085.199352631171</v>
      </c>
      <c r="T54" s="81">
        <v>11334.583233273321</v>
      </c>
      <c r="U54" s="81">
        <v>11498.777982082507</v>
      </c>
      <c r="V54" s="81">
        <v>11737.083690463222</v>
      </c>
    </row>
    <row r="55" spans="1:22">
      <c r="A55" s="74" t="s">
        <v>422</v>
      </c>
      <c r="B55" s="81">
        <v>2516</v>
      </c>
      <c r="C55" s="81">
        <v>2047</v>
      </c>
      <c r="D55" s="81">
        <v>1475</v>
      </c>
      <c r="E55" s="81">
        <v>2102</v>
      </c>
      <c r="F55" s="81">
        <v>3435</v>
      </c>
      <c r="G55" s="81">
        <v>3289</v>
      </c>
      <c r="H55" s="81">
        <v>1491</v>
      </c>
      <c r="I55" s="81">
        <v>1568</v>
      </c>
      <c r="J55" s="81">
        <v>2843</v>
      </c>
      <c r="K55" s="81">
        <v>2583</v>
      </c>
      <c r="L55" s="81">
        <v>1441</v>
      </c>
      <c r="M55" s="81">
        <v>1466</v>
      </c>
      <c r="N55" s="81">
        <v>2444.506913868021</v>
      </c>
      <c r="O55" s="81">
        <v>2548.9975202567284</v>
      </c>
      <c r="P55" s="81">
        <v>2553.9533723632917</v>
      </c>
      <c r="Q55" s="81">
        <v>2557.3250376487417</v>
      </c>
      <c r="R55" s="81">
        <v>2532.0960310256419</v>
      </c>
      <c r="S55" s="81">
        <v>2531.6662501290211</v>
      </c>
      <c r="T55" s="81">
        <v>2540.9467857786562</v>
      </c>
      <c r="U55" s="81">
        <v>2583.2595740446172</v>
      </c>
      <c r="V55" s="81">
        <v>2608.8415394773319</v>
      </c>
    </row>
    <row r="56" spans="1:22">
      <c r="A56" s="74" t="s">
        <v>423</v>
      </c>
      <c r="B56" s="81">
        <v>13362</v>
      </c>
      <c r="C56" s="81">
        <v>9536</v>
      </c>
      <c r="D56" s="81">
        <v>13639</v>
      </c>
      <c r="E56" s="81">
        <v>14659</v>
      </c>
      <c r="F56" s="81">
        <v>15113</v>
      </c>
      <c r="G56" s="81">
        <v>12862</v>
      </c>
      <c r="H56" s="81">
        <v>12475</v>
      </c>
      <c r="I56" s="81">
        <v>13349</v>
      </c>
      <c r="J56" s="81">
        <v>12360</v>
      </c>
      <c r="K56" s="81">
        <v>10188</v>
      </c>
      <c r="L56" s="81">
        <v>9341</v>
      </c>
      <c r="M56" s="81">
        <v>11741.455674154045</v>
      </c>
      <c r="N56" s="81">
        <v>12731.889198176568</v>
      </c>
      <c r="O56" s="81">
        <v>12790.067011686369</v>
      </c>
      <c r="P56" s="81">
        <v>13078.590485237517</v>
      </c>
      <c r="Q56" s="81">
        <v>13209.518475006163</v>
      </c>
      <c r="R56" s="81">
        <v>13442.289211861351</v>
      </c>
      <c r="S56" s="81">
        <v>13616.865495718703</v>
      </c>
      <c r="T56" s="81">
        <v>13875.530063563247</v>
      </c>
      <c r="U56" s="81">
        <v>14082.037470077614</v>
      </c>
      <c r="V56" s="81">
        <v>14345.925187481354</v>
      </c>
    </row>
    <row r="57" spans="1:22">
      <c r="A57" s="74"/>
      <c r="B57" s="84"/>
      <c r="C57" s="84"/>
      <c r="D57" s="84"/>
      <c r="E57" s="84"/>
      <c r="F57" s="84"/>
      <c r="G57" s="84"/>
      <c r="H57" s="84"/>
      <c r="I57" s="84"/>
      <c r="J57" s="84"/>
      <c r="K57" s="84"/>
      <c r="L57" s="84"/>
      <c r="M57" s="84"/>
      <c r="N57" s="84"/>
      <c r="O57" s="84"/>
      <c r="P57" s="84"/>
      <c r="Q57" s="84"/>
      <c r="R57" s="84"/>
      <c r="S57" s="84"/>
      <c r="T57" s="84"/>
      <c r="U57" s="84"/>
      <c r="V57" s="84"/>
    </row>
    <row r="58" spans="1:22">
      <c r="A58" s="74" t="s">
        <v>424</v>
      </c>
      <c r="B58" s="81">
        <v>8915</v>
      </c>
      <c r="C58" s="81">
        <v>6505</v>
      </c>
      <c r="D58" s="81">
        <v>8434</v>
      </c>
      <c r="E58" s="81">
        <v>8813</v>
      </c>
      <c r="F58" s="81">
        <v>8376</v>
      </c>
      <c r="G58" s="81">
        <v>8840</v>
      </c>
      <c r="H58" s="81">
        <v>6566</v>
      </c>
      <c r="I58" s="81">
        <v>7685</v>
      </c>
      <c r="J58" s="81">
        <v>7269</v>
      </c>
      <c r="K58" s="81">
        <v>6449</v>
      </c>
      <c r="L58" s="81">
        <v>6125</v>
      </c>
      <c r="M58" s="81">
        <v>7193.9901855381677</v>
      </c>
      <c r="N58" s="81">
        <v>7619.2042936616772</v>
      </c>
      <c r="O58" s="81">
        <v>7638.14252925658</v>
      </c>
      <c r="P58" s="81">
        <v>7839.3028877385423</v>
      </c>
      <c r="Q58" s="81">
        <v>7787.8639746057306</v>
      </c>
      <c r="R58" s="81">
        <v>7858.2941457846773</v>
      </c>
      <c r="S58" s="81">
        <v>7904.1218069834122</v>
      </c>
      <c r="T58" s="81">
        <v>7986.5044940759744</v>
      </c>
      <c r="U58" s="81">
        <v>8030.6089188191208</v>
      </c>
      <c r="V58" s="81">
        <v>8141.4621865564422</v>
      </c>
    </row>
    <row r="59" spans="1:22">
      <c r="A59" s="74" t="s">
        <v>425</v>
      </c>
      <c r="B59" s="81">
        <v>1356</v>
      </c>
      <c r="C59" s="81">
        <v>1400</v>
      </c>
      <c r="D59" s="81">
        <v>1295</v>
      </c>
      <c r="E59" s="81">
        <v>1325</v>
      </c>
      <c r="F59" s="81">
        <v>1235</v>
      </c>
      <c r="G59" s="81">
        <v>1350</v>
      </c>
      <c r="H59" s="81">
        <v>1350</v>
      </c>
      <c r="I59" s="81">
        <v>1380</v>
      </c>
      <c r="J59" s="81">
        <v>1235</v>
      </c>
      <c r="K59" s="81">
        <v>1135</v>
      </c>
      <c r="L59" s="81">
        <v>1100</v>
      </c>
      <c r="M59" s="81">
        <v>1207.7092037567515</v>
      </c>
      <c r="N59" s="81">
        <v>1233.445947953626</v>
      </c>
      <c r="O59" s="81">
        <v>1235.1151871515031</v>
      </c>
      <c r="P59" s="81">
        <v>1249.1418207688723</v>
      </c>
      <c r="Q59" s="81">
        <v>1247.3246558876906</v>
      </c>
      <c r="R59" s="81">
        <v>1255.2081511167485</v>
      </c>
      <c r="S59" s="81">
        <v>1262.8227455473314</v>
      </c>
      <c r="T59" s="81">
        <v>1281.2186266272374</v>
      </c>
      <c r="U59" s="81">
        <v>1291.535873865186</v>
      </c>
      <c r="V59" s="81">
        <v>1305.1123179274998</v>
      </c>
    </row>
    <row r="60" spans="1:22">
      <c r="A60" s="74" t="s">
        <v>426</v>
      </c>
      <c r="B60" s="81">
        <v>2047</v>
      </c>
      <c r="C60" s="81">
        <v>1475</v>
      </c>
      <c r="D60" s="81">
        <v>2102</v>
      </c>
      <c r="E60" s="81">
        <v>3435</v>
      </c>
      <c r="F60" s="81">
        <v>3289</v>
      </c>
      <c r="G60" s="81">
        <v>1491</v>
      </c>
      <c r="H60" s="81">
        <v>1568</v>
      </c>
      <c r="I60" s="81">
        <v>2843</v>
      </c>
      <c r="J60" s="81">
        <v>2583</v>
      </c>
      <c r="K60" s="81">
        <v>1441</v>
      </c>
      <c r="L60" s="81">
        <v>1466</v>
      </c>
      <c r="M60" s="81">
        <v>2444.506913868021</v>
      </c>
      <c r="N60" s="81">
        <v>2548.9975202567284</v>
      </c>
      <c r="O60" s="81">
        <v>2553.9533723632917</v>
      </c>
      <c r="P60" s="81">
        <v>2557.3250376487417</v>
      </c>
      <c r="Q60" s="81">
        <v>2532.0960310256419</v>
      </c>
      <c r="R60" s="81">
        <v>2531.6662501290211</v>
      </c>
      <c r="S60" s="81">
        <v>2540.9467857786562</v>
      </c>
      <c r="T60" s="81">
        <v>2583.2595740446172</v>
      </c>
      <c r="U60" s="81">
        <v>2608.8415394773319</v>
      </c>
      <c r="V60" s="81">
        <v>2632.3665486574268</v>
      </c>
    </row>
    <row r="61" spans="1:22">
      <c r="A61" s="74" t="s">
        <v>427</v>
      </c>
      <c r="B61" s="81">
        <v>12318</v>
      </c>
      <c r="C61" s="81">
        <v>9380</v>
      </c>
      <c r="D61" s="81">
        <v>11831</v>
      </c>
      <c r="E61" s="81">
        <v>13573</v>
      </c>
      <c r="F61" s="81">
        <v>12900</v>
      </c>
      <c r="G61" s="81">
        <v>11681</v>
      </c>
      <c r="H61" s="81">
        <v>9484</v>
      </c>
      <c r="I61" s="81">
        <v>11908</v>
      </c>
      <c r="J61" s="81">
        <v>11087</v>
      </c>
      <c r="K61" s="81">
        <v>9025</v>
      </c>
      <c r="L61" s="81">
        <v>8691</v>
      </c>
      <c r="M61" s="81">
        <v>10846.206426034334</v>
      </c>
      <c r="N61" s="81">
        <v>11401.647475399473</v>
      </c>
      <c r="O61" s="81">
        <v>11427.211181389186</v>
      </c>
      <c r="P61" s="81">
        <v>11645.769044387151</v>
      </c>
      <c r="Q61" s="81">
        <v>11567.285597138385</v>
      </c>
      <c r="R61" s="81">
        <v>11645.168917425053</v>
      </c>
      <c r="S61" s="81">
        <v>11707.891531197376</v>
      </c>
      <c r="T61" s="81">
        <v>11850.98270496123</v>
      </c>
      <c r="U61" s="81">
        <v>11930.986281760059</v>
      </c>
      <c r="V61" s="81">
        <v>12078.941453210067</v>
      </c>
    </row>
    <row r="62" spans="1:22">
      <c r="A62" s="74"/>
      <c r="B62" s="84"/>
      <c r="C62" s="84"/>
      <c r="D62" s="84"/>
      <c r="E62" s="84"/>
      <c r="F62" s="84"/>
      <c r="G62" s="84"/>
      <c r="H62" s="84"/>
      <c r="I62" s="84"/>
      <c r="J62" s="84"/>
      <c r="K62" s="84"/>
      <c r="L62" s="84"/>
      <c r="M62" s="84"/>
      <c r="N62" s="84"/>
      <c r="O62" s="84"/>
      <c r="P62" s="84"/>
      <c r="Q62" s="84"/>
      <c r="R62" s="84"/>
      <c r="S62" s="84"/>
      <c r="T62" s="84"/>
      <c r="U62" s="84"/>
      <c r="V62" s="84"/>
    </row>
    <row r="63" spans="1:22">
      <c r="A63" s="74" t="s">
        <v>428</v>
      </c>
      <c r="B63" s="81">
        <v>1044</v>
      </c>
      <c r="C63" s="81">
        <v>156</v>
      </c>
      <c r="D63" s="81">
        <v>1808</v>
      </c>
      <c r="E63" s="81">
        <v>1086</v>
      </c>
      <c r="F63" s="81">
        <v>2213</v>
      </c>
      <c r="G63" s="81">
        <v>1181</v>
      </c>
      <c r="H63" s="81">
        <v>2991</v>
      </c>
      <c r="I63" s="81">
        <v>1441</v>
      </c>
      <c r="J63" s="81">
        <v>1273</v>
      </c>
      <c r="K63" s="81">
        <v>1163</v>
      </c>
      <c r="L63" s="81">
        <v>650</v>
      </c>
      <c r="M63" s="81">
        <v>895.24924811971141</v>
      </c>
      <c r="N63" s="81">
        <v>1330.2415636708274</v>
      </c>
      <c r="O63" s="81">
        <v>1362.8561339630946</v>
      </c>
      <c r="P63" s="81">
        <v>1432.821204067342</v>
      </c>
      <c r="Q63" s="81">
        <v>1642.2331643991542</v>
      </c>
      <c r="R63" s="81">
        <v>1797.119959144693</v>
      </c>
      <c r="S63" s="81">
        <v>1908.9740715628163</v>
      </c>
      <c r="T63" s="81">
        <v>2024.5473140907475</v>
      </c>
      <c r="U63" s="81">
        <v>2151.051274367067</v>
      </c>
      <c r="V63" s="81">
        <v>2266.9837767304848</v>
      </c>
    </row>
    <row r="65" spans="1:22" ht="19" thickBot="1">
      <c r="A65" s="93" t="s">
        <v>430</v>
      </c>
      <c r="B65" s="93"/>
      <c r="C65" s="93"/>
      <c r="D65" s="93"/>
      <c r="E65" s="93"/>
      <c r="F65" s="87"/>
      <c r="G65" s="93"/>
      <c r="H65" s="93"/>
      <c r="I65" s="93"/>
      <c r="J65" s="93"/>
      <c r="K65" s="93"/>
      <c r="L65" s="93"/>
      <c r="M65" s="93"/>
      <c r="N65" s="93"/>
      <c r="O65" s="93"/>
      <c r="P65" s="93"/>
      <c r="Q65" s="93"/>
      <c r="R65" s="93"/>
      <c r="S65" s="93"/>
      <c r="T65" s="93"/>
      <c r="U65" s="93"/>
      <c r="V65" s="93"/>
    </row>
    <row r="66" spans="1:22" ht="16" thickTop="1">
      <c r="A66" s="74"/>
      <c r="B66" s="74"/>
      <c r="C66" s="74"/>
      <c r="D66" s="74"/>
      <c r="E66" s="74"/>
      <c r="F66" s="74"/>
      <c r="G66" s="74"/>
      <c r="H66" s="74"/>
      <c r="I66" s="74"/>
      <c r="J66" s="74"/>
      <c r="K66" s="74"/>
      <c r="L66" s="74"/>
      <c r="M66" s="74"/>
      <c r="N66" s="74"/>
      <c r="O66" s="74"/>
      <c r="P66" s="74"/>
      <c r="Q66" s="74"/>
      <c r="R66" s="74"/>
      <c r="S66" s="74"/>
      <c r="T66" s="74"/>
      <c r="U66" s="74"/>
      <c r="V66" s="74"/>
    </row>
    <row r="67" spans="1:22">
      <c r="A67" s="74"/>
      <c r="B67" s="76" t="s">
        <v>396</v>
      </c>
      <c r="C67" s="76" t="s">
        <v>397</v>
      </c>
      <c r="D67" s="76" t="s">
        <v>398</v>
      </c>
      <c r="E67" s="76" t="s">
        <v>399</v>
      </c>
      <c r="F67" s="76" t="s">
        <v>400</v>
      </c>
      <c r="G67" s="76" t="s">
        <v>401</v>
      </c>
      <c r="H67" s="76" t="s">
        <v>402</v>
      </c>
      <c r="I67" s="76" t="s">
        <v>403</v>
      </c>
      <c r="J67" s="76" t="s">
        <v>404</v>
      </c>
      <c r="K67" s="76" t="s">
        <v>405</v>
      </c>
      <c r="L67" s="76" t="s">
        <v>406</v>
      </c>
      <c r="M67" s="76" t="s">
        <v>407</v>
      </c>
      <c r="N67" s="76" t="s">
        <v>408</v>
      </c>
      <c r="O67" s="76" t="s">
        <v>409</v>
      </c>
      <c r="P67" s="76" t="s">
        <v>410</v>
      </c>
      <c r="Q67" s="76" t="s">
        <v>411</v>
      </c>
      <c r="R67" s="76" t="s">
        <v>412</v>
      </c>
      <c r="S67" s="76" t="s">
        <v>413</v>
      </c>
      <c r="T67" s="76" t="s">
        <v>414</v>
      </c>
      <c r="U67" s="76" t="s">
        <v>415</v>
      </c>
      <c r="V67" s="76" t="s">
        <v>416</v>
      </c>
    </row>
    <row r="68" spans="1:22">
      <c r="A68" s="88"/>
      <c r="B68" s="78"/>
      <c r="C68" s="78"/>
      <c r="D68" s="78"/>
      <c r="E68" s="78"/>
      <c r="F68" s="78"/>
      <c r="G68" s="78"/>
      <c r="H68" s="78"/>
      <c r="I68" s="78"/>
      <c r="J68" s="78"/>
      <c r="K68" s="78"/>
      <c r="L68" s="78"/>
      <c r="M68" s="78"/>
      <c r="N68" s="78"/>
      <c r="O68" s="78"/>
      <c r="P68" s="78"/>
      <c r="Q68" s="78"/>
      <c r="R68" s="78"/>
      <c r="S68" s="78"/>
      <c r="T68" s="78"/>
      <c r="U68" s="78"/>
      <c r="V68" s="78"/>
    </row>
    <row r="69" spans="1:22">
      <c r="A69" s="74"/>
      <c r="B69" s="74"/>
      <c r="C69" s="74"/>
      <c r="D69" s="74"/>
      <c r="E69" s="74"/>
      <c r="F69" s="74"/>
      <c r="G69" s="74"/>
      <c r="H69" s="74"/>
      <c r="I69" s="74"/>
      <c r="J69" s="74"/>
      <c r="K69" s="74"/>
      <c r="L69" s="74"/>
      <c r="M69" s="74"/>
      <c r="N69" s="74"/>
      <c r="O69" s="74"/>
      <c r="P69" s="74"/>
      <c r="Q69" s="74"/>
      <c r="R69" s="74"/>
      <c r="S69" s="74"/>
      <c r="T69" s="74"/>
      <c r="U69" s="74"/>
      <c r="V69" s="74"/>
    </row>
    <row r="70" spans="1:22">
      <c r="A70" s="89" t="s">
        <v>82</v>
      </c>
      <c r="B70" s="74"/>
      <c r="C70" s="74"/>
      <c r="D70" s="74"/>
      <c r="E70" s="74"/>
      <c r="F70" s="86" t="s">
        <v>417</v>
      </c>
      <c r="G70" s="80"/>
      <c r="H70" s="80"/>
      <c r="I70" s="80"/>
      <c r="J70" s="74"/>
      <c r="K70" s="80"/>
      <c r="L70" s="74"/>
      <c r="M70" s="74"/>
      <c r="N70" s="74"/>
      <c r="O70" s="74"/>
      <c r="P70" s="74"/>
      <c r="Q70" s="86" t="s">
        <v>417</v>
      </c>
      <c r="R70" s="74"/>
      <c r="S70" s="74"/>
      <c r="T70" s="74"/>
      <c r="U70" s="74"/>
      <c r="V70" s="74"/>
    </row>
    <row r="71" spans="1:22">
      <c r="A71" s="74" t="s">
        <v>418</v>
      </c>
      <c r="B71" s="81">
        <v>1069</v>
      </c>
      <c r="C71" s="81">
        <v>1024</v>
      </c>
      <c r="D71" s="81">
        <v>1044</v>
      </c>
      <c r="E71" s="81">
        <v>1174</v>
      </c>
      <c r="F71" s="81">
        <v>1169</v>
      </c>
      <c r="G71" s="81">
        <v>1201</v>
      </c>
      <c r="H71" s="81">
        <v>1172</v>
      </c>
      <c r="I71" s="81">
        <v>1195</v>
      </c>
      <c r="J71" s="81">
        <v>1380</v>
      </c>
      <c r="K71" s="81">
        <v>1477</v>
      </c>
      <c r="L71" s="81">
        <v>1500</v>
      </c>
      <c r="M71" s="81">
        <v>1415.7458362883215</v>
      </c>
      <c r="N71" s="81">
        <v>1380.2981540810374</v>
      </c>
      <c r="O71" s="81">
        <v>1378.958024112243</v>
      </c>
      <c r="P71" s="81">
        <v>1395.9303200942159</v>
      </c>
      <c r="Q71" s="81">
        <v>1409.1624226760691</v>
      </c>
      <c r="R71" s="81">
        <v>1420.8662905452852</v>
      </c>
      <c r="S71" s="81">
        <v>1433.8877497314147</v>
      </c>
      <c r="T71" s="81">
        <v>1450.5047228117453</v>
      </c>
      <c r="U71" s="81">
        <v>1467.5523621683533</v>
      </c>
      <c r="V71" s="81">
        <v>1484.815138373003</v>
      </c>
    </row>
    <row r="72" spans="1:22">
      <c r="A72" s="74"/>
      <c r="B72" s="81"/>
      <c r="C72" s="81"/>
      <c r="D72" s="81"/>
      <c r="E72" s="81"/>
      <c r="F72" s="81"/>
      <c r="G72" s="81"/>
      <c r="H72" s="81"/>
      <c r="I72" s="81"/>
      <c r="J72" s="81"/>
      <c r="K72" s="81"/>
      <c r="L72" s="81"/>
      <c r="M72" s="81"/>
      <c r="N72" s="81"/>
      <c r="O72" s="81"/>
      <c r="P72" s="81"/>
      <c r="Q72" s="81"/>
      <c r="R72" s="81"/>
      <c r="S72" s="81"/>
      <c r="T72" s="81"/>
      <c r="U72" s="81"/>
      <c r="V72" s="81"/>
    </row>
    <row r="73" spans="1:22">
      <c r="A73" s="74"/>
      <c r="B73" s="74"/>
      <c r="C73" s="74"/>
      <c r="D73" s="74"/>
      <c r="E73" s="74"/>
      <c r="F73" s="94" t="s">
        <v>419</v>
      </c>
      <c r="G73" s="80"/>
      <c r="H73" s="80"/>
      <c r="I73" s="80"/>
      <c r="J73" s="74"/>
      <c r="K73" s="80"/>
      <c r="L73" s="74"/>
      <c r="M73" s="74"/>
      <c r="N73" s="74"/>
      <c r="O73" s="74"/>
      <c r="P73" s="74"/>
      <c r="Q73" s="94" t="s">
        <v>419</v>
      </c>
      <c r="R73" s="74"/>
      <c r="S73" s="74"/>
      <c r="T73" s="74"/>
      <c r="U73" s="74"/>
      <c r="V73" s="74"/>
    </row>
    <row r="74" spans="1:22">
      <c r="A74" s="74" t="s">
        <v>420</v>
      </c>
      <c r="B74" s="84">
        <v>1.529466791393826</v>
      </c>
      <c r="C74" s="84">
        <v>2.28125</v>
      </c>
      <c r="D74" s="84">
        <v>2.1676245210727969</v>
      </c>
      <c r="E74" s="84">
        <v>2.5911413969335606</v>
      </c>
      <c r="F74" s="84">
        <v>2.6997433704020533</v>
      </c>
      <c r="G74" s="84">
        <v>2.8859283930058286</v>
      </c>
      <c r="H74" s="84">
        <v>2.3003412969283277</v>
      </c>
      <c r="I74" s="84">
        <v>2.7916317991631798</v>
      </c>
      <c r="J74" s="84">
        <v>2.5413043478260868</v>
      </c>
      <c r="K74" s="84">
        <v>2.9417738659444819</v>
      </c>
      <c r="L74" s="84">
        <v>2.6</v>
      </c>
      <c r="M74" s="84">
        <v>2.6008881359880558</v>
      </c>
      <c r="N74" s="84">
        <v>2.6032813945132443</v>
      </c>
      <c r="O74" s="84">
        <v>2.6126002150193575</v>
      </c>
      <c r="P74" s="84">
        <v>2.6246444566542144</v>
      </c>
      <c r="Q74" s="84">
        <v>2.6291138085379582</v>
      </c>
      <c r="R74" s="84">
        <v>2.6284816048158062</v>
      </c>
      <c r="S74" s="84">
        <v>2.6233553257027906</v>
      </c>
      <c r="T74" s="84">
        <v>2.6303222182092814</v>
      </c>
      <c r="U74" s="84">
        <v>2.6295539646635793</v>
      </c>
      <c r="V74" s="84">
        <v>2.6372040150192357</v>
      </c>
    </row>
    <row r="75" spans="1:22">
      <c r="A75" s="74"/>
      <c r="B75" s="92"/>
      <c r="C75" s="92"/>
      <c r="D75" s="92"/>
      <c r="E75" s="92"/>
      <c r="F75" s="92"/>
      <c r="G75" s="92"/>
      <c r="H75" s="92"/>
      <c r="I75" s="92"/>
      <c r="J75" s="92"/>
      <c r="K75" s="92"/>
      <c r="L75" s="92"/>
      <c r="M75" s="92"/>
      <c r="N75" s="92"/>
      <c r="O75" s="92"/>
      <c r="P75" s="92"/>
      <c r="Q75" s="92"/>
      <c r="R75" s="92"/>
      <c r="S75" s="92"/>
      <c r="T75" s="92"/>
      <c r="U75" s="92"/>
      <c r="V75" s="92"/>
    </row>
    <row r="76" spans="1:22">
      <c r="A76" s="74"/>
      <c r="B76" s="74"/>
      <c r="C76" s="74"/>
      <c r="D76" s="74"/>
      <c r="E76" s="74"/>
      <c r="F76" s="86" t="s">
        <v>421</v>
      </c>
      <c r="G76" s="80"/>
      <c r="H76" s="80"/>
      <c r="I76" s="80"/>
      <c r="J76" s="74"/>
      <c r="K76" s="80"/>
      <c r="L76" s="74"/>
      <c r="M76" s="74"/>
      <c r="N76" s="74"/>
      <c r="O76" s="74"/>
      <c r="P76" s="74"/>
      <c r="Q76" s="86" t="s">
        <v>421</v>
      </c>
      <c r="R76" s="74"/>
      <c r="S76" s="74"/>
      <c r="T76" s="74"/>
      <c r="U76" s="74"/>
      <c r="V76" s="74"/>
    </row>
    <row r="77" spans="1:22">
      <c r="A77" s="74" t="s">
        <v>34</v>
      </c>
      <c r="B77" s="81">
        <v>1635</v>
      </c>
      <c r="C77" s="81">
        <v>2336</v>
      </c>
      <c r="D77" s="81">
        <v>2263</v>
      </c>
      <c r="E77" s="81">
        <v>3042</v>
      </c>
      <c r="F77" s="81">
        <v>3156</v>
      </c>
      <c r="G77" s="81">
        <v>3466</v>
      </c>
      <c r="H77" s="81">
        <v>2696</v>
      </c>
      <c r="I77" s="81">
        <v>3336</v>
      </c>
      <c r="J77" s="81">
        <v>3507</v>
      </c>
      <c r="K77" s="81">
        <v>4345</v>
      </c>
      <c r="L77" s="81">
        <v>3900</v>
      </c>
      <c r="M77" s="81">
        <v>3682.1965491767837</v>
      </c>
      <c r="N77" s="81">
        <v>3593.3045034001398</v>
      </c>
      <c r="O77" s="81">
        <v>3602.6660302983146</v>
      </c>
      <c r="P77" s="81">
        <v>3663.8207765108268</v>
      </c>
      <c r="Q77" s="81">
        <v>3704.8483839304563</v>
      </c>
      <c r="R77" s="81">
        <v>3734.7209076011527</v>
      </c>
      <c r="S77" s="81">
        <v>3761.597064717897</v>
      </c>
      <c r="T77" s="81">
        <v>3815.2948000292286</v>
      </c>
      <c r="U77" s="81">
        <v>3859.0081322911942</v>
      </c>
      <c r="V77" s="81">
        <v>3915.7604444786257</v>
      </c>
    </row>
    <row r="78" spans="1:22">
      <c r="A78" s="74" t="s">
        <v>422</v>
      </c>
      <c r="B78" s="81">
        <v>420</v>
      </c>
      <c r="C78" s="81">
        <v>338</v>
      </c>
      <c r="D78" s="81">
        <v>303</v>
      </c>
      <c r="E78" s="81">
        <v>195</v>
      </c>
      <c r="F78" s="81">
        <v>453</v>
      </c>
      <c r="G78" s="81">
        <v>636</v>
      </c>
      <c r="H78" s="81">
        <v>655</v>
      </c>
      <c r="I78" s="81">
        <v>174</v>
      </c>
      <c r="J78" s="81">
        <v>174</v>
      </c>
      <c r="K78" s="81">
        <v>175</v>
      </c>
      <c r="L78" s="81">
        <v>153</v>
      </c>
      <c r="M78" s="81">
        <v>153</v>
      </c>
      <c r="N78" s="81">
        <v>221.76558069412766</v>
      </c>
      <c r="O78" s="81">
        <v>223.69597498187585</v>
      </c>
      <c r="P78" s="81">
        <v>196.79434326127131</v>
      </c>
      <c r="Q78" s="81">
        <v>187.13815252743353</v>
      </c>
      <c r="R78" s="81">
        <v>190.20660192200393</v>
      </c>
      <c r="S78" s="81">
        <v>208.35638006125663</v>
      </c>
      <c r="T78" s="81">
        <v>220.86034575481352</v>
      </c>
      <c r="U78" s="81">
        <v>241.97383140209155</v>
      </c>
      <c r="V78" s="81">
        <v>241.97383140209155</v>
      </c>
    </row>
    <row r="79" spans="1:22">
      <c r="A79" s="74" t="s">
        <v>423</v>
      </c>
      <c r="B79" s="81">
        <v>2055</v>
      </c>
      <c r="C79" s="81">
        <v>2674</v>
      </c>
      <c r="D79" s="81">
        <v>2566</v>
      </c>
      <c r="E79" s="81">
        <v>3237</v>
      </c>
      <c r="F79" s="81">
        <v>3609</v>
      </c>
      <c r="G79" s="81">
        <v>4102</v>
      </c>
      <c r="H79" s="81">
        <v>3351</v>
      </c>
      <c r="I79" s="81">
        <v>3510</v>
      </c>
      <c r="J79" s="81">
        <v>3681</v>
      </c>
      <c r="K79" s="81">
        <v>4520</v>
      </c>
      <c r="L79" s="81">
        <v>4053</v>
      </c>
      <c r="M79" s="81">
        <v>3835.1965491767837</v>
      </c>
      <c r="N79" s="81">
        <v>3815.0700840942673</v>
      </c>
      <c r="O79" s="81">
        <v>3826.3620052801903</v>
      </c>
      <c r="P79" s="81">
        <v>3860.6151197720983</v>
      </c>
      <c r="Q79" s="81">
        <v>3891.98653645789</v>
      </c>
      <c r="R79" s="81">
        <v>3924.9275095231565</v>
      </c>
      <c r="S79" s="81">
        <v>3969.9534447791534</v>
      </c>
      <c r="T79" s="81">
        <v>4036.1551457840419</v>
      </c>
      <c r="U79" s="81">
        <v>4100.9819636932862</v>
      </c>
      <c r="V79" s="81">
        <v>4157.7342758807172</v>
      </c>
    </row>
    <row r="80" spans="1:22">
      <c r="A80" s="74"/>
      <c r="B80" s="81"/>
      <c r="C80" s="81"/>
      <c r="D80" s="81"/>
      <c r="E80" s="81"/>
      <c r="F80" s="81"/>
      <c r="G80" s="81"/>
      <c r="H80" s="81"/>
      <c r="I80" s="81"/>
      <c r="J80" s="81"/>
      <c r="K80" s="81"/>
      <c r="L80" s="81"/>
      <c r="M80" s="81"/>
      <c r="N80" s="81"/>
      <c r="O80" s="81"/>
      <c r="P80" s="81"/>
      <c r="Q80" s="81"/>
      <c r="R80" s="81"/>
      <c r="S80" s="81"/>
      <c r="T80" s="81"/>
      <c r="U80" s="81"/>
      <c r="V80" s="81"/>
    </row>
    <row r="81" spans="1:22">
      <c r="A81" s="74" t="s">
        <v>431</v>
      </c>
      <c r="B81" s="81">
        <v>1694</v>
      </c>
      <c r="C81" s="81">
        <v>1796</v>
      </c>
      <c r="D81" s="81">
        <v>1565</v>
      </c>
      <c r="E81" s="81">
        <v>1545</v>
      </c>
      <c r="F81" s="81">
        <v>1497</v>
      </c>
      <c r="G81" s="81">
        <v>1524</v>
      </c>
      <c r="H81" s="81">
        <v>1383</v>
      </c>
      <c r="I81" s="81">
        <v>1286</v>
      </c>
      <c r="J81" s="81">
        <v>1292</v>
      </c>
      <c r="K81" s="81">
        <v>1337</v>
      </c>
      <c r="L81" s="81">
        <v>1300</v>
      </c>
      <c r="M81" s="81">
        <v>1309.2850634333272</v>
      </c>
      <c r="N81" s="81">
        <v>1325.735864999916</v>
      </c>
      <c r="O81" s="81">
        <v>1340.5137070163191</v>
      </c>
      <c r="P81" s="81">
        <v>1378.407880756904</v>
      </c>
      <c r="Q81" s="81">
        <v>1391.335412108011</v>
      </c>
      <c r="R81" s="81">
        <v>1402.9231056419203</v>
      </c>
      <c r="S81" s="81">
        <v>1409.5898428489309</v>
      </c>
      <c r="T81" s="81">
        <v>1416.9558607425461</v>
      </c>
      <c r="U81" s="81">
        <v>1420.2673924357914</v>
      </c>
      <c r="V81" s="81">
        <v>1419.8684331203995</v>
      </c>
    </row>
    <row r="82" spans="1:22">
      <c r="A82" s="74" t="s">
        <v>432</v>
      </c>
      <c r="B82" s="81">
        <v>503</v>
      </c>
      <c r="C82" s="81">
        <v>500</v>
      </c>
      <c r="D82" s="81">
        <v>505</v>
      </c>
      <c r="E82" s="81">
        <v>501</v>
      </c>
      <c r="F82" s="81">
        <v>499</v>
      </c>
      <c r="G82" s="81">
        <v>474</v>
      </c>
      <c r="H82" s="81">
        <v>350</v>
      </c>
      <c r="I82" s="81">
        <v>420</v>
      </c>
      <c r="J82" s="81">
        <v>342</v>
      </c>
      <c r="K82" s="81">
        <v>330</v>
      </c>
      <c r="L82" s="81">
        <v>320</v>
      </c>
      <c r="M82" s="81">
        <v>308.00627951373826</v>
      </c>
      <c r="N82" s="81">
        <v>295.66783450593198</v>
      </c>
      <c r="O82" s="81">
        <v>287.91606460544017</v>
      </c>
      <c r="P82" s="81">
        <v>291.46536871097396</v>
      </c>
      <c r="Q82" s="81">
        <v>297.09447488745582</v>
      </c>
      <c r="R82" s="81">
        <v>306.24232766400473</v>
      </c>
      <c r="S82" s="81">
        <v>314.34336758992117</v>
      </c>
      <c r="T82" s="81">
        <v>326.07405957448077</v>
      </c>
      <c r="U82" s="81">
        <v>336.33274485053835</v>
      </c>
      <c r="V82" s="81">
        <v>347.11005217701631</v>
      </c>
    </row>
    <row r="83" spans="1:22">
      <c r="A83" s="74" t="s">
        <v>426</v>
      </c>
      <c r="B83" s="81">
        <v>338</v>
      </c>
      <c r="C83" s="81">
        <v>303</v>
      </c>
      <c r="D83" s="81">
        <v>195</v>
      </c>
      <c r="E83" s="81">
        <v>453</v>
      </c>
      <c r="F83" s="81">
        <v>636</v>
      </c>
      <c r="G83" s="81">
        <v>655</v>
      </c>
      <c r="H83" s="81">
        <v>174</v>
      </c>
      <c r="I83" s="81">
        <v>174</v>
      </c>
      <c r="J83" s="81">
        <v>175</v>
      </c>
      <c r="K83" s="81">
        <v>153</v>
      </c>
      <c r="L83" s="81">
        <v>153</v>
      </c>
      <c r="M83" s="81">
        <v>221.76558069412766</v>
      </c>
      <c r="N83" s="81">
        <v>223.69597498187585</v>
      </c>
      <c r="O83" s="81">
        <v>196.79434326127131</v>
      </c>
      <c r="P83" s="81">
        <v>187.13815252743353</v>
      </c>
      <c r="Q83" s="81">
        <v>190.20660192200393</v>
      </c>
      <c r="R83" s="81">
        <v>208.35638006125663</v>
      </c>
      <c r="S83" s="81">
        <v>220.86034575481352</v>
      </c>
      <c r="T83" s="81">
        <v>241.97383140209155</v>
      </c>
      <c r="U83" s="81">
        <v>257.05857193619642</v>
      </c>
      <c r="V83" s="81">
        <v>273.77458442859228</v>
      </c>
    </row>
    <row r="84" spans="1:22">
      <c r="A84" s="74" t="s">
        <v>427</v>
      </c>
      <c r="B84" s="81">
        <v>2535</v>
      </c>
      <c r="C84" s="81">
        <v>2599</v>
      </c>
      <c r="D84" s="81">
        <v>2265</v>
      </c>
      <c r="E84" s="81">
        <v>2499</v>
      </c>
      <c r="F84" s="81">
        <v>2632</v>
      </c>
      <c r="G84" s="81">
        <v>2653</v>
      </c>
      <c r="H84" s="81">
        <v>1907</v>
      </c>
      <c r="I84" s="81">
        <v>1880</v>
      </c>
      <c r="J84" s="81">
        <v>1809</v>
      </c>
      <c r="K84" s="81">
        <v>1820</v>
      </c>
      <c r="L84" s="81">
        <v>1773</v>
      </c>
      <c r="M84" s="81">
        <v>1839.0569236411932</v>
      </c>
      <c r="N84" s="81">
        <v>1845.0996744877239</v>
      </c>
      <c r="O84" s="81">
        <v>1825.2241148830306</v>
      </c>
      <c r="P84" s="81">
        <v>1857.0114019953114</v>
      </c>
      <c r="Q84" s="81">
        <v>1878.6364889174708</v>
      </c>
      <c r="R84" s="81">
        <v>1917.5218133671817</v>
      </c>
      <c r="S84" s="81">
        <v>1944.7935561936656</v>
      </c>
      <c r="T84" s="81">
        <v>1985.0037517191183</v>
      </c>
      <c r="U84" s="81">
        <v>2013.6587092225261</v>
      </c>
      <c r="V84" s="81">
        <v>2040.7530697260081</v>
      </c>
    </row>
    <row r="85" spans="1:22">
      <c r="A85" s="74"/>
      <c r="B85" s="81"/>
      <c r="C85" s="81"/>
      <c r="D85" s="81"/>
      <c r="E85" s="81"/>
      <c r="F85" s="81"/>
      <c r="G85" s="81"/>
      <c r="H85" s="81"/>
      <c r="I85" s="81"/>
      <c r="J85" s="81"/>
      <c r="K85" s="81"/>
      <c r="L85" s="81"/>
      <c r="M85" s="81"/>
      <c r="N85" s="81"/>
      <c r="O85" s="81"/>
      <c r="P85" s="81"/>
      <c r="Q85" s="81"/>
      <c r="R85" s="81"/>
      <c r="S85" s="81"/>
      <c r="T85" s="81"/>
      <c r="U85" s="81"/>
      <c r="V85" s="81"/>
    </row>
    <row r="86" spans="1:22">
      <c r="A86" s="74" t="s">
        <v>428</v>
      </c>
      <c r="B86" s="81">
        <v>-480</v>
      </c>
      <c r="C86" s="81">
        <v>75</v>
      </c>
      <c r="D86" s="81">
        <v>301</v>
      </c>
      <c r="E86" s="81">
        <v>738</v>
      </c>
      <c r="F86" s="81">
        <v>977</v>
      </c>
      <c r="G86" s="81">
        <v>1449</v>
      </c>
      <c r="H86" s="81">
        <v>1444</v>
      </c>
      <c r="I86" s="81">
        <v>1630</v>
      </c>
      <c r="J86" s="81">
        <v>1872</v>
      </c>
      <c r="K86" s="81">
        <v>2700</v>
      </c>
      <c r="L86" s="81">
        <v>2280</v>
      </c>
      <c r="M86" s="81">
        <v>1996.139595914517</v>
      </c>
      <c r="N86" s="81">
        <v>1969.9705577532479</v>
      </c>
      <c r="O86" s="81">
        <v>2001.1376896091433</v>
      </c>
      <c r="P86" s="81">
        <v>2003.6040799650548</v>
      </c>
      <c r="Q86" s="81">
        <v>2013.3499455982692</v>
      </c>
      <c r="R86" s="81">
        <v>2007.4058605730695</v>
      </c>
      <c r="S86" s="81">
        <v>2025.1598512956473</v>
      </c>
      <c r="T86" s="81">
        <v>2051.1514497669577</v>
      </c>
      <c r="U86" s="81">
        <v>2087.3233006524451</v>
      </c>
      <c r="V86" s="81">
        <v>2132.065817375581</v>
      </c>
    </row>
    <row r="87" spans="1:22">
      <c r="A87" s="74"/>
      <c r="B87" s="81"/>
      <c r="C87" s="81"/>
      <c r="D87" s="81"/>
      <c r="E87" s="81"/>
      <c r="F87" s="81"/>
      <c r="G87" s="81"/>
      <c r="H87" s="81"/>
      <c r="I87" s="81"/>
      <c r="J87" s="81"/>
      <c r="K87" s="81"/>
      <c r="L87" s="81"/>
      <c r="M87" s="81"/>
      <c r="N87" s="81"/>
      <c r="O87" s="81"/>
      <c r="P87" s="81"/>
      <c r="Q87" s="81"/>
      <c r="R87" s="81"/>
      <c r="S87" s="81"/>
      <c r="T87" s="81"/>
      <c r="U87" s="81"/>
      <c r="V87" s="81"/>
    </row>
    <row r="88" spans="1:22">
      <c r="A88" s="74"/>
      <c r="B88" s="92"/>
      <c r="C88" s="92"/>
      <c r="D88" s="92"/>
      <c r="E88" s="92"/>
      <c r="F88" s="92"/>
      <c r="G88" s="92"/>
      <c r="H88" s="92"/>
      <c r="I88" s="92"/>
      <c r="J88" s="92"/>
      <c r="K88" s="92"/>
      <c r="L88" s="92"/>
      <c r="M88" s="92"/>
      <c r="N88" s="92"/>
      <c r="O88" s="92"/>
      <c r="P88" s="92"/>
      <c r="Q88" s="92"/>
      <c r="R88" s="92"/>
      <c r="S88" s="92"/>
      <c r="T88" s="92"/>
      <c r="U88" s="92"/>
      <c r="V88" s="92"/>
    </row>
    <row r="89" spans="1:22">
      <c r="A89" s="89" t="s">
        <v>433</v>
      </c>
      <c r="B89" s="92"/>
      <c r="C89" s="92"/>
      <c r="D89" s="92"/>
      <c r="E89" s="92"/>
      <c r="F89" s="92"/>
      <c r="G89" s="92"/>
      <c r="H89" s="92"/>
      <c r="I89" s="92"/>
      <c r="J89" s="92"/>
      <c r="K89" s="92"/>
      <c r="L89" s="92"/>
      <c r="M89" s="92"/>
      <c r="N89" s="92"/>
      <c r="O89" s="92"/>
      <c r="P89" s="92"/>
      <c r="Q89" s="92"/>
      <c r="R89" s="92"/>
      <c r="S89" s="92"/>
      <c r="T89" s="92"/>
      <c r="U89" s="92"/>
      <c r="V89" s="92"/>
    </row>
    <row r="90" spans="1:22">
      <c r="A90" s="74" t="s">
        <v>34</v>
      </c>
      <c r="B90" s="81">
        <v>1321</v>
      </c>
      <c r="C90" s="81">
        <v>1400</v>
      </c>
      <c r="D90" s="81">
        <v>1248</v>
      </c>
      <c r="E90" s="81">
        <v>1230</v>
      </c>
      <c r="F90" s="81">
        <v>1182</v>
      </c>
      <c r="G90" s="81">
        <v>1200</v>
      </c>
      <c r="H90" s="81">
        <v>1090</v>
      </c>
      <c r="I90" s="81">
        <v>1015</v>
      </c>
      <c r="J90" s="81">
        <v>1020</v>
      </c>
      <c r="K90" s="81">
        <v>1055</v>
      </c>
      <c r="L90" s="81">
        <v>1025</v>
      </c>
      <c r="M90" s="81">
        <v>1032.3208173398477</v>
      </c>
      <c r="N90" s="81">
        <v>1045.2918531469297</v>
      </c>
      <c r="O90" s="81">
        <v>1056.9435213761963</v>
      </c>
      <c r="P90" s="81">
        <v>1086.8214545619292</v>
      </c>
      <c r="Q90" s="81">
        <v>1097.0144437928825</v>
      </c>
      <c r="R90" s="81">
        <v>1106.1508382977486</v>
      </c>
      <c r="S90" s="81">
        <v>1111.4073801340007</v>
      </c>
      <c r="T90" s="81">
        <v>1117.2151532921337</v>
      </c>
      <c r="U90" s="81">
        <v>1119.8261863082555</v>
      </c>
      <c r="V90" s="81">
        <v>1119.5117222801114</v>
      </c>
    </row>
    <row r="91" spans="1:22">
      <c r="A91" s="74" t="s">
        <v>422</v>
      </c>
      <c r="B91" s="81">
        <v>30</v>
      </c>
      <c r="C91" s="81">
        <v>25</v>
      </c>
      <c r="D91" s="81">
        <v>25</v>
      </c>
      <c r="E91" s="81">
        <v>24</v>
      </c>
      <c r="F91" s="81">
        <v>20</v>
      </c>
      <c r="G91" s="81">
        <v>23</v>
      </c>
      <c r="H91" s="81">
        <v>25</v>
      </c>
      <c r="I91" s="81">
        <v>21</v>
      </c>
      <c r="J91" s="81">
        <v>20</v>
      </c>
      <c r="K91" s="81">
        <v>20</v>
      </c>
      <c r="L91" s="81">
        <v>21</v>
      </c>
      <c r="M91" s="81">
        <v>21</v>
      </c>
      <c r="N91" s="81">
        <v>23.561961735378702</v>
      </c>
      <c r="O91" s="81">
        <v>23.451049834781546</v>
      </c>
      <c r="P91" s="81">
        <v>22.894014162095615</v>
      </c>
      <c r="Q91" s="81">
        <v>22.516104789615724</v>
      </c>
      <c r="R91" s="81">
        <v>22.789051732308771</v>
      </c>
      <c r="S91" s="81">
        <v>23.371864534637755</v>
      </c>
      <c r="T91" s="81">
        <v>23.86989118612966</v>
      </c>
      <c r="U91" s="81">
        <v>24.661314118670798</v>
      </c>
      <c r="V91" s="81">
        <v>24.661314118670798</v>
      </c>
    </row>
    <row r="92" spans="1:22">
      <c r="A92" s="74" t="s">
        <v>423</v>
      </c>
      <c r="B92" s="81">
        <v>1351</v>
      </c>
      <c r="C92" s="81">
        <v>1425</v>
      </c>
      <c r="D92" s="81">
        <v>1273</v>
      </c>
      <c r="E92" s="81">
        <v>1254</v>
      </c>
      <c r="F92" s="81">
        <v>1202</v>
      </c>
      <c r="G92" s="81">
        <v>1223</v>
      </c>
      <c r="H92" s="81">
        <v>1115</v>
      </c>
      <c r="I92" s="81">
        <v>1036</v>
      </c>
      <c r="J92" s="81">
        <v>1040</v>
      </c>
      <c r="K92" s="81">
        <v>1075</v>
      </c>
      <c r="L92" s="81">
        <v>1046</v>
      </c>
      <c r="M92" s="81">
        <v>1053.3208173398477</v>
      </c>
      <c r="N92" s="81">
        <v>1068.8538148823084</v>
      </c>
      <c r="O92" s="81">
        <v>1080.3945712109778</v>
      </c>
      <c r="P92" s="81">
        <v>1109.7154687240247</v>
      </c>
      <c r="Q92" s="81">
        <v>1119.5305485824983</v>
      </c>
      <c r="R92" s="81">
        <v>1128.9398900300573</v>
      </c>
      <c r="S92" s="81">
        <v>1134.7792446686385</v>
      </c>
      <c r="T92" s="81">
        <v>1141.0850444782634</v>
      </c>
      <c r="U92" s="81">
        <v>1144.4875004269263</v>
      </c>
      <c r="V92" s="81">
        <v>1144.1730363987822</v>
      </c>
    </row>
    <row r="93" spans="1:22">
      <c r="A93" s="74"/>
      <c r="B93" s="92"/>
      <c r="C93" s="92"/>
      <c r="D93" s="92"/>
      <c r="E93" s="92"/>
      <c r="F93" s="92"/>
      <c r="G93" s="92"/>
      <c r="H93" s="92"/>
      <c r="I93" s="92"/>
      <c r="J93" s="92"/>
      <c r="K93" s="92"/>
      <c r="L93" s="92"/>
      <c r="M93" s="92"/>
      <c r="N93" s="92"/>
      <c r="O93" s="92"/>
      <c r="P93" s="92"/>
      <c r="Q93" s="92"/>
      <c r="R93" s="92"/>
      <c r="S93" s="92"/>
      <c r="T93" s="92"/>
      <c r="U93" s="92"/>
      <c r="V93" s="92"/>
    </row>
    <row r="94" spans="1:22">
      <c r="A94" s="74" t="s">
        <v>434</v>
      </c>
      <c r="B94" s="81">
        <v>2335</v>
      </c>
      <c r="C94" s="81">
        <v>2356</v>
      </c>
      <c r="D94" s="81">
        <v>2260</v>
      </c>
      <c r="E94" s="81">
        <v>2286</v>
      </c>
      <c r="F94" s="81">
        <v>2392</v>
      </c>
      <c r="G94" s="81">
        <v>2476</v>
      </c>
      <c r="H94" s="81">
        <v>2485</v>
      </c>
      <c r="I94" s="81">
        <v>2185</v>
      </c>
      <c r="J94" s="81">
        <v>2000</v>
      </c>
      <c r="K94" s="81">
        <v>1920</v>
      </c>
      <c r="L94" s="81">
        <v>1900</v>
      </c>
      <c r="M94" s="81">
        <v>1935.019831185044</v>
      </c>
      <c r="N94" s="81">
        <v>1962.1685790697911</v>
      </c>
      <c r="O94" s="81">
        <v>1942.917128626621</v>
      </c>
      <c r="P94" s="81">
        <v>1950.9794893011876</v>
      </c>
      <c r="Q94" s="81">
        <v>1967.3511500709549</v>
      </c>
      <c r="R94" s="81">
        <v>2000.1239461733353</v>
      </c>
      <c r="S94" s="81">
        <v>2022.1063422499528</v>
      </c>
      <c r="T94" s="81">
        <v>2053.1022182137458</v>
      </c>
      <c r="U94" s="81">
        <v>2078.5022806321249</v>
      </c>
      <c r="V94" s="81">
        <v>2115.8866894559997</v>
      </c>
    </row>
    <row r="95" spans="1:22">
      <c r="A95" s="74" t="s">
        <v>426</v>
      </c>
      <c r="B95" s="81">
        <v>25</v>
      </c>
      <c r="C95" s="81">
        <v>25</v>
      </c>
      <c r="D95" s="81">
        <v>24</v>
      </c>
      <c r="E95" s="81">
        <v>20</v>
      </c>
      <c r="F95" s="81">
        <v>23</v>
      </c>
      <c r="G95" s="81">
        <v>25</v>
      </c>
      <c r="H95" s="81">
        <v>21</v>
      </c>
      <c r="I95" s="81">
        <v>20</v>
      </c>
      <c r="J95" s="81">
        <v>20</v>
      </c>
      <c r="K95" s="81">
        <v>21</v>
      </c>
      <c r="L95" s="81">
        <v>21</v>
      </c>
      <c r="M95" s="81">
        <v>23.561961735378702</v>
      </c>
      <c r="N95" s="81">
        <v>23.451049834781546</v>
      </c>
      <c r="O95" s="81">
        <v>22.894014162095615</v>
      </c>
      <c r="P95" s="81">
        <v>22.516104789615724</v>
      </c>
      <c r="Q95" s="81">
        <v>22.789051732308771</v>
      </c>
      <c r="R95" s="81">
        <v>23.371864534637755</v>
      </c>
      <c r="S95" s="81">
        <v>23.86989118612966</v>
      </c>
      <c r="T95" s="81">
        <v>24.661314118670798</v>
      </c>
      <c r="U95" s="81">
        <v>25.336388667793436</v>
      </c>
      <c r="V95" s="81">
        <v>26.276276915419817</v>
      </c>
    </row>
    <row r="96" spans="1:22">
      <c r="A96" s="74" t="s">
        <v>427</v>
      </c>
      <c r="B96" s="81">
        <v>2360</v>
      </c>
      <c r="C96" s="81">
        <v>2381</v>
      </c>
      <c r="D96" s="81">
        <v>2284</v>
      </c>
      <c r="E96" s="81">
        <v>2306</v>
      </c>
      <c r="F96" s="81">
        <v>2415</v>
      </c>
      <c r="G96" s="81">
        <v>2501</v>
      </c>
      <c r="H96" s="81">
        <v>2506</v>
      </c>
      <c r="I96" s="81">
        <v>2205</v>
      </c>
      <c r="J96" s="81">
        <v>2020</v>
      </c>
      <c r="K96" s="81">
        <v>1941</v>
      </c>
      <c r="L96" s="81">
        <v>1921</v>
      </c>
      <c r="M96" s="81">
        <v>1958.5817929204227</v>
      </c>
      <c r="N96" s="81">
        <v>1985.6196289045727</v>
      </c>
      <c r="O96" s="81">
        <v>1965.8111427887166</v>
      </c>
      <c r="P96" s="81">
        <v>1973.4955940908035</v>
      </c>
      <c r="Q96" s="81">
        <v>1990.1402018032636</v>
      </c>
      <c r="R96" s="81">
        <v>2023.4958107079731</v>
      </c>
      <c r="S96" s="81">
        <v>2045.9762334360826</v>
      </c>
      <c r="T96" s="81">
        <v>2077.7635323324166</v>
      </c>
      <c r="U96" s="81">
        <v>2103.8386692999184</v>
      </c>
      <c r="V96" s="81">
        <v>2142.1629663714193</v>
      </c>
    </row>
    <row r="97" spans="1:22">
      <c r="A97" s="74"/>
      <c r="B97" s="81"/>
      <c r="C97" s="81"/>
      <c r="D97" s="81"/>
      <c r="E97" s="81"/>
      <c r="F97" s="81"/>
      <c r="G97" s="81"/>
      <c r="H97" s="81"/>
      <c r="I97" s="81"/>
      <c r="J97" s="81"/>
      <c r="K97" s="81"/>
      <c r="L97" s="81"/>
      <c r="M97" s="81"/>
      <c r="N97" s="81"/>
      <c r="O97" s="81"/>
      <c r="P97" s="81"/>
      <c r="Q97" s="81"/>
      <c r="R97" s="81"/>
      <c r="S97" s="81"/>
      <c r="T97" s="81"/>
      <c r="U97" s="81"/>
      <c r="V97" s="81"/>
    </row>
    <row r="98" spans="1:22">
      <c r="A98" s="74" t="s">
        <v>428</v>
      </c>
      <c r="B98" s="81">
        <v>-1009</v>
      </c>
      <c r="C98" s="81">
        <v>-956</v>
      </c>
      <c r="D98" s="81">
        <v>-1011</v>
      </c>
      <c r="E98" s="81">
        <v>-1052</v>
      </c>
      <c r="F98" s="81">
        <v>-1213</v>
      </c>
      <c r="G98" s="81">
        <v>-1278</v>
      </c>
      <c r="H98" s="81">
        <v>-1391</v>
      </c>
      <c r="I98" s="81">
        <v>-1169</v>
      </c>
      <c r="J98" s="81">
        <v>-980</v>
      </c>
      <c r="K98" s="81">
        <v>-866</v>
      </c>
      <c r="L98" s="81">
        <v>-875</v>
      </c>
      <c r="M98" s="81">
        <v>-905.26128914563537</v>
      </c>
      <c r="N98" s="81">
        <v>-916.76538766387375</v>
      </c>
      <c r="O98" s="81">
        <v>-885.41652272866736</v>
      </c>
      <c r="P98" s="81">
        <v>-863.78015814035507</v>
      </c>
      <c r="Q98" s="81">
        <v>-870.6097647180286</v>
      </c>
      <c r="R98" s="81">
        <v>-894.55600340188812</v>
      </c>
      <c r="S98" s="81">
        <v>-911.19693486092274</v>
      </c>
      <c r="T98" s="81">
        <v>-936.67849234644677</v>
      </c>
      <c r="U98" s="81">
        <v>-959.35112121029783</v>
      </c>
      <c r="V98" s="81">
        <v>-997.31465924352324</v>
      </c>
    </row>
    <row r="99" spans="1:22">
      <c r="A99" s="74"/>
      <c r="B99" s="92"/>
      <c r="C99" s="92"/>
      <c r="D99" s="92"/>
      <c r="E99" s="92"/>
      <c r="F99" s="92"/>
      <c r="G99" s="92"/>
      <c r="H99" s="92"/>
      <c r="I99" s="92"/>
      <c r="J99" s="92"/>
      <c r="K99" s="92"/>
      <c r="L99" s="92"/>
      <c r="M99" s="92"/>
      <c r="N99" s="92"/>
      <c r="O99" s="92"/>
      <c r="P99" s="92"/>
      <c r="Q99" s="92"/>
      <c r="R99" s="92"/>
      <c r="S99" s="92"/>
      <c r="T99" s="92"/>
      <c r="U99" s="92"/>
      <c r="V99" s="92"/>
    </row>
    <row r="100" spans="1:22">
      <c r="A100" s="74"/>
      <c r="B100" s="92"/>
      <c r="C100" s="92"/>
      <c r="D100" s="92"/>
      <c r="E100" s="92"/>
      <c r="F100" s="92"/>
      <c r="G100" s="92"/>
      <c r="H100" s="92"/>
      <c r="I100" s="92"/>
      <c r="J100" s="92"/>
      <c r="K100" s="92"/>
      <c r="L100" s="92"/>
      <c r="M100" s="92"/>
      <c r="N100" s="92"/>
      <c r="O100" s="92"/>
      <c r="P100" s="92"/>
      <c r="Q100" s="92"/>
      <c r="R100" s="92"/>
      <c r="S100" s="92"/>
      <c r="T100" s="92"/>
      <c r="U100" s="92"/>
      <c r="V100" s="92"/>
    </row>
    <row r="101" spans="1:22">
      <c r="A101" s="89" t="s">
        <v>435</v>
      </c>
      <c r="B101" s="92"/>
      <c r="C101" s="92"/>
      <c r="D101" s="92"/>
      <c r="E101" s="92"/>
      <c r="F101" s="92"/>
      <c r="G101" s="92"/>
      <c r="H101" s="92"/>
      <c r="I101" s="92"/>
      <c r="J101" s="92"/>
      <c r="K101" s="92"/>
      <c r="L101" s="92"/>
      <c r="M101" s="92"/>
      <c r="N101" s="92"/>
      <c r="O101" s="92"/>
      <c r="P101" s="92"/>
      <c r="Q101" s="92"/>
      <c r="R101" s="92"/>
      <c r="S101" s="92"/>
      <c r="T101" s="92"/>
      <c r="U101" s="92"/>
      <c r="V101" s="92"/>
    </row>
    <row r="102" spans="1:22">
      <c r="A102" s="74" t="s">
        <v>34</v>
      </c>
      <c r="B102" s="81">
        <v>295</v>
      </c>
      <c r="C102" s="81">
        <v>312</v>
      </c>
      <c r="D102" s="81">
        <v>278</v>
      </c>
      <c r="E102" s="81">
        <v>275</v>
      </c>
      <c r="F102" s="81">
        <v>275</v>
      </c>
      <c r="G102" s="81">
        <v>278</v>
      </c>
      <c r="H102" s="81">
        <v>253</v>
      </c>
      <c r="I102" s="81">
        <v>235</v>
      </c>
      <c r="J102" s="81">
        <v>236</v>
      </c>
      <c r="K102" s="81">
        <v>244</v>
      </c>
      <c r="L102" s="81">
        <v>236</v>
      </c>
      <c r="M102" s="81">
        <v>237.68557355336981</v>
      </c>
      <c r="N102" s="81">
        <v>240.67207545626869</v>
      </c>
      <c r="O102" s="81">
        <v>243.35480101929986</v>
      </c>
      <c r="P102" s="81">
        <v>250.23401295279538</v>
      </c>
      <c r="Q102" s="81">
        <v>252.58088657084906</v>
      </c>
      <c r="R102" s="81">
        <v>254.68448569587187</v>
      </c>
      <c r="S102" s="81">
        <v>255.89477240158456</v>
      </c>
      <c r="T102" s="81">
        <v>257.23197675799366</v>
      </c>
      <c r="U102" s="81">
        <v>257.83315118902277</v>
      </c>
      <c r="V102" s="81">
        <v>257.76074776400611</v>
      </c>
    </row>
    <row r="103" spans="1:22">
      <c r="A103" s="74" t="s">
        <v>422</v>
      </c>
      <c r="B103" s="81">
        <v>7</v>
      </c>
      <c r="C103" s="81">
        <v>7</v>
      </c>
      <c r="D103" s="81">
        <v>37</v>
      </c>
      <c r="E103" s="81">
        <v>42</v>
      </c>
      <c r="F103" s="81">
        <v>37</v>
      </c>
      <c r="G103" s="81">
        <v>33</v>
      </c>
      <c r="H103" s="81">
        <v>34</v>
      </c>
      <c r="I103" s="81">
        <v>12</v>
      </c>
      <c r="J103" s="81">
        <v>9</v>
      </c>
      <c r="K103" s="81">
        <v>13</v>
      </c>
      <c r="L103" s="81">
        <v>8</v>
      </c>
      <c r="M103" s="81">
        <v>8</v>
      </c>
      <c r="N103" s="81">
        <v>8.576137824431191</v>
      </c>
      <c r="O103" s="81">
        <v>8.7155264524019191</v>
      </c>
      <c r="P103" s="81">
        <v>8.3029215927646653</v>
      </c>
      <c r="Q103" s="81">
        <v>8.0513196384630437</v>
      </c>
      <c r="R103" s="81">
        <v>8.0254060576888264</v>
      </c>
      <c r="S103" s="81">
        <v>8.2604197659123955</v>
      </c>
      <c r="T103" s="81">
        <v>8.4279362127394357</v>
      </c>
      <c r="U103" s="81">
        <v>8.6618968182444522</v>
      </c>
      <c r="V103" s="81">
        <v>8.6618968182444522</v>
      </c>
    </row>
    <row r="104" spans="1:22">
      <c r="A104" s="74" t="s">
        <v>423</v>
      </c>
      <c r="B104" s="81">
        <v>302</v>
      </c>
      <c r="C104" s="81">
        <v>319</v>
      </c>
      <c r="D104" s="81">
        <v>315</v>
      </c>
      <c r="E104" s="81">
        <v>317</v>
      </c>
      <c r="F104" s="81">
        <v>312</v>
      </c>
      <c r="G104" s="81">
        <v>311</v>
      </c>
      <c r="H104" s="81">
        <v>287</v>
      </c>
      <c r="I104" s="81">
        <v>247</v>
      </c>
      <c r="J104" s="81">
        <v>245</v>
      </c>
      <c r="K104" s="81">
        <v>257</v>
      </c>
      <c r="L104" s="81">
        <v>244</v>
      </c>
      <c r="M104" s="81">
        <v>245.68557355336981</v>
      </c>
      <c r="N104" s="81">
        <v>249.24821328069987</v>
      </c>
      <c r="O104" s="81">
        <v>252.07032747170177</v>
      </c>
      <c r="P104" s="81">
        <v>258.53693454556003</v>
      </c>
      <c r="Q104" s="81">
        <v>260.63220620931213</v>
      </c>
      <c r="R104" s="81">
        <v>262.70989175356067</v>
      </c>
      <c r="S104" s="81">
        <v>264.15519216749698</v>
      </c>
      <c r="T104" s="81">
        <v>265.6599129707331</v>
      </c>
      <c r="U104" s="81">
        <v>266.4950480072672</v>
      </c>
      <c r="V104" s="81">
        <v>266.42264458225054</v>
      </c>
    </row>
    <row r="105" spans="1:22">
      <c r="A105" s="74"/>
      <c r="B105" s="92"/>
      <c r="C105" s="92"/>
      <c r="D105" s="92"/>
      <c r="E105" s="92"/>
      <c r="F105" s="92"/>
      <c r="G105" s="92"/>
      <c r="H105" s="92"/>
      <c r="I105" s="92"/>
      <c r="J105" s="92"/>
      <c r="K105" s="92"/>
      <c r="L105" s="92"/>
      <c r="M105" s="92"/>
      <c r="N105" s="92"/>
      <c r="O105" s="92"/>
      <c r="P105" s="92"/>
      <c r="Q105" s="92"/>
      <c r="R105" s="92"/>
      <c r="S105" s="92"/>
      <c r="T105" s="92"/>
      <c r="U105" s="92"/>
      <c r="V105" s="92"/>
    </row>
    <row r="106" spans="1:22">
      <c r="A106" s="74" t="s">
        <v>434</v>
      </c>
      <c r="B106" s="81">
        <v>341</v>
      </c>
      <c r="C106" s="81">
        <v>385</v>
      </c>
      <c r="D106" s="81">
        <v>354</v>
      </c>
      <c r="E106" s="81">
        <v>347</v>
      </c>
      <c r="F106" s="81">
        <v>334</v>
      </c>
      <c r="G106" s="81">
        <v>332</v>
      </c>
      <c r="H106" s="81">
        <v>305</v>
      </c>
      <c r="I106" s="81">
        <v>245</v>
      </c>
      <c r="J106" s="81">
        <v>228</v>
      </c>
      <c r="K106" s="81">
        <v>215</v>
      </c>
      <c r="L106" s="81">
        <v>210</v>
      </c>
      <c r="M106" s="81">
        <v>214.84554717667737</v>
      </c>
      <c r="N106" s="81">
        <v>219.1344419145276</v>
      </c>
      <c r="O106" s="81">
        <v>218.30458826958454</v>
      </c>
      <c r="P106" s="81">
        <v>218.84944444946674</v>
      </c>
      <c r="Q106" s="81">
        <v>221.07993877810972</v>
      </c>
      <c r="R106" s="81">
        <v>225.18009858187435</v>
      </c>
      <c r="S106" s="81">
        <v>228.73783609152073</v>
      </c>
      <c r="T106" s="81">
        <v>232.66228939158398</v>
      </c>
      <c r="U106" s="81">
        <v>236.47585378268434</v>
      </c>
      <c r="V106" s="81">
        <v>239.40108132599173</v>
      </c>
    </row>
    <row r="107" spans="1:22">
      <c r="A107" s="74" t="s">
        <v>426</v>
      </c>
      <c r="B107" s="81">
        <v>7</v>
      </c>
      <c r="C107" s="81">
        <v>37</v>
      </c>
      <c r="D107" s="81">
        <v>42</v>
      </c>
      <c r="E107" s="81">
        <v>37</v>
      </c>
      <c r="F107" s="81">
        <v>33</v>
      </c>
      <c r="G107" s="81">
        <v>34</v>
      </c>
      <c r="H107" s="81">
        <v>12</v>
      </c>
      <c r="I107" s="81">
        <v>9</v>
      </c>
      <c r="J107" s="81">
        <v>13</v>
      </c>
      <c r="K107" s="81">
        <v>8</v>
      </c>
      <c r="L107" s="81">
        <v>8</v>
      </c>
      <c r="M107" s="81">
        <v>8.576137824431191</v>
      </c>
      <c r="N107" s="81">
        <v>8.7155264524019191</v>
      </c>
      <c r="O107" s="81">
        <v>8.3029215927646653</v>
      </c>
      <c r="P107" s="81">
        <v>8.0513196384630437</v>
      </c>
      <c r="Q107" s="81">
        <v>8.0254060576888264</v>
      </c>
      <c r="R107" s="81">
        <v>8.2604197659123955</v>
      </c>
      <c r="S107" s="81">
        <v>8.4279362127394357</v>
      </c>
      <c r="T107" s="81">
        <v>8.6618968182444522</v>
      </c>
      <c r="U107" s="81">
        <v>8.8274831896904509</v>
      </c>
      <c r="V107" s="81">
        <v>8.919990199169618</v>
      </c>
    </row>
    <row r="108" spans="1:22">
      <c r="A108" s="74" t="s">
        <v>427</v>
      </c>
      <c r="B108" s="81">
        <v>348</v>
      </c>
      <c r="C108" s="81">
        <v>422</v>
      </c>
      <c r="D108" s="81">
        <v>396</v>
      </c>
      <c r="E108" s="81">
        <v>384</v>
      </c>
      <c r="F108" s="81">
        <v>367</v>
      </c>
      <c r="G108" s="81">
        <v>366</v>
      </c>
      <c r="H108" s="81">
        <v>317</v>
      </c>
      <c r="I108" s="81">
        <v>254</v>
      </c>
      <c r="J108" s="81">
        <v>241</v>
      </c>
      <c r="K108" s="81">
        <v>223</v>
      </c>
      <c r="L108" s="81">
        <v>218</v>
      </c>
      <c r="M108" s="81">
        <v>223.42168500110856</v>
      </c>
      <c r="N108" s="81">
        <v>227.84996836692952</v>
      </c>
      <c r="O108" s="81">
        <v>226.60750986234922</v>
      </c>
      <c r="P108" s="81">
        <v>226.90076408792979</v>
      </c>
      <c r="Q108" s="81">
        <v>229.10534483579855</v>
      </c>
      <c r="R108" s="81">
        <v>233.44051834778674</v>
      </c>
      <c r="S108" s="81">
        <v>237.16577230426017</v>
      </c>
      <c r="T108" s="81">
        <v>241.32418620982844</v>
      </c>
      <c r="U108" s="81">
        <v>245.30333697237478</v>
      </c>
      <c r="V108" s="81">
        <v>248.32107152516136</v>
      </c>
    </row>
    <row r="109" spans="1:22">
      <c r="A109" s="74"/>
      <c r="B109" s="92"/>
      <c r="C109" s="92"/>
      <c r="D109" s="92"/>
      <c r="E109" s="92"/>
      <c r="F109" s="92"/>
      <c r="G109" s="92"/>
      <c r="H109" s="92"/>
      <c r="I109" s="92"/>
      <c r="J109" s="92"/>
      <c r="K109" s="92"/>
      <c r="L109" s="92"/>
      <c r="M109" s="92"/>
      <c r="N109" s="92"/>
      <c r="O109" s="92"/>
      <c r="P109" s="92"/>
      <c r="Q109" s="92"/>
      <c r="R109" s="92"/>
      <c r="S109" s="92"/>
      <c r="T109" s="92"/>
      <c r="U109" s="92"/>
      <c r="V109" s="92"/>
    </row>
    <row r="110" spans="1:22">
      <c r="A110" s="74" t="s">
        <v>428</v>
      </c>
      <c r="B110" s="81">
        <v>-46</v>
      </c>
      <c r="C110" s="81">
        <v>-103</v>
      </c>
      <c r="D110" s="81">
        <v>-81</v>
      </c>
      <c r="E110" s="81">
        <v>-67</v>
      </c>
      <c r="F110" s="81">
        <v>-55</v>
      </c>
      <c r="G110" s="81">
        <v>-55</v>
      </c>
      <c r="H110" s="81">
        <v>-30</v>
      </c>
      <c r="I110" s="81">
        <v>-7</v>
      </c>
      <c r="J110" s="81">
        <v>4</v>
      </c>
      <c r="K110" s="81">
        <v>34</v>
      </c>
      <c r="L110" s="81">
        <v>26</v>
      </c>
      <c r="M110" s="81">
        <v>22.263860016664438</v>
      </c>
      <c r="N110" s="81">
        <v>21.398280488314668</v>
      </c>
      <c r="O110" s="81">
        <v>25.462814437568113</v>
      </c>
      <c r="P110" s="81">
        <v>31.636130536415607</v>
      </c>
      <c r="Q110" s="81">
        <v>31.526848436824309</v>
      </c>
      <c r="R110" s="81">
        <v>29.269350197424671</v>
      </c>
      <c r="S110" s="81">
        <v>26.98941535574906</v>
      </c>
      <c r="T110" s="81">
        <v>24.335707394533358</v>
      </c>
      <c r="U110" s="81">
        <v>21.191695575245063</v>
      </c>
      <c r="V110" s="81">
        <v>18.267177667064203</v>
      </c>
    </row>
    <row r="112" spans="1:22" ht="19" thickBot="1">
      <c r="A112" s="93" t="s">
        <v>436</v>
      </c>
      <c r="B112" s="95"/>
      <c r="C112" s="95"/>
      <c r="D112" s="95"/>
      <c r="E112" s="95"/>
      <c r="F112" s="95"/>
      <c r="G112" s="96"/>
      <c r="H112" s="96"/>
      <c r="I112" s="96"/>
      <c r="J112" s="96"/>
      <c r="K112" s="96"/>
      <c r="L112" s="96"/>
      <c r="M112" s="96"/>
      <c r="N112" s="96"/>
      <c r="O112" s="96"/>
      <c r="P112" s="96"/>
      <c r="Q112" s="96"/>
      <c r="R112" s="96"/>
      <c r="S112" s="96"/>
      <c r="T112" s="96"/>
      <c r="U112" s="96"/>
      <c r="V112" s="96"/>
    </row>
    <row r="113" spans="1:22" ht="16" thickTop="1">
      <c r="A113" s="74"/>
      <c r="B113" s="74"/>
      <c r="C113" s="74"/>
      <c r="D113" s="74"/>
      <c r="E113" s="74"/>
      <c r="F113" s="74"/>
      <c r="G113" s="74"/>
      <c r="H113" s="74"/>
      <c r="I113" s="74"/>
      <c r="J113" s="74"/>
      <c r="K113" s="74"/>
      <c r="L113" s="74"/>
      <c r="M113" s="74"/>
      <c r="N113" s="74"/>
      <c r="O113" s="74"/>
      <c r="P113" s="74"/>
      <c r="Q113" s="74"/>
      <c r="R113" s="74"/>
      <c r="S113" s="74"/>
      <c r="T113" s="74"/>
      <c r="U113" s="74"/>
      <c r="V113" s="74"/>
    </row>
    <row r="114" spans="1:22">
      <c r="A114" s="74"/>
      <c r="B114" s="76" t="s">
        <v>396</v>
      </c>
      <c r="C114" s="76" t="s">
        <v>397</v>
      </c>
      <c r="D114" s="76" t="s">
        <v>398</v>
      </c>
      <c r="E114" s="76" t="s">
        <v>399</v>
      </c>
      <c r="F114" s="76" t="s">
        <v>400</v>
      </c>
      <c r="G114" s="76" t="s">
        <v>401</v>
      </c>
      <c r="H114" s="76" t="s">
        <v>402</v>
      </c>
      <c r="I114" s="76" t="s">
        <v>403</v>
      </c>
      <c r="J114" s="76" t="s">
        <v>404</v>
      </c>
      <c r="K114" s="76" t="s">
        <v>405</v>
      </c>
      <c r="L114" s="76" t="s">
        <v>406</v>
      </c>
      <c r="M114" s="76" t="s">
        <v>407</v>
      </c>
      <c r="N114" s="76" t="s">
        <v>408</v>
      </c>
      <c r="O114" s="76" t="s">
        <v>409</v>
      </c>
      <c r="P114" s="76" t="s">
        <v>410</v>
      </c>
      <c r="Q114" s="76" t="s">
        <v>411</v>
      </c>
      <c r="R114" s="76" t="s">
        <v>412</v>
      </c>
      <c r="S114" s="76" t="s">
        <v>413</v>
      </c>
      <c r="T114" s="76" t="s">
        <v>414</v>
      </c>
      <c r="U114" s="76" t="s">
        <v>415</v>
      </c>
      <c r="V114" s="76" t="s">
        <v>416</v>
      </c>
    </row>
    <row r="115" spans="1:22">
      <c r="A115" s="77"/>
      <c r="B115" s="78"/>
      <c r="C115" s="78"/>
      <c r="D115" s="78"/>
      <c r="E115" s="78"/>
      <c r="F115" s="78"/>
      <c r="G115" s="78"/>
      <c r="H115" s="78"/>
      <c r="I115" s="78"/>
      <c r="J115" s="78"/>
      <c r="K115" s="78"/>
      <c r="L115" s="78"/>
      <c r="M115" s="78"/>
      <c r="N115" s="78"/>
      <c r="O115" s="78"/>
      <c r="P115" s="78"/>
      <c r="Q115" s="78"/>
      <c r="R115" s="78"/>
      <c r="S115" s="78"/>
      <c r="T115" s="78"/>
      <c r="U115" s="78"/>
      <c r="V115" s="78"/>
    </row>
    <row r="116" spans="1:22">
      <c r="A116" s="74"/>
      <c r="B116" s="74"/>
      <c r="C116" s="74"/>
      <c r="D116" s="74"/>
      <c r="E116" s="74"/>
      <c r="F116" s="74"/>
      <c r="G116" s="74"/>
      <c r="H116" s="74"/>
      <c r="I116" s="74"/>
      <c r="J116" s="74"/>
      <c r="K116" s="74"/>
      <c r="L116" s="74"/>
      <c r="M116" s="74"/>
      <c r="N116" s="74"/>
      <c r="O116" s="74"/>
      <c r="P116" s="74"/>
      <c r="Q116" s="74"/>
      <c r="R116" s="74"/>
      <c r="S116" s="74"/>
      <c r="T116" s="74"/>
      <c r="U116" s="74"/>
      <c r="V116" s="74"/>
    </row>
    <row r="117" spans="1:22">
      <c r="A117" s="89" t="s">
        <v>437</v>
      </c>
      <c r="B117" s="80"/>
      <c r="C117" s="80"/>
      <c r="D117" s="80"/>
      <c r="E117" s="80"/>
      <c r="F117" s="79" t="s">
        <v>417</v>
      </c>
      <c r="G117" s="80"/>
      <c r="H117" s="80"/>
      <c r="I117" s="80"/>
      <c r="J117" s="74"/>
      <c r="K117" s="80"/>
      <c r="L117" s="80"/>
      <c r="M117" s="80"/>
      <c r="N117" s="80"/>
      <c r="O117" s="80"/>
      <c r="P117" s="80"/>
      <c r="Q117" s="79" t="s">
        <v>417</v>
      </c>
      <c r="R117" s="3"/>
      <c r="S117" s="3"/>
      <c r="T117" s="3"/>
      <c r="U117" s="3"/>
      <c r="V117" s="3"/>
    </row>
    <row r="118" spans="1:22">
      <c r="A118" s="74" t="s">
        <v>418</v>
      </c>
      <c r="B118" s="97">
        <v>10.5</v>
      </c>
      <c r="C118" s="97">
        <v>11.599999999999994</v>
      </c>
      <c r="D118" s="97">
        <v>13.674999999999997</v>
      </c>
      <c r="E118" s="97">
        <v>13.599999999999994</v>
      </c>
      <c r="F118" s="97">
        <v>14.599999999999994</v>
      </c>
      <c r="G118" s="97">
        <v>14.100000000000009</v>
      </c>
      <c r="H118" s="97">
        <v>8.625</v>
      </c>
      <c r="I118" s="97">
        <v>9.9000000000000057</v>
      </c>
      <c r="J118" s="97">
        <v>9.5387628018406474</v>
      </c>
      <c r="K118" s="97">
        <v>12.605890554800027</v>
      </c>
      <c r="L118" s="97">
        <v>13.038914957799861</v>
      </c>
      <c r="M118" s="97">
        <v>12.991311642597722</v>
      </c>
      <c r="N118" s="97">
        <v>12.8224083039606</v>
      </c>
      <c r="O118" s="97">
        <v>12.763939700897694</v>
      </c>
      <c r="P118" s="97">
        <v>12.706355524366884</v>
      </c>
      <c r="Q118" s="97">
        <v>12.562842464542328</v>
      </c>
      <c r="R118" s="97">
        <v>12.49049223293224</v>
      </c>
      <c r="S118" s="97">
        <v>12.553413242620678</v>
      </c>
      <c r="T118" s="97">
        <v>12.662947729227469</v>
      </c>
      <c r="U118" s="97">
        <v>12.797411604309644</v>
      </c>
      <c r="V118" s="97">
        <v>12.834034746503704</v>
      </c>
    </row>
    <row r="119" spans="1:22">
      <c r="A119" s="74"/>
      <c r="B119" s="74"/>
      <c r="C119" s="74"/>
      <c r="D119" s="74"/>
      <c r="E119" s="74"/>
      <c r="F119" s="74"/>
      <c r="G119" s="74"/>
      <c r="H119" s="74"/>
      <c r="I119" s="74"/>
      <c r="J119" s="74"/>
      <c r="K119" s="74"/>
      <c r="L119" s="74"/>
      <c r="M119" s="74"/>
      <c r="N119" s="74"/>
      <c r="O119" s="74"/>
      <c r="P119" s="74"/>
      <c r="Q119" s="74"/>
      <c r="R119" s="74"/>
      <c r="S119" s="74"/>
      <c r="T119" s="74"/>
      <c r="U119" s="74"/>
      <c r="V119" s="74"/>
    </row>
    <row r="120" spans="1:22">
      <c r="A120" s="74"/>
      <c r="B120" s="80"/>
      <c r="C120" s="80"/>
      <c r="D120" s="80"/>
      <c r="E120" s="80"/>
      <c r="F120" s="79" t="s">
        <v>419</v>
      </c>
      <c r="G120" s="80"/>
      <c r="H120" s="80"/>
      <c r="I120" s="80"/>
      <c r="J120" s="74"/>
      <c r="K120" s="80"/>
      <c r="L120" s="80"/>
      <c r="M120" s="80"/>
      <c r="N120" s="80"/>
      <c r="O120" s="80"/>
      <c r="P120" s="80"/>
      <c r="Q120" s="79" t="s">
        <v>419</v>
      </c>
      <c r="R120" s="3"/>
      <c r="S120" s="3"/>
      <c r="T120" s="3"/>
      <c r="U120" s="3"/>
      <c r="V120" s="3"/>
    </row>
    <row r="121" spans="1:22">
      <c r="A121" s="74" t="s">
        <v>420</v>
      </c>
      <c r="B121" s="98">
        <v>37.580952380952397</v>
      </c>
      <c r="C121" s="98">
        <v>51.420258620689651</v>
      </c>
      <c r="D121" s="98">
        <v>53.237659963436926</v>
      </c>
      <c r="E121" s="98">
        <v>47.193014705882348</v>
      </c>
      <c r="F121" s="98">
        <v>55.145547945205465</v>
      </c>
      <c r="G121" s="98">
        <v>55.973404255319139</v>
      </c>
      <c r="H121" s="98">
        <v>52.060869565217388</v>
      </c>
      <c r="I121" s="98">
        <v>58.530303030303031</v>
      </c>
      <c r="J121" s="98">
        <v>60.973542019099483</v>
      </c>
      <c r="K121" s="98">
        <v>61.686906409559498</v>
      </c>
      <c r="L121" s="98">
        <v>62.178087253270206</v>
      </c>
      <c r="M121" s="98">
        <v>62.752336678268563</v>
      </c>
      <c r="N121" s="98">
        <v>63.393512638899352</v>
      </c>
      <c r="O121" s="98">
        <v>64.157796161501807</v>
      </c>
      <c r="P121" s="98">
        <v>64.935468843174164</v>
      </c>
      <c r="Q121" s="98">
        <v>65.661866785866806</v>
      </c>
      <c r="R121" s="98">
        <v>66.403934671434314</v>
      </c>
      <c r="S121" s="98">
        <v>67.114726937933625</v>
      </c>
      <c r="T121" s="98">
        <v>67.863234686840002</v>
      </c>
      <c r="U121" s="98">
        <v>68.480945956530519</v>
      </c>
      <c r="V121" s="98">
        <v>69.049504084505003</v>
      </c>
    </row>
    <row r="122" spans="1:22">
      <c r="A122" s="74"/>
      <c r="B122" s="97"/>
      <c r="C122" s="97"/>
      <c r="D122" s="97"/>
      <c r="E122" s="97"/>
      <c r="F122" s="97"/>
      <c r="G122" s="97"/>
      <c r="H122" s="97"/>
      <c r="I122" s="97"/>
      <c r="J122" s="97"/>
      <c r="K122" s="97"/>
      <c r="L122" s="97"/>
      <c r="M122" s="97"/>
      <c r="N122" s="97"/>
      <c r="O122" s="97"/>
      <c r="P122" s="97"/>
      <c r="Q122" s="97"/>
      <c r="R122" s="97"/>
      <c r="S122" s="97"/>
      <c r="T122" s="97"/>
      <c r="U122" s="97"/>
      <c r="V122" s="97"/>
    </row>
    <row r="123" spans="1:22">
      <c r="A123" s="74"/>
      <c r="B123" s="80"/>
      <c r="C123" s="80"/>
      <c r="D123" s="80"/>
      <c r="E123" s="80"/>
      <c r="F123" s="79" t="s">
        <v>421</v>
      </c>
      <c r="G123" s="80"/>
      <c r="H123" s="80"/>
      <c r="I123" s="80"/>
      <c r="J123" s="74"/>
      <c r="K123" s="80"/>
      <c r="L123" s="80"/>
      <c r="M123" s="80"/>
      <c r="N123" s="80"/>
      <c r="O123" s="80"/>
      <c r="P123" s="80"/>
      <c r="Q123" s="79" t="s">
        <v>421</v>
      </c>
      <c r="R123" s="3"/>
      <c r="S123" s="3"/>
      <c r="T123" s="3"/>
      <c r="U123" s="3"/>
      <c r="V123" s="3"/>
    </row>
    <row r="124" spans="1:22">
      <c r="A124" s="74" t="s">
        <v>34</v>
      </c>
      <c r="B124" s="97">
        <v>394.60000000000014</v>
      </c>
      <c r="C124" s="97">
        <v>596.47499999999968</v>
      </c>
      <c r="D124" s="97">
        <v>728.02499999999986</v>
      </c>
      <c r="E124" s="97">
        <v>641.8249999999997</v>
      </c>
      <c r="F124" s="97">
        <v>805.12499999999943</v>
      </c>
      <c r="G124" s="97">
        <v>789.22500000000036</v>
      </c>
      <c r="H124" s="97">
        <v>449.02499999999998</v>
      </c>
      <c r="I124" s="97">
        <v>579.45000000000039</v>
      </c>
      <c r="J124" s="97">
        <v>581.61215450825387</v>
      </c>
      <c r="K124" s="97">
        <v>777.61839086309931</v>
      </c>
      <c r="L124" s="97">
        <v>810.73479193404978</v>
      </c>
      <c r="M124" s="97">
        <v>815.23516208860246</v>
      </c>
      <c r="N124" s="97">
        <v>812.85750287825431</v>
      </c>
      <c r="O124" s="97">
        <v>818.90624154789464</v>
      </c>
      <c r="P124" s="97">
        <v>825.09315326281978</v>
      </c>
      <c r="Q124" s="97">
        <v>824.89968835860896</v>
      </c>
      <c r="R124" s="97">
        <v>829.41783024969016</v>
      </c>
      <c r="S124" s="97">
        <v>842.5189019175267</v>
      </c>
      <c r="T124" s="97">
        <v>859.34859357575135</v>
      </c>
      <c r="U124" s="97">
        <v>876.3788524582053</v>
      </c>
      <c r="V124" s="97">
        <v>886.18373464938668</v>
      </c>
    </row>
    <row r="125" spans="1:22">
      <c r="A125" s="74"/>
      <c r="B125" s="74"/>
      <c r="C125" s="74"/>
      <c r="D125" s="74"/>
      <c r="E125" s="74"/>
      <c r="F125" s="74"/>
      <c r="G125" s="74"/>
      <c r="H125" s="74"/>
      <c r="I125" s="74"/>
      <c r="J125" s="74"/>
      <c r="K125" s="74"/>
      <c r="L125" s="74"/>
      <c r="M125" s="74"/>
      <c r="N125" s="74"/>
      <c r="O125" s="74"/>
      <c r="P125" s="74"/>
      <c r="Q125" s="74"/>
      <c r="R125" s="74"/>
      <c r="S125" s="74"/>
      <c r="T125" s="74"/>
      <c r="U125" s="74"/>
      <c r="V125" s="74"/>
    </row>
    <row r="126" spans="1:22">
      <c r="A126" s="89" t="s">
        <v>438</v>
      </c>
      <c r="B126" s="79"/>
      <c r="C126" s="79"/>
      <c r="D126" s="79"/>
      <c r="E126" s="79"/>
      <c r="F126" s="79"/>
      <c r="G126" s="79"/>
      <c r="H126" s="79"/>
      <c r="I126" s="79"/>
      <c r="J126" s="79"/>
      <c r="K126" s="79"/>
      <c r="L126" s="79"/>
      <c r="M126" s="79"/>
      <c r="N126" s="79"/>
      <c r="O126" s="79"/>
      <c r="P126" s="79"/>
      <c r="Q126" s="79"/>
      <c r="R126" s="79"/>
      <c r="S126" s="79"/>
      <c r="T126" s="79"/>
      <c r="U126" s="79"/>
      <c r="V126" s="79"/>
    </row>
    <row r="127" spans="1:22">
      <c r="A127" s="74" t="s">
        <v>34</v>
      </c>
      <c r="B127" s="97">
        <v>88</v>
      </c>
      <c r="C127" s="97">
        <v>54</v>
      </c>
      <c r="D127" s="97">
        <v>98</v>
      </c>
      <c r="E127" s="97">
        <v>105</v>
      </c>
      <c r="F127" s="97">
        <v>105</v>
      </c>
      <c r="G127" s="97">
        <v>135</v>
      </c>
      <c r="H127" s="97">
        <v>116</v>
      </c>
      <c r="I127" s="97">
        <v>61</v>
      </c>
      <c r="J127" s="97">
        <v>70</v>
      </c>
      <c r="K127" s="97">
        <v>97</v>
      </c>
      <c r="L127" s="97">
        <v>95</v>
      </c>
      <c r="M127" s="97">
        <v>95.608866327860724</v>
      </c>
      <c r="N127" s="97">
        <v>95.411305786689553</v>
      </c>
      <c r="O127" s="97">
        <v>96.203183158569857</v>
      </c>
      <c r="P127" s="97">
        <v>97.012516340535385</v>
      </c>
      <c r="Q127" s="97">
        <v>97.072259160025936</v>
      </c>
      <c r="R127" s="97">
        <v>97.686885276021727</v>
      </c>
      <c r="S127" s="97">
        <v>99.314150637027851</v>
      </c>
      <c r="T127" s="97">
        <v>101.38393004719084</v>
      </c>
      <c r="U127" s="97">
        <v>103.48075790276044</v>
      </c>
      <c r="V127" s="97">
        <v>104.72711375179863</v>
      </c>
    </row>
    <row r="128" spans="1:22">
      <c r="A128" s="74" t="s">
        <v>422</v>
      </c>
      <c r="B128" s="97">
        <v>194</v>
      </c>
      <c r="C128" s="97">
        <v>253</v>
      </c>
      <c r="D128" s="97">
        <v>220</v>
      </c>
      <c r="E128" s="97">
        <v>198</v>
      </c>
      <c r="F128" s="97">
        <v>131</v>
      </c>
      <c r="G128" s="97">
        <v>222</v>
      </c>
      <c r="H128" s="97">
        <v>97</v>
      </c>
      <c r="I128" s="97">
        <v>206</v>
      </c>
      <c r="J128" s="97">
        <v>92</v>
      </c>
      <c r="K128" s="97">
        <v>45</v>
      </c>
      <c r="L128" s="97">
        <v>86</v>
      </c>
      <c r="M128" s="97">
        <v>136</v>
      </c>
      <c r="N128" s="97">
        <v>151.83456608735122</v>
      </c>
      <c r="O128" s="97">
        <v>156.65045771305932</v>
      </c>
      <c r="P128" s="97">
        <v>156.06333928064771</v>
      </c>
      <c r="Q128" s="97">
        <v>154.7874014364898</v>
      </c>
      <c r="R128" s="97">
        <v>154.31385859156876</v>
      </c>
      <c r="S128" s="97">
        <v>154.77534472732629</v>
      </c>
      <c r="T128" s="97">
        <v>155.96962532997253</v>
      </c>
      <c r="U128" s="97">
        <v>157.13547118527424</v>
      </c>
      <c r="V128" s="97">
        <v>158.8256430706403</v>
      </c>
    </row>
    <row r="129" spans="1:22">
      <c r="A129" s="74" t="s">
        <v>439</v>
      </c>
      <c r="B129" s="97">
        <v>282</v>
      </c>
      <c r="C129" s="97">
        <v>307</v>
      </c>
      <c r="D129" s="97">
        <v>318</v>
      </c>
      <c r="E129" s="97">
        <v>303</v>
      </c>
      <c r="F129" s="97">
        <v>236</v>
      </c>
      <c r="G129" s="97">
        <v>357</v>
      </c>
      <c r="H129" s="97">
        <v>213</v>
      </c>
      <c r="I129" s="97">
        <v>267</v>
      </c>
      <c r="J129" s="97">
        <v>162</v>
      </c>
      <c r="K129" s="97">
        <v>142</v>
      </c>
      <c r="L129" s="97">
        <v>181</v>
      </c>
      <c r="M129" s="97">
        <v>231.60886632786071</v>
      </c>
      <c r="N129" s="97">
        <v>247.24587187404077</v>
      </c>
      <c r="O129" s="97">
        <v>252.85364087162918</v>
      </c>
      <c r="P129" s="97">
        <v>253.07585562118311</v>
      </c>
      <c r="Q129" s="97">
        <v>251.85966059651574</v>
      </c>
      <c r="R129" s="97">
        <v>252.00074386759047</v>
      </c>
      <c r="S129" s="97">
        <v>254.08949536435415</v>
      </c>
      <c r="T129" s="97">
        <v>257.35355537716339</v>
      </c>
      <c r="U129" s="97">
        <v>260.61622908803469</v>
      </c>
      <c r="V129" s="97">
        <v>263.55275682243894</v>
      </c>
    </row>
    <row r="130" spans="1:22">
      <c r="A130" s="74"/>
      <c r="B130" s="74"/>
      <c r="C130" s="74"/>
      <c r="D130" s="74"/>
      <c r="E130" s="74"/>
      <c r="F130" s="74"/>
      <c r="G130" s="74"/>
      <c r="H130" s="74"/>
      <c r="I130" s="74"/>
      <c r="J130" s="74"/>
      <c r="K130" s="74"/>
      <c r="L130" s="74"/>
      <c r="M130" s="74"/>
      <c r="N130" s="74"/>
      <c r="O130" s="74"/>
      <c r="P130" s="74"/>
      <c r="Q130" s="74"/>
      <c r="R130" s="74"/>
      <c r="S130" s="74"/>
      <c r="T130" s="74"/>
      <c r="U130" s="74"/>
      <c r="V130" s="74"/>
    </row>
    <row r="131" spans="1:22">
      <c r="A131" s="74" t="s">
        <v>434</v>
      </c>
      <c r="B131" s="97">
        <v>1250</v>
      </c>
      <c r="C131" s="97">
        <v>1398</v>
      </c>
      <c r="D131" s="97">
        <v>1431</v>
      </c>
      <c r="E131" s="97">
        <v>1425</v>
      </c>
      <c r="F131" s="97">
        <v>1380</v>
      </c>
      <c r="G131" s="97">
        <v>1380</v>
      </c>
      <c r="H131" s="97">
        <v>1375</v>
      </c>
      <c r="I131" s="97">
        <v>1380</v>
      </c>
      <c r="J131" s="97">
        <v>1375</v>
      </c>
      <c r="K131" s="97">
        <v>1380</v>
      </c>
      <c r="L131" s="97">
        <v>1385</v>
      </c>
      <c r="M131" s="97">
        <v>1441.0884665904102</v>
      </c>
      <c r="N131" s="97">
        <v>1467.9949981934788</v>
      </c>
      <c r="O131" s="97">
        <v>1473.6271298661209</v>
      </c>
      <c r="P131" s="97">
        <v>1480.7586102454882</v>
      </c>
      <c r="Q131" s="97">
        <v>1493.537069429138</v>
      </c>
      <c r="R131" s="97">
        <v>1511.4219004835172</v>
      </c>
      <c r="S131" s="97">
        <v>1532.7344497281836</v>
      </c>
      <c r="T131" s="97">
        <v>1552.7393547267814</v>
      </c>
      <c r="U131" s="97">
        <v>1576.3514472198583</v>
      </c>
      <c r="V131" s="97">
        <v>1592.0910421594906</v>
      </c>
    </row>
    <row r="132" spans="1:22">
      <c r="A132" s="74" t="s">
        <v>426</v>
      </c>
      <c r="B132" s="97">
        <v>253</v>
      </c>
      <c r="C132" s="97">
        <v>220</v>
      </c>
      <c r="D132" s="97">
        <v>198</v>
      </c>
      <c r="E132" s="97">
        <v>131</v>
      </c>
      <c r="F132" s="97">
        <v>222</v>
      </c>
      <c r="G132" s="97">
        <v>97</v>
      </c>
      <c r="H132" s="97">
        <v>206</v>
      </c>
      <c r="I132" s="97">
        <v>92</v>
      </c>
      <c r="J132" s="97">
        <v>45</v>
      </c>
      <c r="K132" s="97">
        <v>86</v>
      </c>
      <c r="L132" s="97">
        <v>136</v>
      </c>
      <c r="M132" s="97">
        <v>151.83456608735122</v>
      </c>
      <c r="N132" s="97">
        <v>156.65045771305932</v>
      </c>
      <c r="O132" s="97">
        <v>156.06333928064771</v>
      </c>
      <c r="P132" s="97">
        <v>154.7874014364898</v>
      </c>
      <c r="Q132" s="97">
        <v>154.31385859156876</v>
      </c>
      <c r="R132" s="97">
        <v>154.77534472732629</v>
      </c>
      <c r="S132" s="97">
        <v>155.96962532997253</v>
      </c>
      <c r="T132" s="97">
        <v>157.13547118527424</v>
      </c>
      <c r="U132" s="97">
        <v>158.8256430706403</v>
      </c>
      <c r="V132" s="97">
        <v>159.41414903256577</v>
      </c>
    </row>
    <row r="133" spans="1:22">
      <c r="A133" s="74" t="s">
        <v>440</v>
      </c>
      <c r="B133" s="97">
        <v>1503</v>
      </c>
      <c r="C133" s="97">
        <v>1618</v>
      </c>
      <c r="D133" s="97">
        <v>1629</v>
      </c>
      <c r="E133" s="97">
        <v>1556</v>
      </c>
      <c r="F133" s="97">
        <v>1602</v>
      </c>
      <c r="G133" s="97">
        <v>1477</v>
      </c>
      <c r="H133" s="97">
        <v>1581</v>
      </c>
      <c r="I133" s="97">
        <v>1472</v>
      </c>
      <c r="J133" s="97">
        <v>1420</v>
      </c>
      <c r="K133" s="97">
        <v>1466</v>
      </c>
      <c r="L133" s="97">
        <v>1521</v>
      </c>
      <c r="M133" s="97">
        <v>1592.9230326777615</v>
      </c>
      <c r="N133" s="97">
        <v>1624.645455906538</v>
      </c>
      <c r="O133" s="97">
        <v>1629.6904691467685</v>
      </c>
      <c r="P133" s="97">
        <v>1635.5460116819779</v>
      </c>
      <c r="Q133" s="97">
        <v>1647.8509280207068</v>
      </c>
      <c r="R133" s="97">
        <v>1666.1972452108434</v>
      </c>
      <c r="S133" s="97">
        <v>1688.7040750581561</v>
      </c>
      <c r="T133" s="97">
        <v>1709.8748259120557</v>
      </c>
      <c r="U133" s="97">
        <v>1735.1770902904987</v>
      </c>
      <c r="V133" s="97">
        <v>1751.5051911920564</v>
      </c>
    </row>
    <row r="134" spans="1:22">
      <c r="A134" s="74"/>
      <c r="B134" s="74"/>
      <c r="C134" s="74"/>
      <c r="D134" s="74"/>
      <c r="E134" s="74"/>
      <c r="F134" s="74"/>
      <c r="G134" s="74"/>
      <c r="H134" s="74"/>
      <c r="I134" s="74"/>
      <c r="J134" s="74"/>
      <c r="K134" s="74"/>
      <c r="L134" s="74"/>
      <c r="M134" s="74"/>
      <c r="N134" s="74"/>
      <c r="O134" s="74"/>
      <c r="P134" s="74"/>
      <c r="Q134" s="74"/>
      <c r="R134" s="74"/>
      <c r="S134" s="74"/>
      <c r="T134" s="74"/>
      <c r="U134" s="74"/>
      <c r="V134" s="74"/>
    </row>
    <row r="135" spans="1:22">
      <c r="A135" s="74" t="s">
        <v>441</v>
      </c>
      <c r="B135" s="97">
        <v>-1221</v>
      </c>
      <c r="C135" s="97">
        <v>-1311</v>
      </c>
      <c r="D135" s="97">
        <v>-1311</v>
      </c>
      <c r="E135" s="97">
        <v>-1253</v>
      </c>
      <c r="F135" s="97">
        <v>-1366</v>
      </c>
      <c r="G135" s="97">
        <v>-1120</v>
      </c>
      <c r="H135" s="97">
        <v>-1368</v>
      </c>
      <c r="I135" s="97">
        <v>-1205</v>
      </c>
      <c r="J135" s="97">
        <v>-1258</v>
      </c>
      <c r="K135" s="97">
        <v>-1324</v>
      </c>
      <c r="L135" s="97">
        <v>-1340</v>
      </c>
      <c r="M135" s="97">
        <v>-1361.3141663499007</v>
      </c>
      <c r="N135" s="97">
        <v>-1377.3995840324972</v>
      </c>
      <c r="O135" s="97">
        <v>-1376.8368282751394</v>
      </c>
      <c r="P135" s="97">
        <v>-1382.4701560607948</v>
      </c>
      <c r="Q135" s="97">
        <v>-1395.9912674241909</v>
      </c>
      <c r="R135" s="97">
        <v>-1414.196501343253</v>
      </c>
      <c r="S135" s="97">
        <v>-1434.6145796938019</v>
      </c>
      <c r="T135" s="97">
        <v>-1452.5212705348922</v>
      </c>
      <c r="U135" s="97">
        <v>-1474.5608612024639</v>
      </c>
      <c r="V135" s="97">
        <v>-1487.9524343696173</v>
      </c>
    </row>
    <row r="136" spans="1:22">
      <c r="A136" s="77"/>
      <c r="B136" s="78"/>
      <c r="C136" s="78"/>
      <c r="D136" s="78"/>
      <c r="E136" s="78"/>
      <c r="F136" s="78"/>
      <c r="G136" s="78"/>
      <c r="H136" s="78"/>
      <c r="I136" s="78"/>
      <c r="J136" s="78"/>
      <c r="K136" s="78"/>
      <c r="L136" s="78"/>
      <c r="M136" s="78"/>
      <c r="N136" s="78"/>
      <c r="O136" s="78"/>
      <c r="P136" s="78"/>
      <c r="Q136" s="78"/>
      <c r="R136" s="78"/>
      <c r="S136" s="78"/>
      <c r="T136" s="78"/>
      <c r="U136" s="78"/>
      <c r="V136" s="78"/>
    </row>
  </sheetData>
  <pageMargins left="0.7" right="0.7" top="0.75" bottom="0.75" header="0.3" footer="0.3"/>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4" tint="0.39997558519241921"/>
    <pageSetUpPr fitToPage="1"/>
  </sheetPr>
  <dimension ref="A1:AA82"/>
  <sheetViews>
    <sheetView zoomScale="80" zoomScaleNormal="80" zoomScalePageLayoutView="80" workbookViewId="0">
      <pane xSplit="5" ySplit="7" topLeftCell="F22" activePane="bottomRight" state="frozen"/>
      <selection activeCell="F8" sqref="F8"/>
      <selection pane="topRight" activeCell="F8" sqref="F8"/>
      <selection pane="bottomLeft" activeCell="F8" sqref="F8"/>
      <selection pane="bottomRight" activeCell="F50" sqref="F50"/>
    </sheetView>
  </sheetViews>
  <sheetFormatPr baseColWidth="10" defaultColWidth="9.1640625" defaultRowHeight="16"/>
  <cols>
    <col min="1" max="1" width="4.5" style="197" customWidth="1"/>
    <col min="2" max="2" width="3.33203125" style="197" customWidth="1"/>
    <col min="3" max="3" width="52.5" style="197" customWidth="1"/>
    <col min="4" max="5" width="3.33203125" style="197" customWidth="1"/>
    <col min="6" max="15" width="16.5" style="197" customWidth="1"/>
    <col min="16" max="16" width="10.1640625" style="197" bestFit="1" customWidth="1"/>
    <col min="17" max="16384" width="9.1640625" style="197"/>
  </cols>
  <sheetData>
    <row r="1" spans="1:15" s="169" customFormat="1" ht="14">
      <c r="A1" s="280" t="s">
        <v>828</v>
      </c>
      <c r="B1" s="168"/>
      <c r="C1" s="168"/>
      <c r="D1" s="168"/>
      <c r="E1" s="168"/>
      <c r="F1" s="168"/>
      <c r="G1" s="168"/>
      <c r="H1" s="168"/>
      <c r="I1" s="168"/>
      <c r="J1" s="168"/>
      <c r="K1" s="168"/>
      <c r="L1" s="168"/>
      <c r="M1" s="168"/>
      <c r="N1" s="168"/>
      <c r="O1" s="168"/>
    </row>
    <row r="2" spans="1:15" s="169" customFormat="1" ht="14">
      <c r="B2" s="170"/>
      <c r="C2" s="170"/>
      <c r="D2" s="170"/>
      <c r="E2" s="170"/>
      <c r="F2" s="170"/>
      <c r="G2" s="170"/>
      <c r="H2" s="170"/>
      <c r="I2" s="170"/>
      <c r="J2" s="170"/>
      <c r="K2" s="170"/>
      <c r="L2" s="170"/>
      <c r="M2" s="170"/>
      <c r="N2" s="170"/>
      <c r="O2" s="170"/>
    </row>
    <row r="3" spans="1:15" s="169" customFormat="1" ht="14">
      <c r="B3" s="170"/>
      <c r="C3" s="170"/>
      <c r="D3" s="170"/>
      <c r="E3" s="170"/>
      <c r="F3" s="171" t="s">
        <v>651</v>
      </c>
      <c r="G3" s="172"/>
      <c r="H3" s="172"/>
      <c r="I3" s="172"/>
      <c r="J3" s="172"/>
      <c r="K3" s="172"/>
      <c r="L3" s="172"/>
      <c r="M3" s="172"/>
      <c r="N3" s="172"/>
      <c r="O3" s="172"/>
    </row>
    <row r="4" spans="1:15" s="169" customFormat="1" ht="15">
      <c r="A4" s="170"/>
      <c r="B4" s="170"/>
      <c r="C4" s="170"/>
      <c r="D4" s="170"/>
      <c r="E4" s="170"/>
      <c r="F4" s="173" t="s">
        <v>652</v>
      </c>
      <c r="G4" s="174" t="s">
        <v>653</v>
      </c>
      <c r="H4" s="174" t="s">
        <v>653</v>
      </c>
      <c r="I4" s="174" t="s">
        <v>654</v>
      </c>
      <c r="J4" s="174" t="s">
        <v>654</v>
      </c>
      <c r="K4" s="175" t="s">
        <v>827</v>
      </c>
      <c r="L4" s="175" t="s">
        <v>826</v>
      </c>
      <c r="M4" s="174" t="s">
        <v>655</v>
      </c>
      <c r="N4" s="176" t="s">
        <v>656</v>
      </c>
      <c r="O4" s="177" t="s">
        <v>657</v>
      </c>
    </row>
    <row r="5" spans="1:15" s="179" customFormat="1" ht="14">
      <c r="A5" s="178" t="s">
        <v>658</v>
      </c>
      <c r="B5" s="178"/>
      <c r="E5" s="180" t="s">
        <v>659</v>
      </c>
      <c r="F5" s="181"/>
      <c r="G5" s="182"/>
      <c r="H5" s="183">
        <v>25</v>
      </c>
      <c r="I5" s="184"/>
      <c r="J5" s="183">
        <v>298</v>
      </c>
      <c r="K5" s="185"/>
      <c r="L5" s="185"/>
      <c r="M5" s="186">
        <v>22800</v>
      </c>
      <c r="N5" s="186">
        <v>17200</v>
      </c>
      <c r="O5" s="187"/>
    </row>
    <row r="6" spans="1:15" s="188" customFormat="1" ht="14.25" customHeight="1">
      <c r="C6" s="189"/>
      <c r="D6" s="189"/>
      <c r="E6" s="190" t="s">
        <v>377</v>
      </c>
      <c r="F6" s="191" t="s">
        <v>660</v>
      </c>
      <c r="G6" s="191" t="s">
        <v>660</v>
      </c>
      <c r="H6" s="192" t="s">
        <v>661</v>
      </c>
      <c r="I6" s="193" t="s">
        <v>660</v>
      </c>
      <c r="J6" s="192" t="s">
        <v>661</v>
      </c>
      <c r="K6" s="192" t="s">
        <v>661</v>
      </c>
      <c r="L6" s="192" t="s">
        <v>661</v>
      </c>
      <c r="M6" s="192" t="s">
        <v>661</v>
      </c>
      <c r="N6" s="192" t="s">
        <v>661</v>
      </c>
      <c r="O6" s="192" t="s">
        <v>661</v>
      </c>
    </row>
    <row r="7" spans="1:15" s="196" customFormat="1" ht="15" thickBot="1">
      <c r="A7" s="279" t="s">
        <v>657</v>
      </c>
      <c r="B7" s="278"/>
      <c r="C7" s="277"/>
      <c r="D7" s="194"/>
      <c r="E7" s="194"/>
      <c r="F7" s="195">
        <v>211656.178708491</v>
      </c>
      <c r="G7" s="195">
        <v>1735.5499947911001</v>
      </c>
      <c r="H7" s="195">
        <v>43388.749869777399</v>
      </c>
      <c r="I7" s="195">
        <v>34.187461593073898</v>
      </c>
      <c r="J7" s="195">
        <v>10187.863554736001</v>
      </c>
      <c r="K7" s="195">
        <v>1662.32174730305</v>
      </c>
      <c r="L7" s="195">
        <v>1.23771658966438</v>
      </c>
      <c r="M7" s="195">
        <v>3.3154113786421502</v>
      </c>
      <c r="N7" s="195" t="s">
        <v>723</v>
      </c>
      <c r="O7" s="195">
        <v>266899.66700827598</v>
      </c>
    </row>
    <row r="8" spans="1:15" ht="17" thickTop="1">
      <c r="A8" s="251" t="s">
        <v>662</v>
      </c>
      <c r="B8" s="276"/>
      <c r="C8" s="276"/>
      <c r="F8" s="198">
        <v>201300.05954914301</v>
      </c>
      <c r="G8" s="198">
        <v>1261.56833802853</v>
      </c>
      <c r="H8" s="198">
        <v>31539.2084507133</v>
      </c>
      <c r="I8" s="198">
        <v>5.8781168849219201</v>
      </c>
      <c r="J8" s="198">
        <v>1751.6788317067301</v>
      </c>
      <c r="K8" s="198" t="s">
        <v>723</v>
      </c>
      <c r="L8" s="198" t="s">
        <v>723</v>
      </c>
      <c r="M8" s="198" t="s">
        <v>723</v>
      </c>
      <c r="N8" s="198" t="s">
        <v>723</v>
      </c>
      <c r="O8" s="198">
        <v>234590.94683156299</v>
      </c>
    </row>
    <row r="9" spans="1:15">
      <c r="A9" s="262" t="s">
        <v>663</v>
      </c>
      <c r="B9" s="261" t="s">
        <v>664</v>
      </c>
      <c r="C9" s="261"/>
      <c r="F9" s="199">
        <v>153047.763638584</v>
      </c>
      <c r="G9" s="199">
        <v>69.702947326087795</v>
      </c>
      <c r="H9" s="199">
        <v>1742.5736831521899</v>
      </c>
      <c r="I9" s="199">
        <v>3.0885702602145999</v>
      </c>
      <c r="J9" s="199">
        <v>920.39393754394996</v>
      </c>
      <c r="K9" s="199" t="s">
        <v>723</v>
      </c>
      <c r="L9" s="199" t="s">
        <v>723</v>
      </c>
      <c r="M9" s="199" t="s">
        <v>723</v>
      </c>
      <c r="N9" s="199" t="s">
        <v>723</v>
      </c>
      <c r="O9" s="199">
        <v>155710.73125928</v>
      </c>
    </row>
    <row r="10" spans="1:15">
      <c r="A10" s="273"/>
      <c r="B10" s="201" t="s">
        <v>665</v>
      </c>
      <c r="C10" s="265"/>
      <c r="F10" s="202">
        <v>50984.181997907297</v>
      </c>
      <c r="G10" s="202">
        <v>2.4115610179064801</v>
      </c>
      <c r="H10" s="202">
        <v>60.289025447662098</v>
      </c>
      <c r="I10" s="202">
        <v>0.99317057647832097</v>
      </c>
      <c r="J10" s="202">
        <v>295.96483179054002</v>
      </c>
      <c r="K10" s="202" t="s">
        <v>723</v>
      </c>
      <c r="L10" s="202" t="s">
        <v>723</v>
      </c>
      <c r="M10" s="202" t="s">
        <v>723</v>
      </c>
      <c r="N10" s="202" t="s">
        <v>723</v>
      </c>
      <c r="O10" s="202">
        <v>51340.435855145501</v>
      </c>
    </row>
    <row r="11" spans="1:15">
      <c r="A11" s="273"/>
      <c r="B11" s="203" t="s">
        <v>666</v>
      </c>
      <c r="C11" s="265"/>
      <c r="F11" s="202">
        <v>4540.6397889237496</v>
      </c>
      <c r="G11" s="202">
        <v>7.9538228413757101E-2</v>
      </c>
      <c r="H11" s="202">
        <v>1.98845571034393</v>
      </c>
      <c r="I11" s="202">
        <v>2.28370453419145E-2</v>
      </c>
      <c r="J11" s="202">
        <v>6.80543951189052</v>
      </c>
      <c r="K11" s="202" t="s">
        <v>723</v>
      </c>
      <c r="L11" s="202" t="s">
        <v>723</v>
      </c>
      <c r="M11" s="202" t="s">
        <v>723</v>
      </c>
      <c r="N11" s="202" t="s">
        <v>723</v>
      </c>
      <c r="O11" s="202">
        <v>4549.4336841459799</v>
      </c>
    </row>
    <row r="12" spans="1:15">
      <c r="A12" s="273"/>
      <c r="B12" s="203" t="s">
        <v>667</v>
      </c>
      <c r="C12" s="275"/>
      <c r="F12" s="202">
        <v>72550.2901820814</v>
      </c>
      <c r="G12" s="202">
        <v>61.025337347343601</v>
      </c>
      <c r="H12" s="202">
        <v>1525.6334336835901</v>
      </c>
      <c r="I12" s="202">
        <v>1.37606113117077</v>
      </c>
      <c r="J12" s="202">
        <v>410.066217088889</v>
      </c>
      <c r="K12" s="202" t="s">
        <v>723</v>
      </c>
      <c r="L12" s="202" t="s">
        <v>723</v>
      </c>
      <c r="M12" s="202" t="s">
        <v>723</v>
      </c>
      <c r="N12" s="202" t="s">
        <v>723</v>
      </c>
      <c r="O12" s="202">
        <v>74485.989832853898</v>
      </c>
    </row>
    <row r="13" spans="1:15">
      <c r="A13" s="273"/>
      <c r="B13" s="203" t="s">
        <v>668</v>
      </c>
      <c r="C13" s="265"/>
      <c r="F13" s="202">
        <v>10617.8502274075</v>
      </c>
      <c r="G13" s="202">
        <v>0.38676837327539298</v>
      </c>
      <c r="H13" s="202">
        <v>9.6692093318848293</v>
      </c>
      <c r="I13" s="202">
        <v>0.326001759108766</v>
      </c>
      <c r="J13" s="202">
        <v>97.148524214412205</v>
      </c>
      <c r="K13" s="202" t="s">
        <v>723</v>
      </c>
      <c r="L13" s="202" t="s">
        <v>723</v>
      </c>
      <c r="M13" s="202" t="s">
        <v>723</v>
      </c>
      <c r="N13" s="202" t="s">
        <v>723</v>
      </c>
      <c r="O13" s="202">
        <v>10724.667960953801</v>
      </c>
    </row>
    <row r="14" spans="1:15">
      <c r="A14" s="273"/>
      <c r="B14" s="203" t="s">
        <v>670</v>
      </c>
      <c r="C14" s="274"/>
      <c r="F14" s="202">
        <v>294.30709999999999</v>
      </c>
      <c r="G14" s="202">
        <v>5.3372999999999997E-3</v>
      </c>
      <c r="H14" s="202">
        <v>0.13343250000000001</v>
      </c>
      <c r="I14" s="202">
        <v>1.0078200000000001E-2</v>
      </c>
      <c r="J14" s="202">
        <v>3.0033036000000002</v>
      </c>
      <c r="K14" s="202" t="s">
        <v>723</v>
      </c>
      <c r="L14" s="202" t="s">
        <v>723</v>
      </c>
      <c r="M14" s="202" t="s">
        <v>723</v>
      </c>
      <c r="N14" s="202" t="s">
        <v>723</v>
      </c>
      <c r="O14" s="202">
        <v>297.4438361</v>
      </c>
    </row>
    <row r="15" spans="1:15">
      <c r="A15" s="273"/>
      <c r="B15" s="203" t="s">
        <v>671</v>
      </c>
      <c r="C15" s="203"/>
      <c r="F15" s="202">
        <v>5785.4542422637996</v>
      </c>
      <c r="G15" s="202">
        <v>0.109293369090197</v>
      </c>
      <c r="H15" s="202">
        <v>2.73233422725494</v>
      </c>
      <c r="I15" s="202">
        <v>0.13317689136636901</v>
      </c>
      <c r="J15" s="202">
        <v>39.686713627178001</v>
      </c>
      <c r="K15" s="202" t="s">
        <v>723</v>
      </c>
      <c r="L15" s="202" t="s">
        <v>723</v>
      </c>
      <c r="M15" s="202" t="s">
        <v>723</v>
      </c>
      <c r="N15" s="202" t="s">
        <v>723</v>
      </c>
      <c r="O15" s="202">
        <v>5827.8732901182302</v>
      </c>
    </row>
    <row r="16" spans="1:15">
      <c r="A16" s="273"/>
      <c r="B16" s="203" t="s">
        <v>175</v>
      </c>
      <c r="C16" s="203"/>
      <c r="F16" s="202">
        <v>8055.3433000000005</v>
      </c>
      <c r="G16" s="202">
        <v>5.68097439005835</v>
      </c>
      <c r="H16" s="202">
        <v>142.024359751459</v>
      </c>
      <c r="I16" s="202">
        <v>0.22222745674845801</v>
      </c>
      <c r="J16" s="202">
        <v>66.223782111040506</v>
      </c>
      <c r="K16" s="202" t="s">
        <v>723</v>
      </c>
      <c r="L16" s="202" t="s">
        <v>723</v>
      </c>
      <c r="M16" s="202" t="s">
        <v>723</v>
      </c>
      <c r="N16" s="202" t="s">
        <v>723</v>
      </c>
      <c r="O16" s="202">
        <v>8263.5914418624998</v>
      </c>
    </row>
    <row r="17" spans="1:15">
      <c r="A17" s="273"/>
      <c r="B17" s="203" t="s">
        <v>672</v>
      </c>
      <c r="C17" s="203"/>
      <c r="F17" s="202">
        <v>219.6968</v>
      </c>
      <c r="G17" s="202">
        <v>4.1373E-3</v>
      </c>
      <c r="H17" s="202">
        <v>0.1034325</v>
      </c>
      <c r="I17" s="202">
        <v>5.0172000000000003E-3</v>
      </c>
      <c r="J17" s="202">
        <v>1.4951255999999999</v>
      </c>
      <c r="K17" s="202" t="s">
        <v>723</v>
      </c>
      <c r="L17" s="202" t="s">
        <v>723</v>
      </c>
      <c r="M17" s="202" t="s">
        <v>723</v>
      </c>
      <c r="N17" s="202" t="s">
        <v>723</v>
      </c>
      <c r="O17" s="202">
        <v>221.29535809999999</v>
      </c>
    </row>
    <row r="18" spans="1:15">
      <c r="A18" s="262" t="s">
        <v>673</v>
      </c>
      <c r="B18" s="261" t="s">
        <v>825</v>
      </c>
      <c r="C18" s="261"/>
      <c r="F18" s="199">
        <v>40774.292198351497</v>
      </c>
      <c r="G18" s="199">
        <v>7.74368128997929</v>
      </c>
      <c r="H18" s="199">
        <v>193.592032249482</v>
      </c>
      <c r="I18" s="199">
        <v>2.7419295513144899</v>
      </c>
      <c r="J18" s="199">
        <v>817.09500629171703</v>
      </c>
      <c r="K18" s="199" t="s">
        <v>723</v>
      </c>
      <c r="L18" s="199" t="s">
        <v>723</v>
      </c>
      <c r="M18" s="199" t="s">
        <v>723</v>
      </c>
      <c r="N18" s="199" t="s">
        <v>723</v>
      </c>
      <c r="O18" s="199">
        <v>41784.979236892803</v>
      </c>
    </row>
    <row r="19" spans="1:15">
      <c r="A19" s="273"/>
      <c r="B19" s="203" t="s">
        <v>674</v>
      </c>
      <c r="C19" s="265"/>
      <c r="F19" s="202">
        <v>1468.94874505956</v>
      </c>
      <c r="G19" s="202">
        <v>4.9033984487495998E-2</v>
      </c>
      <c r="H19" s="202">
        <v>1.2258496121874001</v>
      </c>
      <c r="I19" s="202">
        <v>4.2136596307954403E-2</v>
      </c>
      <c r="J19" s="202">
        <v>12.556705699770401</v>
      </c>
      <c r="K19" s="202" t="s">
        <v>723</v>
      </c>
      <c r="L19" s="202" t="s">
        <v>723</v>
      </c>
      <c r="M19" s="202" t="s">
        <v>723</v>
      </c>
      <c r="N19" s="202" t="s">
        <v>723</v>
      </c>
      <c r="O19" s="202">
        <v>1482.7313003715201</v>
      </c>
    </row>
    <row r="20" spans="1:15">
      <c r="A20" s="273"/>
      <c r="B20" s="203" t="s">
        <v>675</v>
      </c>
      <c r="C20" s="265"/>
      <c r="F20" s="202">
        <v>26481.1944517191</v>
      </c>
      <c r="G20" s="202">
        <v>1.60281963870359</v>
      </c>
      <c r="H20" s="202">
        <v>40.070490967589897</v>
      </c>
      <c r="I20" s="202">
        <v>1.4341765952807899</v>
      </c>
      <c r="J20" s="202">
        <v>427.38462539367401</v>
      </c>
      <c r="K20" s="202" t="s">
        <v>723</v>
      </c>
      <c r="L20" s="202" t="s">
        <v>723</v>
      </c>
      <c r="M20" s="202" t="s">
        <v>723</v>
      </c>
      <c r="N20" s="202" t="s">
        <v>723</v>
      </c>
      <c r="O20" s="202">
        <v>26948.649568080298</v>
      </c>
    </row>
    <row r="21" spans="1:15" s="205" customFormat="1" ht="12">
      <c r="A21" s="266"/>
      <c r="B21" s="265"/>
      <c r="C21" s="212" t="s">
        <v>676</v>
      </c>
      <c r="F21" s="206">
        <v>2958.31302956936</v>
      </c>
      <c r="G21" s="206">
        <v>0.28850494593564002</v>
      </c>
      <c r="H21" s="206">
        <v>7.2126236483910002</v>
      </c>
      <c r="I21" s="206">
        <v>0.127451871468724</v>
      </c>
      <c r="J21" s="206">
        <v>37.980657697679803</v>
      </c>
      <c r="K21" s="206" t="s">
        <v>723</v>
      </c>
      <c r="L21" s="206" t="s">
        <v>723</v>
      </c>
      <c r="M21" s="206" t="s">
        <v>723</v>
      </c>
      <c r="N21" s="206" t="s">
        <v>723</v>
      </c>
      <c r="O21" s="206">
        <v>3003.5063109154398</v>
      </c>
    </row>
    <row r="22" spans="1:15" s="205" customFormat="1" ht="12">
      <c r="A22" s="266"/>
      <c r="B22" s="265"/>
      <c r="C22" s="212" t="s">
        <v>677</v>
      </c>
      <c r="F22" s="206">
        <v>6727.9283082435304</v>
      </c>
      <c r="G22" s="206">
        <v>0.61744694329837901</v>
      </c>
      <c r="H22" s="206">
        <v>15.436173582459499</v>
      </c>
      <c r="I22" s="206">
        <v>0.25357192790579403</v>
      </c>
      <c r="J22" s="206">
        <v>75.564434515926493</v>
      </c>
      <c r="K22" s="206" t="s">
        <v>723</v>
      </c>
      <c r="L22" s="206" t="s">
        <v>723</v>
      </c>
      <c r="M22" s="206" t="s">
        <v>723</v>
      </c>
      <c r="N22" s="206" t="s">
        <v>723</v>
      </c>
      <c r="O22" s="206">
        <v>6818.9289163419098</v>
      </c>
    </row>
    <row r="23" spans="1:15" s="205" customFormat="1" ht="12">
      <c r="A23" s="266"/>
      <c r="B23" s="265"/>
      <c r="C23" s="212" t="s">
        <v>678</v>
      </c>
      <c r="F23" s="206">
        <v>3059.6139578242601</v>
      </c>
      <c r="G23" s="206">
        <v>0.10765796801274</v>
      </c>
      <c r="H23" s="206">
        <v>2.6914492003184902</v>
      </c>
      <c r="I23" s="206">
        <v>0.27010840742354197</v>
      </c>
      <c r="J23" s="206">
        <v>80.492305412215401</v>
      </c>
      <c r="K23" s="206" t="s">
        <v>723</v>
      </c>
      <c r="L23" s="206" t="s">
        <v>723</v>
      </c>
      <c r="M23" s="206" t="s">
        <v>723</v>
      </c>
      <c r="N23" s="206" t="s">
        <v>723</v>
      </c>
      <c r="O23" s="206">
        <v>3142.7977124367999</v>
      </c>
    </row>
    <row r="24" spans="1:15" s="205" customFormat="1" ht="12">
      <c r="A24" s="266"/>
      <c r="B24" s="265"/>
      <c r="C24" s="212" t="s">
        <v>679</v>
      </c>
      <c r="F24" s="206">
        <v>42.613328232791602</v>
      </c>
      <c r="G24" s="206">
        <v>1.63529652480893E-2</v>
      </c>
      <c r="H24" s="206">
        <v>0.40882413120223299</v>
      </c>
      <c r="I24" s="206">
        <v>8.0281395418180799E-4</v>
      </c>
      <c r="J24" s="206">
        <v>0.23923855834617899</v>
      </c>
      <c r="K24" s="206" t="s">
        <v>723</v>
      </c>
      <c r="L24" s="206" t="s">
        <v>723</v>
      </c>
      <c r="M24" s="206" t="s">
        <v>723</v>
      </c>
      <c r="N24" s="206" t="s">
        <v>723</v>
      </c>
      <c r="O24" s="206">
        <v>43.261390922340098</v>
      </c>
    </row>
    <row r="25" spans="1:15" s="205" customFormat="1" ht="12">
      <c r="A25" s="266"/>
      <c r="B25" s="265"/>
      <c r="C25" s="212" t="s">
        <v>680</v>
      </c>
      <c r="F25" s="206">
        <v>91.916386863769105</v>
      </c>
      <c r="G25" s="206">
        <v>1.79129792576836E-3</v>
      </c>
      <c r="H25" s="206">
        <v>4.4782448144209001E-2</v>
      </c>
      <c r="I25" s="206">
        <v>7.68075526516886E-3</v>
      </c>
      <c r="J25" s="206">
        <v>2.2888650690203201</v>
      </c>
      <c r="K25" s="206" t="s">
        <v>723</v>
      </c>
      <c r="L25" s="206" t="s">
        <v>723</v>
      </c>
      <c r="M25" s="206" t="s">
        <v>723</v>
      </c>
      <c r="N25" s="206" t="s">
        <v>723</v>
      </c>
      <c r="O25" s="206">
        <v>94.250034380933599</v>
      </c>
    </row>
    <row r="26" spans="1:15" s="205" customFormat="1" ht="12">
      <c r="A26" s="266"/>
      <c r="B26" s="265"/>
      <c r="C26" s="212" t="s">
        <v>681</v>
      </c>
      <c r="F26" s="206">
        <v>124.632401262145</v>
      </c>
      <c r="G26" s="206">
        <v>3.2213875723474698E-3</v>
      </c>
      <c r="H26" s="206">
        <v>8.0534689308686694E-2</v>
      </c>
      <c r="I26" s="206">
        <v>1.03761328679727E-2</v>
      </c>
      <c r="J26" s="206">
        <v>3.0920875946558701</v>
      </c>
      <c r="K26" s="206" t="s">
        <v>723</v>
      </c>
      <c r="L26" s="206" t="s">
        <v>723</v>
      </c>
      <c r="M26" s="206" t="s">
        <v>723</v>
      </c>
      <c r="N26" s="206" t="s">
        <v>723</v>
      </c>
      <c r="O26" s="206">
        <v>127.80502354610999</v>
      </c>
    </row>
    <row r="27" spans="1:15" s="205" customFormat="1" ht="12">
      <c r="A27" s="266"/>
      <c r="B27" s="265"/>
      <c r="C27" s="212" t="s">
        <v>682</v>
      </c>
      <c r="F27" s="206">
        <v>13475.2324673851</v>
      </c>
      <c r="G27" s="206">
        <v>0.56744339248520204</v>
      </c>
      <c r="H27" s="206">
        <v>14.186084812130099</v>
      </c>
      <c r="I27" s="206">
        <v>0.764167223629026</v>
      </c>
      <c r="J27" s="206">
        <v>227.72183264144999</v>
      </c>
      <c r="K27" s="206" t="s">
        <v>723</v>
      </c>
      <c r="L27" s="206" t="s">
        <v>723</v>
      </c>
      <c r="M27" s="206" t="s">
        <v>723</v>
      </c>
      <c r="N27" s="206" t="s">
        <v>723</v>
      </c>
      <c r="O27" s="206">
        <v>13717.1403848387</v>
      </c>
    </row>
    <row r="28" spans="1:15" s="205" customFormat="1" ht="12">
      <c r="A28" s="266"/>
      <c r="B28" s="265"/>
      <c r="C28" s="212" t="s">
        <v>683</v>
      </c>
      <c r="F28" s="206">
        <v>0.94457233812332997</v>
      </c>
      <c r="G28" s="206">
        <v>4.0073822542886702E-4</v>
      </c>
      <c r="H28" s="206">
        <v>1.00184556357217E-2</v>
      </c>
      <c r="I28" s="206">
        <v>1.7462766377378801E-5</v>
      </c>
      <c r="J28" s="206">
        <v>5.2039043804588698E-3</v>
      </c>
      <c r="K28" s="206" t="s">
        <v>723</v>
      </c>
      <c r="L28" s="206" t="s">
        <v>723</v>
      </c>
      <c r="M28" s="206" t="s">
        <v>723</v>
      </c>
      <c r="N28" s="206" t="s">
        <v>723</v>
      </c>
      <c r="O28" s="206">
        <v>0.95979469813951102</v>
      </c>
    </row>
    <row r="29" spans="1:15">
      <c r="A29" s="273"/>
      <c r="B29" s="203" t="s">
        <v>684</v>
      </c>
      <c r="C29" s="265"/>
      <c r="F29" s="202">
        <v>2260.1782829387798</v>
      </c>
      <c r="G29" s="202">
        <v>0.12785568979591799</v>
      </c>
      <c r="H29" s="202">
        <v>3.19639224489796</v>
      </c>
      <c r="I29" s="202">
        <v>0.88295554285714295</v>
      </c>
      <c r="J29" s="202">
        <v>263.12075177142901</v>
      </c>
      <c r="K29" s="202" t="s">
        <v>723</v>
      </c>
      <c r="L29" s="202" t="s">
        <v>723</v>
      </c>
      <c r="M29" s="202" t="s">
        <v>723</v>
      </c>
      <c r="N29" s="202" t="s">
        <v>723</v>
      </c>
      <c r="O29" s="202">
        <v>2526.4954269550999</v>
      </c>
    </row>
    <row r="30" spans="1:15">
      <c r="A30" s="273"/>
      <c r="B30" s="203" t="s">
        <v>685</v>
      </c>
      <c r="C30" s="265"/>
      <c r="F30" s="202">
        <v>6.7776391432244898</v>
      </c>
      <c r="G30" s="202">
        <v>6.6376302745714305E-4</v>
      </c>
      <c r="H30" s="202">
        <v>1.6594075686428601E-2</v>
      </c>
      <c r="I30" s="202">
        <v>1.89646579273469E-4</v>
      </c>
      <c r="J30" s="202">
        <v>5.65146806234939E-2</v>
      </c>
      <c r="K30" s="202" t="s">
        <v>723</v>
      </c>
      <c r="L30" s="202" t="s">
        <v>723</v>
      </c>
      <c r="M30" s="202" t="s">
        <v>723</v>
      </c>
      <c r="N30" s="202" t="s">
        <v>723</v>
      </c>
      <c r="O30" s="202">
        <v>6.8507478995344098</v>
      </c>
    </row>
    <row r="31" spans="1:15">
      <c r="A31" s="273"/>
      <c r="B31" s="203" t="s">
        <v>686</v>
      </c>
      <c r="C31" s="212"/>
      <c r="F31" s="202">
        <v>10557.1930794909</v>
      </c>
      <c r="G31" s="202">
        <v>5.9633082139648197</v>
      </c>
      <c r="H31" s="202">
        <v>149.08270534912</v>
      </c>
      <c r="I31" s="202">
        <v>0.38247117028933098</v>
      </c>
      <c r="J31" s="202">
        <v>113.976408746221</v>
      </c>
      <c r="K31" s="202" t="s">
        <v>723</v>
      </c>
      <c r="L31" s="202" t="s">
        <v>723</v>
      </c>
      <c r="M31" s="202" t="s">
        <v>723</v>
      </c>
      <c r="N31" s="202" t="s">
        <v>723</v>
      </c>
      <c r="O31" s="202">
        <v>10820.252193586301</v>
      </c>
    </row>
    <row r="32" spans="1:15" s="205" customFormat="1" ht="12">
      <c r="A32" s="266"/>
      <c r="B32" s="265"/>
      <c r="C32" s="212" t="s">
        <v>687</v>
      </c>
      <c r="F32" s="206">
        <v>2993.8246904790499</v>
      </c>
      <c r="G32" s="206">
        <v>0.121464522432956</v>
      </c>
      <c r="H32" s="206">
        <v>3.0366130608239099</v>
      </c>
      <c r="I32" s="206">
        <v>7.2590882737455995E-2</v>
      </c>
      <c r="J32" s="206">
        <v>21.6320830557619</v>
      </c>
      <c r="K32" s="206" t="s">
        <v>723</v>
      </c>
      <c r="L32" s="206" t="s">
        <v>723</v>
      </c>
      <c r="M32" s="206" t="s">
        <v>723</v>
      </c>
      <c r="N32" s="206" t="s">
        <v>723</v>
      </c>
      <c r="O32" s="206">
        <v>3018.49338659563</v>
      </c>
    </row>
    <row r="33" spans="1:15" s="205" customFormat="1" ht="12">
      <c r="A33" s="266"/>
      <c r="B33" s="265"/>
      <c r="C33" s="212" t="s">
        <v>688</v>
      </c>
      <c r="F33" s="206">
        <v>351.39785060447502</v>
      </c>
      <c r="G33" s="206">
        <v>0.55933865650805104</v>
      </c>
      <c r="H33" s="206">
        <v>13.983466412701301</v>
      </c>
      <c r="I33" s="206">
        <v>1.03310862671763E-2</v>
      </c>
      <c r="J33" s="206">
        <v>3.0786637076185301</v>
      </c>
      <c r="K33" s="206" t="s">
        <v>723</v>
      </c>
      <c r="L33" s="206" t="s">
        <v>723</v>
      </c>
      <c r="M33" s="206" t="s">
        <v>723</v>
      </c>
      <c r="N33" s="206" t="s">
        <v>723</v>
      </c>
      <c r="O33" s="206">
        <v>368.459980724795</v>
      </c>
    </row>
    <row r="34" spans="1:15" s="205" customFormat="1" ht="12">
      <c r="A34" s="266"/>
      <c r="B34" s="265"/>
      <c r="C34" s="212" t="s">
        <v>689</v>
      </c>
      <c r="F34" s="206">
        <v>3783.2210563733001</v>
      </c>
      <c r="G34" s="206">
        <v>0.31774263665372998</v>
      </c>
      <c r="H34" s="206">
        <v>7.9435659163432497</v>
      </c>
      <c r="I34" s="206">
        <v>0.21330886825749301</v>
      </c>
      <c r="J34" s="206">
        <v>63.566042740733003</v>
      </c>
      <c r="K34" s="206" t="s">
        <v>723</v>
      </c>
      <c r="L34" s="206" t="s">
        <v>723</v>
      </c>
      <c r="M34" s="206" t="s">
        <v>723</v>
      </c>
      <c r="N34" s="206" t="s">
        <v>723</v>
      </c>
      <c r="O34" s="206">
        <v>3854.7306650303699</v>
      </c>
    </row>
    <row r="35" spans="1:15" s="205" customFormat="1" ht="12">
      <c r="A35" s="266"/>
      <c r="B35" s="265"/>
      <c r="C35" s="212" t="s">
        <v>690</v>
      </c>
      <c r="F35" s="206">
        <v>112.29508698535901</v>
      </c>
      <c r="G35" s="206">
        <v>0.24428405008183399</v>
      </c>
      <c r="H35" s="206">
        <v>6.1071012520458501</v>
      </c>
      <c r="I35" s="206">
        <v>3.0006093681826298E-3</v>
      </c>
      <c r="J35" s="206">
        <v>0.89418159171842404</v>
      </c>
      <c r="K35" s="206" t="s">
        <v>723</v>
      </c>
      <c r="L35" s="206" t="s">
        <v>723</v>
      </c>
      <c r="M35" s="206" t="s">
        <v>723</v>
      </c>
      <c r="N35" s="206" t="s">
        <v>723</v>
      </c>
      <c r="O35" s="206">
        <v>119.29636982912299</v>
      </c>
    </row>
    <row r="36" spans="1:15" s="205" customFormat="1" ht="12">
      <c r="A36" s="266"/>
      <c r="B36" s="265"/>
      <c r="C36" s="212" t="s">
        <v>691</v>
      </c>
      <c r="F36" s="206">
        <v>738.12147504874099</v>
      </c>
      <c r="G36" s="206">
        <v>2.1841388982882499</v>
      </c>
      <c r="H36" s="206">
        <v>54.603472457206202</v>
      </c>
      <c r="I36" s="206">
        <v>1.6231723659022802E-2</v>
      </c>
      <c r="J36" s="206">
        <v>4.83705365038879</v>
      </c>
      <c r="K36" s="206" t="s">
        <v>723</v>
      </c>
      <c r="L36" s="206" t="s">
        <v>723</v>
      </c>
      <c r="M36" s="206" t="s">
        <v>723</v>
      </c>
      <c r="N36" s="206" t="s">
        <v>723</v>
      </c>
      <c r="O36" s="206">
        <v>797.56200115633601</v>
      </c>
    </row>
    <row r="37" spans="1:15" s="205" customFormat="1" ht="12">
      <c r="A37" s="266"/>
      <c r="B37" s="265"/>
      <c r="C37" s="212" t="s">
        <v>692</v>
      </c>
      <c r="D37" s="207"/>
      <c r="E37" s="207"/>
      <c r="F37" s="206">
        <v>2578.3329199999998</v>
      </c>
      <c r="G37" s="206">
        <v>2.5363394499999998</v>
      </c>
      <c r="H37" s="206">
        <v>63.408486250000003</v>
      </c>
      <c r="I37" s="206">
        <v>6.7007999999999998E-2</v>
      </c>
      <c r="J37" s="206">
        <v>19.968384</v>
      </c>
      <c r="K37" s="208" t="s">
        <v>723</v>
      </c>
      <c r="L37" s="208" t="s">
        <v>723</v>
      </c>
      <c r="M37" s="208" t="s">
        <v>723</v>
      </c>
      <c r="N37" s="208" t="s">
        <v>723</v>
      </c>
      <c r="O37" s="206">
        <v>2661.70979025</v>
      </c>
    </row>
    <row r="38" spans="1:15">
      <c r="A38" s="249" t="s">
        <v>693</v>
      </c>
      <c r="B38" s="248" t="s">
        <v>694</v>
      </c>
      <c r="C38" s="272"/>
      <c r="D38" s="225"/>
      <c r="E38" s="225"/>
      <c r="F38" s="218">
        <v>7477.9659122078201</v>
      </c>
      <c r="G38" s="218">
        <v>1184.12170941247</v>
      </c>
      <c r="H38" s="218">
        <v>29603.042735311599</v>
      </c>
      <c r="I38" s="218">
        <v>4.7617073392834698E-2</v>
      </c>
      <c r="J38" s="218">
        <v>14.1898878710647</v>
      </c>
      <c r="K38" s="218" t="s">
        <v>723</v>
      </c>
      <c r="L38" s="218" t="s">
        <v>723</v>
      </c>
      <c r="M38" s="218" t="s">
        <v>723</v>
      </c>
      <c r="N38" s="218" t="s">
        <v>723</v>
      </c>
      <c r="O38" s="218">
        <v>37095.198535390497</v>
      </c>
    </row>
    <row r="39" spans="1:15">
      <c r="A39" s="271"/>
      <c r="B39" s="201" t="s">
        <v>695</v>
      </c>
      <c r="C39" s="269"/>
      <c r="D39" s="225"/>
      <c r="E39" s="225"/>
      <c r="F39" s="211" t="s">
        <v>723</v>
      </c>
      <c r="G39" s="211">
        <v>10.4902964040478</v>
      </c>
      <c r="H39" s="211">
        <v>262.257410101196</v>
      </c>
      <c r="I39" s="211" t="s">
        <v>723</v>
      </c>
      <c r="J39" s="211" t="s">
        <v>723</v>
      </c>
      <c r="K39" s="211" t="s">
        <v>723</v>
      </c>
      <c r="L39" s="211" t="s">
        <v>723</v>
      </c>
      <c r="M39" s="211" t="s">
        <v>723</v>
      </c>
      <c r="N39" s="211" t="s">
        <v>723</v>
      </c>
      <c r="O39" s="211">
        <v>262.257410101196</v>
      </c>
    </row>
    <row r="40" spans="1:15">
      <c r="A40" s="271"/>
      <c r="B40" s="270" t="s">
        <v>696</v>
      </c>
      <c r="C40" s="269"/>
      <c r="D40" s="225"/>
      <c r="E40" s="225"/>
      <c r="F40" s="211">
        <v>7477.9659122078201</v>
      </c>
      <c r="G40" s="211">
        <v>1173.6314130084199</v>
      </c>
      <c r="H40" s="211">
        <v>29340.7853252104</v>
      </c>
      <c r="I40" s="211">
        <v>4.7617073392834698E-2</v>
      </c>
      <c r="J40" s="211">
        <v>14.1898878710647</v>
      </c>
      <c r="K40" s="211" t="s">
        <v>723</v>
      </c>
      <c r="L40" s="211" t="s">
        <v>723</v>
      </c>
      <c r="M40" s="211" t="s">
        <v>723</v>
      </c>
      <c r="N40" s="211" t="s">
        <v>723</v>
      </c>
      <c r="O40" s="211">
        <v>36832.941125289297</v>
      </c>
    </row>
    <row r="41" spans="1:15">
      <c r="A41" s="213" t="s">
        <v>697</v>
      </c>
      <c r="B41" s="214" t="s">
        <v>698</v>
      </c>
      <c r="C41" s="214"/>
      <c r="D41" s="215"/>
      <c r="E41" s="215"/>
      <c r="F41" s="216">
        <v>3.78E-2</v>
      </c>
      <c r="G41" s="216" t="s">
        <v>723</v>
      </c>
      <c r="H41" s="216" t="s">
        <v>723</v>
      </c>
      <c r="I41" s="216" t="s">
        <v>723</v>
      </c>
      <c r="J41" s="216" t="s">
        <v>723</v>
      </c>
      <c r="K41" s="216" t="s">
        <v>723</v>
      </c>
      <c r="L41" s="216" t="s">
        <v>723</v>
      </c>
      <c r="M41" s="216" t="s">
        <v>723</v>
      </c>
      <c r="N41" s="216" t="s">
        <v>723</v>
      </c>
      <c r="O41" s="216">
        <v>3.78E-2</v>
      </c>
    </row>
    <row r="42" spans="1:15">
      <c r="A42" s="217" t="s">
        <v>699</v>
      </c>
      <c r="B42" s="251"/>
      <c r="C42" s="250"/>
      <c r="F42" s="198">
        <v>9452.1407390163604</v>
      </c>
      <c r="G42" s="198">
        <v>1.3255075859085499</v>
      </c>
      <c r="H42" s="198">
        <v>33.137689647713898</v>
      </c>
      <c r="I42" s="198">
        <v>3.6154423165571101</v>
      </c>
      <c r="J42" s="198">
        <v>1077.40181033402</v>
      </c>
      <c r="K42" s="198">
        <v>1662.32174730305</v>
      </c>
      <c r="L42" s="198">
        <v>1.23771658966438</v>
      </c>
      <c r="M42" s="198">
        <v>3.3154113786421502</v>
      </c>
      <c r="N42" s="198" t="s">
        <v>723</v>
      </c>
      <c r="O42" s="198">
        <v>12229.5551142694</v>
      </c>
    </row>
    <row r="43" spans="1:15">
      <c r="A43" s="262" t="s">
        <v>663</v>
      </c>
      <c r="B43" s="261" t="s">
        <v>700</v>
      </c>
      <c r="C43" s="261"/>
      <c r="F43" s="199">
        <v>1215.5653286700999</v>
      </c>
      <c r="G43" s="199" t="s">
        <v>723</v>
      </c>
      <c r="H43" s="199" t="s">
        <v>723</v>
      </c>
      <c r="I43" s="199" t="s">
        <v>723</v>
      </c>
      <c r="J43" s="199" t="s">
        <v>723</v>
      </c>
      <c r="K43" s="199" t="s">
        <v>723</v>
      </c>
      <c r="L43" s="199" t="s">
        <v>723</v>
      </c>
      <c r="M43" s="199" t="s">
        <v>723</v>
      </c>
      <c r="N43" s="199" t="s">
        <v>723</v>
      </c>
      <c r="O43" s="199">
        <v>1215.5653286700999</v>
      </c>
    </row>
    <row r="44" spans="1:15" s="205" customFormat="1" ht="12">
      <c r="A44" s="266"/>
      <c r="B44" s="268"/>
      <c r="C44" s="212" t="s">
        <v>501</v>
      </c>
      <c r="F44" s="206">
        <v>939.64103783209703</v>
      </c>
      <c r="G44" s="206" t="s">
        <v>723</v>
      </c>
      <c r="H44" s="206" t="s">
        <v>723</v>
      </c>
      <c r="I44" s="206" t="s">
        <v>723</v>
      </c>
      <c r="J44" s="206" t="s">
        <v>723</v>
      </c>
      <c r="K44" s="206" t="s">
        <v>723</v>
      </c>
      <c r="L44" s="206" t="s">
        <v>723</v>
      </c>
      <c r="M44" s="206" t="s">
        <v>723</v>
      </c>
      <c r="N44" s="206" t="s">
        <v>723</v>
      </c>
      <c r="O44" s="206">
        <v>939.64103783209703</v>
      </c>
    </row>
    <row r="45" spans="1:15" s="205" customFormat="1" ht="12">
      <c r="A45" s="266"/>
      <c r="B45" s="268"/>
      <c r="C45" s="212" t="s">
        <v>183</v>
      </c>
      <c r="F45" s="206">
        <v>112.794073664386</v>
      </c>
      <c r="G45" s="206" t="s">
        <v>723</v>
      </c>
      <c r="H45" s="206" t="s">
        <v>723</v>
      </c>
      <c r="I45" s="206" t="s">
        <v>723</v>
      </c>
      <c r="J45" s="206" t="s">
        <v>723</v>
      </c>
      <c r="K45" s="206" t="s">
        <v>723</v>
      </c>
      <c r="L45" s="206" t="s">
        <v>723</v>
      </c>
      <c r="M45" s="206" t="s">
        <v>723</v>
      </c>
      <c r="N45" s="206" t="s">
        <v>723</v>
      </c>
      <c r="O45" s="206">
        <v>112.794073664386</v>
      </c>
    </row>
    <row r="46" spans="1:15" s="205" customFormat="1" ht="12">
      <c r="A46" s="266"/>
      <c r="B46" s="268"/>
      <c r="C46" s="212" t="s">
        <v>824</v>
      </c>
      <c r="F46" s="206">
        <v>163.130217173613</v>
      </c>
      <c r="G46" s="206" t="s">
        <v>723</v>
      </c>
      <c r="H46" s="206" t="s">
        <v>723</v>
      </c>
      <c r="I46" s="206" t="s">
        <v>723</v>
      </c>
      <c r="J46" s="206" t="s">
        <v>723</v>
      </c>
      <c r="K46" s="206" t="s">
        <v>723</v>
      </c>
      <c r="L46" s="206" t="s">
        <v>723</v>
      </c>
      <c r="M46" s="206" t="s">
        <v>723</v>
      </c>
      <c r="N46" s="206" t="s">
        <v>723</v>
      </c>
      <c r="O46" s="206">
        <v>163.130217173613</v>
      </c>
    </row>
    <row r="47" spans="1:15" s="267" customFormat="1">
      <c r="A47" s="262" t="s">
        <v>673</v>
      </c>
      <c r="B47" s="261" t="s">
        <v>823</v>
      </c>
      <c r="C47" s="261"/>
      <c r="F47" s="199" t="s">
        <v>723</v>
      </c>
      <c r="G47" s="199" t="s">
        <v>723</v>
      </c>
      <c r="H47" s="218" t="s">
        <v>723</v>
      </c>
      <c r="I47" s="199" t="s">
        <v>723</v>
      </c>
      <c r="J47" s="199" t="s">
        <v>723</v>
      </c>
      <c r="K47" s="199" t="s">
        <v>723</v>
      </c>
      <c r="L47" s="199" t="s">
        <v>723</v>
      </c>
      <c r="M47" s="199" t="s">
        <v>723</v>
      </c>
      <c r="N47" s="199" t="s">
        <v>723</v>
      </c>
      <c r="O47" s="199" t="s">
        <v>723</v>
      </c>
    </row>
    <row r="48" spans="1:15" s="205" customFormat="1" ht="12">
      <c r="A48" s="266"/>
      <c r="B48" s="268"/>
      <c r="C48" s="212" t="s">
        <v>702</v>
      </c>
      <c r="F48" s="206" t="s">
        <v>723</v>
      </c>
      <c r="G48" s="206" t="s">
        <v>723</v>
      </c>
      <c r="H48" s="206" t="s">
        <v>723</v>
      </c>
      <c r="I48" s="206" t="s">
        <v>723</v>
      </c>
      <c r="J48" s="206" t="s">
        <v>723</v>
      </c>
      <c r="K48" s="206" t="s">
        <v>723</v>
      </c>
      <c r="L48" s="206" t="s">
        <v>723</v>
      </c>
      <c r="M48" s="206" t="s">
        <v>723</v>
      </c>
      <c r="N48" s="206" t="s">
        <v>723</v>
      </c>
      <c r="O48" s="206" t="s">
        <v>723</v>
      </c>
    </row>
    <row r="49" spans="1:16" s="267" customFormat="1">
      <c r="A49" s="262" t="s">
        <v>693</v>
      </c>
      <c r="B49" s="261" t="s">
        <v>704</v>
      </c>
      <c r="C49" s="261"/>
      <c r="F49" s="199">
        <v>0.68724198704998796</v>
      </c>
      <c r="G49" s="199">
        <v>6.0000000000000002E-6</v>
      </c>
      <c r="H49" s="199">
        <v>1.4999999999999999E-4</v>
      </c>
      <c r="I49" s="199" t="s">
        <v>723</v>
      </c>
      <c r="J49" s="199" t="s">
        <v>723</v>
      </c>
      <c r="K49" s="199" t="s">
        <v>723</v>
      </c>
      <c r="L49" s="218" t="s">
        <v>723</v>
      </c>
      <c r="M49" s="218" t="s">
        <v>723</v>
      </c>
      <c r="N49" s="199" t="s">
        <v>723</v>
      </c>
      <c r="O49" s="199">
        <v>0.68739198704998805</v>
      </c>
    </row>
    <row r="50" spans="1:16" s="205" customFormat="1" ht="12">
      <c r="A50" s="266"/>
      <c r="B50" s="265"/>
      <c r="C50" s="265" t="s">
        <v>705</v>
      </c>
      <c r="F50" s="206">
        <v>0.68724198704998796</v>
      </c>
      <c r="G50" s="206">
        <v>6.0000000000000002E-6</v>
      </c>
      <c r="H50" s="206">
        <v>1.4999999999999999E-4</v>
      </c>
      <c r="I50" s="206" t="s">
        <v>723</v>
      </c>
      <c r="J50" s="206" t="s">
        <v>723</v>
      </c>
      <c r="K50" s="206" t="s">
        <v>723</v>
      </c>
      <c r="L50" s="219" t="s">
        <v>723</v>
      </c>
      <c r="M50" s="219" t="s">
        <v>723</v>
      </c>
      <c r="N50" s="206" t="s">
        <v>723</v>
      </c>
      <c r="O50" s="206">
        <v>0.68739198704998805</v>
      </c>
    </row>
    <row r="51" spans="1:16" s="205" customFormat="1" ht="12">
      <c r="A51" s="266"/>
      <c r="B51" s="265"/>
      <c r="C51" s="265" t="s">
        <v>244</v>
      </c>
      <c r="F51" s="206" t="s">
        <v>723</v>
      </c>
      <c r="G51" s="206" t="s">
        <v>723</v>
      </c>
      <c r="H51" s="206" t="s">
        <v>723</v>
      </c>
      <c r="I51" s="206" t="s">
        <v>723</v>
      </c>
      <c r="J51" s="206" t="s">
        <v>723</v>
      </c>
      <c r="K51" s="206" t="s">
        <v>723</v>
      </c>
      <c r="L51" s="219" t="s">
        <v>723</v>
      </c>
      <c r="M51" s="219" t="s">
        <v>723</v>
      </c>
      <c r="N51" s="206" t="s">
        <v>723</v>
      </c>
      <c r="O51" s="206" t="s">
        <v>723</v>
      </c>
    </row>
    <row r="52" spans="1:16" s="205" customFormat="1" ht="12">
      <c r="A52" s="258"/>
      <c r="B52" s="257"/>
      <c r="C52" s="257" t="s">
        <v>706</v>
      </c>
      <c r="D52" s="207"/>
      <c r="E52" s="207"/>
      <c r="F52" s="208" t="s">
        <v>723</v>
      </c>
      <c r="G52" s="208" t="s">
        <v>723</v>
      </c>
      <c r="H52" s="208" t="s">
        <v>723</v>
      </c>
      <c r="I52" s="208" t="s">
        <v>723</v>
      </c>
      <c r="J52" s="208" t="s">
        <v>723</v>
      </c>
      <c r="K52" s="208" t="s">
        <v>723</v>
      </c>
      <c r="L52" s="219" t="s">
        <v>723</v>
      </c>
      <c r="M52" s="219" t="s">
        <v>723</v>
      </c>
      <c r="N52" s="208" t="s">
        <v>723</v>
      </c>
      <c r="O52" s="208" t="s">
        <v>723</v>
      </c>
    </row>
    <row r="53" spans="1:16">
      <c r="A53" s="220" t="s">
        <v>697</v>
      </c>
      <c r="B53" s="221" t="s">
        <v>707</v>
      </c>
      <c r="C53" s="248"/>
      <c r="D53" s="225"/>
      <c r="E53" s="225"/>
      <c r="F53" s="211" t="s">
        <v>723</v>
      </c>
      <c r="G53" s="211" t="s">
        <v>723</v>
      </c>
      <c r="H53" s="211" t="s">
        <v>723</v>
      </c>
      <c r="I53" s="211" t="s">
        <v>723</v>
      </c>
      <c r="J53" s="211" t="s">
        <v>723</v>
      </c>
      <c r="K53" s="211">
        <v>1662.32174730305</v>
      </c>
      <c r="L53" s="211">
        <v>0.39979197790517601</v>
      </c>
      <c r="M53" s="211">
        <v>0.125919378642146</v>
      </c>
      <c r="N53" s="211" t="s">
        <v>723</v>
      </c>
      <c r="O53" s="211">
        <v>1662.8474586596001</v>
      </c>
    </row>
    <row r="54" spans="1:16">
      <c r="A54" s="220" t="s">
        <v>708</v>
      </c>
      <c r="B54" s="221" t="s">
        <v>709</v>
      </c>
      <c r="C54" s="248"/>
      <c r="D54" s="225"/>
      <c r="E54" s="225"/>
      <c r="F54" s="211" t="s">
        <v>817</v>
      </c>
      <c r="G54" s="211" t="s">
        <v>817</v>
      </c>
      <c r="H54" s="211" t="s">
        <v>817</v>
      </c>
      <c r="I54" s="211" t="s">
        <v>817</v>
      </c>
      <c r="J54" s="211" t="s">
        <v>817</v>
      </c>
      <c r="K54" s="211" t="s">
        <v>817</v>
      </c>
      <c r="L54" s="211" t="s">
        <v>817</v>
      </c>
      <c r="M54" s="211" t="s">
        <v>817</v>
      </c>
      <c r="N54" s="211" t="s">
        <v>817</v>
      </c>
      <c r="O54" s="211" t="s">
        <v>817</v>
      </c>
    </row>
    <row r="55" spans="1:16">
      <c r="A55" s="213" t="s">
        <v>710</v>
      </c>
      <c r="B55" s="214" t="s">
        <v>711</v>
      </c>
      <c r="C55" s="264"/>
      <c r="D55" s="253"/>
      <c r="E55" s="253"/>
      <c r="F55" s="252">
        <v>6.77586206035601</v>
      </c>
      <c r="G55" s="252" t="s">
        <v>723</v>
      </c>
      <c r="H55" s="252" t="s">
        <v>723</v>
      </c>
      <c r="I55" s="252">
        <v>9.8372002639248196E-2</v>
      </c>
      <c r="J55" s="252">
        <v>29.314856786496001</v>
      </c>
      <c r="K55" s="252" t="s">
        <v>723</v>
      </c>
      <c r="L55" s="252">
        <v>0.83792461175920596</v>
      </c>
      <c r="M55" s="252">
        <v>3.189492</v>
      </c>
      <c r="N55" s="252" t="s">
        <v>723</v>
      </c>
      <c r="O55" s="252">
        <v>40.118135458611199</v>
      </c>
    </row>
    <row r="56" spans="1:16">
      <c r="A56" s="251" t="s">
        <v>712</v>
      </c>
      <c r="B56" s="250"/>
      <c r="C56" s="250"/>
      <c r="F56" s="223">
        <v>870.781652331685</v>
      </c>
      <c r="G56" s="223">
        <v>402.33995969358898</v>
      </c>
      <c r="H56" s="223">
        <v>10058.498992339701</v>
      </c>
      <c r="I56" s="263">
        <v>24.308222932289201</v>
      </c>
      <c r="J56" s="223">
        <v>7243.8504338221801</v>
      </c>
      <c r="K56" s="198" t="s">
        <v>723</v>
      </c>
      <c r="L56" s="198" t="s">
        <v>723</v>
      </c>
      <c r="M56" s="198" t="s">
        <v>723</v>
      </c>
      <c r="N56" s="198" t="s">
        <v>723</v>
      </c>
      <c r="O56" s="198">
        <v>18173.131078493599</v>
      </c>
      <c r="P56" s="200"/>
    </row>
    <row r="57" spans="1:16">
      <c r="A57" s="262" t="s">
        <v>663</v>
      </c>
      <c r="B57" s="261" t="s">
        <v>27</v>
      </c>
      <c r="C57" s="261"/>
      <c r="F57" s="211" t="s">
        <v>723</v>
      </c>
      <c r="G57" s="211">
        <v>375.13851842370701</v>
      </c>
      <c r="H57" s="211">
        <v>9378.4629605926602</v>
      </c>
      <c r="I57" s="211" t="s">
        <v>723</v>
      </c>
      <c r="J57" s="211" t="s">
        <v>723</v>
      </c>
      <c r="K57" s="202" t="s">
        <v>723</v>
      </c>
      <c r="L57" s="202" t="s">
        <v>723</v>
      </c>
      <c r="M57" s="202" t="s">
        <v>723</v>
      </c>
      <c r="N57" s="202" t="s">
        <v>723</v>
      </c>
      <c r="O57" s="202">
        <v>9378.4629605926602</v>
      </c>
    </row>
    <row r="58" spans="1:16">
      <c r="A58" s="262" t="s">
        <v>673</v>
      </c>
      <c r="B58" s="261" t="s">
        <v>28</v>
      </c>
      <c r="C58" s="261"/>
      <c r="F58" s="211" t="s">
        <v>723</v>
      </c>
      <c r="G58" s="211">
        <v>27.16685481819</v>
      </c>
      <c r="H58" s="211">
        <v>679.17137045474999</v>
      </c>
      <c r="I58" s="211">
        <v>4.6768976893074301</v>
      </c>
      <c r="J58" s="211">
        <v>1393.7155114136101</v>
      </c>
      <c r="K58" s="202" t="s">
        <v>723</v>
      </c>
      <c r="L58" s="202" t="s">
        <v>723</v>
      </c>
      <c r="M58" s="202" t="s">
        <v>723</v>
      </c>
      <c r="N58" s="202" t="s">
        <v>723</v>
      </c>
      <c r="O58" s="202">
        <v>2072.88688186836</v>
      </c>
    </row>
    <row r="59" spans="1:16">
      <c r="A59" s="262" t="s">
        <v>693</v>
      </c>
      <c r="B59" s="261" t="s">
        <v>713</v>
      </c>
      <c r="C59" s="261"/>
      <c r="F59" s="202" t="s">
        <v>723</v>
      </c>
      <c r="G59" s="202" t="s">
        <v>723</v>
      </c>
      <c r="H59" s="202" t="s">
        <v>723</v>
      </c>
      <c r="I59" s="202">
        <v>19.630428557197099</v>
      </c>
      <c r="J59" s="202">
        <v>5849.8677100447503</v>
      </c>
      <c r="K59" s="199" t="s">
        <v>723</v>
      </c>
      <c r="L59" s="199" t="s">
        <v>723</v>
      </c>
      <c r="M59" s="199" t="s">
        <v>723</v>
      </c>
      <c r="N59" s="199" t="s">
        <v>723</v>
      </c>
      <c r="O59" s="199">
        <v>5849.8677100447503</v>
      </c>
    </row>
    <row r="60" spans="1:16" s="205" customFormat="1" ht="12">
      <c r="A60" s="260"/>
      <c r="B60" s="259"/>
      <c r="C60" s="257" t="s">
        <v>714</v>
      </c>
      <c r="F60" s="208" t="s">
        <v>723</v>
      </c>
      <c r="G60" s="208" t="s">
        <v>723</v>
      </c>
      <c r="H60" s="208" t="s">
        <v>723</v>
      </c>
      <c r="I60" s="208">
        <v>15.892977744697699</v>
      </c>
      <c r="J60" s="208">
        <v>4736.1073679199299</v>
      </c>
      <c r="K60" s="206" t="s">
        <v>723</v>
      </c>
      <c r="L60" s="206" t="s">
        <v>723</v>
      </c>
      <c r="M60" s="206" t="s">
        <v>723</v>
      </c>
      <c r="N60" s="206" t="s">
        <v>723</v>
      </c>
      <c r="O60" s="206">
        <v>4736.1073679199299</v>
      </c>
    </row>
    <row r="61" spans="1:16" s="205" customFormat="1" ht="12">
      <c r="A61" s="258"/>
      <c r="B61" s="257"/>
      <c r="C61" s="257" t="s">
        <v>715</v>
      </c>
      <c r="D61" s="207"/>
      <c r="E61" s="207"/>
      <c r="F61" s="208" t="s">
        <v>723</v>
      </c>
      <c r="G61" s="208" t="s">
        <v>723</v>
      </c>
      <c r="H61" s="208" t="s">
        <v>723</v>
      </c>
      <c r="I61" s="208">
        <v>3.7374508124994001</v>
      </c>
      <c r="J61" s="208">
        <v>1113.76034212482</v>
      </c>
      <c r="K61" s="208" t="s">
        <v>723</v>
      </c>
      <c r="L61" s="208" t="s">
        <v>723</v>
      </c>
      <c r="M61" s="208" t="s">
        <v>723</v>
      </c>
      <c r="N61" s="208" t="s">
        <v>723</v>
      </c>
      <c r="O61" s="208">
        <v>1113.76034212482</v>
      </c>
    </row>
    <row r="62" spans="1:16" s="204" customFormat="1" ht="13">
      <c r="A62" s="249" t="s">
        <v>697</v>
      </c>
      <c r="B62" s="248" t="s">
        <v>185</v>
      </c>
      <c r="C62" s="256"/>
      <c r="D62" s="210"/>
      <c r="E62" s="210"/>
      <c r="F62" s="211" t="s">
        <v>723</v>
      </c>
      <c r="G62" s="211">
        <v>3.4586451692307701E-2</v>
      </c>
      <c r="H62" s="211">
        <v>0.86466129230769195</v>
      </c>
      <c r="I62" s="211">
        <v>8.9668578461538496E-4</v>
      </c>
      <c r="J62" s="211">
        <v>0.26721236381538499</v>
      </c>
      <c r="K62" s="211" t="s">
        <v>723</v>
      </c>
      <c r="L62" s="211" t="s">
        <v>723</v>
      </c>
      <c r="M62" s="211" t="s">
        <v>723</v>
      </c>
      <c r="N62" s="211" t="s">
        <v>723</v>
      </c>
      <c r="O62" s="211">
        <v>1.13187365612308</v>
      </c>
    </row>
    <row r="63" spans="1:16">
      <c r="A63" s="255" t="s">
        <v>708</v>
      </c>
      <c r="B63" s="214" t="s">
        <v>716</v>
      </c>
      <c r="C63" s="254"/>
      <c r="D63" s="253"/>
      <c r="E63" s="253"/>
      <c r="F63" s="222">
        <v>870.781652331685</v>
      </c>
      <c r="G63" s="222" t="s">
        <v>723</v>
      </c>
      <c r="H63" s="222" t="s">
        <v>723</v>
      </c>
      <c r="I63" s="222" t="s">
        <v>723</v>
      </c>
      <c r="J63" s="222" t="s">
        <v>723</v>
      </c>
      <c r="K63" s="252" t="s">
        <v>723</v>
      </c>
      <c r="L63" s="252" t="s">
        <v>723</v>
      </c>
      <c r="M63" s="252" t="s">
        <v>723</v>
      </c>
      <c r="N63" s="252" t="s">
        <v>723</v>
      </c>
      <c r="O63" s="252">
        <v>870.781652331685</v>
      </c>
    </row>
    <row r="64" spans="1:16">
      <c r="A64" s="251" t="s">
        <v>717</v>
      </c>
      <c r="B64" s="250"/>
      <c r="C64" s="250"/>
      <c r="F64" s="198">
        <v>33.196767999999999</v>
      </c>
      <c r="G64" s="198">
        <v>70.316189483066097</v>
      </c>
      <c r="H64" s="198">
        <v>1757.90473707665</v>
      </c>
      <c r="I64" s="198">
        <v>0.38567945930568298</v>
      </c>
      <c r="J64" s="198">
        <v>114.932478873094</v>
      </c>
      <c r="K64" s="198" t="s">
        <v>723</v>
      </c>
      <c r="L64" s="198" t="s">
        <v>723</v>
      </c>
      <c r="M64" s="198" t="s">
        <v>723</v>
      </c>
      <c r="N64" s="198" t="s">
        <v>723</v>
      </c>
      <c r="O64" s="198">
        <v>1906.0339839497501</v>
      </c>
    </row>
    <row r="65" spans="1:27">
      <c r="A65" s="249" t="s">
        <v>663</v>
      </c>
      <c r="B65" s="248" t="s">
        <v>718</v>
      </c>
      <c r="C65" s="248"/>
      <c r="D65" s="225"/>
      <c r="E65" s="225"/>
      <c r="F65" s="211" t="s">
        <v>723</v>
      </c>
      <c r="G65" s="211">
        <v>67.468899377685602</v>
      </c>
      <c r="H65" s="211">
        <v>1686.7224844421401</v>
      </c>
      <c r="I65" s="211" t="s">
        <v>723</v>
      </c>
      <c r="J65" s="211" t="s">
        <v>723</v>
      </c>
      <c r="K65" s="211" t="s">
        <v>723</v>
      </c>
      <c r="L65" s="211" t="s">
        <v>723</v>
      </c>
      <c r="M65" s="211" t="s">
        <v>723</v>
      </c>
      <c r="N65" s="211" t="s">
        <v>723</v>
      </c>
      <c r="O65" s="211">
        <v>1686.7224844421401</v>
      </c>
    </row>
    <row r="66" spans="1:27">
      <c r="A66" s="249" t="s">
        <v>822</v>
      </c>
      <c r="B66" s="248" t="s">
        <v>719</v>
      </c>
      <c r="E66" s="225"/>
      <c r="F66" s="211" t="s">
        <v>723</v>
      </c>
      <c r="G66" s="211">
        <v>1.0233559999999999</v>
      </c>
      <c r="H66" s="211">
        <v>25.5839</v>
      </c>
      <c r="I66" s="211">
        <v>6.1401360000000002E-2</v>
      </c>
      <c r="J66" s="211">
        <v>18.297605279999999</v>
      </c>
      <c r="K66" s="211" t="s">
        <v>723</v>
      </c>
      <c r="L66" s="211" t="s">
        <v>723</v>
      </c>
      <c r="M66" s="211" t="s">
        <v>723</v>
      </c>
      <c r="N66" s="211" t="s">
        <v>723</v>
      </c>
      <c r="O66" s="211">
        <v>43.881505279999999</v>
      </c>
    </row>
    <row r="67" spans="1:27">
      <c r="A67" s="249" t="s">
        <v>693</v>
      </c>
      <c r="B67" s="248" t="s">
        <v>720</v>
      </c>
      <c r="C67" s="248"/>
      <c r="D67" s="225"/>
      <c r="E67" s="225"/>
      <c r="F67" s="211" t="s">
        <v>723</v>
      </c>
      <c r="G67" s="211">
        <v>1.820523634872</v>
      </c>
      <c r="H67" s="211">
        <v>45.513090871800003</v>
      </c>
      <c r="I67" s="211">
        <v>0.26098062314749099</v>
      </c>
      <c r="J67" s="211">
        <v>77.772225697952294</v>
      </c>
      <c r="K67" s="211" t="s">
        <v>723</v>
      </c>
      <c r="L67" s="211" t="s">
        <v>723</v>
      </c>
      <c r="M67" s="211" t="s">
        <v>723</v>
      </c>
      <c r="N67" s="211" t="s">
        <v>723</v>
      </c>
      <c r="O67" s="211">
        <v>123.285316569752</v>
      </c>
    </row>
    <row r="68" spans="1:27">
      <c r="A68" s="247" t="s">
        <v>697</v>
      </c>
      <c r="B68" s="246" t="s">
        <v>721</v>
      </c>
      <c r="C68" s="246"/>
      <c r="D68" s="245"/>
      <c r="E68" s="245"/>
      <c r="F68" s="222">
        <v>33.196767999999999</v>
      </c>
      <c r="G68" s="222">
        <v>3.4104705084745798E-3</v>
      </c>
      <c r="H68" s="222">
        <v>8.5261762711864503E-2</v>
      </c>
      <c r="I68" s="222">
        <v>6.3297476158192104E-2</v>
      </c>
      <c r="J68" s="222">
        <v>18.862647895141201</v>
      </c>
      <c r="K68" s="222" t="s">
        <v>723</v>
      </c>
      <c r="L68" s="222" t="s">
        <v>723</v>
      </c>
      <c r="M68" s="222" t="s">
        <v>723</v>
      </c>
      <c r="N68" s="222" t="s">
        <v>723</v>
      </c>
      <c r="O68" s="222">
        <v>52.144677657853101</v>
      </c>
    </row>
    <row r="69" spans="1:27" s="196" customFormat="1" ht="14"/>
    <row r="70" spans="1:27">
      <c r="A70" s="204" t="s">
        <v>248</v>
      </c>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row>
    <row r="71" spans="1:27" s="204" customFormat="1" ht="13">
      <c r="A71" s="209" t="s">
        <v>821</v>
      </c>
      <c r="B71" s="209"/>
    </row>
    <row r="72" spans="1:27" s="204" customFormat="1" ht="15">
      <c r="A72" s="209" t="s">
        <v>820</v>
      </c>
      <c r="B72" s="209"/>
    </row>
    <row r="73" spans="1:27" s="204" customFormat="1">
      <c r="A73" s="209" t="s">
        <v>819</v>
      </c>
      <c r="B73" s="209"/>
    </row>
    <row r="74" spans="1:27" s="204" customFormat="1" ht="13">
      <c r="A74" s="209" t="s">
        <v>722</v>
      </c>
      <c r="B74" s="209"/>
    </row>
    <row r="75" spans="1:27" s="204" customFormat="1" ht="13">
      <c r="A75" s="243" t="s">
        <v>723</v>
      </c>
      <c r="B75" s="209" t="s">
        <v>724</v>
      </c>
    </row>
    <row r="76" spans="1:27" s="204" customFormat="1" ht="13">
      <c r="A76" s="244" t="s">
        <v>818</v>
      </c>
      <c r="B76" s="209" t="s">
        <v>725</v>
      </c>
    </row>
    <row r="77" spans="1:27" s="204" customFormat="1" ht="13">
      <c r="A77" s="243" t="s">
        <v>817</v>
      </c>
      <c r="B77" s="209" t="s">
        <v>816</v>
      </c>
    </row>
    <row r="78" spans="1:27" s="204" customFormat="1" ht="13">
      <c r="A78" s="209" t="s">
        <v>815</v>
      </c>
      <c r="B78" s="209"/>
    </row>
    <row r="79" spans="1:27" s="204" customFormat="1" ht="13">
      <c r="B79" s="209"/>
    </row>
    <row r="80" spans="1:27" s="204" customFormat="1" ht="13"/>
    <row r="81" spans="1:27">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c r="AA81" s="224"/>
    </row>
    <row r="82" spans="1:27">
      <c r="A82" s="224"/>
      <c r="B82" s="224"/>
      <c r="C82" s="224"/>
      <c r="D82" s="224"/>
      <c r="E82" s="224"/>
      <c r="F82" s="224"/>
      <c r="G82" s="224"/>
      <c r="H82" s="224"/>
      <c r="I82" s="224"/>
      <c r="J82" s="224"/>
      <c r="K82" s="224"/>
      <c r="L82" s="224"/>
      <c r="M82" s="224"/>
      <c r="N82" s="224"/>
      <c r="O82" s="224"/>
      <c r="P82" s="224"/>
      <c r="Q82" s="224"/>
      <c r="R82" s="224"/>
      <c r="S82" s="224"/>
      <c r="T82" s="224"/>
      <c r="U82" s="224"/>
      <c r="V82" s="224"/>
      <c r="W82" s="224"/>
      <c r="X82" s="224"/>
      <c r="Y82" s="224"/>
      <c r="Z82" s="224"/>
      <c r="AA82" s="224"/>
    </row>
  </sheetData>
  <conditionalFormatting sqref="F7:O68">
    <cfRule type="cellIs" dxfId="0" priority="1" stopIfTrue="1" operator="greaterThanOrEqual">
      <formula>0</formula>
    </cfRule>
  </conditionalFormatting>
  <pageMargins left="0.70866141732283472" right="0.70866141732283472" top="0.74803149606299213" bottom="0.74803149606299213" header="0.31496062992125984" footer="0.31496062992125984"/>
  <pageSetup paperSize="5" scale="42"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4" tint="0.39997558519241921"/>
    <pageSetUpPr fitToPage="1"/>
  </sheetPr>
  <dimension ref="A1:AE81"/>
  <sheetViews>
    <sheetView zoomScale="80" zoomScaleNormal="80" workbookViewId="0">
      <pane xSplit="5" ySplit="7" topLeftCell="F32" activePane="bottomRight" state="frozen"/>
      <selection activeCell="A80" sqref="A80"/>
      <selection pane="topRight" activeCell="A80" sqref="A80"/>
      <selection pane="bottomLeft" activeCell="A80" sqref="A80"/>
      <selection pane="bottomRight" activeCell="B54" sqref="B54"/>
    </sheetView>
  </sheetViews>
  <sheetFormatPr baseColWidth="10" defaultColWidth="9.1640625" defaultRowHeight="16"/>
  <cols>
    <col min="1" max="1" width="4.5" style="197" customWidth="1"/>
    <col min="2" max="2" width="3.33203125" style="197" customWidth="1"/>
    <col min="3" max="3" width="52.5" style="197" customWidth="1"/>
    <col min="4" max="5" width="3.33203125" style="197" customWidth="1"/>
    <col min="6" max="15" width="16.5" style="197" customWidth="1"/>
    <col min="16" max="16384" width="9.1640625" style="197"/>
  </cols>
  <sheetData>
    <row r="1" spans="1:15" s="169" customFormat="1" ht="14">
      <c r="A1" s="280" t="s">
        <v>919</v>
      </c>
      <c r="B1" s="168"/>
      <c r="C1" s="168"/>
      <c r="D1" s="168"/>
      <c r="E1" s="168"/>
      <c r="F1" s="168"/>
      <c r="G1" s="168"/>
      <c r="H1" s="168"/>
      <c r="I1" s="168"/>
      <c r="J1" s="168"/>
      <c r="K1" s="168"/>
      <c r="L1" s="168"/>
      <c r="M1" s="168"/>
      <c r="N1" s="168"/>
      <c r="O1" s="168"/>
    </row>
    <row r="2" spans="1:15" s="169" customFormat="1" ht="14">
      <c r="B2" s="170"/>
      <c r="C2" s="170"/>
      <c r="D2" s="170"/>
      <c r="E2" s="170"/>
      <c r="F2" s="170"/>
      <c r="G2" s="170"/>
      <c r="H2" s="170"/>
      <c r="I2" s="170"/>
      <c r="J2" s="170"/>
      <c r="K2" s="170"/>
      <c r="L2" s="170"/>
      <c r="M2" s="170"/>
      <c r="N2" s="170"/>
      <c r="O2" s="170"/>
    </row>
    <row r="3" spans="1:15" s="169" customFormat="1" ht="14">
      <c r="B3" s="170"/>
      <c r="C3" s="170"/>
      <c r="D3" s="170"/>
      <c r="E3" s="170"/>
      <c r="F3" s="171" t="s">
        <v>651</v>
      </c>
      <c r="G3" s="172"/>
      <c r="H3" s="172"/>
      <c r="I3" s="172"/>
      <c r="J3" s="172"/>
      <c r="K3" s="172"/>
      <c r="L3" s="172"/>
      <c r="M3" s="172"/>
      <c r="N3" s="172"/>
      <c r="O3" s="172"/>
    </row>
    <row r="4" spans="1:15" s="169" customFormat="1" ht="15">
      <c r="A4" s="170"/>
      <c r="B4" s="170"/>
      <c r="C4" s="170"/>
      <c r="D4" s="170"/>
      <c r="E4" s="170"/>
      <c r="F4" s="173" t="s">
        <v>652</v>
      </c>
      <c r="G4" s="174" t="s">
        <v>653</v>
      </c>
      <c r="H4" s="174" t="s">
        <v>653</v>
      </c>
      <c r="I4" s="174" t="s">
        <v>654</v>
      </c>
      <c r="J4" s="174" t="s">
        <v>654</v>
      </c>
      <c r="K4" s="175" t="s">
        <v>827</v>
      </c>
      <c r="L4" s="175" t="s">
        <v>826</v>
      </c>
      <c r="M4" s="174" t="s">
        <v>655</v>
      </c>
      <c r="N4" s="176" t="s">
        <v>656</v>
      </c>
      <c r="O4" s="177" t="s">
        <v>657</v>
      </c>
    </row>
    <row r="5" spans="1:15" s="179" customFormat="1" ht="14">
      <c r="A5" s="178" t="s">
        <v>658</v>
      </c>
      <c r="B5" s="178"/>
      <c r="E5" s="180" t="s">
        <v>659</v>
      </c>
      <c r="F5" s="181"/>
      <c r="G5" s="182"/>
      <c r="H5" s="183">
        <v>25</v>
      </c>
      <c r="I5" s="184"/>
      <c r="J5" s="183">
        <v>298</v>
      </c>
      <c r="K5" s="185"/>
      <c r="L5" s="185"/>
      <c r="M5" s="186">
        <v>22800</v>
      </c>
      <c r="N5" s="186">
        <v>17200</v>
      </c>
      <c r="O5" s="187"/>
    </row>
    <row r="6" spans="1:15" s="188" customFormat="1" ht="14.25" customHeight="1">
      <c r="C6" s="189"/>
      <c r="D6" s="189"/>
      <c r="E6" s="190" t="s">
        <v>377</v>
      </c>
      <c r="F6" s="191" t="s">
        <v>660</v>
      </c>
      <c r="G6" s="191" t="s">
        <v>660</v>
      </c>
      <c r="H6" s="192" t="s">
        <v>661</v>
      </c>
      <c r="I6" s="193" t="s">
        <v>660</v>
      </c>
      <c r="J6" s="192" t="s">
        <v>661</v>
      </c>
      <c r="K6" s="192" t="s">
        <v>661</v>
      </c>
      <c r="L6" s="192" t="s">
        <v>661</v>
      </c>
      <c r="M6" s="192" t="s">
        <v>661</v>
      </c>
      <c r="N6" s="192" t="s">
        <v>661</v>
      </c>
      <c r="O6" s="192" t="s">
        <v>661</v>
      </c>
    </row>
    <row r="7" spans="1:15" s="196" customFormat="1" ht="15" thickBot="1">
      <c r="A7" s="279" t="s">
        <v>657</v>
      </c>
      <c r="B7" s="278"/>
      <c r="C7" s="277"/>
      <c r="D7" s="194"/>
      <c r="E7" s="194"/>
      <c r="F7" s="195">
        <v>218750.22542649499</v>
      </c>
      <c r="G7" s="195">
        <v>1777.35929885614</v>
      </c>
      <c r="H7" s="195">
        <v>44433.982471403498</v>
      </c>
      <c r="I7" s="195">
        <v>36.798836123926002</v>
      </c>
      <c r="J7" s="195">
        <v>10966.053164929899</v>
      </c>
      <c r="K7" s="195">
        <v>1508.3988000224799</v>
      </c>
      <c r="L7" s="195">
        <v>1.3462285732480599</v>
      </c>
      <c r="M7" s="195">
        <v>3.2365324018149599</v>
      </c>
      <c r="N7" s="195">
        <v>0</v>
      </c>
      <c r="O7" s="195">
        <v>275663.24262382602</v>
      </c>
    </row>
    <row r="8" spans="1:15" ht="17" thickTop="1">
      <c r="A8" s="251" t="s">
        <v>662</v>
      </c>
      <c r="B8" s="276"/>
      <c r="C8" s="276"/>
      <c r="F8" s="198">
        <v>209437.507513555</v>
      </c>
      <c r="G8" s="198">
        <v>1282.9668438804799</v>
      </c>
      <c r="H8" s="198">
        <v>32074.171097012098</v>
      </c>
      <c r="I8" s="198">
        <v>8.9035536848369006</v>
      </c>
      <c r="J8" s="198">
        <v>2653.25899808139</v>
      </c>
      <c r="K8" s="198">
        <v>0</v>
      </c>
      <c r="L8" s="198">
        <v>0</v>
      </c>
      <c r="M8" s="198">
        <v>0</v>
      </c>
      <c r="N8" s="198">
        <v>0</v>
      </c>
      <c r="O8" s="198">
        <v>244164.937608648</v>
      </c>
    </row>
    <row r="9" spans="1:15">
      <c r="A9" s="262" t="s">
        <v>663</v>
      </c>
      <c r="B9" s="261" t="s">
        <v>664</v>
      </c>
      <c r="C9" s="261"/>
      <c r="F9" s="199">
        <v>159208.64480781401</v>
      </c>
      <c r="G9" s="199">
        <v>67.565081218375695</v>
      </c>
      <c r="H9" s="199">
        <v>1689.12703045939</v>
      </c>
      <c r="I9" s="199">
        <v>3.2853797754077099</v>
      </c>
      <c r="J9" s="199">
        <v>979.04317307149597</v>
      </c>
      <c r="K9" s="199">
        <v>0</v>
      </c>
      <c r="L9" s="199">
        <v>0</v>
      </c>
      <c r="M9" s="199">
        <v>0</v>
      </c>
      <c r="N9" s="199">
        <v>0</v>
      </c>
      <c r="O9" s="199">
        <v>161876.815011345</v>
      </c>
    </row>
    <row r="10" spans="1:15">
      <c r="A10" s="273"/>
      <c r="B10" s="201" t="s">
        <v>665</v>
      </c>
      <c r="C10" s="265"/>
      <c r="F10" s="202">
        <v>49026.868473948001</v>
      </c>
      <c r="G10" s="202">
        <v>2.4861458838400301</v>
      </c>
      <c r="H10" s="202">
        <v>62.153647096000697</v>
      </c>
      <c r="I10" s="202">
        <v>0.95129976682027695</v>
      </c>
      <c r="J10" s="202">
        <v>283.48733051244301</v>
      </c>
      <c r="K10" s="202">
        <v>0</v>
      </c>
      <c r="L10" s="202">
        <v>0</v>
      </c>
      <c r="M10" s="202">
        <v>0</v>
      </c>
      <c r="N10" s="202">
        <v>0</v>
      </c>
      <c r="O10" s="202">
        <v>49372.509451556398</v>
      </c>
    </row>
    <row r="11" spans="1:15">
      <c r="A11" s="273"/>
      <c r="B11" s="203" t="s">
        <v>666</v>
      </c>
      <c r="C11" s="265"/>
      <c r="F11" s="202">
        <v>4436.00264379706</v>
      </c>
      <c r="G11" s="202">
        <v>7.83778536318957E-2</v>
      </c>
      <c r="H11" s="202">
        <v>1.9594463407973901</v>
      </c>
      <c r="I11" s="202">
        <v>1.9545191384389E-2</v>
      </c>
      <c r="J11" s="202">
        <v>5.8244670325479104</v>
      </c>
      <c r="K11" s="202">
        <v>0</v>
      </c>
      <c r="L11" s="202">
        <v>0</v>
      </c>
      <c r="M11" s="202">
        <v>0</v>
      </c>
      <c r="N11" s="202">
        <v>0</v>
      </c>
      <c r="O11" s="202">
        <v>4443.7865571704097</v>
      </c>
    </row>
    <row r="12" spans="1:15">
      <c r="A12" s="273"/>
      <c r="B12" s="203" t="s">
        <v>667</v>
      </c>
      <c r="C12" s="275"/>
      <c r="F12" s="202">
        <v>78398.899886217696</v>
      </c>
      <c r="G12" s="202">
        <v>58.515261123246603</v>
      </c>
      <c r="H12" s="202">
        <v>1462.88152808117</v>
      </c>
      <c r="I12" s="202">
        <v>1.5267360315492899</v>
      </c>
      <c r="J12" s="202">
        <v>454.96733740168798</v>
      </c>
      <c r="K12" s="202">
        <v>0</v>
      </c>
      <c r="L12" s="202">
        <v>0</v>
      </c>
      <c r="M12" s="202">
        <v>0</v>
      </c>
      <c r="N12" s="202">
        <v>0</v>
      </c>
      <c r="O12" s="202">
        <v>80316.748751700594</v>
      </c>
    </row>
    <row r="13" spans="1:15">
      <c r="A13" s="273"/>
      <c r="B13" s="203" t="s">
        <v>668</v>
      </c>
      <c r="C13" s="265"/>
      <c r="F13" s="202">
        <v>11157.6793903788</v>
      </c>
      <c r="G13" s="202">
        <v>0.45724895841255397</v>
      </c>
      <c r="H13" s="202">
        <v>11.431223960313901</v>
      </c>
      <c r="I13" s="202">
        <v>0.37928601543020002</v>
      </c>
      <c r="J13" s="202">
        <v>113.0272325982</v>
      </c>
      <c r="K13" s="202">
        <v>0</v>
      </c>
      <c r="L13" s="202">
        <v>0</v>
      </c>
      <c r="M13" s="202">
        <v>0</v>
      </c>
      <c r="N13" s="202">
        <v>0</v>
      </c>
      <c r="O13" s="202">
        <v>11282.137846937299</v>
      </c>
    </row>
    <row r="14" spans="1:15">
      <c r="A14" s="273"/>
      <c r="B14" s="203" t="s">
        <v>670</v>
      </c>
      <c r="C14" s="274"/>
      <c r="F14" s="202">
        <v>295.24597</v>
      </c>
      <c r="G14" s="202">
        <v>5.3257000000000001E-3</v>
      </c>
      <c r="H14" s="202">
        <v>0.1331425</v>
      </c>
      <c r="I14" s="202">
        <v>1.0308700000000001E-2</v>
      </c>
      <c r="J14" s="202">
        <v>3.0719926000000002</v>
      </c>
      <c r="K14" s="202">
        <v>0</v>
      </c>
      <c r="L14" s="202">
        <v>0</v>
      </c>
      <c r="M14" s="202">
        <v>0</v>
      </c>
      <c r="N14" s="202">
        <v>0</v>
      </c>
      <c r="O14" s="202">
        <v>298.45110510000001</v>
      </c>
    </row>
    <row r="15" spans="1:15">
      <c r="A15" s="273"/>
      <c r="B15" s="203" t="s">
        <v>671</v>
      </c>
      <c r="C15" s="203"/>
      <c r="F15" s="202">
        <v>6742.7474434728401</v>
      </c>
      <c r="G15" s="202">
        <v>0.127640874017452</v>
      </c>
      <c r="H15" s="202">
        <v>3.1910218504363002</v>
      </c>
      <c r="I15" s="202">
        <v>0.152573144689056</v>
      </c>
      <c r="J15" s="202">
        <v>45.4667971173388</v>
      </c>
      <c r="K15" s="202">
        <v>0</v>
      </c>
      <c r="L15" s="202">
        <v>0</v>
      </c>
      <c r="M15" s="202">
        <v>0</v>
      </c>
      <c r="N15" s="202">
        <v>0</v>
      </c>
      <c r="O15" s="202">
        <v>6791.4052624406104</v>
      </c>
    </row>
    <row r="16" spans="1:15">
      <c r="A16" s="273"/>
      <c r="B16" s="203" t="s">
        <v>175</v>
      </c>
      <c r="C16" s="203"/>
      <c r="F16" s="202">
        <v>8939.7670999999991</v>
      </c>
      <c r="G16" s="202">
        <v>5.8911078252270901</v>
      </c>
      <c r="H16" s="202">
        <v>147.27769563067699</v>
      </c>
      <c r="I16" s="202">
        <v>0.24071732553449399</v>
      </c>
      <c r="J16" s="202">
        <v>71.733763009279301</v>
      </c>
      <c r="K16" s="202">
        <v>0</v>
      </c>
      <c r="L16" s="202">
        <v>0</v>
      </c>
      <c r="M16" s="202">
        <v>0</v>
      </c>
      <c r="N16" s="202">
        <v>0</v>
      </c>
      <c r="O16" s="202">
        <v>9158.7785586399605</v>
      </c>
    </row>
    <row r="17" spans="1:15">
      <c r="A17" s="273"/>
      <c r="B17" s="203" t="s">
        <v>672</v>
      </c>
      <c r="C17" s="203"/>
      <c r="F17" s="202">
        <v>211.43389999999999</v>
      </c>
      <c r="G17" s="202">
        <v>3.973E-3</v>
      </c>
      <c r="H17" s="202">
        <v>9.9324999999999997E-2</v>
      </c>
      <c r="I17" s="202">
        <v>4.9135999999999997E-3</v>
      </c>
      <c r="J17" s="202">
        <v>1.4642527999999999</v>
      </c>
      <c r="K17" s="202">
        <v>0</v>
      </c>
      <c r="L17" s="202">
        <v>0</v>
      </c>
      <c r="M17" s="202">
        <v>0</v>
      </c>
      <c r="N17" s="202">
        <v>0</v>
      </c>
      <c r="O17" s="202">
        <v>212.99747780000001</v>
      </c>
    </row>
    <row r="18" spans="1:15">
      <c r="A18" s="262" t="s">
        <v>673</v>
      </c>
      <c r="B18" s="261" t="s">
        <v>825</v>
      </c>
      <c r="C18" s="261"/>
      <c r="F18" s="199">
        <v>42773.051653557297</v>
      </c>
      <c r="G18" s="199">
        <v>5.7612081829300799</v>
      </c>
      <c r="H18" s="199">
        <v>144.03020457325201</v>
      </c>
      <c r="I18" s="199">
        <v>5.5668184592117598</v>
      </c>
      <c r="J18" s="199">
        <v>1658.91190084511</v>
      </c>
      <c r="K18" s="199">
        <v>0</v>
      </c>
      <c r="L18" s="199">
        <v>0</v>
      </c>
      <c r="M18" s="199">
        <v>0</v>
      </c>
      <c r="N18" s="199">
        <v>0</v>
      </c>
      <c r="O18" s="199">
        <v>44575.993758975703</v>
      </c>
    </row>
    <row r="19" spans="1:15">
      <c r="A19" s="273"/>
      <c r="B19" s="203" t="s">
        <v>674</v>
      </c>
      <c r="C19" s="265"/>
      <c r="F19" s="202">
        <v>1492.2296000185299</v>
      </c>
      <c r="G19" s="202">
        <v>5.1234653298286602E-2</v>
      </c>
      <c r="H19" s="202">
        <v>1.2808663324571601</v>
      </c>
      <c r="I19" s="202">
        <v>4.26504337358787E-2</v>
      </c>
      <c r="J19" s="202">
        <v>12.709829253291799</v>
      </c>
      <c r="K19" s="202">
        <v>0</v>
      </c>
      <c r="L19" s="202">
        <v>0</v>
      </c>
      <c r="M19" s="202">
        <v>0</v>
      </c>
      <c r="N19" s="202">
        <v>0</v>
      </c>
      <c r="O19" s="202">
        <v>1506.22029560428</v>
      </c>
    </row>
    <row r="20" spans="1:15">
      <c r="A20" s="273"/>
      <c r="B20" s="203" t="s">
        <v>675</v>
      </c>
      <c r="C20" s="265"/>
      <c r="F20" s="202">
        <v>28217.432637002701</v>
      </c>
      <c r="G20" s="202">
        <v>1.6983631459342501</v>
      </c>
      <c r="H20" s="202">
        <v>42.459078648356297</v>
      </c>
      <c r="I20" s="202">
        <v>1.5349849946702501</v>
      </c>
      <c r="J20" s="202">
        <v>457.42552841173602</v>
      </c>
      <c r="K20" s="202">
        <v>0</v>
      </c>
      <c r="L20" s="202">
        <v>0</v>
      </c>
      <c r="M20" s="202">
        <v>0</v>
      </c>
      <c r="N20" s="202">
        <v>0</v>
      </c>
      <c r="O20" s="202">
        <v>28717.3172440628</v>
      </c>
    </row>
    <row r="21" spans="1:15" s="205" customFormat="1" ht="12">
      <c r="A21" s="266"/>
      <c r="B21" s="265"/>
      <c r="C21" s="212" t="s">
        <v>676</v>
      </c>
      <c r="F21" s="206">
        <v>3402.8718650876899</v>
      </c>
      <c r="G21" s="206">
        <v>0.32944535756846399</v>
      </c>
      <c r="H21" s="206">
        <v>8.2361339392115998</v>
      </c>
      <c r="I21" s="206">
        <v>0.14677363868999499</v>
      </c>
      <c r="J21" s="206">
        <v>43.738544329618598</v>
      </c>
      <c r="K21" s="206">
        <v>0</v>
      </c>
      <c r="L21" s="206">
        <v>0</v>
      </c>
      <c r="M21" s="206">
        <v>0</v>
      </c>
      <c r="N21" s="206">
        <v>0</v>
      </c>
      <c r="O21" s="206">
        <v>3454.8465433565202</v>
      </c>
    </row>
    <row r="22" spans="1:15" s="205" customFormat="1" ht="12">
      <c r="A22" s="266"/>
      <c r="B22" s="265"/>
      <c r="C22" s="212" t="s">
        <v>677</v>
      </c>
      <c r="F22" s="206">
        <v>6866.0019766739997</v>
      </c>
      <c r="G22" s="206">
        <v>0.62940704279904602</v>
      </c>
      <c r="H22" s="206">
        <v>15.7351760699762</v>
      </c>
      <c r="I22" s="206">
        <v>0.25911023339727801</v>
      </c>
      <c r="J22" s="206">
        <v>77.214849552388799</v>
      </c>
      <c r="K22" s="206">
        <v>0</v>
      </c>
      <c r="L22" s="206">
        <v>0</v>
      </c>
      <c r="M22" s="206">
        <v>0</v>
      </c>
      <c r="N22" s="206">
        <v>0</v>
      </c>
      <c r="O22" s="206">
        <v>6958.9520022963698</v>
      </c>
    </row>
    <row r="23" spans="1:15" s="205" customFormat="1" ht="12">
      <c r="A23" s="266"/>
      <c r="B23" s="265"/>
      <c r="C23" s="212" t="s">
        <v>678</v>
      </c>
      <c r="F23" s="206">
        <v>3648.9231546891201</v>
      </c>
      <c r="G23" s="206">
        <v>0.12772344672723601</v>
      </c>
      <c r="H23" s="206">
        <v>3.1930861681808902</v>
      </c>
      <c r="I23" s="206">
        <v>0.31769160406945202</v>
      </c>
      <c r="J23" s="206">
        <v>94.672098012696594</v>
      </c>
      <c r="K23" s="206">
        <v>0</v>
      </c>
      <c r="L23" s="206">
        <v>0</v>
      </c>
      <c r="M23" s="206">
        <v>0</v>
      </c>
      <c r="N23" s="206">
        <v>0</v>
      </c>
      <c r="O23" s="206">
        <v>3746.7883388699902</v>
      </c>
    </row>
    <row r="24" spans="1:15" s="205" customFormat="1" ht="12">
      <c r="A24" s="266"/>
      <c r="B24" s="265"/>
      <c r="C24" s="212" t="s">
        <v>679</v>
      </c>
      <c r="F24" s="206">
        <v>43.766735305915297</v>
      </c>
      <c r="G24" s="206">
        <v>1.6762325517896901E-2</v>
      </c>
      <c r="H24" s="206">
        <v>0.41905813794742303</v>
      </c>
      <c r="I24" s="206">
        <v>8.2139538032927496E-4</v>
      </c>
      <c r="J24" s="206">
        <v>0.244775823338124</v>
      </c>
      <c r="K24" s="206">
        <v>0</v>
      </c>
      <c r="L24" s="206">
        <v>0</v>
      </c>
      <c r="M24" s="206">
        <v>0</v>
      </c>
      <c r="N24" s="206">
        <v>0</v>
      </c>
      <c r="O24" s="206">
        <v>44.430569267200802</v>
      </c>
    </row>
    <row r="25" spans="1:15" s="205" customFormat="1" ht="12">
      <c r="A25" s="266"/>
      <c r="B25" s="265"/>
      <c r="C25" s="212" t="s">
        <v>680</v>
      </c>
      <c r="F25" s="206">
        <v>101.968914197411</v>
      </c>
      <c r="G25" s="206">
        <v>1.9805610019324798E-3</v>
      </c>
      <c r="H25" s="206">
        <v>4.9514025048312003E-2</v>
      </c>
      <c r="I25" s="206">
        <v>8.3966309689199707E-3</v>
      </c>
      <c r="J25" s="206">
        <v>2.5021960287381502</v>
      </c>
      <c r="K25" s="206">
        <v>0</v>
      </c>
      <c r="L25" s="206">
        <v>0</v>
      </c>
      <c r="M25" s="206">
        <v>0</v>
      </c>
      <c r="N25" s="206">
        <v>0</v>
      </c>
      <c r="O25" s="206">
        <v>104.520624251198</v>
      </c>
    </row>
    <row r="26" spans="1:15" s="205" customFormat="1" ht="12">
      <c r="A26" s="266"/>
      <c r="B26" s="265"/>
      <c r="C26" s="212" t="s">
        <v>681</v>
      </c>
      <c r="F26" s="206">
        <v>90.962758858981104</v>
      </c>
      <c r="G26" s="206">
        <v>2.3432638363300598E-3</v>
      </c>
      <c r="H26" s="206">
        <v>5.8581595908251398E-2</v>
      </c>
      <c r="I26" s="206">
        <v>7.4665545387523199E-3</v>
      </c>
      <c r="J26" s="206">
        <v>2.2250332525481902</v>
      </c>
      <c r="K26" s="206">
        <v>0</v>
      </c>
      <c r="L26" s="206">
        <v>0</v>
      </c>
      <c r="M26" s="206">
        <v>0</v>
      </c>
      <c r="N26" s="206">
        <v>0</v>
      </c>
      <c r="O26" s="206">
        <v>93.246373707437598</v>
      </c>
    </row>
    <row r="27" spans="1:15" s="205" customFormat="1" ht="12">
      <c r="A27" s="266"/>
      <c r="B27" s="265"/>
      <c r="C27" s="212" t="s">
        <v>682</v>
      </c>
      <c r="F27" s="206">
        <v>14060.2001862988</v>
      </c>
      <c r="G27" s="206">
        <v>0.58953899199591497</v>
      </c>
      <c r="H27" s="206">
        <v>14.738474799897901</v>
      </c>
      <c r="I27" s="206">
        <v>0.79467434761310296</v>
      </c>
      <c r="J27" s="206">
        <v>236.81295558870499</v>
      </c>
      <c r="K27" s="206">
        <v>0</v>
      </c>
      <c r="L27" s="206">
        <v>0</v>
      </c>
      <c r="M27" s="206">
        <v>0</v>
      </c>
      <c r="N27" s="206">
        <v>0</v>
      </c>
      <c r="O27" s="206">
        <v>14311.751616687399</v>
      </c>
    </row>
    <row r="28" spans="1:15" s="205" customFormat="1" ht="12">
      <c r="A28" s="266"/>
      <c r="B28" s="265"/>
      <c r="C28" s="212" t="s">
        <v>683</v>
      </c>
      <c r="F28" s="206">
        <v>2.7370458907801001</v>
      </c>
      <c r="G28" s="206">
        <v>1.16215648743092E-3</v>
      </c>
      <c r="H28" s="206">
        <v>2.9053912185772999E-2</v>
      </c>
      <c r="I28" s="206">
        <v>5.0590012424381397E-5</v>
      </c>
      <c r="J28" s="206">
        <v>1.5075823702465701E-2</v>
      </c>
      <c r="K28" s="206">
        <v>0</v>
      </c>
      <c r="L28" s="206">
        <v>0</v>
      </c>
      <c r="M28" s="206">
        <v>0</v>
      </c>
      <c r="N28" s="206">
        <v>0</v>
      </c>
      <c r="O28" s="206">
        <v>2.7811756266683401</v>
      </c>
    </row>
    <row r="29" spans="1:15">
      <c r="A29" s="273"/>
      <c r="B29" s="203" t="s">
        <v>684</v>
      </c>
      <c r="C29" s="265"/>
      <c r="F29" s="202" t="s">
        <v>817</v>
      </c>
      <c r="G29" s="202" t="s">
        <v>817</v>
      </c>
      <c r="H29" s="202" t="s">
        <v>817</v>
      </c>
      <c r="I29" s="202" t="s">
        <v>817</v>
      </c>
      <c r="J29" s="202" t="s">
        <v>817</v>
      </c>
      <c r="K29" s="202" t="s">
        <v>817</v>
      </c>
      <c r="L29" s="202" t="s">
        <v>817</v>
      </c>
      <c r="M29" s="202" t="s">
        <v>817</v>
      </c>
      <c r="N29" s="202" t="s">
        <v>817</v>
      </c>
      <c r="O29" s="202" t="s">
        <v>817</v>
      </c>
    </row>
    <row r="30" spans="1:15">
      <c r="A30" s="273"/>
      <c r="B30" s="203" t="s">
        <v>685</v>
      </c>
      <c r="C30" s="265"/>
      <c r="F30" s="202" t="s">
        <v>817</v>
      </c>
      <c r="G30" s="202" t="s">
        <v>817</v>
      </c>
      <c r="H30" s="202" t="s">
        <v>817</v>
      </c>
      <c r="I30" s="202" t="s">
        <v>817</v>
      </c>
      <c r="J30" s="202" t="s">
        <v>817</v>
      </c>
      <c r="K30" s="202" t="s">
        <v>817</v>
      </c>
      <c r="L30" s="202" t="s">
        <v>817</v>
      </c>
      <c r="M30" s="202" t="s">
        <v>817</v>
      </c>
      <c r="N30" s="202" t="s">
        <v>817</v>
      </c>
      <c r="O30" s="202" t="s">
        <v>817</v>
      </c>
    </row>
    <row r="31" spans="1:15">
      <c r="A31" s="273"/>
      <c r="B31" s="203" t="s">
        <v>686</v>
      </c>
      <c r="C31" s="212"/>
      <c r="F31" s="202">
        <v>10447.010187117299</v>
      </c>
      <c r="G31" s="202">
        <v>3.8621376084166701</v>
      </c>
      <c r="H31" s="202">
        <v>96.553440210416795</v>
      </c>
      <c r="I31" s="202">
        <v>2.9587117787037802</v>
      </c>
      <c r="J31" s="202">
        <v>881.69611005372599</v>
      </c>
      <c r="K31" s="202">
        <v>0</v>
      </c>
      <c r="L31" s="202">
        <v>0</v>
      </c>
      <c r="M31" s="202">
        <v>0</v>
      </c>
      <c r="N31" s="202">
        <v>0</v>
      </c>
      <c r="O31" s="202">
        <v>11425.259737381401</v>
      </c>
    </row>
    <row r="32" spans="1:15" s="205" customFormat="1" ht="12">
      <c r="A32" s="266"/>
      <c r="B32" s="265"/>
      <c r="C32" s="212" t="s">
        <v>687</v>
      </c>
      <c r="F32" s="206">
        <v>3169.0562209439199</v>
      </c>
      <c r="G32" s="206">
        <v>0.19735041805013101</v>
      </c>
      <c r="H32" s="206">
        <v>4.9337604512532698</v>
      </c>
      <c r="I32" s="206">
        <v>1.24494783362248</v>
      </c>
      <c r="J32" s="206">
        <v>370.99445441950002</v>
      </c>
      <c r="K32" s="206">
        <v>0</v>
      </c>
      <c r="L32" s="206">
        <v>0</v>
      </c>
      <c r="M32" s="206">
        <v>0</v>
      </c>
      <c r="N32" s="206">
        <v>0</v>
      </c>
      <c r="O32" s="206">
        <v>3544.9844358146702</v>
      </c>
    </row>
    <row r="33" spans="1:15" s="205" customFormat="1" ht="12">
      <c r="A33" s="266"/>
      <c r="B33" s="265"/>
      <c r="C33" s="212" t="s">
        <v>688</v>
      </c>
      <c r="F33" s="206">
        <v>387.50647038757302</v>
      </c>
      <c r="G33" s="206">
        <v>0.48247753801531301</v>
      </c>
      <c r="H33" s="206">
        <v>12.061938450382801</v>
      </c>
      <c r="I33" s="206">
        <v>6.3771263728305397E-2</v>
      </c>
      <c r="J33" s="206">
        <v>19.003836591035</v>
      </c>
      <c r="K33" s="206">
        <v>0</v>
      </c>
      <c r="L33" s="206">
        <v>0</v>
      </c>
      <c r="M33" s="206">
        <v>0</v>
      </c>
      <c r="N33" s="206">
        <v>0</v>
      </c>
      <c r="O33" s="206">
        <v>418.57224542899098</v>
      </c>
    </row>
    <row r="34" spans="1:15" s="205" customFormat="1" ht="12">
      <c r="A34" s="266"/>
      <c r="B34" s="265"/>
      <c r="C34" s="212" t="s">
        <v>689</v>
      </c>
      <c r="F34" s="206">
        <v>4020.78263390149</v>
      </c>
      <c r="G34" s="206">
        <v>0.32908916257244297</v>
      </c>
      <c r="H34" s="206">
        <v>8.2272290643110892</v>
      </c>
      <c r="I34" s="206">
        <v>1.54239386615899</v>
      </c>
      <c r="J34" s="206">
        <v>459.63337211537998</v>
      </c>
      <c r="K34" s="206">
        <v>0</v>
      </c>
      <c r="L34" s="206">
        <v>0</v>
      </c>
      <c r="M34" s="206">
        <v>0</v>
      </c>
      <c r="N34" s="206">
        <v>0</v>
      </c>
      <c r="O34" s="206">
        <v>4488.6432350811801</v>
      </c>
    </row>
    <row r="35" spans="1:15" s="205" customFormat="1" ht="12">
      <c r="A35" s="266"/>
      <c r="B35" s="265"/>
      <c r="C35" s="212" t="s">
        <v>690</v>
      </c>
      <c r="F35" s="206">
        <v>119.89195013849201</v>
      </c>
      <c r="G35" s="206">
        <v>0.12129077698120901</v>
      </c>
      <c r="H35" s="206">
        <v>3.0322694245302202</v>
      </c>
      <c r="I35" s="206">
        <v>1.08607087648063E-2</v>
      </c>
      <c r="J35" s="206">
        <v>3.23649121191227</v>
      </c>
      <c r="K35" s="206">
        <v>0</v>
      </c>
      <c r="L35" s="206">
        <v>0</v>
      </c>
      <c r="M35" s="206">
        <v>0</v>
      </c>
      <c r="N35" s="206">
        <v>0</v>
      </c>
      <c r="O35" s="206">
        <v>126.160710774934</v>
      </c>
    </row>
    <row r="36" spans="1:15" s="205" customFormat="1" ht="12">
      <c r="A36" s="266"/>
      <c r="B36" s="265"/>
      <c r="C36" s="212" t="s">
        <v>691</v>
      </c>
      <c r="F36" s="206">
        <v>459.08551174578201</v>
      </c>
      <c r="G36" s="206">
        <v>0.479243637797577</v>
      </c>
      <c r="H36" s="206">
        <v>11.9810909449394</v>
      </c>
      <c r="I36" s="206">
        <v>3.7005106429191997E-2</v>
      </c>
      <c r="J36" s="206">
        <v>11.0275217158992</v>
      </c>
      <c r="K36" s="206">
        <v>0</v>
      </c>
      <c r="L36" s="206">
        <v>0</v>
      </c>
      <c r="M36" s="206">
        <v>0</v>
      </c>
      <c r="N36" s="206">
        <v>0</v>
      </c>
      <c r="O36" s="206">
        <v>482.09412440662101</v>
      </c>
    </row>
    <row r="37" spans="1:15" s="205" customFormat="1" ht="12">
      <c r="A37" s="266"/>
      <c r="B37" s="265"/>
      <c r="C37" s="212" t="s">
        <v>692</v>
      </c>
      <c r="D37" s="207"/>
      <c r="E37" s="207"/>
      <c r="F37" s="206">
        <v>2290.6873999999998</v>
      </c>
      <c r="G37" s="206">
        <v>2.2526860750000002</v>
      </c>
      <c r="H37" s="206">
        <v>56.317151875</v>
      </c>
      <c r="I37" s="206">
        <v>5.9733000000000001E-2</v>
      </c>
      <c r="J37" s="206">
        <v>17.800433999999999</v>
      </c>
      <c r="K37" s="208">
        <v>0</v>
      </c>
      <c r="L37" s="208">
        <v>0</v>
      </c>
      <c r="M37" s="208">
        <v>0</v>
      </c>
      <c r="N37" s="208">
        <v>0</v>
      </c>
      <c r="O37" s="206">
        <v>2364.8049858750001</v>
      </c>
    </row>
    <row r="38" spans="1:15">
      <c r="A38" s="249" t="s">
        <v>693</v>
      </c>
      <c r="B38" s="248" t="s">
        <v>694</v>
      </c>
      <c r="C38" s="272"/>
      <c r="D38" s="225"/>
      <c r="E38" s="225"/>
      <c r="F38" s="218">
        <v>7455.8110521831704</v>
      </c>
      <c r="G38" s="218">
        <v>1209.6405544791801</v>
      </c>
      <c r="H38" s="218">
        <v>30241.0138619795</v>
      </c>
      <c r="I38" s="218">
        <v>5.1355450217425498E-2</v>
      </c>
      <c r="J38" s="218">
        <v>15.3039241647928</v>
      </c>
      <c r="K38" s="218">
        <v>0</v>
      </c>
      <c r="L38" s="218">
        <v>0</v>
      </c>
      <c r="M38" s="218">
        <v>0</v>
      </c>
      <c r="N38" s="218">
        <v>0</v>
      </c>
      <c r="O38" s="218">
        <v>37712.128838327502</v>
      </c>
    </row>
    <row r="39" spans="1:15">
      <c r="A39" s="271"/>
      <c r="B39" s="201" t="s">
        <v>695</v>
      </c>
      <c r="C39" s="269"/>
      <c r="D39" s="225"/>
      <c r="E39" s="225"/>
      <c r="F39" s="211">
        <v>0</v>
      </c>
      <c r="G39" s="211">
        <v>9.9111668123650194</v>
      </c>
      <c r="H39" s="211">
        <v>247.77917030912599</v>
      </c>
      <c r="I39" s="211">
        <v>0</v>
      </c>
      <c r="J39" s="211">
        <v>0</v>
      </c>
      <c r="K39" s="211">
        <v>0</v>
      </c>
      <c r="L39" s="211">
        <v>0</v>
      </c>
      <c r="M39" s="211">
        <v>0</v>
      </c>
      <c r="N39" s="211">
        <v>0</v>
      </c>
      <c r="O39" s="211">
        <v>247.77917030912599</v>
      </c>
    </row>
    <row r="40" spans="1:15">
      <c r="A40" s="271"/>
      <c r="B40" s="270" t="s">
        <v>696</v>
      </c>
      <c r="C40" s="269"/>
      <c r="D40" s="225"/>
      <c r="E40" s="225"/>
      <c r="F40" s="211">
        <v>7455.8110521831704</v>
      </c>
      <c r="G40" s="211">
        <v>1199.72938766681</v>
      </c>
      <c r="H40" s="211">
        <v>29993.234691670401</v>
      </c>
      <c r="I40" s="211">
        <v>5.1355450217425498E-2</v>
      </c>
      <c r="J40" s="211">
        <v>15.3039241647928</v>
      </c>
      <c r="K40" s="211">
        <v>0</v>
      </c>
      <c r="L40" s="211">
        <v>0</v>
      </c>
      <c r="M40" s="211">
        <v>0</v>
      </c>
      <c r="N40" s="211">
        <v>0</v>
      </c>
      <c r="O40" s="211">
        <v>37464.349668018302</v>
      </c>
    </row>
    <row r="41" spans="1:15">
      <c r="A41" s="213" t="s">
        <v>697</v>
      </c>
      <c r="B41" s="214" t="s">
        <v>698</v>
      </c>
      <c r="C41" s="214"/>
      <c r="D41" s="215"/>
      <c r="E41" s="215"/>
      <c r="F41" s="216">
        <v>0</v>
      </c>
      <c r="G41" s="216">
        <v>0</v>
      </c>
      <c r="H41" s="216">
        <v>0</v>
      </c>
      <c r="I41" s="216">
        <v>0</v>
      </c>
      <c r="J41" s="216">
        <v>0</v>
      </c>
      <c r="K41" s="216">
        <v>0</v>
      </c>
      <c r="L41" s="216">
        <v>0</v>
      </c>
      <c r="M41" s="216">
        <v>0</v>
      </c>
      <c r="N41" s="216">
        <v>0</v>
      </c>
      <c r="O41" s="216">
        <v>0</v>
      </c>
    </row>
    <row r="42" spans="1:15">
      <c r="A42" s="217" t="s">
        <v>699</v>
      </c>
      <c r="B42" s="251"/>
      <c r="C42" s="250"/>
      <c r="F42" s="198">
        <v>8493.9016069401696</v>
      </c>
      <c r="G42" s="198">
        <v>1.58180197573578</v>
      </c>
      <c r="H42" s="198">
        <v>39.545049393394599</v>
      </c>
      <c r="I42" s="198">
        <v>3.28186486542472</v>
      </c>
      <c r="J42" s="198">
        <v>977.99572989656599</v>
      </c>
      <c r="K42" s="198">
        <v>1508.3988000224799</v>
      </c>
      <c r="L42" s="198">
        <v>1.3462285732480599</v>
      </c>
      <c r="M42" s="198">
        <v>3.2365324018149599</v>
      </c>
      <c r="N42" s="198">
        <v>0</v>
      </c>
      <c r="O42" s="198">
        <v>11024.4239472277</v>
      </c>
    </row>
    <row r="43" spans="1:15">
      <c r="A43" s="262" t="s">
        <v>663</v>
      </c>
      <c r="B43" s="261" t="s">
        <v>700</v>
      </c>
      <c r="C43" s="261"/>
      <c r="F43" s="199">
        <v>1150.3689874730701</v>
      </c>
      <c r="G43" s="199">
        <v>0</v>
      </c>
      <c r="H43" s="199">
        <v>0</v>
      </c>
      <c r="I43" s="199">
        <v>0</v>
      </c>
      <c r="J43" s="199">
        <v>0</v>
      </c>
      <c r="K43" s="199">
        <v>0</v>
      </c>
      <c r="L43" s="199">
        <v>0</v>
      </c>
      <c r="M43" s="199">
        <v>0</v>
      </c>
      <c r="N43" s="199">
        <v>0</v>
      </c>
      <c r="O43" s="199">
        <v>1150.3689874730701</v>
      </c>
    </row>
    <row r="44" spans="1:15" s="205" customFormat="1" ht="12">
      <c r="A44" s="266"/>
      <c r="B44" s="268"/>
      <c r="C44" s="212" t="s">
        <v>501</v>
      </c>
      <c r="F44" s="206">
        <v>891.97658699445606</v>
      </c>
      <c r="G44" s="206">
        <v>0</v>
      </c>
      <c r="H44" s="206">
        <v>0</v>
      </c>
      <c r="I44" s="206">
        <v>0</v>
      </c>
      <c r="J44" s="206">
        <v>0</v>
      </c>
      <c r="K44" s="206">
        <v>0</v>
      </c>
      <c r="L44" s="206">
        <v>0</v>
      </c>
      <c r="M44" s="206">
        <v>0</v>
      </c>
      <c r="N44" s="206">
        <v>0</v>
      </c>
      <c r="O44" s="206">
        <v>891.97658699445606</v>
      </c>
    </row>
    <row r="45" spans="1:15" s="205" customFormat="1" ht="12">
      <c r="A45" s="266"/>
      <c r="B45" s="268"/>
      <c r="C45" s="212" t="s">
        <v>183</v>
      </c>
      <c r="F45" s="206">
        <v>117.485640350222</v>
      </c>
      <c r="G45" s="206">
        <v>0</v>
      </c>
      <c r="H45" s="206">
        <v>0</v>
      </c>
      <c r="I45" s="206">
        <v>0</v>
      </c>
      <c r="J45" s="206">
        <v>0</v>
      </c>
      <c r="K45" s="206">
        <v>0</v>
      </c>
      <c r="L45" s="206">
        <v>0</v>
      </c>
      <c r="M45" s="206">
        <v>0</v>
      </c>
      <c r="N45" s="206">
        <v>0</v>
      </c>
      <c r="O45" s="206">
        <v>117.485640350222</v>
      </c>
    </row>
    <row r="46" spans="1:15" s="205" customFormat="1" ht="12">
      <c r="A46" s="266"/>
      <c r="B46" s="268"/>
      <c r="C46" s="212" t="s">
        <v>824</v>
      </c>
      <c r="F46" s="206">
        <v>140.90676012838799</v>
      </c>
      <c r="G46" s="206">
        <v>0</v>
      </c>
      <c r="H46" s="206">
        <v>0</v>
      </c>
      <c r="I46" s="206">
        <v>0</v>
      </c>
      <c r="J46" s="206">
        <v>0</v>
      </c>
      <c r="K46" s="206">
        <v>0</v>
      </c>
      <c r="L46" s="206">
        <v>0</v>
      </c>
      <c r="M46" s="206">
        <v>0</v>
      </c>
      <c r="N46" s="206">
        <v>0</v>
      </c>
      <c r="O46" s="206">
        <v>140.90676012838799</v>
      </c>
    </row>
    <row r="47" spans="1:15" s="267" customFormat="1">
      <c r="A47" s="262" t="s">
        <v>673</v>
      </c>
      <c r="B47" s="261" t="s">
        <v>823</v>
      </c>
      <c r="C47" s="261"/>
      <c r="F47" s="199">
        <v>0</v>
      </c>
      <c r="G47" s="199">
        <v>0</v>
      </c>
      <c r="H47" s="218">
        <v>0</v>
      </c>
      <c r="I47" s="199">
        <v>0</v>
      </c>
      <c r="J47" s="199">
        <v>0</v>
      </c>
      <c r="K47" s="199">
        <v>0</v>
      </c>
      <c r="L47" s="199">
        <v>0</v>
      </c>
      <c r="M47" s="199">
        <v>0</v>
      </c>
      <c r="N47" s="199">
        <v>0</v>
      </c>
      <c r="O47" s="199">
        <v>0</v>
      </c>
    </row>
    <row r="48" spans="1:15" s="205" customFormat="1" ht="12">
      <c r="A48" s="266"/>
      <c r="B48" s="268"/>
      <c r="C48" s="212" t="s">
        <v>702</v>
      </c>
      <c r="F48" s="206">
        <v>0</v>
      </c>
      <c r="G48" s="206">
        <v>0</v>
      </c>
      <c r="H48" s="206">
        <v>0</v>
      </c>
      <c r="I48" s="206">
        <v>0</v>
      </c>
      <c r="J48" s="206">
        <v>0</v>
      </c>
      <c r="K48" s="206">
        <v>0</v>
      </c>
      <c r="L48" s="206">
        <v>0</v>
      </c>
      <c r="M48" s="206">
        <v>0</v>
      </c>
      <c r="N48" s="206">
        <v>0</v>
      </c>
      <c r="O48" s="206">
        <v>0</v>
      </c>
    </row>
    <row r="49" spans="1:15" s="267" customFormat="1">
      <c r="A49" s="262" t="s">
        <v>693</v>
      </c>
      <c r="B49" s="261" t="s">
        <v>704</v>
      </c>
      <c r="C49" s="261"/>
      <c r="F49" s="199">
        <v>0</v>
      </c>
      <c r="G49" s="199">
        <v>0</v>
      </c>
      <c r="H49" s="199">
        <v>0</v>
      </c>
      <c r="I49" s="199">
        <v>0</v>
      </c>
      <c r="J49" s="199">
        <v>0</v>
      </c>
      <c r="K49" s="199">
        <v>0</v>
      </c>
      <c r="L49" s="218">
        <v>0</v>
      </c>
      <c r="M49" s="218">
        <v>0</v>
      </c>
      <c r="N49" s="199">
        <v>0</v>
      </c>
      <c r="O49" s="199">
        <v>0</v>
      </c>
    </row>
    <row r="50" spans="1:15" s="205" customFormat="1" ht="12">
      <c r="A50" s="266"/>
      <c r="B50" s="265"/>
      <c r="C50" s="265" t="s">
        <v>705</v>
      </c>
      <c r="F50" s="206">
        <v>0</v>
      </c>
      <c r="G50" s="206">
        <v>0</v>
      </c>
      <c r="H50" s="206">
        <v>0</v>
      </c>
      <c r="I50" s="206">
        <v>0</v>
      </c>
      <c r="J50" s="206">
        <v>0</v>
      </c>
      <c r="K50" s="206">
        <v>0</v>
      </c>
      <c r="L50" s="219">
        <v>0</v>
      </c>
      <c r="M50" s="219">
        <v>0</v>
      </c>
      <c r="N50" s="206">
        <v>0</v>
      </c>
      <c r="O50" s="206">
        <v>0</v>
      </c>
    </row>
    <row r="51" spans="1:15" s="205" customFormat="1" ht="12">
      <c r="A51" s="266"/>
      <c r="B51" s="265"/>
      <c r="C51" s="265" t="s">
        <v>244</v>
      </c>
      <c r="F51" s="206">
        <v>0</v>
      </c>
      <c r="G51" s="206">
        <v>0</v>
      </c>
      <c r="H51" s="206">
        <v>0</v>
      </c>
      <c r="I51" s="206">
        <v>0</v>
      </c>
      <c r="J51" s="206">
        <v>0</v>
      </c>
      <c r="K51" s="206">
        <v>0</v>
      </c>
      <c r="L51" s="219">
        <v>0</v>
      </c>
      <c r="M51" s="219">
        <v>0</v>
      </c>
      <c r="N51" s="206">
        <v>0</v>
      </c>
      <c r="O51" s="206">
        <v>0</v>
      </c>
    </row>
    <row r="52" spans="1:15" s="205" customFormat="1" ht="12">
      <c r="A52" s="258"/>
      <c r="B52" s="257"/>
      <c r="C52" s="257" t="s">
        <v>706</v>
      </c>
      <c r="D52" s="207"/>
      <c r="E52" s="207"/>
      <c r="F52" s="208">
        <v>0</v>
      </c>
      <c r="G52" s="208">
        <v>0</v>
      </c>
      <c r="H52" s="208">
        <v>0</v>
      </c>
      <c r="I52" s="208">
        <v>0</v>
      </c>
      <c r="J52" s="208">
        <v>0</v>
      </c>
      <c r="K52" s="208">
        <v>0</v>
      </c>
      <c r="L52" s="219">
        <v>0</v>
      </c>
      <c r="M52" s="219">
        <v>0</v>
      </c>
      <c r="N52" s="208">
        <v>0</v>
      </c>
      <c r="O52" s="208">
        <v>0</v>
      </c>
    </row>
    <row r="53" spans="1:15">
      <c r="A53" s="220" t="s">
        <v>697</v>
      </c>
      <c r="B53" s="221" t="s">
        <v>707</v>
      </c>
      <c r="C53" s="248"/>
      <c r="D53" s="225"/>
      <c r="E53" s="225"/>
      <c r="F53" s="211">
        <v>0</v>
      </c>
      <c r="G53" s="211">
        <v>0</v>
      </c>
      <c r="H53" s="211">
        <v>0</v>
      </c>
      <c r="I53" s="211">
        <v>0</v>
      </c>
      <c r="J53" s="211">
        <v>0</v>
      </c>
      <c r="K53" s="211">
        <v>1508.3988000224799</v>
      </c>
      <c r="L53" s="211">
        <v>0.483733821004527</v>
      </c>
      <c r="M53" s="211">
        <v>0.12182440181495501</v>
      </c>
      <c r="N53" s="211">
        <v>0</v>
      </c>
      <c r="O53" s="211">
        <v>1509.0043582453</v>
      </c>
    </row>
    <row r="54" spans="1:15">
      <c r="A54" s="220" t="s">
        <v>708</v>
      </c>
      <c r="B54" s="221" t="s">
        <v>709</v>
      </c>
      <c r="C54" s="248"/>
      <c r="D54" s="225"/>
      <c r="E54" s="225"/>
      <c r="F54" s="211">
        <v>7337.6415528479101</v>
      </c>
      <c r="G54" s="211">
        <v>1.58180197573578</v>
      </c>
      <c r="H54" s="211">
        <v>39.545049393394599</v>
      </c>
      <c r="I54" s="211">
        <v>3.18756130655877</v>
      </c>
      <c r="J54" s="211">
        <v>949.89326935451504</v>
      </c>
      <c r="K54" s="211">
        <v>0</v>
      </c>
      <c r="L54" s="211">
        <v>0</v>
      </c>
      <c r="M54" s="211">
        <v>0</v>
      </c>
      <c r="N54" s="211">
        <v>0</v>
      </c>
      <c r="O54" s="211">
        <v>8327.0798715958208</v>
      </c>
    </row>
    <row r="55" spans="1:15">
      <c r="A55" s="213" t="s">
        <v>710</v>
      </c>
      <c r="B55" s="214" t="s">
        <v>711</v>
      </c>
      <c r="C55" s="264"/>
      <c r="D55" s="253"/>
      <c r="E55" s="253"/>
      <c r="F55" s="252">
        <v>5.8910666191974901</v>
      </c>
      <c r="G55" s="252">
        <v>0</v>
      </c>
      <c r="H55" s="252">
        <v>0</v>
      </c>
      <c r="I55" s="252">
        <v>9.4303558865942202E-2</v>
      </c>
      <c r="J55" s="252">
        <v>28.1024605420508</v>
      </c>
      <c r="K55" s="252">
        <v>0</v>
      </c>
      <c r="L55" s="252">
        <v>0.86249475224353001</v>
      </c>
      <c r="M55" s="252">
        <v>3.1147079999999998</v>
      </c>
      <c r="N55" s="252">
        <v>0</v>
      </c>
      <c r="O55" s="252">
        <v>37.970729913491802</v>
      </c>
    </row>
    <row r="56" spans="1:15">
      <c r="A56" s="251" t="s">
        <v>712</v>
      </c>
      <c r="B56" s="250"/>
      <c r="C56" s="250"/>
      <c r="F56" s="223">
        <v>787.89480000000003</v>
      </c>
      <c r="G56" s="223">
        <v>409.87002252992102</v>
      </c>
      <c r="H56" s="223">
        <v>10246.750563248001</v>
      </c>
      <c r="I56" s="388">
        <v>24.036526303664399</v>
      </c>
      <c r="J56" s="223">
        <v>7162.8848384919802</v>
      </c>
      <c r="K56" s="198">
        <v>0</v>
      </c>
      <c r="L56" s="198">
        <v>0</v>
      </c>
      <c r="M56" s="198">
        <v>0</v>
      </c>
      <c r="N56" s="198">
        <v>0</v>
      </c>
      <c r="O56" s="198">
        <v>18197.530201739999</v>
      </c>
    </row>
    <row r="57" spans="1:15">
      <c r="A57" s="262" t="s">
        <v>663</v>
      </c>
      <c r="B57" s="261" t="s">
        <v>27</v>
      </c>
      <c r="C57" s="261"/>
      <c r="F57" s="211">
        <v>0</v>
      </c>
      <c r="G57" s="211">
        <v>380.78898450592197</v>
      </c>
      <c r="H57" s="211">
        <v>9519.7246126480604</v>
      </c>
      <c r="I57" s="211">
        <v>0</v>
      </c>
      <c r="J57" s="211">
        <v>0</v>
      </c>
      <c r="K57" s="202">
        <v>0</v>
      </c>
      <c r="L57" s="202">
        <v>0</v>
      </c>
      <c r="M57" s="202">
        <v>0</v>
      </c>
      <c r="N57" s="202">
        <v>0</v>
      </c>
      <c r="O57" s="202">
        <v>9519.7246126480604</v>
      </c>
    </row>
    <row r="58" spans="1:15">
      <c r="A58" s="262" t="s">
        <v>673</v>
      </c>
      <c r="B58" s="261" t="s">
        <v>28</v>
      </c>
      <c r="C58" s="261"/>
      <c r="F58" s="211">
        <v>0</v>
      </c>
      <c r="G58" s="211">
        <v>29.044883212921501</v>
      </c>
      <c r="H58" s="211">
        <v>726.12208032303704</v>
      </c>
      <c r="I58" s="211">
        <v>4.8191619784280002</v>
      </c>
      <c r="J58" s="211">
        <v>1436.1102695715399</v>
      </c>
      <c r="K58" s="202">
        <v>0</v>
      </c>
      <c r="L58" s="202">
        <v>0</v>
      </c>
      <c r="M58" s="202">
        <v>0</v>
      </c>
      <c r="N58" s="202">
        <v>0</v>
      </c>
      <c r="O58" s="202">
        <v>2162.2323498945798</v>
      </c>
    </row>
    <row r="59" spans="1:15">
      <c r="A59" s="262" t="s">
        <v>693</v>
      </c>
      <c r="B59" s="261" t="s">
        <v>713</v>
      </c>
      <c r="C59" s="261"/>
      <c r="F59" s="202">
        <v>0</v>
      </c>
      <c r="G59" s="202">
        <v>0</v>
      </c>
      <c r="H59" s="202">
        <v>0</v>
      </c>
      <c r="I59" s="202">
        <v>19.216426978282499</v>
      </c>
      <c r="J59" s="202">
        <v>5726.4952395281898</v>
      </c>
      <c r="K59" s="199">
        <v>0</v>
      </c>
      <c r="L59" s="199">
        <v>0</v>
      </c>
      <c r="M59" s="199">
        <v>0</v>
      </c>
      <c r="N59" s="199">
        <v>0</v>
      </c>
      <c r="O59" s="199">
        <v>5726.4952395281898</v>
      </c>
    </row>
    <row r="60" spans="1:15" s="205" customFormat="1" ht="12">
      <c r="A60" s="260"/>
      <c r="B60" s="259"/>
      <c r="C60" s="257" t="s">
        <v>714</v>
      </c>
      <c r="F60" s="208">
        <v>0</v>
      </c>
      <c r="G60" s="208">
        <v>0</v>
      </c>
      <c r="H60" s="208">
        <v>0</v>
      </c>
      <c r="I60" s="208">
        <v>15.5734242864078</v>
      </c>
      <c r="J60" s="208">
        <v>4640.8804373495404</v>
      </c>
      <c r="K60" s="206">
        <v>0</v>
      </c>
      <c r="L60" s="206">
        <v>0</v>
      </c>
      <c r="M60" s="206">
        <v>0</v>
      </c>
      <c r="N60" s="206">
        <v>0</v>
      </c>
      <c r="O60" s="206">
        <v>4640.8804373495404</v>
      </c>
    </row>
    <row r="61" spans="1:15" s="205" customFormat="1" ht="12">
      <c r="A61" s="258"/>
      <c r="B61" s="257"/>
      <c r="C61" s="257" t="s">
        <v>715</v>
      </c>
      <c r="D61" s="207"/>
      <c r="E61" s="207"/>
      <c r="F61" s="208">
        <v>0</v>
      </c>
      <c r="G61" s="208">
        <v>0</v>
      </c>
      <c r="H61" s="208">
        <v>0</v>
      </c>
      <c r="I61" s="208">
        <v>3.6430026918746701</v>
      </c>
      <c r="J61" s="208">
        <v>1085.6148021786501</v>
      </c>
      <c r="K61" s="208">
        <v>0</v>
      </c>
      <c r="L61" s="208">
        <v>0</v>
      </c>
      <c r="M61" s="208">
        <v>0</v>
      </c>
      <c r="N61" s="208">
        <v>0</v>
      </c>
      <c r="O61" s="208">
        <v>1085.6148021786501</v>
      </c>
    </row>
    <row r="62" spans="1:15" s="204" customFormat="1" ht="13">
      <c r="A62" s="249" t="s">
        <v>697</v>
      </c>
      <c r="B62" s="248" t="s">
        <v>185</v>
      </c>
      <c r="C62" s="256"/>
      <c r="D62" s="210"/>
      <c r="E62" s="210"/>
      <c r="F62" s="211">
        <v>0</v>
      </c>
      <c r="G62" s="211">
        <v>3.6154811076923102E-2</v>
      </c>
      <c r="H62" s="211">
        <v>0.90387027692307698</v>
      </c>
      <c r="I62" s="211">
        <v>9.3734695384615401E-4</v>
      </c>
      <c r="J62" s="211">
        <v>0.279329392246154</v>
      </c>
      <c r="K62" s="211">
        <v>0</v>
      </c>
      <c r="L62" s="211">
        <v>0</v>
      </c>
      <c r="M62" s="211">
        <v>0</v>
      </c>
      <c r="N62" s="211">
        <v>0</v>
      </c>
      <c r="O62" s="211">
        <v>1.1831996691692299</v>
      </c>
    </row>
    <row r="63" spans="1:15">
      <c r="A63" s="255" t="s">
        <v>708</v>
      </c>
      <c r="B63" s="214" t="s">
        <v>716</v>
      </c>
      <c r="C63" s="254"/>
      <c r="D63" s="253"/>
      <c r="E63" s="253"/>
      <c r="F63" s="222">
        <v>787.89480000000003</v>
      </c>
      <c r="G63" s="222">
        <v>0</v>
      </c>
      <c r="H63" s="222">
        <v>0</v>
      </c>
      <c r="I63" s="222">
        <v>0</v>
      </c>
      <c r="J63" s="222">
        <v>0</v>
      </c>
      <c r="K63" s="252">
        <v>0</v>
      </c>
      <c r="L63" s="252">
        <v>0</v>
      </c>
      <c r="M63" s="252">
        <v>0</v>
      </c>
      <c r="N63" s="252">
        <v>0</v>
      </c>
      <c r="O63" s="252">
        <v>787.89480000000003</v>
      </c>
    </row>
    <row r="64" spans="1:15">
      <c r="A64" s="251" t="s">
        <v>717</v>
      </c>
      <c r="B64" s="250"/>
      <c r="C64" s="250"/>
      <c r="F64" s="198">
        <v>30.921506000000001</v>
      </c>
      <c r="G64" s="198">
        <v>82.940630470000002</v>
      </c>
      <c r="H64" s="198">
        <v>2073.5157617499999</v>
      </c>
      <c r="I64" s="198">
        <v>0.57689126999999996</v>
      </c>
      <c r="J64" s="198">
        <v>171.91359846</v>
      </c>
      <c r="K64" s="198">
        <v>0</v>
      </c>
      <c r="L64" s="198">
        <v>0</v>
      </c>
      <c r="M64" s="198">
        <v>0</v>
      </c>
      <c r="N64" s="198">
        <v>0</v>
      </c>
      <c r="O64" s="198">
        <v>2276.3508662099998</v>
      </c>
    </row>
    <row r="65" spans="1:31">
      <c r="A65" s="249" t="s">
        <v>663</v>
      </c>
      <c r="B65" s="248" t="s">
        <v>718</v>
      </c>
      <c r="C65" s="248"/>
      <c r="D65" s="225"/>
      <c r="E65" s="225"/>
      <c r="F65" s="211">
        <v>0</v>
      </c>
      <c r="G65" s="211">
        <v>77.052962149999999</v>
      </c>
      <c r="H65" s="211">
        <v>1926.3240537500001</v>
      </c>
      <c r="I65" s="211">
        <v>0</v>
      </c>
      <c r="J65" s="211">
        <v>0</v>
      </c>
      <c r="K65" s="211">
        <v>0</v>
      </c>
      <c r="L65" s="211">
        <v>0</v>
      </c>
      <c r="M65" s="211">
        <v>0</v>
      </c>
      <c r="N65" s="211">
        <v>0</v>
      </c>
      <c r="O65" s="211">
        <v>1926.3240537500001</v>
      </c>
    </row>
    <row r="66" spans="1:31">
      <c r="A66" s="249" t="s">
        <v>822</v>
      </c>
      <c r="B66" s="248" t="s">
        <v>719</v>
      </c>
      <c r="E66" s="225"/>
      <c r="F66" s="211">
        <v>0</v>
      </c>
      <c r="G66" s="211">
        <v>4.3861462500000004</v>
      </c>
      <c r="H66" s="211">
        <v>109.65365625</v>
      </c>
      <c r="I66" s="211">
        <v>0.26316877999999999</v>
      </c>
      <c r="J66" s="211">
        <v>78.424296440000006</v>
      </c>
      <c r="K66" s="211">
        <v>0</v>
      </c>
      <c r="L66" s="211">
        <v>0</v>
      </c>
      <c r="M66" s="211">
        <v>0</v>
      </c>
      <c r="N66" s="211">
        <v>0</v>
      </c>
      <c r="O66" s="211">
        <v>188.07795268999999</v>
      </c>
    </row>
    <row r="67" spans="1:31">
      <c r="A67" s="249" t="s">
        <v>693</v>
      </c>
      <c r="B67" s="248" t="s">
        <v>720</v>
      </c>
      <c r="C67" s="248"/>
      <c r="D67" s="225"/>
      <c r="E67" s="225"/>
      <c r="F67" s="211">
        <v>0</v>
      </c>
      <c r="G67" s="211">
        <v>1.49853664</v>
      </c>
      <c r="H67" s="211">
        <v>37.463416000000002</v>
      </c>
      <c r="I67" s="211">
        <v>0.25792198</v>
      </c>
      <c r="J67" s="211">
        <v>76.860750039999999</v>
      </c>
      <c r="K67" s="211">
        <v>0</v>
      </c>
      <c r="L67" s="211">
        <v>0</v>
      </c>
      <c r="M67" s="211">
        <v>0</v>
      </c>
      <c r="N67" s="211">
        <v>0</v>
      </c>
      <c r="O67" s="211">
        <v>114.32416603999999</v>
      </c>
    </row>
    <row r="68" spans="1:31">
      <c r="A68" s="247" t="s">
        <v>697</v>
      </c>
      <c r="B68" s="246" t="s">
        <v>721</v>
      </c>
      <c r="C68" s="246"/>
      <c r="D68" s="245"/>
      <c r="E68" s="245"/>
      <c r="F68" s="222">
        <v>30.921506000000001</v>
      </c>
      <c r="G68" s="222">
        <v>2.9854299999999999E-3</v>
      </c>
      <c r="H68" s="222">
        <v>7.4635750000000001E-2</v>
      </c>
      <c r="I68" s="222">
        <v>5.5800509999999998E-2</v>
      </c>
      <c r="J68" s="222">
        <v>16.628551980000001</v>
      </c>
      <c r="K68" s="222">
        <v>0</v>
      </c>
      <c r="L68" s="222">
        <v>0</v>
      </c>
      <c r="M68" s="222">
        <v>0</v>
      </c>
      <c r="N68" s="222">
        <v>0</v>
      </c>
      <c r="O68" s="222">
        <v>47.624693729999997</v>
      </c>
    </row>
    <row r="69" spans="1:31" s="196" customFormat="1" ht="14"/>
    <row r="70" spans="1:31">
      <c r="A70" s="204" t="s">
        <v>248</v>
      </c>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row>
    <row r="71" spans="1:31" s="204" customFormat="1" ht="13">
      <c r="A71" s="204" t="s">
        <v>821</v>
      </c>
    </row>
    <row r="72" spans="1:31" s="204" customFormat="1" ht="15">
      <c r="A72" s="204" t="s">
        <v>918</v>
      </c>
    </row>
    <row r="73" spans="1:31" s="204" customFormat="1" ht="15">
      <c r="A73" s="204" t="s">
        <v>917</v>
      </c>
      <c r="F73" s="387"/>
      <c r="G73" s="387"/>
      <c r="H73" s="387"/>
      <c r="I73" s="387"/>
      <c r="J73" s="387"/>
      <c r="K73" s="387"/>
      <c r="L73" s="387"/>
      <c r="M73" s="387"/>
      <c r="N73" s="387"/>
      <c r="O73" s="387"/>
      <c r="P73" s="387"/>
      <c r="Q73" s="387"/>
      <c r="R73" s="387"/>
      <c r="S73" s="387"/>
      <c r="T73" s="387"/>
      <c r="U73" s="387"/>
      <c r="V73" s="387"/>
      <c r="W73" s="387"/>
      <c r="X73" s="387"/>
      <c r="Y73" s="387"/>
      <c r="Z73" s="387"/>
      <c r="AA73" s="387"/>
      <c r="AB73" s="387"/>
      <c r="AC73" s="387"/>
      <c r="AE73" s="386"/>
    </row>
    <row r="74" spans="1:31" s="204" customFormat="1" ht="13">
      <c r="A74" s="204" t="s">
        <v>722</v>
      </c>
    </row>
    <row r="75" spans="1:31" s="204" customFormat="1" ht="13">
      <c r="A75" s="204" t="s">
        <v>723</v>
      </c>
      <c r="B75" s="204" t="s">
        <v>724</v>
      </c>
    </row>
    <row r="76" spans="1:31" s="204" customFormat="1" ht="13">
      <c r="A76" s="385">
        <v>0</v>
      </c>
      <c r="B76" s="204" t="s">
        <v>725</v>
      </c>
    </row>
    <row r="77" spans="1:31" s="204" customFormat="1" ht="13">
      <c r="A77" s="204" t="s">
        <v>817</v>
      </c>
      <c r="B77" s="204" t="s">
        <v>816</v>
      </c>
    </row>
    <row r="78" spans="1:31" s="204" customFormat="1" ht="13">
      <c r="A78" s="204" t="s">
        <v>815</v>
      </c>
    </row>
    <row r="79" spans="1:31">
      <c r="A79" s="204" t="s">
        <v>916</v>
      </c>
      <c r="F79" s="383"/>
      <c r="G79" s="383"/>
      <c r="H79" s="383"/>
      <c r="I79" s="383"/>
      <c r="J79" s="383"/>
      <c r="K79" s="383"/>
      <c r="L79" s="383"/>
      <c r="M79" s="383"/>
      <c r="N79" s="383"/>
      <c r="O79" s="384"/>
      <c r="P79" s="383"/>
      <c r="R79" s="383"/>
      <c r="S79" s="383"/>
      <c r="T79" s="383"/>
      <c r="U79" s="383"/>
      <c r="V79" s="383"/>
      <c r="W79" s="383"/>
      <c r="X79" s="383"/>
      <c r="Y79" s="383"/>
      <c r="Z79" s="383"/>
      <c r="AA79" s="383"/>
      <c r="AB79" s="383"/>
      <c r="AC79" s="383"/>
      <c r="AE79" s="382"/>
    </row>
    <row r="80" spans="1:31">
      <c r="A80" s="381" t="s">
        <v>915</v>
      </c>
      <c r="B80" s="209"/>
      <c r="C80" s="209"/>
      <c r="D80" s="204"/>
      <c r="E80" s="380"/>
      <c r="F80" s="380"/>
      <c r="G80" s="224"/>
      <c r="H80" s="224"/>
      <c r="I80" s="224"/>
      <c r="J80" s="224"/>
      <c r="K80" s="224"/>
      <c r="L80" s="224"/>
      <c r="M80" s="224"/>
      <c r="N80" s="224"/>
      <c r="O80" s="224"/>
      <c r="P80" s="224"/>
      <c r="Q80" s="224"/>
      <c r="R80" s="224"/>
      <c r="S80" s="224"/>
      <c r="T80" s="224"/>
      <c r="U80" s="224"/>
      <c r="V80" s="224"/>
      <c r="W80" s="224"/>
      <c r="X80" s="224"/>
      <c r="Y80" s="224"/>
      <c r="Z80" s="224"/>
      <c r="AA80" s="224"/>
    </row>
    <row r="81" spans="1:27">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c r="AA81" s="224"/>
    </row>
  </sheetData>
  <hyperlinks>
    <hyperlink ref="A80" r:id="rId1" xr:uid="{00000000-0004-0000-2700-000000000000}"/>
  </hyperlinks>
  <pageMargins left="0.70866141732283472" right="0.70866141732283472" top="0.74803149606299213" bottom="0.74803149606299213" header="0.31496062992125984" footer="0.31496062992125984"/>
  <pageSetup paperSize="5" scale="42"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4" tint="0.39997558519241921"/>
    <pageSetUpPr fitToPage="1"/>
  </sheetPr>
  <dimension ref="A1:AE81"/>
  <sheetViews>
    <sheetView zoomScale="80" zoomScaleNormal="80" workbookViewId="0">
      <pane xSplit="5" ySplit="7" topLeftCell="F41" activePane="bottomRight" state="frozen"/>
      <selection activeCell="A80" sqref="A80"/>
      <selection pane="topRight" activeCell="A80" sqref="A80"/>
      <selection pane="bottomLeft" activeCell="A80" sqref="A80"/>
      <selection pane="bottomRight" activeCell="B54" sqref="B54"/>
    </sheetView>
  </sheetViews>
  <sheetFormatPr baseColWidth="10" defaultColWidth="9.1640625" defaultRowHeight="16"/>
  <cols>
    <col min="1" max="1" width="4.5" style="197" customWidth="1"/>
    <col min="2" max="2" width="3.33203125" style="197" customWidth="1"/>
    <col min="3" max="3" width="52.5" style="197" customWidth="1"/>
    <col min="4" max="5" width="3.33203125" style="197" customWidth="1"/>
    <col min="6" max="15" width="16.5" style="197" customWidth="1"/>
    <col min="16" max="16384" width="9.1640625" style="197"/>
  </cols>
  <sheetData>
    <row r="1" spans="1:15" s="169" customFormat="1" ht="14">
      <c r="A1" s="280" t="s">
        <v>920</v>
      </c>
      <c r="B1" s="168"/>
      <c r="C1" s="168"/>
      <c r="D1" s="168"/>
      <c r="E1" s="168"/>
      <c r="F1" s="168"/>
      <c r="G1" s="168"/>
      <c r="H1" s="168"/>
      <c r="I1" s="168"/>
      <c r="J1" s="168"/>
      <c r="K1" s="168"/>
      <c r="L1" s="168"/>
      <c r="M1" s="168"/>
      <c r="N1" s="168"/>
      <c r="O1" s="168"/>
    </row>
    <row r="2" spans="1:15" s="169" customFormat="1" ht="14">
      <c r="B2" s="170"/>
      <c r="C2" s="170"/>
      <c r="D2" s="170"/>
      <c r="E2" s="170"/>
      <c r="F2" s="170"/>
      <c r="G2" s="170"/>
      <c r="H2" s="170"/>
      <c r="I2" s="170"/>
      <c r="J2" s="170"/>
      <c r="K2" s="170"/>
      <c r="L2" s="170"/>
      <c r="M2" s="170"/>
      <c r="N2" s="170"/>
      <c r="O2" s="170"/>
    </row>
    <row r="3" spans="1:15" s="169" customFormat="1" ht="14">
      <c r="B3" s="170"/>
      <c r="C3" s="170"/>
      <c r="D3" s="170"/>
      <c r="E3" s="170"/>
      <c r="F3" s="171" t="s">
        <v>651</v>
      </c>
      <c r="G3" s="172"/>
      <c r="H3" s="172"/>
      <c r="I3" s="172"/>
      <c r="J3" s="172"/>
      <c r="K3" s="172"/>
      <c r="L3" s="172"/>
      <c r="M3" s="172"/>
      <c r="N3" s="172"/>
      <c r="O3" s="172"/>
    </row>
    <row r="4" spans="1:15" s="169" customFormat="1" ht="15">
      <c r="A4" s="170"/>
      <c r="B4" s="170"/>
      <c r="C4" s="170"/>
      <c r="D4" s="170"/>
      <c r="E4" s="170"/>
      <c r="F4" s="173" t="s">
        <v>652</v>
      </c>
      <c r="G4" s="174" t="s">
        <v>653</v>
      </c>
      <c r="H4" s="174" t="s">
        <v>653</v>
      </c>
      <c r="I4" s="174" t="s">
        <v>654</v>
      </c>
      <c r="J4" s="174" t="s">
        <v>654</v>
      </c>
      <c r="K4" s="175" t="s">
        <v>827</v>
      </c>
      <c r="L4" s="175" t="s">
        <v>826</v>
      </c>
      <c r="M4" s="174" t="s">
        <v>655</v>
      </c>
      <c r="N4" s="176" t="s">
        <v>656</v>
      </c>
      <c r="O4" s="177" t="s">
        <v>657</v>
      </c>
    </row>
    <row r="5" spans="1:15" s="179" customFormat="1" ht="14">
      <c r="A5" s="178" t="s">
        <v>658</v>
      </c>
      <c r="B5" s="178"/>
      <c r="E5" s="180" t="s">
        <v>659</v>
      </c>
      <c r="F5" s="181"/>
      <c r="G5" s="182"/>
      <c r="H5" s="183">
        <v>25</v>
      </c>
      <c r="I5" s="184"/>
      <c r="J5" s="183">
        <v>298</v>
      </c>
      <c r="K5" s="185"/>
      <c r="L5" s="185"/>
      <c r="M5" s="186">
        <v>22800</v>
      </c>
      <c r="N5" s="186">
        <v>17200</v>
      </c>
      <c r="O5" s="187"/>
    </row>
    <row r="6" spans="1:15" s="188" customFormat="1" ht="14.25" customHeight="1">
      <c r="C6" s="189"/>
      <c r="D6" s="189"/>
      <c r="E6" s="190" t="s">
        <v>377</v>
      </c>
      <c r="F6" s="191" t="s">
        <v>660</v>
      </c>
      <c r="G6" s="191" t="s">
        <v>660</v>
      </c>
      <c r="H6" s="192" t="s">
        <v>661</v>
      </c>
      <c r="I6" s="193" t="s">
        <v>660</v>
      </c>
      <c r="J6" s="192" t="s">
        <v>661</v>
      </c>
      <c r="K6" s="192" t="s">
        <v>661</v>
      </c>
      <c r="L6" s="192" t="s">
        <v>661</v>
      </c>
      <c r="M6" s="192" t="s">
        <v>661</v>
      </c>
      <c r="N6" s="192" t="s">
        <v>661</v>
      </c>
      <c r="O6" s="192" t="s">
        <v>661</v>
      </c>
    </row>
    <row r="7" spans="1:15" s="196" customFormat="1" ht="15" thickBot="1">
      <c r="A7" s="279" t="s">
        <v>657</v>
      </c>
      <c r="B7" s="278"/>
      <c r="C7" s="277"/>
      <c r="D7" s="194"/>
      <c r="E7" s="194"/>
      <c r="F7" s="195">
        <v>216043.31362536701</v>
      </c>
      <c r="G7" s="195">
        <v>1751.8185014323201</v>
      </c>
      <c r="H7" s="195">
        <v>43795.462535808103</v>
      </c>
      <c r="I7" s="195">
        <v>36.9482821225713</v>
      </c>
      <c r="J7" s="195">
        <v>11010.5880725262</v>
      </c>
      <c r="K7" s="195">
        <v>1390.2150440565899</v>
      </c>
      <c r="L7" s="195">
        <v>1.91194684551074</v>
      </c>
      <c r="M7" s="195">
        <v>2.5338575066740101</v>
      </c>
      <c r="N7" s="195">
        <v>0</v>
      </c>
      <c r="O7" s="195">
        <v>272244.02508211002</v>
      </c>
    </row>
    <row r="8" spans="1:15" ht="17" thickTop="1">
      <c r="A8" s="251" t="s">
        <v>662</v>
      </c>
      <c r="B8" s="276"/>
      <c r="C8" s="276"/>
      <c r="F8" s="198">
        <v>205097.411707124</v>
      </c>
      <c r="G8" s="198">
        <v>1259.0929969415499</v>
      </c>
      <c r="H8" s="198">
        <v>31477.324923538901</v>
      </c>
      <c r="I8" s="198">
        <v>8.8997814377987794</v>
      </c>
      <c r="J8" s="198">
        <v>2652.1348684640402</v>
      </c>
      <c r="K8" s="198">
        <v>0</v>
      </c>
      <c r="L8" s="198">
        <v>0</v>
      </c>
      <c r="M8" s="198">
        <v>0</v>
      </c>
      <c r="N8" s="198">
        <v>0</v>
      </c>
      <c r="O8" s="198">
        <v>239226.87149912701</v>
      </c>
    </row>
    <row r="9" spans="1:15">
      <c r="A9" s="262" t="s">
        <v>663</v>
      </c>
      <c r="B9" s="261" t="s">
        <v>664</v>
      </c>
      <c r="C9" s="261"/>
      <c r="F9" s="199">
        <v>155641.64255306899</v>
      </c>
      <c r="G9" s="199">
        <v>65.957115266315895</v>
      </c>
      <c r="H9" s="199">
        <v>1648.9278816578999</v>
      </c>
      <c r="I9" s="199">
        <v>3.2168359255724601</v>
      </c>
      <c r="J9" s="199">
        <v>958.61710582059402</v>
      </c>
      <c r="K9" s="199">
        <v>0</v>
      </c>
      <c r="L9" s="199">
        <v>0</v>
      </c>
      <c r="M9" s="199">
        <v>0</v>
      </c>
      <c r="N9" s="199">
        <v>0</v>
      </c>
      <c r="O9" s="199">
        <v>158249.18754054699</v>
      </c>
    </row>
    <row r="10" spans="1:15">
      <c r="A10" s="273"/>
      <c r="B10" s="201" t="s">
        <v>665</v>
      </c>
      <c r="C10" s="265"/>
      <c r="F10" s="202">
        <v>48056.197637190897</v>
      </c>
      <c r="G10" s="202">
        <v>2.4102126583700199</v>
      </c>
      <c r="H10" s="202">
        <v>60.255316459250601</v>
      </c>
      <c r="I10" s="202">
        <v>0.93750830911043703</v>
      </c>
      <c r="J10" s="202">
        <v>279.37747611491</v>
      </c>
      <c r="K10" s="202">
        <v>0</v>
      </c>
      <c r="L10" s="202">
        <v>0</v>
      </c>
      <c r="M10" s="202">
        <v>0</v>
      </c>
      <c r="N10" s="202">
        <v>0</v>
      </c>
      <c r="O10" s="202">
        <v>48395.830429765098</v>
      </c>
    </row>
    <row r="11" spans="1:15">
      <c r="A11" s="273"/>
      <c r="B11" s="203" t="s">
        <v>666</v>
      </c>
      <c r="C11" s="265"/>
      <c r="F11" s="202">
        <v>4408.4751142880896</v>
      </c>
      <c r="G11" s="202">
        <v>7.7994808664707899E-2</v>
      </c>
      <c r="H11" s="202">
        <v>1.9498702166177</v>
      </c>
      <c r="I11" s="202">
        <v>1.8968280010474899E-2</v>
      </c>
      <c r="J11" s="202">
        <v>5.6525474431215201</v>
      </c>
      <c r="K11" s="202">
        <v>0</v>
      </c>
      <c r="L11" s="202">
        <v>0</v>
      </c>
      <c r="M11" s="202">
        <v>0</v>
      </c>
      <c r="N11" s="202">
        <v>0</v>
      </c>
      <c r="O11" s="202">
        <v>4416.0775319478298</v>
      </c>
    </row>
    <row r="12" spans="1:15">
      <c r="A12" s="273"/>
      <c r="B12" s="203" t="s">
        <v>667</v>
      </c>
      <c r="C12" s="275"/>
      <c r="F12" s="202">
        <v>76154.957414318298</v>
      </c>
      <c r="G12" s="202">
        <v>56.805878902858801</v>
      </c>
      <c r="H12" s="202">
        <v>1420.1469725714701</v>
      </c>
      <c r="I12" s="202">
        <v>1.47642420708613</v>
      </c>
      <c r="J12" s="202">
        <v>439.97441371166701</v>
      </c>
      <c r="K12" s="202">
        <v>0</v>
      </c>
      <c r="L12" s="202">
        <v>0</v>
      </c>
      <c r="M12" s="202">
        <v>0</v>
      </c>
      <c r="N12" s="202">
        <v>0</v>
      </c>
      <c r="O12" s="202">
        <v>78015.078800601405</v>
      </c>
    </row>
    <row r="13" spans="1:15">
      <c r="A13" s="273"/>
      <c r="B13" s="203" t="s">
        <v>668</v>
      </c>
      <c r="C13" s="265"/>
      <c r="F13" s="202">
        <v>11662.3011341942</v>
      </c>
      <c r="G13" s="202">
        <v>0.46296380920712399</v>
      </c>
      <c r="H13" s="202">
        <v>11.5740952301781</v>
      </c>
      <c r="I13" s="202">
        <v>0.38565360756527101</v>
      </c>
      <c r="J13" s="202">
        <v>114.924775054451</v>
      </c>
      <c r="K13" s="202">
        <v>0</v>
      </c>
      <c r="L13" s="202">
        <v>0</v>
      </c>
      <c r="M13" s="202">
        <v>0</v>
      </c>
      <c r="N13" s="202">
        <v>0</v>
      </c>
      <c r="O13" s="202">
        <v>11788.8000044788</v>
      </c>
    </row>
    <row r="14" spans="1:15">
      <c r="A14" s="273"/>
      <c r="B14" s="203" t="s">
        <v>670</v>
      </c>
      <c r="C14" s="274"/>
      <c r="F14" s="202">
        <v>302.85962000000001</v>
      </c>
      <c r="G14" s="202">
        <v>5.3962999999999997E-3</v>
      </c>
      <c r="H14" s="202">
        <v>0.13490750000000001</v>
      </c>
      <c r="I14" s="202">
        <v>1.0831199999999999E-2</v>
      </c>
      <c r="J14" s="202">
        <v>3.2276975999999999</v>
      </c>
      <c r="K14" s="202">
        <v>0</v>
      </c>
      <c r="L14" s="202">
        <v>0</v>
      </c>
      <c r="M14" s="202">
        <v>0</v>
      </c>
      <c r="N14" s="202">
        <v>0</v>
      </c>
      <c r="O14" s="202">
        <v>306.2222251</v>
      </c>
    </row>
    <row r="15" spans="1:15">
      <c r="A15" s="273"/>
      <c r="B15" s="203" t="s">
        <v>671</v>
      </c>
      <c r="C15" s="203"/>
      <c r="F15" s="202">
        <v>6293.7030330774296</v>
      </c>
      <c r="G15" s="202">
        <v>0.118479415115038</v>
      </c>
      <c r="H15" s="202">
        <v>2.9619853778759602</v>
      </c>
      <c r="I15" s="202">
        <v>0.14606352151270899</v>
      </c>
      <c r="J15" s="202">
        <v>43.526929410787297</v>
      </c>
      <c r="K15" s="202">
        <v>0</v>
      </c>
      <c r="L15" s="202">
        <v>0</v>
      </c>
      <c r="M15" s="202">
        <v>0</v>
      </c>
      <c r="N15" s="202">
        <v>0</v>
      </c>
      <c r="O15" s="202">
        <v>6340.1919478660902</v>
      </c>
    </row>
    <row r="16" spans="1:15">
      <c r="A16" s="273"/>
      <c r="B16" s="203" t="s">
        <v>175</v>
      </c>
      <c r="C16" s="203"/>
      <c r="F16" s="202">
        <v>8554.1939000000002</v>
      </c>
      <c r="G16" s="202">
        <v>6.0722807721001901</v>
      </c>
      <c r="H16" s="202">
        <v>151.80701930250501</v>
      </c>
      <c r="I16" s="202">
        <v>0.23642920028744199</v>
      </c>
      <c r="J16" s="202">
        <v>70.455901685657807</v>
      </c>
      <c r="K16" s="202">
        <v>0</v>
      </c>
      <c r="L16" s="202">
        <v>0</v>
      </c>
      <c r="M16" s="202">
        <v>0</v>
      </c>
      <c r="N16" s="202">
        <v>0</v>
      </c>
      <c r="O16" s="202">
        <v>8776.45682098816</v>
      </c>
    </row>
    <row r="17" spans="1:15">
      <c r="A17" s="273"/>
      <c r="B17" s="203" t="s">
        <v>672</v>
      </c>
      <c r="C17" s="203"/>
      <c r="F17" s="202">
        <v>208.9547</v>
      </c>
      <c r="G17" s="202">
        <v>3.9085999999999999E-3</v>
      </c>
      <c r="H17" s="202">
        <v>9.7714999999999996E-2</v>
      </c>
      <c r="I17" s="202">
        <v>4.9576000000000004E-3</v>
      </c>
      <c r="J17" s="202">
        <v>1.4773647999999999</v>
      </c>
      <c r="K17" s="202">
        <v>0</v>
      </c>
      <c r="L17" s="202">
        <v>0</v>
      </c>
      <c r="M17" s="202">
        <v>0</v>
      </c>
      <c r="N17" s="202">
        <v>0</v>
      </c>
      <c r="O17" s="202">
        <v>210.5297798</v>
      </c>
    </row>
    <row r="18" spans="1:15">
      <c r="A18" s="262" t="s">
        <v>673</v>
      </c>
      <c r="B18" s="261" t="s">
        <v>825</v>
      </c>
      <c r="C18" s="261"/>
      <c r="F18" s="199">
        <v>41868.991174582698</v>
      </c>
      <c r="G18" s="199">
        <v>5.2819444532149404</v>
      </c>
      <c r="H18" s="199">
        <v>132.04861133037301</v>
      </c>
      <c r="I18" s="199">
        <v>5.6150477163877701</v>
      </c>
      <c r="J18" s="199">
        <v>1673.28421948355</v>
      </c>
      <c r="K18" s="199">
        <v>0</v>
      </c>
      <c r="L18" s="199">
        <v>0</v>
      </c>
      <c r="M18" s="199">
        <v>0</v>
      </c>
      <c r="N18" s="199">
        <v>0</v>
      </c>
      <c r="O18" s="199">
        <v>43674.3240053966</v>
      </c>
    </row>
    <row r="19" spans="1:15">
      <c r="A19" s="273"/>
      <c r="B19" s="203" t="s">
        <v>674</v>
      </c>
      <c r="C19" s="265"/>
      <c r="F19" s="202">
        <v>1526.5096080841499</v>
      </c>
      <c r="G19" s="202">
        <v>5.6911956634513303E-2</v>
      </c>
      <c r="H19" s="202">
        <v>1.42279891586283</v>
      </c>
      <c r="I19" s="202">
        <v>4.3794383199720399E-2</v>
      </c>
      <c r="J19" s="202">
        <v>13.0507261935167</v>
      </c>
      <c r="K19" s="202">
        <v>0</v>
      </c>
      <c r="L19" s="202">
        <v>0</v>
      </c>
      <c r="M19" s="202">
        <v>0</v>
      </c>
      <c r="N19" s="202">
        <v>0</v>
      </c>
      <c r="O19" s="202">
        <v>1540.98313319353</v>
      </c>
    </row>
    <row r="20" spans="1:15">
      <c r="A20" s="273"/>
      <c r="B20" s="203" t="s">
        <v>675</v>
      </c>
      <c r="C20" s="265"/>
      <c r="F20" s="202">
        <v>27555.9124365854</v>
      </c>
      <c r="G20" s="202">
        <v>1.6872334890355101</v>
      </c>
      <c r="H20" s="202">
        <v>42.180837225887799</v>
      </c>
      <c r="I20" s="202">
        <v>1.5882100542497899</v>
      </c>
      <c r="J20" s="202">
        <v>473.28659616643603</v>
      </c>
      <c r="K20" s="202">
        <v>0</v>
      </c>
      <c r="L20" s="202">
        <v>0</v>
      </c>
      <c r="M20" s="202">
        <v>0</v>
      </c>
      <c r="N20" s="202">
        <v>0</v>
      </c>
      <c r="O20" s="202">
        <v>28071.379869977802</v>
      </c>
    </row>
    <row r="21" spans="1:15" s="205" customFormat="1" ht="12">
      <c r="A21" s="266"/>
      <c r="B21" s="265"/>
      <c r="C21" s="212" t="s">
        <v>676</v>
      </c>
      <c r="F21" s="206">
        <v>3299.9871433817798</v>
      </c>
      <c r="G21" s="206">
        <v>0.32993662899443998</v>
      </c>
      <c r="H21" s="206">
        <v>8.2484157248609904</v>
      </c>
      <c r="I21" s="206">
        <v>0.17146186273060199</v>
      </c>
      <c r="J21" s="206">
        <v>51.095635093719302</v>
      </c>
      <c r="K21" s="206">
        <v>0</v>
      </c>
      <c r="L21" s="206">
        <v>0</v>
      </c>
      <c r="M21" s="206">
        <v>0</v>
      </c>
      <c r="N21" s="206">
        <v>0</v>
      </c>
      <c r="O21" s="206">
        <v>3359.3311942003602</v>
      </c>
    </row>
    <row r="22" spans="1:15" s="205" customFormat="1" ht="12">
      <c r="A22" s="266"/>
      <c r="B22" s="265"/>
      <c r="C22" s="212" t="s">
        <v>677</v>
      </c>
      <c r="F22" s="206">
        <v>6515.7117329057</v>
      </c>
      <c r="G22" s="206">
        <v>0.61497398761708799</v>
      </c>
      <c r="H22" s="206">
        <v>15.3743496904272</v>
      </c>
      <c r="I22" s="206">
        <v>0.312969737194771</v>
      </c>
      <c r="J22" s="206">
        <v>93.2649816840417</v>
      </c>
      <c r="K22" s="206">
        <v>0</v>
      </c>
      <c r="L22" s="206">
        <v>0</v>
      </c>
      <c r="M22" s="206">
        <v>0</v>
      </c>
      <c r="N22" s="206">
        <v>0</v>
      </c>
      <c r="O22" s="206">
        <v>6624.3510642801702</v>
      </c>
    </row>
    <row r="23" spans="1:15" s="205" customFormat="1" ht="12">
      <c r="A23" s="266"/>
      <c r="B23" s="265"/>
      <c r="C23" s="212" t="s">
        <v>678</v>
      </c>
      <c r="F23" s="206">
        <v>3511.5018972314501</v>
      </c>
      <c r="G23" s="206">
        <v>0.13258357030003201</v>
      </c>
      <c r="H23" s="206">
        <v>3.3145892575008</v>
      </c>
      <c r="I23" s="206">
        <v>0.29906582973644902</v>
      </c>
      <c r="J23" s="206">
        <v>89.121617261461907</v>
      </c>
      <c r="K23" s="206">
        <v>0</v>
      </c>
      <c r="L23" s="206">
        <v>0</v>
      </c>
      <c r="M23" s="206">
        <v>0</v>
      </c>
      <c r="N23" s="206">
        <v>0</v>
      </c>
      <c r="O23" s="206">
        <v>3603.9381037504099</v>
      </c>
    </row>
    <row r="24" spans="1:15" s="205" customFormat="1" ht="12">
      <c r="A24" s="266"/>
      <c r="B24" s="265"/>
      <c r="C24" s="212" t="s">
        <v>679</v>
      </c>
      <c r="F24" s="206">
        <v>41.134064081240702</v>
      </c>
      <c r="G24" s="206">
        <v>1.6446880964537499E-2</v>
      </c>
      <c r="H24" s="206">
        <v>0.41117202411343601</v>
      </c>
      <c r="I24" s="206">
        <v>7.7515666166431496E-4</v>
      </c>
      <c r="J24" s="206">
        <v>0.230996685175966</v>
      </c>
      <c r="K24" s="206">
        <v>0</v>
      </c>
      <c r="L24" s="206">
        <v>0</v>
      </c>
      <c r="M24" s="206">
        <v>0</v>
      </c>
      <c r="N24" s="206">
        <v>0</v>
      </c>
      <c r="O24" s="206">
        <v>41.776232790530102</v>
      </c>
    </row>
    <row r="25" spans="1:15" s="205" customFormat="1" ht="12">
      <c r="A25" s="266"/>
      <c r="B25" s="265"/>
      <c r="C25" s="212" t="s">
        <v>680</v>
      </c>
      <c r="F25" s="206">
        <v>98.758270710629702</v>
      </c>
      <c r="G25" s="206">
        <v>1.93123661331002E-3</v>
      </c>
      <c r="H25" s="206">
        <v>4.8280915332750397E-2</v>
      </c>
      <c r="I25" s="206">
        <v>8.1257322424446998E-3</v>
      </c>
      <c r="J25" s="206">
        <v>2.4214682082485202</v>
      </c>
      <c r="K25" s="206">
        <v>0</v>
      </c>
      <c r="L25" s="206">
        <v>0</v>
      </c>
      <c r="M25" s="206">
        <v>0</v>
      </c>
      <c r="N25" s="206">
        <v>0</v>
      </c>
      <c r="O25" s="206">
        <v>101.228019834211</v>
      </c>
    </row>
    <row r="26" spans="1:15" s="205" customFormat="1" ht="12">
      <c r="A26" s="266"/>
      <c r="B26" s="265"/>
      <c r="C26" s="212" t="s">
        <v>681</v>
      </c>
      <c r="F26" s="206">
        <v>86.621151119952401</v>
      </c>
      <c r="G26" s="206">
        <v>2.2314210059892498E-3</v>
      </c>
      <c r="H26" s="206">
        <v>5.5785525149731299E-2</v>
      </c>
      <c r="I26" s="206">
        <v>7.0945750277813299E-3</v>
      </c>
      <c r="J26" s="206">
        <v>2.1141833582788401</v>
      </c>
      <c r="K26" s="206">
        <v>0</v>
      </c>
      <c r="L26" s="206">
        <v>0</v>
      </c>
      <c r="M26" s="206">
        <v>0</v>
      </c>
      <c r="N26" s="206">
        <v>0</v>
      </c>
      <c r="O26" s="206">
        <v>88.791120003380996</v>
      </c>
    </row>
    <row r="27" spans="1:15" s="205" customFormat="1" ht="12">
      <c r="A27" s="266"/>
      <c r="B27" s="265"/>
      <c r="C27" s="212" t="s">
        <v>682</v>
      </c>
      <c r="F27" s="206">
        <v>13999.443649949901</v>
      </c>
      <c r="G27" s="206">
        <v>0.58796147073586302</v>
      </c>
      <c r="H27" s="206">
        <v>14.699036768396599</v>
      </c>
      <c r="I27" s="206">
        <v>0.78866625153288505</v>
      </c>
      <c r="J27" s="206">
        <v>235.02254295680001</v>
      </c>
      <c r="K27" s="206">
        <v>0</v>
      </c>
      <c r="L27" s="206">
        <v>0</v>
      </c>
      <c r="M27" s="206">
        <v>0</v>
      </c>
      <c r="N27" s="206">
        <v>0</v>
      </c>
      <c r="O27" s="206">
        <v>14249.1652296751</v>
      </c>
    </row>
    <row r="28" spans="1:15" s="205" customFormat="1" ht="12">
      <c r="A28" s="266"/>
      <c r="B28" s="265"/>
      <c r="C28" s="212" t="s">
        <v>683</v>
      </c>
      <c r="F28" s="206">
        <v>2.7545272047462102</v>
      </c>
      <c r="G28" s="206">
        <v>1.1682928042527701E-3</v>
      </c>
      <c r="H28" s="206">
        <v>2.9207320106319101E-2</v>
      </c>
      <c r="I28" s="206">
        <v>5.0909123189334503E-5</v>
      </c>
      <c r="J28" s="206">
        <v>1.5170918710421699E-2</v>
      </c>
      <c r="K28" s="206">
        <v>0</v>
      </c>
      <c r="L28" s="206">
        <v>0</v>
      </c>
      <c r="M28" s="206">
        <v>0</v>
      </c>
      <c r="N28" s="206">
        <v>0</v>
      </c>
      <c r="O28" s="206">
        <v>2.7989054435629499</v>
      </c>
    </row>
    <row r="29" spans="1:15">
      <c r="A29" s="273"/>
      <c r="B29" s="203" t="s">
        <v>684</v>
      </c>
      <c r="C29" s="265"/>
      <c r="F29" s="202" t="s">
        <v>817</v>
      </c>
      <c r="G29" s="202" t="s">
        <v>817</v>
      </c>
      <c r="H29" s="202" t="s">
        <v>817</v>
      </c>
      <c r="I29" s="202" t="s">
        <v>817</v>
      </c>
      <c r="J29" s="202" t="s">
        <v>817</v>
      </c>
      <c r="K29" s="202" t="s">
        <v>817</v>
      </c>
      <c r="L29" s="202" t="s">
        <v>817</v>
      </c>
      <c r="M29" s="202" t="s">
        <v>817</v>
      </c>
      <c r="N29" s="202" t="s">
        <v>817</v>
      </c>
      <c r="O29" s="202" t="s">
        <v>817</v>
      </c>
    </row>
    <row r="30" spans="1:15">
      <c r="A30" s="273"/>
      <c r="B30" s="203" t="s">
        <v>685</v>
      </c>
      <c r="C30" s="265"/>
      <c r="F30" s="202" t="s">
        <v>817</v>
      </c>
      <c r="G30" s="202" t="s">
        <v>817</v>
      </c>
      <c r="H30" s="202" t="s">
        <v>817</v>
      </c>
      <c r="I30" s="202" t="s">
        <v>817</v>
      </c>
      <c r="J30" s="202" t="s">
        <v>817</v>
      </c>
      <c r="K30" s="202" t="s">
        <v>817</v>
      </c>
      <c r="L30" s="202" t="s">
        <v>817</v>
      </c>
      <c r="M30" s="202" t="s">
        <v>817</v>
      </c>
      <c r="N30" s="202" t="s">
        <v>817</v>
      </c>
      <c r="O30" s="202" t="s">
        <v>817</v>
      </c>
    </row>
    <row r="31" spans="1:15">
      <c r="A31" s="273"/>
      <c r="B31" s="203" t="s">
        <v>686</v>
      </c>
      <c r="C31" s="212"/>
      <c r="F31" s="202">
        <v>10103.5140611346</v>
      </c>
      <c r="G31" s="202">
        <v>3.3846255733851498</v>
      </c>
      <c r="H31" s="202">
        <v>84.615639334628796</v>
      </c>
      <c r="I31" s="202">
        <v>2.9270595374792698</v>
      </c>
      <c r="J31" s="202">
        <v>872.26374216882198</v>
      </c>
      <c r="K31" s="202">
        <v>0</v>
      </c>
      <c r="L31" s="202">
        <v>0</v>
      </c>
      <c r="M31" s="202">
        <v>0</v>
      </c>
      <c r="N31" s="202">
        <v>0</v>
      </c>
      <c r="O31" s="202">
        <v>11060.393442638</v>
      </c>
    </row>
    <row r="32" spans="1:15" s="205" customFormat="1" ht="12">
      <c r="A32" s="266"/>
      <c r="B32" s="265"/>
      <c r="C32" s="212" t="s">
        <v>687</v>
      </c>
      <c r="F32" s="206">
        <v>3215.5574579220302</v>
      </c>
      <c r="G32" s="206">
        <v>0.19777471521280501</v>
      </c>
      <c r="H32" s="206">
        <v>4.9443678803201303</v>
      </c>
      <c r="I32" s="206">
        <v>1.26380086536161</v>
      </c>
      <c r="J32" s="206">
        <v>376.61265787776</v>
      </c>
      <c r="K32" s="206">
        <v>0</v>
      </c>
      <c r="L32" s="206">
        <v>0</v>
      </c>
      <c r="M32" s="206">
        <v>0</v>
      </c>
      <c r="N32" s="206">
        <v>0</v>
      </c>
      <c r="O32" s="206">
        <v>3597.11448368011</v>
      </c>
    </row>
    <row r="33" spans="1:15" s="205" customFormat="1" ht="12">
      <c r="A33" s="266"/>
      <c r="B33" s="265"/>
      <c r="C33" s="212" t="s">
        <v>688</v>
      </c>
      <c r="F33" s="206">
        <v>329.03639546692699</v>
      </c>
      <c r="G33" s="206">
        <v>0.27425923653270601</v>
      </c>
      <c r="H33" s="206">
        <v>6.8564809133176503</v>
      </c>
      <c r="I33" s="206">
        <v>6.1746492194983099E-2</v>
      </c>
      <c r="J33" s="206">
        <v>18.400454674104999</v>
      </c>
      <c r="K33" s="206">
        <v>0</v>
      </c>
      <c r="L33" s="206">
        <v>0</v>
      </c>
      <c r="M33" s="206">
        <v>0</v>
      </c>
      <c r="N33" s="206">
        <v>0</v>
      </c>
      <c r="O33" s="206">
        <v>354.29333105434898</v>
      </c>
    </row>
    <row r="34" spans="1:15" s="205" customFormat="1" ht="12">
      <c r="A34" s="266"/>
      <c r="B34" s="265"/>
      <c r="C34" s="212" t="s">
        <v>689</v>
      </c>
      <c r="F34" s="206">
        <v>3916.4399225138</v>
      </c>
      <c r="G34" s="206">
        <v>0.29974098499324098</v>
      </c>
      <c r="H34" s="206">
        <v>7.4935246248310197</v>
      </c>
      <c r="I34" s="206">
        <v>1.4996208163320599</v>
      </c>
      <c r="J34" s="206">
        <v>446.88700326695403</v>
      </c>
      <c r="K34" s="206">
        <v>0</v>
      </c>
      <c r="L34" s="206">
        <v>0</v>
      </c>
      <c r="M34" s="206">
        <v>0</v>
      </c>
      <c r="N34" s="206">
        <v>0</v>
      </c>
      <c r="O34" s="206">
        <v>4370.8204504055802</v>
      </c>
    </row>
    <row r="35" spans="1:15" s="205" customFormat="1" ht="12">
      <c r="A35" s="266"/>
      <c r="B35" s="265"/>
      <c r="C35" s="212" t="s">
        <v>690</v>
      </c>
      <c r="F35" s="206">
        <v>110.50265731944</v>
      </c>
      <c r="G35" s="206">
        <v>0.110591388603267</v>
      </c>
      <c r="H35" s="206">
        <v>2.76478471508167</v>
      </c>
      <c r="I35" s="206">
        <v>1.0395236049685499E-2</v>
      </c>
      <c r="J35" s="206">
        <v>3.0977803428062902</v>
      </c>
      <c r="K35" s="206">
        <v>0</v>
      </c>
      <c r="L35" s="206">
        <v>0</v>
      </c>
      <c r="M35" s="206">
        <v>0</v>
      </c>
      <c r="N35" s="206">
        <v>0</v>
      </c>
      <c r="O35" s="206">
        <v>116.365222377328</v>
      </c>
    </row>
    <row r="36" spans="1:15" s="205" customFormat="1" ht="12">
      <c r="A36" s="266"/>
      <c r="B36" s="265"/>
      <c r="C36" s="212" t="s">
        <v>691</v>
      </c>
      <c r="F36" s="206">
        <v>414.43282791237601</v>
      </c>
      <c r="G36" s="206">
        <v>0.424717073043133</v>
      </c>
      <c r="H36" s="206">
        <v>10.6179268260783</v>
      </c>
      <c r="I36" s="206">
        <v>3.5922127540926503E-2</v>
      </c>
      <c r="J36" s="206">
        <v>10.704794007196099</v>
      </c>
      <c r="K36" s="206">
        <v>0</v>
      </c>
      <c r="L36" s="206">
        <v>0</v>
      </c>
      <c r="M36" s="206">
        <v>0</v>
      </c>
      <c r="N36" s="206">
        <v>0</v>
      </c>
      <c r="O36" s="206">
        <v>435.75554874565</v>
      </c>
    </row>
    <row r="37" spans="1:15" s="205" customFormat="1" ht="12">
      <c r="A37" s="266"/>
      <c r="B37" s="265"/>
      <c r="C37" s="212" t="s">
        <v>692</v>
      </c>
      <c r="D37" s="207"/>
      <c r="E37" s="207"/>
      <c r="F37" s="206">
        <v>2117.5448000000001</v>
      </c>
      <c r="G37" s="206">
        <v>2.077542175</v>
      </c>
      <c r="H37" s="206">
        <v>51.938554375000002</v>
      </c>
      <c r="I37" s="206">
        <v>5.5573999999999998E-2</v>
      </c>
      <c r="J37" s="206">
        <v>16.561052</v>
      </c>
      <c r="K37" s="208">
        <v>0</v>
      </c>
      <c r="L37" s="208">
        <v>0</v>
      </c>
      <c r="M37" s="208">
        <v>0</v>
      </c>
      <c r="N37" s="208">
        <v>0</v>
      </c>
      <c r="O37" s="206">
        <v>2186.0444063750001</v>
      </c>
    </row>
    <row r="38" spans="1:15">
      <c r="A38" s="249" t="s">
        <v>693</v>
      </c>
      <c r="B38" s="248" t="s">
        <v>694</v>
      </c>
      <c r="C38" s="272"/>
      <c r="D38" s="225"/>
      <c r="E38" s="225"/>
      <c r="F38" s="218">
        <v>7586.7779794724302</v>
      </c>
      <c r="G38" s="218">
        <v>1187.85393722202</v>
      </c>
      <c r="H38" s="218">
        <v>29696.348430550599</v>
      </c>
      <c r="I38" s="218">
        <v>6.7897795838555E-2</v>
      </c>
      <c r="J38" s="218">
        <v>20.2335431598894</v>
      </c>
      <c r="K38" s="218">
        <v>0</v>
      </c>
      <c r="L38" s="218">
        <v>0</v>
      </c>
      <c r="M38" s="218">
        <v>0</v>
      </c>
      <c r="N38" s="218">
        <v>0</v>
      </c>
      <c r="O38" s="218">
        <v>37303.359953182902</v>
      </c>
    </row>
    <row r="39" spans="1:15">
      <c r="A39" s="271"/>
      <c r="B39" s="201" t="s">
        <v>695</v>
      </c>
      <c r="C39" s="269"/>
      <c r="D39" s="225"/>
      <c r="E39" s="225"/>
      <c r="F39" s="211">
        <v>0</v>
      </c>
      <c r="G39" s="211">
        <v>13.612047960811299</v>
      </c>
      <c r="H39" s="211">
        <v>340.30119902028298</v>
      </c>
      <c r="I39" s="211">
        <v>0</v>
      </c>
      <c r="J39" s="211">
        <v>0</v>
      </c>
      <c r="K39" s="211">
        <v>0</v>
      </c>
      <c r="L39" s="211">
        <v>0</v>
      </c>
      <c r="M39" s="211">
        <v>0</v>
      </c>
      <c r="N39" s="211">
        <v>0</v>
      </c>
      <c r="O39" s="211">
        <v>340.30119902028298</v>
      </c>
    </row>
    <row r="40" spans="1:15">
      <c r="A40" s="271"/>
      <c r="B40" s="270" t="s">
        <v>696</v>
      </c>
      <c r="C40" s="269"/>
      <c r="D40" s="225"/>
      <c r="E40" s="225"/>
      <c r="F40" s="211">
        <v>7586.7779794724302</v>
      </c>
      <c r="G40" s="211">
        <v>1174.24188926121</v>
      </c>
      <c r="H40" s="211">
        <v>29356.047231530301</v>
      </c>
      <c r="I40" s="211">
        <v>6.7897795838555E-2</v>
      </c>
      <c r="J40" s="211">
        <v>20.2335431598894</v>
      </c>
      <c r="K40" s="211">
        <v>0</v>
      </c>
      <c r="L40" s="211">
        <v>0</v>
      </c>
      <c r="M40" s="211">
        <v>0</v>
      </c>
      <c r="N40" s="211">
        <v>0</v>
      </c>
      <c r="O40" s="211">
        <v>36963.058754162601</v>
      </c>
    </row>
    <row r="41" spans="1:15">
      <c r="A41" s="213" t="s">
        <v>697</v>
      </c>
      <c r="B41" s="214" t="s">
        <v>698</v>
      </c>
      <c r="C41" s="214"/>
      <c r="D41" s="215"/>
      <c r="E41" s="215"/>
      <c r="F41" s="216">
        <v>0</v>
      </c>
      <c r="G41" s="216">
        <v>0</v>
      </c>
      <c r="H41" s="216">
        <v>0</v>
      </c>
      <c r="I41" s="216">
        <v>0</v>
      </c>
      <c r="J41" s="216">
        <v>0</v>
      </c>
      <c r="K41" s="216">
        <v>0</v>
      </c>
      <c r="L41" s="216">
        <v>0</v>
      </c>
      <c r="M41" s="216">
        <v>0</v>
      </c>
      <c r="N41" s="216">
        <v>0</v>
      </c>
      <c r="O41" s="216">
        <v>0</v>
      </c>
    </row>
    <row r="42" spans="1:15">
      <c r="A42" s="217" t="s">
        <v>699</v>
      </c>
      <c r="B42" s="251"/>
      <c r="C42" s="250"/>
      <c r="F42" s="198">
        <v>10149.660604242799</v>
      </c>
      <c r="G42" s="198">
        <v>1.4467485704254499</v>
      </c>
      <c r="H42" s="198">
        <v>36.1687142606362</v>
      </c>
      <c r="I42" s="198">
        <v>3.1525336234273502</v>
      </c>
      <c r="J42" s="198">
        <v>939.45501978135098</v>
      </c>
      <c r="K42" s="198">
        <v>1390.2150440565899</v>
      </c>
      <c r="L42" s="198">
        <v>1.91194684551074</v>
      </c>
      <c r="M42" s="198">
        <v>2.5338575066740101</v>
      </c>
      <c r="N42" s="198">
        <v>0</v>
      </c>
      <c r="O42" s="198">
        <v>12519.9451866936</v>
      </c>
    </row>
    <row r="43" spans="1:15">
      <c r="A43" s="262" t="s">
        <v>663</v>
      </c>
      <c r="B43" s="261" t="s">
        <v>700</v>
      </c>
      <c r="C43" s="261"/>
      <c r="F43" s="199">
        <v>1147.00519294022</v>
      </c>
      <c r="G43" s="199">
        <v>0</v>
      </c>
      <c r="H43" s="199">
        <v>0</v>
      </c>
      <c r="I43" s="199">
        <v>0</v>
      </c>
      <c r="J43" s="199">
        <v>0</v>
      </c>
      <c r="K43" s="199">
        <v>0</v>
      </c>
      <c r="L43" s="199">
        <v>0</v>
      </c>
      <c r="M43" s="199">
        <v>0</v>
      </c>
      <c r="N43" s="199">
        <v>0</v>
      </c>
      <c r="O43" s="199">
        <v>1147.00519294022</v>
      </c>
    </row>
    <row r="44" spans="1:15" s="205" customFormat="1" ht="12">
      <c r="A44" s="266"/>
      <c r="B44" s="268"/>
      <c r="C44" s="212" t="s">
        <v>501</v>
      </c>
      <c r="F44" s="206">
        <v>897.43363853898302</v>
      </c>
      <c r="G44" s="206">
        <v>0</v>
      </c>
      <c r="H44" s="206">
        <v>0</v>
      </c>
      <c r="I44" s="206">
        <v>0</v>
      </c>
      <c r="J44" s="206">
        <v>0</v>
      </c>
      <c r="K44" s="206">
        <v>0</v>
      </c>
      <c r="L44" s="206">
        <v>0</v>
      </c>
      <c r="M44" s="206">
        <v>0</v>
      </c>
      <c r="N44" s="206">
        <v>0</v>
      </c>
      <c r="O44" s="206">
        <v>897.43363853898302</v>
      </c>
    </row>
    <row r="45" spans="1:15" s="205" customFormat="1" ht="12">
      <c r="A45" s="266"/>
      <c r="B45" s="268"/>
      <c r="C45" s="212" t="s">
        <v>183</v>
      </c>
      <c r="F45" s="206">
        <v>108.98336017384</v>
      </c>
      <c r="G45" s="206">
        <v>0</v>
      </c>
      <c r="H45" s="206">
        <v>0</v>
      </c>
      <c r="I45" s="206">
        <v>0</v>
      </c>
      <c r="J45" s="206">
        <v>0</v>
      </c>
      <c r="K45" s="206">
        <v>0</v>
      </c>
      <c r="L45" s="206">
        <v>0</v>
      </c>
      <c r="M45" s="206">
        <v>0</v>
      </c>
      <c r="N45" s="206">
        <v>0</v>
      </c>
      <c r="O45" s="206">
        <v>108.98336017384</v>
      </c>
    </row>
    <row r="46" spans="1:15" s="205" customFormat="1" ht="12">
      <c r="A46" s="266"/>
      <c r="B46" s="268"/>
      <c r="C46" s="212" t="s">
        <v>824</v>
      </c>
      <c r="F46" s="206">
        <v>140.588194227401</v>
      </c>
      <c r="G46" s="206">
        <v>0</v>
      </c>
      <c r="H46" s="206">
        <v>0</v>
      </c>
      <c r="I46" s="206">
        <v>0</v>
      </c>
      <c r="J46" s="206">
        <v>0</v>
      </c>
      <c r="K46" s="206">
        <v>0</v>
      </c>
      <c r="L46" s="206">
        <v>0</v>
      </c>
      <c r="M46" s="206">
        <v>0</v>
      </c>
      <c r="N46" s="206">
        <v>0</v>
      </c>
      <c r="O46" s="206">
        <v>140.588194227401</v>
      </c>
    </row>
    <row r="47" spans="1:15" s="267" customFormat="1">
      <c r="A47" s="262" t="s">
        <v>673</v>
      </c>
      <c r="B47" s="261" t="s">
        <v>823</v>
      </c>
      <c r="C47" s="261"/>
      <c r="F47" s="199">
        <v>0</v>
      </c>
      <c r="G47" s="199">
        <v>0</v>
      </c>
      <c r="H47" s="218">
        <v>0</v>
      </c>
      <c r="I47" s="199">
        <v>0</v>
      </c>
      <c r="J47" s="199">
        <v>0</v>
      </c>
      <c r="K47" s="199">
        <v>0</v>
      </c>
      <c r="L47" s="199">
        <v>0</v>
      </c>
      <c r="M47" s="199">
        <v>0</v>
      </c>
      <c r="N47" s="199">
        <v>0</v>
      </c>
      <c r="O47" s="199">
        <v>0</v>
      </c>
    </row>
    <row r="48" spans="1:15" s="205" customFormat="1" ht="12">
      <c r="A48" s="266"/>
      <c r="B48" s="268"/>
      <c r="C48" s="212" t="s">
        <v>702</v>
      </c>
      <c r="F48" s="206">
        <v>0</v>
      </c>
      <c r="G48" s="206">
        <v>0</v>
      </c>
      <c r="H48" s="206">
        <v>0</v>
      </c>
      <c r="I48" s="206">
        <v>0</v>
      </c>
      <c r="J48" s="206">
        <v>0</v>
      </c>
      <c r="K48" s="206">
        <v>0</v>
      </c>
      <c r="L48" s="206">
        <v>0</v>
      </c>
      <c r="M48" s="206">
        <v>0</v>
      </c>
      <c r="N48" s="206">
        <v>0</v>
      </c>
      <c r="O48" s="206">
        <v>0</v>
      </c>
    </row>
    <row r="49" spans="1:15" s="267" customFormat="1">
      <c r="A49" s="262" t="s">
        <v>693</v>
      </c>
      <c r="B49" s="261" t="s">
        <v>704</v>
      </c>
      <c r="C49" s="261"/>
      <c r="F49" s="199">
        <v>0</v>
      </c>
      <c r="G49" s="199">
        <v>0</v>
      </c>
      <c r="H49" s="199">
        <v>0</v>
      </c>
      <c r="I49" s="199">
        <v>0</v>
      </c>
      <c r="J49" s="199">
        <v>0</v>
      </c>
      <c r="K49" s="199">
        <v>0</v>
      </c>
      <c r="L49" s="218">
        <v>0</v>
      </c>
      <c r="M49" s="218">
        <v>0</v>
      </c>
      <c r="N49" s="199">
        <v>0</v>
      </c>
      <c r="O49" s="199">
        <v>0</v>
      </c>
    </row>
    <row r="50" spans="1:15" s="205" customFormat="1" ht="12">
      <c r="A50" s="266"/>
      <c r="B50" s="265"/>
      <c r="C50" s="265" t="s">
        <v>705</v>
      </c>
      <c r="F50" s="206">
        <v>0</v>
      </c>
      <c r="G50" s="206">
        <v>0</v>
      </c>
      <c r="H50" s="206">
        <v>0</v>
      </c>
      <c r="I50" s="206">
        <v>0</v>
      </c>
      <c r="J50" s="206">
        <v>0</v>
      </c>
      <c r="K50" s="206">
        <v>0</v>
      </c>
      <c r="L50" s="219">
        <v>0</v>
      </c>
      <c r="M50" s="219">
        <v>0</v>
      </c>
      <c r="N50" s="206">
        <v>0</v>
      </c>
      <c r="O50" s="206">
        <v>0</v>
      </c>
    </row>
    <row r="51" spans="1:15" s="205" customFormat="1" ht="12">
      <c r="A51" s="266"/>
      <c r="B51" s="265"/>
      <c r="C51" s="265" t="s">
        <v>244</v>
      </c>
      <c r="F51" s="206">
        <v>0</v>
      </c>
      <c r="G51" s="206">
        <v>0</v>
      </c>
      <c r="H51" s="206">
        <v>0</v>
      </c>
      <c r="I51" s="206">
        <v>0</v>
      </c>
      <c r="J51" s="206">
        <v>0</v>
      </c>
      <c r="K51" s="206">
        <v>0</v>
      </c>
      <c r="L51" s="219">
        <v>0</v>
      </c>
      <c r="M51" s="219">
        <v>0</v>
      </c>
      <c r="N51" s="206">
        <v>0</v>
      </c>
      <c r="O51" s="206">
        <v>0</v>
      </c>
    </row>
    <row r="52" spans="1:15" s="205" customFormat="1" ht="12">
      <c r="A52" s="258"/>
      <c r="B52" s="257"/>
      <c r="C52" s="257" t="s">
        <v>706</v>
      </c>
      <c r="D52" s="207"/>
      <c r="E52" s="207"/>
      <c r="F52" s="208">
        <v>0</v>
      </c>
      <c r="G52" s="208">
        <v>0</v>
      </c>
      <c r="H52" s="208">
        <v>0</v>
      </c>
      <c r="I52" s="208">
        <v>0</v>
      </c>
      <c r="J52" s="208">
        <v>0</v>
      </c>
      <c r="K52" s="208">
        <v>0</v>
      </c>
      <c r="L52" s="219">
        <v>0</v>
      </c>
      <c r="M52" s="219">
        <v>0</v>
      </c>
      <c r="N52" s="208">
        <v>0</v>
      </c>
      <c r="O52" s="208">
        <v>0</v>
      </c>
    </row>
    <row r="53" spans="1:15">
      <c r="A53" s="220" t="s">
        <v>697</v>
      </c>
      <c r="B53" s="221" t="s">
        <v>707</v>
      </c>
      <c r="C53" s="248"/>
      <c r="D53" s="225"/>
      <c r="E53" s="225"/>
      <c r="F53" s="211">
        <v>0</v>
      </c>
      <c r="G53" s="211">
        <v>0</v>
      </c>
      <c r="H53" s="211">
        <v>0</v>
      </c>
      <c r="I53" s="211">
        <v>0</v>
      </c>
      <c r="J53" s="211">
        <v>0</v>
      </c>
      <c r="K53" s="211">
        <v>1390.2150440565899</v>
      </c>
      <c r="L53" s="211">
        <v>0.51044894871198299</v>
      </c>
      <c r="M53" s="211">
        <v>0.12822950667400701</v>
      </c>
      <c r="N53" s="211">
        <v>0</v>
      </c>
      <c r="O53" s="211">
        <v>1390.8537225119701</v>
      </c>
    </row>
    <row r="54" spans="1:15">
      <c r="A54" s="220" t="s">
        <v>708</v>
      </c>
      <c r="B54" s="221" t="s">
        <v>709</v>
      </c>
      <c r="C54" s="248"/>
      <c r="D54" s="225"/>
      <c r="E54" s="225"/>
      <c r="F54" s="211">
        <v>8998.0266461133306</v>
      </c>
      <c r="G54" s="211">
        <v>1.4467485704254499</v>
      </c>
      <c r="H54" s="211">
        <v>36.1687142606362</v>
      </c>
      <c r="I54" s="211">
        <v>3.05840472435102</v>
      </c>
      <c r="J54" s="211">
        <v>911.40460785660503</v>
      </c>
      <c r="K54" s="211">
        <v>0</v>
      </c>
      <c r="L54" s="211">
        <v>0</v>
      </c>
      <c r="M54" s="211">
        <v>0</v>
      </c>
      <c r="N54" s="211">
        <v>0</v>
      </c>
      <c r="O54" s="211">
        <v>9945.5999682305701</v>
      </c>
    </row>
    <row r="55" spans="1:15">
      <c r="A55" s="213" t="s">
        <v>710</v>
      </c>
      <c r="B55" s="214" t="s">
        <v>711</v>
      </c>
      <c r="C55" s="264"/>
      <c r="D55" s="253"/>
      <c r="E55" s="253"/>
      <c r="F55" s="252">
        <v>4.6287651892776598</v>
      </c>
      <c r="G55" s="252">
        <v>0</v>
      </c>
      <c r="H55" s="252">
        <v>0</v>
      </c>
      <c r="I55" s="252">
        <v>9.4128899076327502E-2</v>
      </c>
      <c r="J55" s="252">
        <v>28.0504119247456</v>
      </c>
      <c r="K55" s="252">
        <v>0</v>
      </c>
      <c r="L55" s="252">
        <v>1.4014978967987599</v>
      </c>
      <c r="M55" s="252">
        <v>2.4056280000000001</v>
      </c>
      <c r="N55" s="252">
        <v>0</v>
      </c>
      <c r="O55" s="252">
        <v>36.486303010821999</v>
      </c>
    </row>
    <row r="56" spans="1:15">
      <c r="A56" s="251" t="s">
        <v>712</v>
      </c>
      <c r="B56" s="250"/>
      <c r="C56" s="250"/>
      <c r="F56" s="223">
        <v>765.31980799999997</v>
      </c>
      <c r="G56" s="223">
        <v>410.30047611034303</v>
      </c>
      <c r="H56" s="223">
        <v>10257.511902758601</v>
      </c>
      <c r="I56" s="388">
        <v>24.330745081345199</v>
      </c>
      <c r="J56" s="223">
        <v>7250.5620342408602</v>
      </c>
      <c r="K56" s="198">
        <v>0</v>
      </c>
      <c r="L56" s="198">
        <v>0</v>
      </c>
      <c r="M56" s="198">
        <v>0</v>
      </c>
      <c r="N56" s="198">
        <v>0</v>
      </c>
      <c r="O56" s="198">
        <v>18273.393744999401</v>
      </c>
    </row>
    <row r="57" spans="1:15">
      <c r="A57" s="262" t="s">
        <v>663</v>
      </c>
      <c r="B57" s="261" t="s">
        <v>27</v>
      </c>
      <c r="C57" s="261"/>
      <c r="F57" s="211">
        <v>0</v>
      </c>
      <c r="G57" s="211">
        <v>381.53032702405301</v>
      </c>
      <c r="H57" s="211">
        <v>9538.2581756013296</v>
      </c>
      <c r="I57" s="211">
        <v>0</v>
      </c>
      <c r="J57" s="211">
        <v>0</v>
      </c>
      <c r="K57" s="202">
        <v>0</v>
      </c>
      <c r="L57" s="202">
        <v>0</v>
      </c>
      <c r="M57" s="202">
        <v>0</v>
      </c>
      <c r="N57" s="202">
        <v>0</v>
      </c>
      <c r="O57" s="202">
        <v>9538.2581756013296</v>
      </c>
    </row>
    <row r="58" spans="1:15">
      <c r="A58" s="262" t="s">
        <v>673</v>
      </c>
      <c r="B58" s="261" t="s">
        <v>28</v>
      </c>
      <c r="C58" s="261"/>
      <c r="F58" s="211">
        <v>0</v>
      </c>
      <c r="G58" s="211">
        <v>28.740102622289498</v>
      </c>
      <c r="H58" s="211">
        <v>718.50256555723695</v>
      </c>
      <c r="I58" s="211">
        <v>4.81855352982772</v>
      </c>
      <c r="J58" s="211">
        <v>1435.9289518886601</v>
      </c>
      <c r="K58" s="202">
        <v>0</v>
      </c>
      <c r="L58" s="202">
        <v>0</v>
      </c>
      <c r="M58" s="202">
        <v>0</v>
      </c>
      <c r="N58" s="202">
        <v>0</v>
      </c>
      <c r="O58" s="202">
        <v>2154.4315174459002</v>
      </c>
    </row>
    <row r="59" spans="1:15">
      <c r="A59" s="262" t="s">
        <v>693</v>
      </c>
      <c r="B59" s="261" t="s">
        <v>713</v>
      </c>
      <c r="C59" s="261"/>
      <c r="F59" s="202">
        <v>0</v>
      </c>
      <c r="G59" s="202">
        <v>0</v>
      </c>
      <c r="H59" s="202">
        <v>0</v>
      </c>
      <c r="I59" s="202">
        <v>19.5114125691174</v>
      </c>
      <c r="J59" s="202">
        <v>5814.4009455969999</v>
      </c>
      <c r="K59" s="199">
        <v>0</v>
      </c>
      <c r="L59" s="199">
        <v>0</v>
      </c>
      <c r="M59" s="199">
        <v>0</v>
      </c>
      <c r="N59" s="199">
        <v>0</v>
      </c>
      <c r="O59" s="199">
        <v>5814.4009455969999</v>
      </c>
    </row>
    <row r="60" spans="1:15" s="205" customFormat="1" ht="12">
      <c r="A60" s="260"/>
      <c r="B60" s="259"/>
      <c r="C60" s="257" t="s">
        <v>714</v>
      </c>
      <c r="F60" s="208">
        <v>0</v>
      </c>
      <c r="G60" s="208">
        <v>0</v>
      </c>
      <c r="H60" s="208">
        <v>0</v>
      </c>
      <c r="I60" s="208">
        <v>15.853056182754001</v>
      </c>
      <c r="J60" s="208">
        <v>4724.2107424606802</v>
      </c>
      <c r="K60" s="206">
        <v>0</v>
      </c>
      <c r="L60" s="206">
        <v>0</v>
      </c>
      <c r="M60" s="206">
        <v>0</v>
      </c>
      <c r="N60" s="206">
        <v>0</v>
      </c>
      <c r="O60" s="206">
        <v>4724.2107424606802</v>
      </c>
    </row>
    <row r="61" spans="1:15" s="205" customFormat="1" ht="12">
      <c r="A61" s="258"/>
      <c r="B61" s="257"/>
      <c r="C61" s="257" t="s">
        <v>715</v>
      </c>
      <c r="D61" s="207"/>
      <c r="E61" s="207"/>
      <c r="F61" s="208">
        <v>0</v>
      </c>
      <c r="G61" s="208">
        <v>0</v>
      </c>
      <c r="H61" s="208">
        <v>0</v>
      </c>
      <c r="I61" s="208">
        <v>3.65835638636347</v>
      </c>
      <c r="J61" s="208">
        <v>1090.19020313632</v>
      </c>
      <c r="K61" s="208">
        <v>0</v>
      </c>
      <c r="L61" s="208">
        <v>0</v>
      </c>
      <c r="M61" s="208">
        <v>0</v>
      </c>
      <c r="N61" s="208">
        <v>0</v>
      </c>
      <c r="O61" s="208">
        <v>1090.19020313632</v>
      </c>
    </row>
    <row r="62" spans="1:15" s="204" customFormat="1" ht="13">
      <c r="A62" s="249" t="s">
        <v>697</v>
      </c>
      <c r="B62" s="248" t="s">
        <v>185</v>
      </c>
      <c r="C62" s="256"/>
      <c r="D62" s="210"/>
      <c r="E62" s="210"/>
      <c r="F62" s="211">
        <v>0</v>
      </c>
      <c r="G62" s="211">
        <v>3.0046463999999998E-2</v>
      </c>
      <c r="H62" s="211">
        <v>0.75116159999999998</v>
      </c>
      <c r="I62" s="211">
        <v>7.7898240000000003E-4</v>
      </c>
      <c r="J62" s="211">
        <v>0.23213675519999999</v>
      </c>
      <c r="K62" s="211">
        <v>0</v>
      </c>
      <c r="L62" s="211">
        <v>0</v>
      </c>
      <c r="M62" s="211">
        <v>0</v>
      </c>
      <c r="N62" s="211">
        <v>0</v>
      </c>
      <c r="O62" s="211">
        <v>0.98329835519999997</v>
      </c>
    </row>
    <row r="63" spans="1:15">
      <c r="A63" s="255" t="s">
        <v>708</v>
      </c>
      <c r="B63" s="214" t="s">
        <v>716</v>
      </c>
      <c r="C63" s="254"/>
      <c r="D63" s="253"/>
      <c r="E63" s="253"/>
      <c r="F63" s="222">
        <v>765.31980799999997</v>
      </c>
      <c r="G63" s="222">
        <v>0</v>
      </c>
      <c r="H63" s="222">
        <v>0</v>
      </c>
      <c r="I63" s="222">
        <v>0</v>
      </c>
      <c r="J63" s="222">
        <v>0</v>
      </c>
      <c r="K63" s="252">
        <v>0</v>
      </c>
      <c r="L63" s="252">
        <v>0</v>
      </c>
      <c r="M63" s="252">
        <v>0</v>
      </c>
      <c r="N63" s="252">
        <v>0</v>
      </c>
      <c r="O63" s="252">
        <v>765.31980799999997</v>
      </c>
    </row>
    <row r="64" spans="1:15">
      <c r="A64" s="251" t="s">
        <v>717</v>
      </c>
      <c r="B64" s="250"/>
      <c r="C64" s="250"/>
      <c r="F64" s="198">
        <v>30.921506000000001</v>
      </c>
      <c r="G64" s="198">
        <v>80.978279810000004</v>
      </c>
      <c r="H64" s="198">
        <v>2024.4569952500001</v>
      </c>
      <c r="I64" s="198">
        <v>0.56522198000000001</v>
      </c>
      <c r="J64" s="198">
        <v>168.43615004</v>
      </c>
      <c r="K64" s="198">
        <v>0</v>
      </c>
      <c r="L64" s="198">
        <v>0</v>
      </c>
      <c r="M64" s="198">
        <v>0</v>
      </c>
      <c r="N64" s="198">
        <v>0</v>
      </c>
      <c r="O64" s="198">
        <v>2223.8146512899998</v>
      </c>
    </row>
    <row r="65" spans="1:31">
      <c r="A65" s="249" t="s">
        <v>663</v>
      </c>
      <c r="B65" s="248" t="s">
        <v>718</v>
      </c>
      <c r="C65" s="248"/>
      <c r="D65" s="225"/>
      <c r="E65" s="225"/>
      <c r="F65" s="211">
        <v>0</v>
      </c>
      <c r="G65" s="211">
        <v>75.084524189999996</v>
      </c>
      <c r="H65" s="211">
        <v>1877.11310475</v>
      </c>
      <c r="I65" s="211">
        <v>0</v>
      </c>
      <c r="J65" s="211">
        <v>0</v>
      </c>
      <c r="K65" s="211">
        <v>0</v>
      </c>
      <c r="L65" s="211">
        <v>0</v>
      </c>
      <c r="M65" s="211">
        <v>0</v>
      </c>
      <c r="N65" s="211">
        <v>0</v>
      </c>
      <c r="O65" s="211">
        <v>1877.11310475</v>
      </c>
    </row>
    <row r="66" spans="1:31">
      <c r="A66" s="249" t="s">
        <v>822</v>
      </c>
      <c r="B66" s="248" t="s">
        <v>719</v>
      </c>
      <c r="E66" s="225"/>
      <c r="F66" s="211">
        <v>0</v>
      </c>
      <c r="G66" s="211">
        <v>4.2878493500000001</v>
      </c>
      <c r="H66" s="211">
        <v>107.19623375</v>
      </c>
      <c r="I66" s="211">
        <v>0.25727095999999999</v>
      </c>
      <c r="J66" s="211">
        <v>76.666746079999996</v>
      </c>
      <c r="K66" s="211">
        <v>0</v>
      </c>
      <c r="L66" s="211">
        <v>0</v>
      </c>
      <c r="M66" s="211">
        <v>0</v>
      </c>
      <c r="N66" s="211">
        <v>0</v>
      </c>
      <c r="O66" s="211">
        <v>183.86297983</v>
      </c>
    </row>
    <row r="67" spans="1:31">
      <c r="A67" s="249" t="s">
        <v>693</v>
      </c>
      <c r="B67" s="248" t="s">
        <v>720</v>
      </c>
      <c r="C67" s="248"/>
      <c r="D67" s="225"/>
      <c r="E67" s="225"/>
      <c r="F67" s="211">
        <v>0</v>
      </c>
      <c r="G67" s="211">
        <v>1.6029208399999999</v>
      </c>
      <c r="H67" s="211">
        <v>40.073020999999997</v>
      </c>
      <c r="I67" s="211">
        <v>0.25215050999999999</v>
      </c>
      <c r="J67" s="211">
        <v>75.140851979999994</v>
      </c>
      <c r="K67" s="211">
        <v>0</v>
      </c>
      <c r="L67" s="211">
        <v>0</v>
      </c>
      <c r="M67" s="211">
        <v>0</v>
      </c>
      <c r="N67" s="211">
        <v>0</v>
      </c>
      <c r="O67" s="211">
        <v>115.21387298</v>
      </c>
    </row>
    <row r="68" spans="1:31">
      <c r="A68" s="247" t="s">
        <v>697</v>
      </c>
      <c r="B68" s="246" t="s">
        <v>721</v>
      </c>
      <c r="C68" s="246"/>
      <c r="D68" s="245"/>
      <c r="E68" s="245"/>
      <c r="F68" s="222">
        <v>30.921506000000001</v>
      </c>
      <c r="G68" s="222">
        <v>2.9854299999999999E-3</v>
      </c>
      <c r="H68" s="222">
        <v>7.4635750000000001E-2</v>
      </c>
      <c r="I68" s="222">
        <v>5.5800509999999998E-2</v>
      </c>
      <c r="J68" s="222">
        <v>16.628551980000001</v>
      </c>
      <c r="K68" s="222">
        <v>0</v>
      </c>
      <c r="L68" s="222">
        <v>0</v>
      </c>
      <c r="M68" s="222">
        <v>0</v>
      </c>
      <c r="N68" s="222">
        <v>0</v>
      </c>
      <c r="O68" s="222">
        <v>47.624693729999997</v>
      </c>
    </row>
    <row r="69" spans="1:31" s="196" customFormat="1" ht="14"/>
    <row r="70" spans="1:31">
      <c r="A70" s="204" t="s">
        <v>248</v>
      </c>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row>
    <row r="71" spans="1:31" s="204" customFormat="1" ht="13">
      <c r="A71" s="204" t="s">
        <v>821</v>
      </c>
    </row>
    <row r="72" spans="1:31" s="204" customFormat="1" ht="15">
      <c r="A72" s="204" t="s">
        <v>918</v>
      </c>
    </row>
    <row r="73" spans="1:31" s="204" customFormat="1" ht="15">
      <c r="A73" s="204" t="s">
        <v>917</v>
      </c>
      <c r="F73" s="387"/>
      <c r="G73" s="387"/>
      <c r="H73" s="387"/>
      <c r="I73" s="387"/>
      <c r="J73" s="387"/>
      <c r="K73" s="387"/>
      <c r="L73" s="387"/>
      <c r="M73" s="387"/>
      <c r="N73" s="387"/>
      <c r="O73" s="387"/>
      <c r="P73" s="387"/>
      <c r="Q73" s="387"/>
      <c r="R73" s="387"/>
      <c r="S73" s="387"/>
      <c r="T73" s="387"/>
      <c r="U73" s="387"/>
      <c r="V73" s="387"/>
      <c r="W73" s="387"/>
      <c r="X73" s="387"/>
      <c r="Y73" s="387"/>
      <c r="Z73" s="387"/>
      <c r="AA73" s="387"/>
      <c r="AB73" s="387"/>
      <c r="AC73" s="387"/>
      <c r="AE73" s="386"/>
    </row>
    <row r="74" spans="1:31" s="204" customFormat="1" ht="13">
      <c r="A74" s="204" t="s">
        <v>722</v>
      </c>
    </row>
    <row r="75" spans="1:31" s="204" customFormat="1" ht="13">
      <c r="A75" s="204" t="s">
        <v>723</v>
      </c>
      <c r="B75" s="204" t="s">
        <v>724</v>
      </c>
    </row>
    <row r="76" spans="1:31" s="204" customFormat="1" ht="13">
      <c r="A76" s="385">
        <v>0</v>
      </c>
      <c r="B76" s="204" t="s">
        <v>725</v>
      </c>
    </row>
    <row r="77" spans="1:31" s="204" customFormat="1" ht="13">
      <c r="A77" s="204" t="s">
        <v>817</v>
      </c>
      <c r="B77" s="204" t="s">
        <v>816</v>
      </c>
    </row>
    <row r="78" spans="1:31" s="204" customFormat="1" ht="13">
      <c r="A78" s="204" t="s">
        <v>815</v>
      </c>
    </row>
    <row r="79" spans="1:31">
      <c r="A79" s="204" t="s">
        <v>916</v>
      </c>
      <c r="F79" s="383"/>
      <c r="G79" s="383"/>
      <c r="H79" s="383"/>
      <c r="I79" s="383"/>
      <c r="J79" s="383"/>
      <c r="K79" s="383"/>
      <c r="L79" s="383"/>
      <c r="M79" s="383"/>
      <c r="N79" s="383"/>
      <c r="O79" s="384"/>
      <c r="P79" s="383"/>
      <c r="R79" s="383"/>
      <c r="S79" s="383"/>
      <c r="T79" s="383"/>
      <c r="U79" s="383"/>
      <c r="V79" s="383"/>
      <c r="W79" s="383"/>
      <c r="X79" s="383"/>
      <c r="Y79" s="383"/>
      <c r="Z79" s="383"/>
      <c r="AA79" s="383"/>
      <c r="AB79" s="383"/>
      <c r="AC79" s="383"/>
      <c r="AE79" s="382"/>
    </row>
    <row r="80" spans="1:31">
      <c r="A80" s="381" t="s">
        <v>915</v>
      </c>
      <c r="B80" s="209"/>
      <c r="C80" s="209"/>
      <c r="D80" s="204"/>
      <c r="E80" s="380"/>
      <c r="F80" s="380"/>
      <c r="G80" s="224"/>
      <c r="H80" s="224"/>
      <c r="I80" s="224"/>
      <c r="J80" s="224"/>
      <c r="K80" s="224"/>
      <c r="L80" s="224"/>
      <c r="M80" s="224"/>
      <c r="N80" s="224"/>
      <c r="O80" s="224"/>
      <c r="P80" s="224"/>
      <c r="Q80" s="224"/>
      <c r="R80" s="224"/>
      <c r="S80" s="224"/>
      <c r="T80" s="224"/>
      <c r="U80" s="224"/>
      <c r="V80" s="224"/>
      <c r="W80" s="224"/>
      <c r="X80" s="224"/>
      <c r="Y80" s="224"/>
      <c r="Z80" s="224"/>
      <c r="AA80" s="224"/>
    </row>
    <row r="81" spans="1:27">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c r="AA81" s="224"/>
    </row>
  </sheetData>
  <hyperlinks>
    <hyperlink ref="A80" r:id="rId1" xr:uid="{00000000-0004-0000-2800-000000000000}"/>
  </hyperlinks>
  <pageMargins left="0.70866141732283472" right="0.70866141732283472" top="0.74803149606299213" bottom="0.74803149606299213" header="0.31496062992125984" footer="0.31496062992125984"/>
  <pageSetup paperSize="5" scale="42"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4" tint="0.39997558519241921"/>
    <pageSetUpPr fitToPage="1"/>
  </sheetPr>
  <dimension ref="A1:AE81"/>
  <sheetViews>
    <sheetView zoomScale="80" zoomScaleNormal="80" workbookViewId="0">
      <pane xSplit="5" ySplit="7" topLeftCell="F40" activePane="bottomRight" state="frozen"/>
      <selection activeCell="A80" sqref="A80"/>
      <selection pane="topRight" activeCell="A80" sqref="A80"/>
      <selection pane="bottomLeft" activeCell="A80" sqref="A80"/>
      <selection pane="bottomRight" activeCell="B54" sqref="B54"/>
    </sheetView>
  </sheetViews>
  <sheetFormatPr baseColWidth="10" defaultColWidth="9.1640625" defaultRowHeight="16"/>
  <cols>
    <col min="1" max="1" width="4.5" style="197" customWidth="1"/>
    <col min="2" max="2" width="3.33203125" style="197" customWidth="1"/>
    <col min="3" max="3" width="52.5" style="197" customWidth="1"/>
    <col min="4" max="5" width="3.33203125" style="197" customWidth="1"/>
    <col min="6" max="15" width="16.5" style="197" customWidth="1"/>
    <col min="16" max="16384" width="9.1640625" style="197"/>
  </cols>
  <sheetData>
    <row r="1" spans="1:15" s="169" customFormat="1" ht="14">
      <c r="A1" s="280" t="s">
        <v>921</v>
      </c>
      <c r="B1" s="168"/>
      <c r="C1" s="168"/>
      <c r="D1" s="168"/>
      <c r="E1" s="168"/>
      <c r="F1" s="168"/>
      <c r="G1" s="168"/>
      <c r="H1" s="168"/>
      <c r="I1" s="168"/>
      <c r="J1" s="168"/>
      <c r="K1" s="168"/>
      <c r="L1" s="168"/>
      <c r="M1" s="168"/>
      <c r="N1" s="168"/>
      <c r="O1" s="168"/>
    </row>
    <row r="2" spans="1:15" s="169" customFormat="1" ht="14">
      <c r="B2" s="170"/>
      <c r="C2" s="170"/>
      <c r="D2" s="170"/>
      <c r="E2" s="170"/>
      <c r="F2" s="170"/>
      <c r="G2" s="170"/>
      <c r="H2" s="170"/>
      <c r="I2" s="170"/>
      <c r="J2" s="170"/>
      <c r="K2" s="170"/>
      <c r="L2" s="170"/>
      <c r="M2" s="170"/>
      <c r="N2" s="170"/>
      <c r="O2" s="170"/>
    </row>
    <row r="3" spans="1:15" s="169" customFormat="1" ht="14">
      <c r="B3" s="170"/>
      <c r="C3" s="170"/>
      <c r="D3" s="170"/>
      <c r="E3" s="170"/>
      <c r="F3" s="171" t="s">
        <v>651</v>
      </c>
      <c r="G3" s="172"/>
      <c r="H3" s="172"/>
      <c r="I3" s="172"/>
      <c r="J3" s="172"/>
      <c r="K3" s="172"/>
      <c r="L3" s="172"/>
      <c r="M3" s="172"/>
      <c r="N3" s="172"/>
      <c r="O3" s="172"/>
    </row>
    <row r="4" spans="1:15" s="169" customFormat="1" ht="15">
      <c r="A4" s="170"/>
      <c r="B4" s="170"/>
      <c r="C4" s="170"/>
      <c r="D4" s="170"/>
      <c r="E4" s="170"/>
      <c r="F4" s="173" t="s">
        <v>652</v>
      </c>
      <c r="G4" s="174" t="s">
        <v>653</v>
      </c>
      <c r="H4" s="174" t="s">
        <v>653</v>
      </c>
      <c r="I4" s="174" t="s">
        <v>654</v>
      </c>
      <c r="J4" s="174" t="s">
        <v>654</v>
      </c>
      <c r="K4" s="175" t="s">
        <v>827</v>
      </c>
      <c r="L4" s="175" t="s">
        <v>826</v>
      </c>
      <c r="M4" s="174" t="s">
        <v>655</v>
      </c>
      <c r="N4" s="176" t="s">
        <v>656</v>
      </c>
      <c r="O4" s="177" t="s">
        <v>657</v>
      </c>
    </row>
    <row r="5" spans="1:15" s="179" customFormat="1" ht="14">
      <c r="A5" s="178" t="s">
        <v>658</v>
      </c>
      <c r="B5" s="178"/>
      <c r="E5" s="180" t="s">
        <v>659</v>
      </c>
      <c r="F5" s="181"/>
      <c r="G5" s="182"/>
      <c r="H5" s="183">
        <v>25</v>
      </c>
      <c r="I5" s="184"/>
      <c r="J5" s="183">
        <v>298</v>
      </c>
      <c r="K5" s="185"/>
      <c r="L5" s="185"/>
      <c r="M5" s="186">
        <v>22800</v>
      </c>
      <c r="N5" s="186">
        <v>17200</v>
      </c>
      <c r="O5" s="187"/>
    </row>
    <row r="6" spans="1:15" s="188" customFormat="1" ht="14.25" customHeight="1">
      <c r="C6" s="189"/>
      <c r="D6" s="189"/>
      <c r="E6" s="190" t="s">
        <v>377</v>
      </c>
      <c r="F6" s="191" t="s">
        <v>660</v>
      </c>
      <c r="G6" s="191" t="s">
        <v>660</v>
      </c>
      <c r="H6" s="192" t="s">
        <v>661</v>
      </c>
      <c r="I6" s="193" t="s">
        <v>660</v>
      </c>
      <c r="J6" s="192" t="s">
        <v>661</v>
      </c>
      <c r="K6" s="192" t="s">
        <v>661</v>
      </c>
      <c r="L6" s="192" t="s">
        <v>661</v>
      </c>
      <c r="M6" s="192" t="s">
        <v>661</v>
      </c>
      <c r="N6" s="192" t="s">
        <v>661</v>
      </c>
      <c r="O6" s="192" t="s">
        <v>661</v>
      </c>
    </row>
    <row r="7" spans="1:15" s="196" customFormat="1" ht="15" thickBot="1">
      <c r="A7" s="279" t="s">
        <v>657</v>
      </c>
      <c r="B7" s="278"/>
      <c r="C7" s="277"/>
      <c r="D7" s="194"/>
      <c r="E7" s="194"/>
      <c r="F7" s="195">
        <v>205266.98755328599</v>
      </c>
      <c r="G7" s="195">
        <v>1695.28210749303</v>
      </c>
      <c r="H7" s="195">
        <v>42382.052687325799</v>
      </c>
      <c r="I7" s="195">
        <v>35.6823136811186</v>
      </c>
      <c r="J7" s="195">
        <v>10633.3294769733</v>
      </c>
      <c r="K7" s="195">
        <v>1339.8045100208001</v>
      </c>
      <c r="L7" s="195">
        <v>3.2605700463392502</v>
      </c>
      <c r="M7" s="195">
        <v>3.2594472208686698</v>
      </c>
      <c r="N7" s="195">
        <v>0</v>
      </c>
      <c r="O7" s="195">
        <v>259628.694244874</v>
      </c>
    </row>
    <row r="8" spans="1:15" ht="17" thickTop="1">
      <c r="A8" s="251" t="s">
        <v>662</v>
      </c>
      <c r="B8" s="276"/>
      <c r="C8" s="276"/>
      <c r="F8" s="198">
        <v>192562.804563857</v>
      </c>
      <c r="G8" s="198">
        <v>1208.22919842192</v>
      </c>
      <c r="H8" s="198">
        <v>30205.729960548</v>
      </c>
      <c r="I8" s="198">
        <v>8.6061008929739309</v>
      </c>
      <c r="J8" s="198">
        <v>2564.6180661062299</v>
      </c>
      <c r="K8" s="198">
        <v>0</v>
      </c>
      <c r="L8" s="198">
        <v>0</v>
      </c>
      <c r="M8" s="198">
        <v>0</v>
      </c>
      <c r="N8" s="198">
        <v>0</v>
      </c>
      <c r="O8" s="198">
        <v>225333.15259051099</v>
      </c>
    </row>
    <row r="9" spans="1:15">
      <c r="A9" s="262" t="s">
        <v>663</v>
      </c>
      <c r="B9" s="261" t="s">
        <v>664</v>
      </c>
      <c r="C9" s="261"/>
      <c r="F9" s="199">
        <v>145798.53502700801</v>
      </c>
      <c r="G9" s="199">
        <v>60.856736054140399</v>
      </c>
      <c r="H9" s="199">
        <v>1521.41840135351</v>
      </c>
      <c r="I9" s="199">
        <v>3.07109779931158</v>
      </c>
      <c r="J9" s="199">
        <v>915.18714419485002</v>
      </c>
      <c r="K9" s="199">
        <v>0</v>
      </c>
      <c r="L9" s="199">
        <v>0</v>
      </c>
      <c r="M9" s="199">
        <v>0</v>
      </c>
      <c r="N9" s="199">
        <v>0</v>
      </c>
      <c r="O9" s="199">
        <v>148235.14057255699</v>
      </c>
    </row>
    <row r="10" spans="1:15">
      <c r="A10" s="273"/>
      <c r="B10" s="201" t="s">
        <v>665</v>
      </c>
      <c r="C10" s="265"/>
      <c r="F10" s="202">
        <v>46848.6524096258</v>
      </c>
      <c r="G10" s="202">
        <v>2.6378844271666901</v>
      </c>
      <c r="H10" s="202">
        <v>65.947110679167196</v>
      </c>
      <c r="I10" s="202">
        <v>0.92882983527601004</v>
      </c>
      <c r="J10" s="202">
        <v>276.79129091225099</v>
      </c>
      <c r="K10" s="202">
        <v>0</v>
      </c>
      <c r="L10" s="202">
        <v>0</v>
      </c>
      <c r="M10" s="202">
        <v>0</v>
      </c>
      <c r="N10" s="202">
        <v>0</v>
      </c>
      <c r="O10" s="202">
        <v>47191.390811217199</v>
      </c>
    </row>
    <row r="11" spans="1:15">
      <c r="A11" s="273"/>
      <c r="B11" s="203" t="s">
        <v>666</v>
      </c>
      <c r="C11" s="265"/>
      <c r="F11" s="202">
        <v>4257.3776464981502</v>
      </c>
      <c r="G11" s="202">
        <v>7.5925965703712406E-2</v>
      </c>
      <c r="H11" s="202">
        <v>1.8981491425928101</v>
      </c>
      <c r="I11" s="202">
        <v>1.9092876145930499E-2</v>
      </c>
      <c r="J11" s="202">
        <v>5.6896770914873001</v>
      </c>
      <c r="K11" s="202">
        <v>0</v>
      </c>
      <c r="L11" s="202">
        <v>0</v>
      </c>
      <c r="M11" s="202">
        <v>0</v>
      </c>
      <c r="N11" s="202">
        <v>0</v>
      </c>
      <c r="O11" s="202">
        <v>4264.9654727322404</v>
      </c>
    </row>
    <row r="12" spans="1:15">
      <c r="A12" s="273"/>
      <c r="B12" s="203" t="s">
        <v>667</v>
      </c>
      <c r="C12" s="275"/>
      <c r="F12" s="202">
        <v>68588.122636685293</v>
      </c>
      <c r="G12" s="202">
        <v>51.372967625004101</v>
      </c>
      <c r="H12" s="202">
        <v>1284.3241906251001</v>
      </c>
      <c r="I12" s="202">
        <v>1.3834411228561601</v>
      </c>
      <c r="J12" s="202">
        <v>412.265454611135</v>
      </c>
      <c r="K12" s="202">
        <v>0</v>
      </c>
      <c r="L12" s="202">
        <v>0</v>
      </c>
      <c r="M12" s="202">
        <v>0</v>
      </c>
      <c r="N12" s="202">
        <v>0</v>
      </c>
      <c r="O12" s="202">
        <v>70284.7122819215</v>
      </c>
    </row>
    <row r="13" spans="1:15">
      <c r="A13" s="273"/>
      <c r="B13" s="203" t="s">
        <v>668</v>
      </c>
      <c r="C13" s="265"/>
      <c r="F13" s="202">
        <v>10809.399034513101</v>
      </c>
      <c r="G13" s="202">
        <v>0.39288266890366202</v>
      </c>
      <c r="H13" s="202">
        <v>9.8220667225915594</v>
      </c>
      <c r="I13" s="202">
        <v>0.33102641668488098</v>
      </c>
      <c r="J13" s="202">
        <v>98.645872172094499</v>
      </c>
      <c r="K13" s="202">
        <v>0</v>
      </c>
      <c r="L13" s="202">
        <v>0</v>
      </c>
      <c r="M13" s="202">
        <v>0</v>
      </c>
      <c r="N13" s="202">
        <v>0</v>
      </c>
      <c r="O13" s="202">
        <v>10917.866973407799</v>
      </c>
    </row>
    <row r="14" spans="1:15">
      <c r="A14" s="273"/>
      <c r="B14" s="203" t="s">
        <v>670</v>
      </c>
      <c r="C14" s="274"/>
      <c r="F14" s="202">
        <v>285.62209999999999</v>
      </c>
      <c r="G14" s="202">
        <v>5.0568000000000002E-3</v>
      </c>
      <c r="H14" s="202">
        <v>0.12642</v>
      </c>
      <c r="I14" s="202">
        <v>1.1483200000000001E-2</v>
      </c>
      <c r="J14" s="202">
        <v>3.4219936</v>
      </c>
      <c r="K14" s="202">
        <v>0</v>
      </c>
      <c r="L14" s="202">
        <v>0</v>
      </c>
      <c r="M14" s="202">
        <v>0</v>
      </c>
      <c r="N14" s="202">
        <v>0</v>
      </c>
      <c r="O14" s="202">
        <v>289.17051359999999</v>
      </c>
    </row>
    <row r="15" spans="1:15">
      <c r="A15" s="273"/>
      <c r="B15" s="203" t="s">
        <v>671</v>
      </c>
      <c r="C15" s="203"/>
      <c r="F15" s="202">
        <v>6279.4685996857897</v>
      </c>
      <c r="G15" s="202">
        <v>0.11782305773281999</v>
      </c>
      <c r="H15" s="202">
        <v>2.9455764433204901</v>
      </c>
      <c r="I15" s="202">
        <v>0.152830499223575</v>
      </c>
      <c r="J15" s="202">
        <v>45.543488768625402</v>
      </c>
      <c r="K15" s="202">
        <v>0</v>
      </c>
      <c r="L15" s="202">
        <v>0</v>
      </c>
      <c r="M15" s="202">
        <v>0</v>
      </c>
      <c r="N15" s="202">
        <v>0</v>
      </c>
      <c r="O15" s="202">
        <v>6327.95766489774</v>
      </c>
    </row>
    <row r="16" spans="1:15">
      <c r="A16" s="273"/>
      <c r="B16" s="203" t="s">
        <v>175</v>
      </c>
      <c r="C16" s="203"/>
      <c r="F16" s="202">
        <v>8524.6417999999994</v>
      </c>
      <c r="G16" s="202">
        <v>6.2503653096294496</v>
      </c>
      <c r="H16" s="202">
        <v>156.25913274073599</v>
      </c>
      <c r="I16" s="202">
        <v>0.23929844912502099</v>
      </c>
      <c r="J16" s="202">
        <v>71.310937839256198</v>
      </c>
      <c r="K16" s="202">
        <v>0</v>
      </c>
      <c r="L16" s="202">
        <v>0</v>
      </c>
      <c r="M16" s="202">
        <v>0</v>
      </c>
      <c r="N16" s="202">
        <v>0</v>
      </c>
      <c r="O16" s="202">
        <v>8752.2118705800003</v>
      </c>
    </row>
    <row r="17" spans="1:15">
      <c r="A17" s="273"/>
      <c r="B17" s="203" t="s">
        <v>672</v>
      </c>
      <c r="C17" s="203"/>
      <c r="F17" s="202">
        <v>205.2508</v>
      </c>
      <c r="G17" s="202">
        <v>3.8302000000000002E-3</v>
      </c>
      <c r="H17" s="202">
        <v>9.5755000000000007E-2</v>
      </c>
      <c r="I17" s="202">
        <v>5.0953999999999999E-3</v>
      </c>
      <c r="J17" s="202">
        <v>1.5184291999999999</v>
      </c>
      <c r="K17" s="202">
        <v>0</v>
      </c>
      <c r="L17" s="202">
        <v>0</v>
      </c>
      <c r="M17" s="202">
        <v>0</v>
      </c>
      <c r="N17" s="202">
        <v>0</v>
      </c>
      <c r="O17" s="202">
        <v>206.86498420000001</v>
      </c>
    </row>
    <row r="18" spans="1:15">
      <c r="A18" s="262" t="s">
        <v>673</v>
      </c>
      <c r="B18" s="261" t="s">
        <v>825</v>
      </c>
      <c r="C18" s="261"/>
      <c r="F18" s="199">
        <v>39338.816843644301</v>
      </c>
      <c r="G18" s="199">
        <v>4.8296550712675401</v>
      </c>
      <c r="H18" s="199">
        <v>120.741376781689</v>
      </c>
      <c r="I18" s="199">
        <v>5.4893966219550601</v>
      </c>
      <c r="J18" s="199">
        <v>1635.8401933426101</v>
      </c>
      <c r="K18" s="199">
        <v>0</v>
      </c>
      <c r="L18" s="199">
        <v>0</v>
      </c>
      <c r="M18" s="199">
        <v>0</v>
      </c>
      <c r="N18" s="199">
        <v>0</v>
      </c>
      <c r="O18" s="199">
        <v>41095.398413768598</v>
      </c>
    </row>
    <row r="19" spans="1:15">
      <c r="A19" s="273"/>
      <c r="B19" s="203" t="s">
        <v>674</v>
      </c>
      <c r="C19" s="265"/>
      <c r="F19" s="202">
        <v>1419.36134514324</v>
      </c>
      <c r="G19" s="202">
        <v>5.92303928045749E-2</v>
      </c>
      <c r="H19" s="202">
        <v>1.4807598201143699</v>
      </c>
      <c r="I19" s="202">
        <v>4.0893362225601103E-2</v>
      </c>
      <c r="J19" s="202">
        <v>12.1862219432291</v>
      </c>
      <c r="K19" s="202">
        <v>0</v>
      </c>
      <c r="L19" s="202">
        <v>0</v>
      </c>
      <c r="M19" s="202">
        <v>0</v>
      </c>
      <c r="N19" s="202">
        <v>0</v>
      </c>
      <c r="O19" s="202">
        <v>1433.0283269065801</v>
      </c>
    </row>
    <row r="20" spans="1:15">
      <c r="A20" s="273"/>
      <c r="B20" s="203" t="s">
        <v>675</v>
      </c>
      <c r="C20" s="265"/>
      <c r="F20" s="202">
        <v>25794.678202110099</v>
      </c>
      <c r="G20" s="202">
        <v>1.59961919758394</v>
      </c>
      <c r="H20" s="202">
        <v>39.9904799395986</v>
      </c>
      <c r="I20" s="202">
        <v>1.5896398271987</v>
      </c>
      <c r="J20" s="202">
        <v>473.71266850521403</v>
      </c>
      <c r="K20" s="202">
        <v>0</v>
      </c>
      <c r="L20" s="202">
        <v>0</v>
      </c>
      <c r="M20" s="202">
        <v>0</v>
      </c>
      <c r="N20" s="202">
        <v>0</v>
      </c>
      <c r="O20" s="202">
        <v>26308.381350554901</v>
      </c>
    </row>
    <row r="21" spans="1:15" s="205" customFormat="1" ht="12">
      <c r="A21" s="266"/>
      <c r="B21" s="265"/>
      <c r="C21" s="212" t="s">
        <v>676</v>
      </c>
      <c r="F21" s="206">
        <v>3106.1010251682601</v>
      </c>
      <c r="G21" s="206">
        <v>0.31504069021012299</v>
      </c>
      <c r="H21" s="206">
        <v>7.8760172552530703</v>
      </c>
      <c r="I21" s="206">
        <v>0.19475145302135499</v>
      </c>
      <c r="J21" s="206">
        <v>58.035933000363897</v>
      </c>
      <c r="K21" s="206">
        <v>0</v>
      </c>
      <c r="L21" s="206">
        <v>0</v>
      </c>
      <c r="M21" s="206">
        <v>0</v>
      </c>
      <c r="N21" s="206">
        <v>0</v>
      </c>
      <c r="O21" s="206">
        <v>3172.0129754238801</v>
      </c>
    </row>
    <row r="22" spans="1:15" s="205" customFormat="1" ht="12">
      <c r="A22" s="266"/>
      <c r="B22" s="265"/>
      <c r="C22" s="212" t="s">
        <v>677</v>
      </c>
      <c r="F22" s="206">
        <v>6007.19558315412</v>
      </c>
      <c r="G22" s="206">
        <v>0.58035267824519399</v>
      </c>
      <c r="H22" s="206">
        <v>14.5088169561299</v>
      </c>
      <c r="I22" s="206">
        <v>0.36451709326583898</v>
      </c>
      <c r="J22" s="206">
        <v>108.62609379321999</v>
      </c>
      <c r="K22" s="206">
        <v>0</v>
      </c>
      <c r="L22" s="206">
        <v>0</v>
      </c>
      <c r="M22" s="206">
        <v>0</v>
      </c>
      <c r="N22" s="206">
        <v>0</v>
      </c>
      <c r="O22" s="206">
        <v>6130.3304939034697</v>
      </c>
    </row>
    <row r="23" spans="1:15" s="205" customFormat="1" ht="12">
      <c r="A23" s="266"/>
      <c r="B23" s="265"/>
      <c r="C23" s="212" t="s">
        <v>678</v>
      </c>
      <c r="F23" s="206">
        <v>3223.5551006707501</v>
      </c>
      <c r="G23" s="206">
        <v>0.126796630817888</v>
      </c>
      <c r="H23" s="206">
        <v>3.1699157704472101</v>
      </c>
      <c r="I23" s="206">
        <v>0.271039344045437</v>
      </c>
      <c r="J23" s="206">
        <v>80.769724525540298</v>
      </c>
      <c r="K23" s="206">
        <v>0</v>
      </c>
      <c r="L23" s="206">
        <v>0</v>
      </c>
      <c r="M23" s="206">
        <v>0</v>
      </c>
      <c r="N23" s="206">
        <v>0</v>
      </c>
      <c r="O23" s="206">
        <v>3307.4947409667402</v>
      </c>
    </row>
    <row r="24" spans="1:15" s="205" customFormat="1" ht="12">
      <c r="A24" s="266"/>
      <c r="B24" s="265"/>
      <c r="C24" s="212" t="s">
        <v>679</v>
      </c>
      <c r="F24" s="206">
        <v>37.689254746537898</v>
      </c>
      <c r="G24" s="206">
        <v>1.53865627663082E-2</v>
      </c>
      <c r="H24" s="206">
        <v>0.38466406915770401</v>
      </c>
      <c r="I24" s="206">
        <v>7.1169108760667905E-4</v>
      </c>
      <c r="J24" s="206">
        <v>0.21208394410678999</v>
      </c>
      <c r="K24" s="206">
        <v>0</v>
      </c>
      <c r="L24" s="206">
        <v>0</v>
      </c>
      <c r="M24" s="206">
        <v>0</v>
      </c>
      <c r="N24" s="206">
        <v>0</v>
      </c>
      <c r="O24" s="206">
        <v>38.2860027598024</v>
      </c>
    </row>
    <row r="25" spans="1:15" s="205" customFormat="1" ht="12">
      <c r="A25" s="266"/>
      <c r="B25" s="265"/>
      <c r="C25" s="212" t="s">
        <v>680</v>
      </c>
      <c r="F25" s="206">
        <v>89.100869258383</v>
      </c>
      <c r="G25" s="206">
        <v>1.7484339253471201E-3</v>
      </c>
      <c r="H25" s="206">
        <v>4.3710848133677899E-2</v>
      </c>
      <c r="I25" s="206">
        <v>7.3281060511727301E-3</v>
      </c>
      <c r="J25" s="206">
        <v>2.1837756032494702</v>
      </c>
      <c r="K25" s="206">
        <v>0</v>
      </c>
      <c r="L25" s="206">
        <v>0</v>
      </c>
      <c r="M25" s="206">
        <v>0</v>
      </c>
      <c r="N25" s="206">
        <v>0</v>
      </c>
      <c r="O25" s="206">
        <v>91.3283557097661</v>
      </c>
    </row>
    <row r="26" spans="1:15" s="205" customFormat="1" ht="12">
      <c r="A26" s="266"/>
      <c r="B26" s="265"/>
      <c r="C26" s="212" t="s">
        <v>681</v>
      </c>
      <c r="F26" s="206">
        <v>80.990018594560993</v>
      </c>
      <c r="G26" s="206">
        <v>2.0863591216549399E-3</v>
      </c>
      <c r="H26" s="206">
        <v>5.2158978041373399E-2</v>
      </c>
      <c r="I26" s="206">
        <v>6.6223373417607298E-3</v>
      </c>
      <c r="J26" s="206">
        <v>1.9734565278447</v>
      </c>
      <c r="K26" s="206">
        <v>0</v>
      </c>
      <c r="L26" s="206">
        <v>0</v>
      </c>
      <c r="M26" s="206">
        <v>0</v>
      </c>
      <c r="N26" s="206">
        <v>0</v>
      </c>
      <c r="O26" s="206">
        <v>83.015634100447002</v>
      </c>
    </row>
    <row r="27" spans="1:15" s="205" customFormat="1" ht="12">
      <c r="A27" s="266"/>
      <c r="B27" s="265"/>
      <c r="C27" s="212" t="s">
        <v>682</v>
      </c>
      <c r="F27" s="206">
        <v>13247.192156773701</v>
      </c>
      <c r="G27" s="206">
        <v>0.55699726358007795</v>
      </c>
      <c r="H27" s="206">
        <v>13.924931589502</v>
      </c>
      <c r="I27" s="206">
        <v>0.74461705118356603</v>
      </c>
      <c r="J27" s="206">
        <v>221.89588125270299</v>
      </c>
      <c r="K27" s="206">
        <v>0</v>
      </c>
      <c r="L27" s="206">
        <v>0</v>
      </c>
      <c r="M27" s="206">
        <v>0</v>
      </c>
      <c r="N27" s="206">
        <v>0</v>
      </c>
      <c r="O27" s="206">
        <v>13483.0129696159</v>
      </c>
    </row>
    <row r="28" spans="1:15" s="205" customFormat="1" ht="12">
      <c r="A28" s="266"/>
      <c r="B28" s="265"/>
      <c r="C28" s="212" t="s">
        <v>683</v>
      </c>
      <c r="F28" s="206">
        <v>2.8541937437154798</v>
      </c>
      <c r="G28" s="206">
        <v>1.21057891735057E-3</v>
      </c>
      <c r="H28" s="206">
        <v>3.0264472933764199E-2</v>
      </c>
      <c r="I28" s="206">
        <v>5.2751201966384897E-5</v>
      </c>
      <c r="J28" s="206">
        <v>1.5719858185982701E-2</v>
      </c>
      <c r="K28" s="206">
        <v>0</v>
      </c>
      <c r="L28" s="206">
        <v>0</v>
      </c>
      <c r="M28" s="206">
        <v>0</v>
      </c>
      <c r="N28" s="206">
        <v>0</v>
      </c>
      <c r="O28" s="206">
        <v>2.9001780748352202</v>
      </c>
    </row>
    <row r="29" spans="1:15">
      <c r="A29" s="273"/>
      <c r="B29" s="203" t="s">
        <v>684</v>
      </c>
      <c r="C29" s="265"/>
      <c r="F29" s="202" t="s">
        <v>817</v>
      </c>
      <c r="G29" s="202" t="s">
        <v>817</v>
      </c>
      <c r="H29" s="202" t="s">
        <v>817</v>
      </c>
      <c r="I29" s="202" t="s">
        <v>817</v>
      </c>
      <c r="J29" s="202" t="s">
        <v>817</v>
      </c>
      <c r="K29" s="202" t="s">
        <v>817</v>
      </c>
      <c r="L29" s="202" t="s">
        <v>817</v>
      </c>
      <c r="M29" s="202" t="s">
        <v>817</v>
      </c>
      <c r="N29" s="202" t="s">
        <v>817</v>
      </c>
      <c r="O29" s="202" t="s">
        <v>817</v>
      </c>
    </row>
    <row r="30" spans="1:15">
      <c r="A30" s="273"/>
      <c r="B30" s="203" t="s">
        <v>685</v>
      </c>
      <c r="C30" s="265"/>
      <c r="F30" s="202" t="s">
        <v>817</v>
      </c>
      <c r="G30" s="202" t="s">
        <v>817</v>
      </c>
      <c r="H30" s="202" t="s">
        <v>817</v>
      </c>
      <c r="I30" s="202" t="s">
        <v>817</v>
      </c>
      <c r="J30" s="202" t="s">
        <v>817</v>
      </c>
      <c r="K30" s="202" t="s">
        <v>817</v>
      </c>
      <c r="L30" s="202" t="s">
        <v>817</v>
      </c>
      <c r="M30" s="202" t="s">
        <v>817</v>
      </c>
      <c r="N30" s="202" t="s">
        <v>817</v>
      </c>
      <c r="O30" s="202" t="s">
        <v>817</v>
      </c>
    </row>
    <row r="31" spans="1:15">
      <c r="A31" s="273"/>
      <c r="B31" s="203" t="s">
        <v>686</v>
      </c>
      <c r="C31" s="212"/>
      <c r="F31" s="202">
        <v>9332.8984886099606</v>
      </c>
      <c r="G31" s="202">
        <v>3.0113513024235798</v>
      </c>
      <c r="H31" s="202">
        <v>75.283782560589401</v>
      </c>
      <c r="I31" s="202">
        <v>2.7595799903312699</v>
      </c>
      <c r="J31" s="202">
        <v>822.35483711871996</v>
      </c>
      <c r="K31" s="202">
        <v>0</v>
      </c>
      <c r="L31" s="202">
        <v>0</v>
      </c>
      <c r="M31" s="202">
        <v>0</v>
      </c>
      <c r="N31" s="202">
        <v>0</v>
      </c>
      <c r="O31" s="202">
        <v>10230.5371082893</v>
      </c>
    </row>
    <row r="32" spans="1:15" s="205" customFormat="1" ht="12">
      <c r="A32" s="266"/>
      <c r="B32" s="265"/>
      <c r="C32" s="212" t="s">
        <v>687</v>
      </c>
      <c r="F32" s="206">
        <v>3193.86282800352</v>
      </c>
      <c r="G32" s="206">
        <v>0.19643176803658099</v>
      </c>
      <c r="H32" s="206">
        <v>4.9107942009145296</v>
      </c>
      <c r="I32" s="206">
        <v>1.25531483387415</v>
      </c>
      <c r="J32" s="206">
        <v>374.083820494495</v>
      </c>
      <c r="K32" s="206">
        <v>0</v>
      </c>
      <c r="L32" s="206">
        <v>0</v>
      </c>
      <c r="M32" s="206">
        <v>0</v>
      </c>
      <c r="N32" s="206">
        <v>0</v>
      </c>
      <c r="O32" s="206">
        <v>3572.8574426989298</v>
      </c>
    </row>
    <row r="33" spans="1:15" s="205" customFormat="1" ht="12">
      <c r="A33" s="266"/>
      <c r="B33" s="265"/>
      <c r="C33" s="212" t="s">
        <v>688</v>
      </c>
      <c r="F33" s="206">
        <v>329.50203595881197</v>
      </c>
      <c r="G33" s="206">
        <v>0.288174609966175</v>
      </c>
      <c r="H33" s="206">
        <v>7.2043652491543702</v>
      </c>
      <c r="I33" s="206">
        <v>5.9294848133366301E-2</v>
      </c>
      <c r="J33" s="206">
        <v>17.669864743743201</v>
      </c>
      <c r="K33" s="206">
        <v>0</v>
      </c>
      <c r="L33" s="206">
        <v>0</v>
      </c>
      <c r="M33" s="206">
        <v>0</v>
      </c>
      <c r="N33" s="206">
        <v>0</v>
      </c>
      <c r="O33" s="206">
        <v>354.37626595171002</v>
      </c>
    </row>
    <row r="34" spans="1:15" s="205" customFormat="1" ht="12">
      <c r="A34" s="266"/>
      <c r="B34" s="265"/>
      <c r="C34" s="212" t="s">
        <v>689</v>
      </c>
      <c r="F34" s="206">
        <v>3536.5875619072299</v>
      </c>
      <c r="G34" s="206">
        <v>0.27280759221353101</v>
      </c>
      <c r="H34" s="206">
        <v>6.8201898053382699</v>
      </c>
      <c r="I34" s="206">
        <v>1.3542632687659799</v>
      </c>
      <c r="J34" s="206">
        <v>403.57045409226203</v>
      </c>
      <c r="K34" s="206">
        <v>0</v>
      </c>
      <c r="L34" s="206">
        <v>0</v>
      </c>
      <c r="M34" s="206">
        <v>0</v>
      </c>
      <c r="N34" s="206">
        <v>0</v>
      </c>
      <c r="O34" s="206">
        <v>3946.9782058048299</v>
      </c>
    </row>
    <row r="35" spans="1:15" s="205" customFormat="1" ht="12">
      <c r="A35" s="266"/>
      <c r="B35" s="265"/>
      <c r="C35" s="212" t="s">
        <v>690</v>
      </c>
      <c r="F35" s="206">
        <v>109.250050606446</v>
      </c>
      <c r="G35" s="206">
        <v>0.11022634957162</v>
      </c>
      <c r="H35" s="206">
        <v>2.7556587392905101</v>
      </c>
      <c r="I35" s="206">
        <v>1.0013510543151E-2</v>
      </c>
      <c r="J35" s="206">
        <v>2.9840261418590002</v>
      </c>
      <c r="K35" s="206">
        <v>0</v>
      </c>
      <c r="L35" s="206">
        <v>0</v>
      </c>
      <c r="M35" s="206">
        <v>0</v>
      </c>
      <c r="N35" s="206">
        <v>0</v>
      </c>
      <c r="O35" s="206">
        <v>114.989735487595</v>
      </c>
    </row>
    <row r="36" spans="1:15" s="205" customFormat="1" ht="12">
      <c r="A36" s="266"/>
      <c r="B36" s="265"/>
      <c r="C36" s="212" t="s">
        <v>691</v>
      </c>
      <c r="F36" s="206">
        <v>398.85621213395001</v>
      </c>
      <c r="G36" s="206">
        <v>0.40915158263566997</v>
      </c>
      <c r="H36" s="206">
        <v>10.228789565891701</v>
      </c>
      <c r="I36" s="206">
        <v>3.4445529014632902E-2</v>
      </c>
      <c r="J36" s="206">
        <v>10.2647676463606</v>
      </c>
      <c r="K36" s="206">
        <v>0</v>
      </c>
      <c r="L36" s="206">
        <v>0</v>
      </c>
      <c r="M36" s="206">
        <v>0</v>
      </c>
      <c r="N36" s="206">
        <v>0</v>
      </c>
      <c r="O36" s="206">
        <v>419.34976934620198</v>
      </c>
    </row>
    <row r="37" spans="1:15" s="205" customFormat="1" ht="12">
      <c r="A37" s="266"/>
      <c r="B37" s="265"/>
      <c r="C37" s="212" t="s">
        <v>692</v>
      </c>
      <c r="D37" s="207"/>
      <c r="E37" s="207"/>
      <c r="F37" s="206">
        <v>1764.8398</v>
      </c>
      <c r="G37" s="206">
        <v>1.7345594</v>
      </c>
      <c r="H37" s="206">
        <v>43.363985</v>
      </c>
      <c r="I37" s="206">
        <v>4.6247999999999997E-2</v>
      </c>
      <c r="J37" s="206">
        <v>13.781904000000001</v>
      </c>
      <c r="K37" s="208">
        <v>0</v>
      </c>
      <c r="L37" s="208">
        <v>0</v>
      </c>
      <c r="M37" s="208">
        <v>0</v>
      </c>
      <c r="N37" s="208">
        <v>0</v>
      </c>
      <c r="O37" s="206">
        <v>1821.9856890000001</v>
      </c>
    </row>
    <row r="38" spans="1:15">
      <c r="A38" s="249" t="s">
        <v>693</v>
      </c>
      <c r="B38" s="248" t="s">
        <v>694</v>
      </c>
      <c r="C38" s="272"/>
      <c r="D38" s="225"/>
      <c r="E38" s="225"/>
      <c r="F38" s="218">
        <v>7425.4526932046201</v>
      </c>
      <c r="G38" s="218">
        <v>1142.5428072965101</v>
      </c>
      <c r="H38" s="218">
        <v>28563.570182412801</v>
      </c>
      <c r="I38" s="218">
        <v>4.5606471707293601E-2</v>
      </c>
      <c r="J38" s="218">
        <v>13.5907285687735</v>
      </c>
      <c r="K38" s="218">
        <v>0</v>
      </c>
      <c r="L38" s="218">
        <v>0</v>
      </c>
      <c r="M38" s="218">
        <v>0</v>
      </c>
      <c r="N38" s="218">
        <v>0</v>
      </c>
      <c r="O38" s="218">
        <v>36002.613604186197</v>
      </c>
    </row>
    <row r="39" spans="1:15">
      <c r="A39" s="271"/>
      <c r="B39" s="201" t="s">
        <v>695</v>
      </c>
      <c r="C39" s="269"/>
      <c r="D39" s="225"/>
      <c r="E39" s="225"/>
      <c r="F39" s="211">
        <v>0</v>
      </c>
      <c r="G39" s="211">
        <v>10.946107222973</v>
      </c>
      <c r="H39" s="211">
        <v>273.65268057432502</v>
      </c>
      <c r="I39" s="211">
        <v>0</v>
      </c>
      <c r="J39" s="211">
        <v>0</v>
      </c>
      <c r="K39" s="211">
        <v>0</v>
      </c>
      <c r="L39" s="211">
        <v>0</v>
      </c>
      <c r="M39" s="211">
        <v>0</v>
      </c>
      <c r="N39" s="211">
        <v>0</v>
      </c>
      <c r="O39" s="211">
        <v>273.65268057432502</v>
      </c>
    </row>
    <row r="40" spans="1:15">
      <c r="A40" s="271"/>
      <c r="B40" s="270" t="s">
        <v>696</v>
      </c>
      <c r="C40" s="269"/>
      <c r="D40" s="225"/>
      <c r="E40" s="225"/>
      <c r="F40" s="211">
        <v>7425.4526932046201</v>
      </c>
      <c r="G40" s="211">
        <v>1131.59670007354</v>
      </c>
      <c r="H40" s="211">
        <v>28289.917501838499</v>
      </c>
      <c r="I40" s="211">
        <v>4.5606471707293601E-2</v>
      </c>
      <c r="J40" s="211">
        <v>13.5907285687735</v>
      </c>
      <c r="K40" s="211">
        <v>0</v>
      </c>
      <c r="L40" s="211">
        <v>0</v>
      </c>
      <c r="M40" s="211">
        <v>0</v>
      </c>
      <c r="N40" s="211">
        <v>0</v>
      </c>
      <c r="O40" s="211">
        <v>35728.960923611899</v>
      </c>
    </row>
    <row r="41" spans="1:15">
      <c r="A41" s="213" t="s">
        <v>697</v>
      </c>
      <c r="B41" s="214" t="s">
        <v>698</v>
      </c>
      <c r="C41" s="214"/>
      <c r="D41" s="215"/>
      <c r="E41" s="215"/>
      <c r="F41" s="216">
        <v>0</v>
      </c>
      <c r="G41" s="216">
        <v>0</v>
      </c>
      <c r="H41" s="216">
        <v>0</v>
      </c>
      <c r="I41" s="216">
        <v>0</v>
      </c>
      <c r="J41" s="216">
        <v>0</v>
      </c>
      <c r="K41" s="216">
        <v>0</v>
      </c>
      <c r="L41" s="216">
        <v>0</v>
      </c>
      <c r="M41" s="216">
        <v>0</v>
      </c>
      <c r="N41" s="216">
        <v>0</v>
      </c>
      <c r="O41" s="216">
        <v>0</v>
      </c>
    </row>
    <row r="42" spans="1:15">
      <c r="A42" s="217" t="s">
        <v>699</v>
      </c>
      <c r="B42" s="251"/>
      <c r="C42" s="250"/>
      <c r="F42" s="198">
        <v>11967.7002167627</v>
      </c>
      <c r="G42" s="198">
        <v>1.45652664481255</v>
      </c>
      <c r="H42" s="198">
        <v>36.413166120313903</v>
      </c>
      <c r="I42" s="198">
        <v>3.4522810441035898</v>
      </c>
      <c r="J42" s="198">
        <v>1028.7797511428701</v>
      </c>
      <c r="K42" s="198">
        <v>1339.8045100208001</v>
      </c>
      <c r="L42" s="198">
        <v>3.2605700463392502</v>
      </c>
      <c r="M42" s="198">
        <v>3.2594472208686698</v>
      </c>
      <c r="N42" s="198">
        <v>0</v>
      </c>
      <c r="O42" s="198">
        <v>14379.2176613139</v>
      </c>
    </row>
    <row r="43" spans="1:15">
      <c r="A43" s="262" t="s">
        <v>663</v>
      </c>
      <c r="B43" s="261" t="s">
        <v>700</v>
      </c>
      <c r="C43" s="261"/>
      <c r="F43" s="199">
        <v>1254.6637197674099</v>
      </c>
      <c r="G43" s="199">
        <v>0</v>
      </c>
      <c r="H43" s="199">
        <v>0</v>
      </c>
      <c r="I43" s="199">
        <v>0</v>
      </c>
      <c r="J43" s="199">
        <v>0</v>
      </c>
      <c r="K43" s="199">
        <v>0</v>
      </c>
      <c r="L43" s="199">
        <v>0</v>
      </c>
      <c r="M43" s="199">
        <v>0</v>
      </c>
      <c r="N43" s="199">
        <v>0</v>
      </c>
      <c r="O43" s="199">
        <v>1254.6637197674099</v>
      </c>
    </row>
    <row r="44" spans="1:15" s="205" customFormat="1" ht="12">
      <c r="A44" s="266"/>
      <c r="B44" s="268"/>
      <c r="C44" s="212" t="s">
        <v>501</v>
      </c>
      <c r="F44" s="206">
        <v>984.49147730254799</v>
      </c>
      <c r="G44" s="206">
        <v>0</v>
      </c>
      <c r="H44" s="206">
        <v>0</v>
      </c>
      <c r="I44" s="206">
        <v>0</v>
      </c>
      <c r="J44" s="206">
        <v>0</v>
      </c>
      <c r="K44" s="206">
        <v>0</v>
      </c>
      <c r="L44" s="206">
        <v>0</v>
      </c>
      <c r="M44" s="206">
        <v>0</v>
      </c>
      <c r="N44" s="206">
        <v>0</v>
      </c>
      <c r="O44" s="206">
        <v>984.49147730254799</v>
      </c>
    </row>
    <row r="45" spans="1:15" s="205" customFormat="1" ht="12">
      <c r="A45" s="266"/>
      <c r="B45" s="268"/>
      <c r="C45" s="212" t="s">
        <v>183</v>
      </c>
      <c r="F45" s="206">
        <v>115.61716131220901</v>
      </c>
      <c r="G45" s="206">
        <v>0</v>
      </c>
      <c r="H45" s="206">
        <v>0</v>
      </c>
      <c r="I45" s="206">
        <v>0</v>
      </c>
      <c r="J45" s="206">
        <v>0</v>
      </c>
      <c r="K45" s="206">
        <v>0</v>
      </c>
      <c r="L45" s="206">
        <v>0</v>
      </c>
      <c r="M45" s="206">
        <v>0</v>
      </c>
      <c r="N45" s="206">
        <v>0</v>
      </c>
      <c r="O45" s="206">
        <v>115.61716131220901</v>
      </c>
    </row>
    <row r="46" spans="1:15" s="205" customFormat="1" ht="12">
      <c r="A46" s="266"/>
      <c r="B46" s="268"/>
      <c r="C46" s="212" t="s">
        <v>824</v>
      </c>
      <c r="F46" s="206">
        <v>154.55508115264999</v>
      </c>
      <c r="G46" s="206">
        <v>0</v>
      </c>
      <c r="H46" s="206">
        <v>0</v>
      </c>
      <c r="I46" s="206">
        <v>0</v>
      </c>
      <c r="J46" s="206">
        <v>0</v>
      </c>
      <c r="K46" s="206">
        <v>0</v>
      </c>
      <c r="L46" s="206">
        <v>0</v>
      </c>
      <c r="M46" s="206">
        <v>0</v>
      </c>
      <c r="N46" s="206">
        <v>0</v>
      </c>
      <c r="O46" s="206">
        <v>154.55508115264999</v>
      </c>
    </row>
    <row r="47" spans="1:15" s="267" customFormat="1">
      <c r="A47" s="262" t="s">
        <v>673</v>
      </c>
      <c r="B47" s="261" t="s">
        <v>823</v>
      </c>
      <c r="C47" s="261"/>
      <c r="F47" s="199">
        <v>0</v>
      </c>
      <c r="G47" s="199">
        <v>0</v>
      </c>
      <c r="H47" s="218">
        <v>0</v>
      </c>
      <c r="I47" s="199">
        <v>0</v>
      </c>
      <c r="J47" s="199">
        <v>0</v>
      </c>
      <c r="K47" s="199">
        <v>0</v>
      </c>
      <c r="L47" s="199">
        <v>0</v>
      </c>
      <c r="M47" s="199">
        <v>0</v>
      </c>
      <c r="N47" s="199">
        <v>0</v>
      </c>
      <c r="O47" s="199">
        <v>0</v>
      </c>
    </row>
    <row r="48" spans="1:15" s="205" customFormat="1" ht="12">
      <c r="A48" s="266"/>
      <c r="B48" s="268"/>
      <c r="C48" s="212" t="s">
        <v>702</v>
      </c>
      <c r="F48" s="206">
        <v>0</v>
      </c>
      <c r="G48" s="206">
        <v>0</v>
      </c>
      <c r="H48" s="206">
        <v>0</v>
      </c>
      <c r="I48" s="206">
        <v>0</v>
      </c>
      <c r="J48" s="206">
        <v>0</v>
      </c>
      <c r="K48" s="206">
        <v>0</v>
      </c>
      <c r="L48" s="206">
        <v>0</v>
      </c>
      <c r="M48" s="206">
        <v>0</v>
      </c>
      <c r="N48" s="206">
        <v>0</v>
      </c>
      <c r="O48" s="206">
        <v>0</v>
      </c>
    </row>
    <row r="49" spans="1:15" s="267" customFormat="1">
      <c r="A49" s="262" t="s">
        <v>693</v>
      </c>
      <c r="B49" s="261" t="s">
        <v>704</v>
      </c>
      <c r="C49" s="261"/>
      <c r="F49" s="199">
        <v>0</v>
      </c>
      <c r="G49" s="199">
        <v>0</v>
      </c>
      <c r="H49" s="199">
        <v>0</v>
      </c>
      <c r="I49" s="199">
        <v>0</v>
      </c>
      <c r="J49" s="199">
        <v>0</v>
      </c>
      <c r="K49" s="199">
        <v>0</v>
      </c>
      <c r="L49" s="218">
        <v>0</v>
      </c>
      <c r="M49" s="218">
        <v>0</v>
      </c>
      <c r="N49" s="199">
        <v>0</v>
      </c>
      <c r="O49" s="199">
        <v>0</v>
      </c>
    </row>
    <row r="50" spans="1:15" s="205" customFormat="1" ht="12">
      <c r="A50" s="266"/>
      <c r="B50" s="265"/>
      <c r="C50" s="265" t="s">
        <v>705</v>
      </c>
      <c r="F50" s="206">
        <v>0</v>
      </c>
      <c r="G50" s="206">
        <v>0</v>
      </c>
      <c r="H50" s="206">
        <v>0</v>
      </c>
      <c r="I50" s="206">
        <v>0</v>
      </c>
      <c r="J50" s="206">
        <v>0</v>
      </c>
      <c r="K50" s="206">
        <v>0</v>
      </c>
      <c r="L50" s="219">
        <v>0</v>
      </c>
      <c r="M50" s="219">
        <v>0</v>
      </c>
      <c r="N50" s="206">
        <v>0</v>
      </c>
      <c r="O50" s="206">
        <v>0</v>
      </c>
    </row>
    <row r="51" spans="1:15" s="205" customFormat="1" ht="12">
      <c r="A51" s="266"/>
      <c r="B51" s="265"/>
      <c r="C51" s="265" t="s">
        <v>244</v>
      </c>
      <c r="F51" s="206">
        <v>0</v>
      </c>
      <c r="G51" s="206">
        <v>0</v>
      </c>
      <c r="H51" s="206">
        <v>0</v>
      </c>
      <c r="I51" s="206">
        <v>0</v>
      </c>
      <c r="J51" s="206">
        <v>0</v>
      </c>
      <c r="K51" s="206">
        <v>0</v>
      </c>
      <c r="L51" s="219">
        <v>0</v>
      </c>
      <c r="M51" s="219">
        <v>0</v>
      </c>
      <c r="N51" s="206">
        <v>0</v>
      </c>
      <c r="O51" s="206">
        <v>0</v>
      </c>
    </row>
    <row r="52" spans="1:15" s="205" customFormat="1" ht="12">
      <c r="A52" s="258"/>
      <c r="B52" s="257"/>
      <c r="C52" s="257" t="s">
        <v>706</v>
      </c>
      <c r="D52" s="207"/>
      <c r="E52" s="207"/>
      <c r="F52" s="208">
        <v>0</v>
      </c>
      <c r="G52" s="208">
        <v>0</v>
      </c>
      <c r="H52" s="208">
        <v>0</v>
      </c>
      <c r="I52" s="208">
        <v>0</v>
      </c>
      <c r="J52" s="208">
        <v>0</v>
      </c>
      <c r="K52" s="208">
        <v>0</v>
      </c>
      <c r="L52" s="219">
        <v>0</v>
      </c>
      <c r="M52" s="219">
        <v>0</v>
      </c>
      <c r="N52" s="208">
        <v>0</v>
      </c>
      <c r="O52" s="208">
        <v>0</v>
      </c>
    </row>
    <row r="53" spans="1:15">
      <c r="A53" s="220" t="s">
        <v>697</v>
      </c>
      <c r="B53" s="221" t="s">
        <v>707</v>
      </c>
      <c r="C53" s="248"/>
      <c r="D53" s="225"/>
      <c r="E53" s="225"/>
      <c r="F53" s="211">
        <v>0</v>
      </c>
      <c r="G53" s="211">
        <v>0</v>
      </c>
      <c r="H53" s="211">
        <v>0</v>
      </c>
      <c r="I53" s="211">
        <v>0</v>
      </c>
      <c r="J53" s="211">
        <v>0</v>
      </c>
      <c r="K53" s="211">
        <v>1339.8045100208001</v>
      </c>
      <c r="L53" s="211">
        <v>0.54540392017182804</v>
      </c>
      <c r="M53" s="211">
        <v>0.11236322086867399</v>
      </c>
      <c r="N53" s="211">
        <v>0</v>
      </c>
      <c r="O53" s="211">
        <v>1340.4622771618399</v>
      </c>
    </row>
    <row r="54" spans="1:15">
      <c r="A54" s="220" t="s">
        <v>708</v>
      </c>
      <c r="B54" s="221" t="s">
        <v>709</v>
      </c>
      <c r="C54" s="248"/>
      <c r="D54" s="225"/>
      <c r="E54" s="225"/>
      <c r="F54" s="211">
        <v>10709.5346169534</v>
      </c>
      <c r="G54" s="211">
        <v>1.45652664481255</v>
      </c>
      <c r="H54" s="211">
        <v>36.413166120313903</v>
      </c>
      <c r="I54" s="211">
        <v>3.3577943038767302</v>
      </c>
      <c r="J54" s="211">
        <v>1000.6227025552701</v>
      </c>
      <c r="K54" s="211">
        <v>0</v>
      </c>
      <c r="L54" s="211">
        <v>0</v>
      </c>
      <c r="M54" s="211">
        <v>0</v>
      </c>
      <c r="N54" s="211">
        <v>0</v>
      </c>
      <c r="O54" s="211">
        <v>11746.570485628999</v>
      </c>
    </row>
    <row r="55" spans="1:15">
      <c r="A55" s="213" t="s">
        <v>710</v>
      </c>
      <c r="B55" s="214" t="s">
        <v>711</v>
      </c>
      <c r="C55" s="264"/>
      <c r="D55" s="253"/>
      <c r="E55" s="253"/>
      <c r="F55" s="252">
        <v>3.5018800419326199</v>
      </c>
      <c r="G55" s="252">
        <v>0</v>
      </c>
      <c r="H55" s="252">
        <v>0</v>
      </c>
      <c r="I55" s="252">
        <v>9.4486740226857893E-2</v>
      </c>
      <c r="J55" s="252">
        <v>28.1570485876037</v>
      </c>
      <c r="K55" s="252">
        <v>0</v>
      </c>
      <c r="L55" s="252">
        <v>2.71516612616742</v>
      </c>
      <c r="M55" s="252">
        <v>3.147084</v>
      </c>
      <c r="N55" s="252">
        <v>0</v>
      </c>
      <c r="O55" s="252">
        <v>37.521178755703701</v>
      </c>
    </row>
    <row r="56" spans="1:15">
      <c r="A56" s="251" t="s">
        <v>712</v>
      </c>
      <c r="B56" s="250"/>
      <c r="C56" s="250"/>
      <c r="F56" s="223">
        <v>707.006666666667</v>
      </c>
      <c r="G56" s="223">
        <v>408.80286597629998</v>
      </c>
      <c r="H56" s="223">
        <v>10220.0716494075</v>
      </c>
      <c r="I56" s="388">
        <v>23.073480254041002</v>
      </c>
      <c r="J56" s="223">
        <v>6875.8971157042297</v>
      </c>
      <c r="K56" s="198">
        <v>0</v>
      </c>
      <c r="L56" s="198">
        <v>0</v>
      </c>
      <c r="M56" s="198">
        <v>0</v>
      </c>
      <c r="N56" s="198">
        <v>0</v>
      </c>
      <c r="O56" s="198">
        <v>17802.975431778399</v>
      </c>
    </row>
    <row r="57" spans="1:15">
      <c r="A57" s="262" t="s">
        <v>663</v>
      </c>
      <c r="B57" s="261" t="s">
        <v>27</v>
      </c>
      <c r="C57" s="261"/>
      <c r="F57" s="211">
        <v>0</v>
      </c>
      <c r="G57" s="211">
        <v>380.49874303337498</v>
      </c>
      <c r="H57" s="211">
        <v>9512.4685758343803</v>
      </c>
      <c r="I57" s="211">
        <v>0</v>
      </c>
      <c r="J57" s="211">
        <v>0</v>
      </c>
      <c r="K57" s="202">
        <v>0</v>
      </c>
      <c r="L57" s="202">
        <v>0</v>
      </c>
      <c r="M57" s="202">
        <v>0</v>
      </c>
      <c r="N57" s="202">
        <v>0</v>
      </c>
      <c r="O57" s="202">
        <v>9512.4685758343803</v>
      </c>
    </row>
    <row r="58" spans="1:15">
      <c r="A58" s="262" t="s">
        <v>673</v>
      </c>
      <c r="B58" s="261" t="s">
        <v>28</v>
      </c>
      <c r="C58" s="261"/>
      <c r="F58" s="211">
        <v>0</v>
      </c>
      <c r="G58" s="211">
        <v>28.286829717078401</v>
      </c>
      <c r="H58" s="211">
        <v>707.17074292695997</v>
      </c>
      <c r="I58" s="211">
        <v>4.8200374330060498</v>
      </c>
      <c r="J58" s="211">
        <v>1436.3711550358</v>
      </c>
      <c r="K58" s="202">
        <v>0</v>
      </c>
      <c r="L58" s="202">
        <v>0</v>
      </c>
      <c r="M58" s="202">
        <v>0</v>
      </c>
      <c r="N58" s="202">
        <v>0</v>
      </c>
      <c r="O58" s="202">
        <v>2143.5418979627598</v>
      </c>
    </row>
    <row r="59" spans="1:15">
      <c r="A59" s="262" t="s">
        <v>693</v>
      </c>
      <c r="B59" s="261" t="s">
        <v>713</v>
      </c>
      <c r="C59" s="261"/>
      <c r="F59" s="202">
        <v>0</v>
      </c>
      <c r="G59" s="202">
        <v>0</v>
      </c>
      <c r="H59" s="202">
        <v>0</v>
      </c>
      <c r="I59" s="202">
        <v>18.2529944781427</v>
      </c>
      <c r="J59" s="202">
        <v>5439.3923544865202</v>
      </c>
      <c r="K59" s="199">
        <v>0</v>
      </c>
      <c r="L59" s="199">
        <v>0</v>
      </c>
      <c r="M59" s="199">
        <v>0</v>
      </c>
      <c r="N59" s="199">
        <v>0</v>
      </c>
      <c r="O59" s="199">
        <v>5439.3923544865202</v>
      </c>
    </row>
    <row r="60" spans="1:15" s="205" customFormat="1" ht="12">
      <c r="A60" s="260"/>
      <c r="B60" s="259"/>
      <c r="C60" s="257" t="s">
        <v>714</v>
      </c>
      <c r="F60" s="208">
        <v>0</v>
      </c>
      <c r="G60" s="208">
        <v>0</v>
      </c>
      <c r="H60" s="208">
        <v>0</v>
      </c>
      <c r="I60" s="208">
        <v>14.7693570885633</v>
      </c>
      <c r="J60" s="208">
        <v>4401.2684123918598</v>
      </c>
      <c r="K60" s="206">
        <v>0</v>
      </c>
      <c r="L60" s="206">
        <v>0</v>
      </c>
      <c r="M60" s="206">
        <v>0</v>
      </c>
      <c r="N60" s="206">
        <v>0</v>
      </c>
      <c r="O60" s="206">
        <v>4401.2684123918598</v>
      </c>
    </row>
    <row r="61" spans="1:15" s="205" customFormat="1" ht="12">
      <c r="A61" s="258"/>
      <c r="B61" s="257"/>
      <c r="C61" s="257" t="s">
        <v>715</v>
      </c>
      <c r="D61" s="207"/>
      <c r="E61" s="207"/>
      <c r="F61" s="208">
        <v>0</v>
      </c>
      <c r="G61" s="208">
        <v>0</v>
      </c>
      <c r="H61" s="208">
        <v>0</v>
      </c>
      <c r="I61" s="208">
        <v>3.4836373895794002</v>
      </c>
      <c r="J61" s="208">
        <v>1038.1239420946599</v>
      </c>
      <c r="K61" s="208">
        <v>0</v>
      </c>
      <c r="L61" s="208">
        <v>0</v>
      </c>
      <c r="M61" s="208">
        <v>0</v>
      </c>
      <c r="N61" s="208">
        <v>0</v>
      </c>
      <c r="O61" s="208">
        <v>1038.1239420946599</v>
      </c>
    </row>
    <row r="62" spans="1:15" s="204" customFormat="1" ht="13">
      <c r="A62" s="249" t="s">
        <v>697</v>
      </c>
      <c r="B62" s="248" t="s">
        <v>185</v>
      </c>
      <c r="C62" s="256"/>
      <c r="D62" s="210"/>
      <c r="E62" s="210"/>
      <c r="F62" s="211">
        <v>0</v>
      </c>
      <c r="G62" s="211">
        <v>1.7293225846153799E-2</v>
      </c>
      <c r="H62" s="211">
        <v>0.43233064615384598</v>
      </c>
      <c r="I62" s="211">
        <v>4.4834289230769199E-4</v>
      </c>
      <c r="J62" s="211">
        <v>0.133606181907692</v>
      </c>
      <c r="K62" s="211">
        <v>0</v>
      </c>
      <c r="L62" s="211">
        <v>0</v>
      </c>
      <c r="M62" s="211">
        <v>0</v>
      </c>
      <c r="N62" s="211">
        <v>0</v>
      </c>
      <c r="O62" s="211">
        <v>0.565936828061538</v>
      </c>
    </row>
    <row r="63" spans="1:15">
      <c r="A63" s="255" t="s">
        <v>708</v>
      </c>
      <c r="B63" s="214" t="s">
        <v>716</v>
      </c>
      <c r="C63" s="254"/>
      <c r="D63" s="253"/>
      <c r="E63" s="253"/>
      <c r="F63" s="222">
        <v>707.006666666667</v>
      </c>
      <c r="G63" s="222">
        <v>0</v>
      </c>
      <c r="H63" s="222">
        <v>0</v>
      </c>
      <c r="I63" s="222">
        <v>0</v>
      </c>
      <c r="J63" s="222">
        <v>0</v>
      </c>
      <c r="K63" s="252">
        <v>0</v>
      </c>
      <c r="L63" s="252">
        <v>0</v>
      </c>
      <c r="M63" s="252">
        <v>0</v>
      </c>
      <c r="N63" s="252">
        <v>0</v>
      </c>
      <c r="O63" s="252">
        <v>707.006666666667</v>
      </c>
    </row>
    <row r="64" spans="1:15">
      <c r="A64" s="251" t="s">
        <v>717</v>
      </c>
      <c r="B64" s="250"/>
      <c r="C64" s="250"/>
      <c r="F64" s="198">
        <v>29.476106000000001</v>
      </c>
      <c r="G64" s="198">
        <v>76.793516449999998</v>
      </c>
      <c r="H64" s="198">
        <v>1919.8379112499999</v>
      </c>
      <c r="I64" s="198">
        <v>0.55045149000000004</v>
      </c>
      <c r="J64" s="198">
        <v>164.03454402</v>
      </c>
      <c r="K64" s="198">
        <v>0</v>
      </c>
      <c r="L64" s="198">
        <v>0</v>
      </c>
      <c r="M64" s="198">
        <v>0</v>
      </c>
      <c r="N64" s="198">
        <v>0</v>
      </c>
      <c r="O64" s="198">
        <v>2113.3485612700001</v>
      </c>
    </row>
    <row r="65" spans="1:31">
      <c r="A65" s="249" t="s">
        <v>663</v>
      </c>
      <c r="B65" s="248" t="s">
        <v>718</v>
      </c>
      <c r="C65" s="248"/>
      <c r="D65" s="225"/>
      <c r="E65" s="225"/>
      <c r="F65" s="211">
        <v>0</v>
      </c>
      <c r="G65" s="211">
        <v>71.022312790000001</v>
      </c>
      <c r="H65" s="211">
        <v>1775.5578197499999</v>
      </c>
      <c r="I65" s="211">
        <v>0</v>
      </c>
      <c r="J65" s="211">
        <v>0</v>
      </c>
      <c r="K65" s="211">
        <v>0</v>
      </c>
      <c r="L65" s="211">
        <v>0</v>
      </c>
      <c r="M65" s="211">
        <v>0</v>
      </c>
      <c r="N65" s="211">
        <v>0</v>
      </c>
      <c r="O65" s="211">
        <v>1775.5578197499999</v>
      </c>
    </row>
    <row r="66" spans="1:31">
      <c r="A66" s="249" t="s">
        <v>822</v>
      </c>
      <c r="B66" s="248" t="s">
        <v>719</v>
      </c>
      <c r="E66" s="225"/>
      <c r="F66" s="211">
        <v>0</v>
      </c>
      <c r="G66" s="211">
        <v>4.1895524499999999</v>
      </c>
      <c r="H66" s="211">
        <v>104.73881125</v>
      </c>
      <c r="I66" s="211">
        <v>0.25137314999999999</v>
      </c>
      <c r="J66" s="211">
        <v>74.909198700000005</v>
      </c>
      <c r="K66" s="211">
        <v>0</v>
      </c>
      <c r="L66" s="211">
        <v>0</v>
      </c>
      <c r="M66" s="211">
        <v>0</v>
      </c>
      <c r="N66" s="211">
        <v>0</v>
      </c>
      <c r="O66" s="211">
        <v>179.64800994999999</v>
      </c>
    </row>
    <row r="67" spans="1:31">
      <c r="A67" s="249" t="s">
        <v>693</v>
      </c>
      <c r="B67" s="248" t="s">
        <v>720</v>
      </c>
      <c r="C67" s="248"/>
      <c r="D67" s="225"/>
      <c r="E67" s="225"/>
      <c r="F67" s="211">
        <v>0</v>
      </c>
      <c r="G67" s="211">
        <v>1.5788142599999999</v>
      </c>
      <c r="H67" s="211">
        <v>39.470356500000001</v>
      </c>
      <c r="I67" s="211">
        <v>0.24604935</v>
      </c>
      <c r="J67" s="211">
        <v>73.322706299999993</v>
      </c>
      <c r="K67" s="211">
        <v>0</v>
      </c>
      <c r="L67" s="211">
        <v>0</v>
      </c>
      <c r="M67" s="211">
        <v>0</v>
      </c>
      <c r="N67" s="211">
        <v>0</v>
      </c>
      <c r="O67" s="211">
        <v>112.7930628</v>
      </c>
    </row>
    <row r="68" spans="1:31">
      <c r="A68" s="247" t="s">
        <v>697</v>
      </c>
      <c r="B68" s="246" t="s">
        <v>721</v>
      </c>
      <c r="C68" s="246"/>
      <c r="D68" s="245"/>
      <c r="E68" s="245"/>
      <c r="F68" s="222">
        <v>29.476106000000001</v>
      </c>
      <c r="G68" s="222">
        <v>2.83695E-3</v>
      </c>
      <c r="H68" s="222">
        <v>7.0923749999999994E-2</v>
      </c>
      <c r="I68" s="222">
        <v>5.3028989999999998E-2</v>
      </c>
      <c r="J68" s="222">
        <v>15.802639020000001</v>
      </c>
      <c r="K68" s="222">
        <v>0</v>
      </c>
      <c r="L68" s="222">
        <v>0</v>
      </c>
      <c r="M68" s="222">
        <v>0</v>
      </c>
      <c r="N68" s="222">
        <v>0</v>
      </c>
      <c r="O68" s="222">
        <v>45.349668770000001</v>
      </c>
    </row>
    <row r="69" spans="1:31" s="196" customFormat="1" ht="14"/>
    <row r="70" spans="1:31">
      <c r="A70" s="204" t="s">
        <v>248</v>
      </c>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row>
    <row r="71" spans="1:31" s="204" customFormat="1" ht="13">
      <c r="A71" s="204" t="s">
        <v>821</v>
      </c>
    </row>
    <row r="72" spans="1:31" s="204" customFormat="1" ht="15">
      <c r="A72" s="204" t="s">
        <v>918</v>
      </c>
    </row>
    <row r="73" spans="1:31" s="204" customFormat="1" ht="15">
      <c r="A73" s="204" t="s">
        <v>917</v>
      </c>
      <c r="F73" s="387"/>
      <c r="G73" s="387"/>
      <c r="H73" s="387"/>
      <c r="I73" s="387"/>
      <c r="J73" s="387"/>
      <c r="K73" s="387"/>
      <c r="L73" s="387"/>
      <c r="M73" s="387"/>
      <c r="N73" s="387"/>
      <c r="O73" s="387"/>
      <c r="P73" s="387"/>
      <c r="Q73" s="387"/>
      <c r="R73" s="387"/>
      <c r="S73" s="387"/>
      <c r="T73" s="387"/>
      <c r="U73" s="387"/>
      <c r="V73" s="387"/>
      <c r="W73" s="387"/>
      <c r="X73" s="387"/>
      <c r="Y73" s="387"/>
      <c r="Z73" s="387"/>
      <c r="AA73" s="387"/>
      <c r="AB73" s="387"/>
      <c r="AC73" s="387"/>
      <c r="AE73" s="386"/>
    </row>
    <row r="74" spans="1:31" s="204" customFormat="1" ht="13">
      <c r="A74" s="204" t="s">
        <v>722</v>
      </c>
    </row>
    <row r="75" spans="1:31" s="204" customFormat="1" ht="13">
      <c r="A75" s="204" t="s">
        <v>723</v>
      </c>
      <c r="B75" s="204" t="s">
        <v>724</v>
      </c>
    </row>
    <row r="76" spans="1:31" s="204" customFormat="1" ht="13">
      <c r="A76" s="385">
        <v>0</v>
      </c>
      <c r="B76" s="204" t="s">
        <v>725</v>
      </c>
    </row>
    <row r="77" spans="1:31" s="204" customFormat="1" ht="13">
      <c r="A77" s="204" t="s">
        <v>817</v>
      </c>
      <c r="B77" s="204" t="s">
        <v>816</v>
      </c>
    </row>
    <row r="78" spans="1:31" s="204" customFormat="1" ht="13">
      <c r="A78" s="204" t="s">
        <v>815</v>
      </c>
    </row>
    <row r="79" spans="1:31">
      <c r="A79" s="204" t="s">
        <v>916</v>
      </c>
      <c r="F79" s="383"/>
      <c r="G79" s="383"/>
      <c r="H79" s="383"/>
      <c r="I79" s="383"/>
      <c r="J79" s="383"/>
      <c r="K79" s="383"/>
      <c r="L79" s="383"/>
      <c r="M79" s="383"/>
      <c r="N79" s="383"/>
      <c r="O79" s="384"/>
      <c r="P79" s="383"/>
      <c r="R79" s="383"/>
      <c r="S79" s="383"/>
      <c r="T79" s="383"/>
      <c r="U79" s="383"/>
      <c r="V79" s="383"/>
      <c r="W79" s="383"/>
      <c r="X79" s="383"/>
      <c r="Y79" s="383"/>
      <c r="Z79" s="383"/>
      <c r="AA79" s="383"/>
      <c r="AB79" s="383"/>
      <c r="AC79" s="383"/>
      <c r="AE79" s="382"/>
    </row>
    <row r="80" spans="1:31">
      <c r="A80" s="381" t="s">
        <v>915</v>
      </c>
      <c r="B80" s="209"/>
      <c r="C80" s="209"/>
      <c r="D80" s="204"/>
      <c r="E80" s="380"/>
      <c r="F80" s="380"/>
      <c r="G80" s="224"/>
      <c r="H80" s="224"/>
      <c r="I80" s="224"/>
      <c r="J80" s="224"/>
      <c r="K80" s="224"/>
      <c r="L80" s="224"/>
      <c r="M80" s="224"/>
      <c r="N80" s="224"/>
      <c r="O80" s="224"/>
      <c r="P80" s="224"/>
      <c r="Q80" s="224"/>
      <c r="R80" s="224"/>
      <c r="S80" s="224"/>
      <c r="T80" s="224"/>
      <c r="U80" s="224"/>
      <c r="V80" s="224"/>
      <c r="W80" s="224"/>
      <c r="X80" s="224"/>
      <c r="Y80" s="224"/>
      <c r="Z80" s="224"/>
      <c r="AA80" s="224"/>
    </row>
    <row r="81" spans="1:27">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c r="AA81" s="224"/>
    </row>
  </sheetData>
  <hyperlinks>
    <hyperlink ref="A80" r:id="rId1" xr:uid="{00000000-0004-0000-2900-000000000000}"/>
  </hyperlinks>
  <pageMargins left="0.70866141732283472" right="0.70866141732283472" top="0.74803149606299213" bottom="0.74803149606299213" header="0.31496062992125984" footer="0.31496062992125984"/>
  <pageSetup paperSize="5" scale="42"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4" tint="0.39997558519241921"/>
    <pageSetUpPr fitToPage="1"/>
  </sheetPr>
  <dimension ref="A1:AE81"/>
  <sheetViews>
    <sheetView zoomScale="80" zoomScaleNormal="80" workbookViewId="0">
      <pane xSplit="5" ySplit="7" topLeftCell="F74" activePane="bottomRight" state="frozen"/>
      <selection activeCell="A80" sqref="A80"/>
      <selection pane="topRight" activeCell="A80" sqref="A80"/>
      <selection pane="bottomLeft" activeCell="A80" sqref="A80"/>
      <selection pane="bottomRight" activeCell="A80" sqref="A80"/>
    </sheetView>
  </sheetViews>
  <sheetFormatPr baseColWidth="10" defaultColWidth="9.1640625" defaultRowHeight="16"/>
  <cols>
    <col min="1" max="1" width="4.5" style="197" customWidth="1"/>
    <col min="2" max="2" width="3.33203125" style="197" customWidth="1"/>
    <col min="3" max="3" width="52.5" style="197" customWidth="1"/>
    <col min="4" max="5" width="3.33203125" style="197" customWidth="1"/>
    <col min="6" max="15" width="16.5" style="197" customWidth="1"/>
    <col min="16" max="16384" width="9.1640625" style="197"/>
  </cols>
  <sheetData>
    <row r="1" spans="1:15" s="169" customFormat="1" ht="14">
      <c r="A1" s="280" t="s">
        <v>922</v>
      </c>
      <c r="B1" s="168"/>
      <c r="C1" s="168"/>
      <c r="D1" s="168"/>
      <c r="E1" s="168"/>
      <c r="F1" s="168"/>
      <c r="G1" s="168"/>
      <c r="H1" s="168"/>
      <c r="I1" s="168"/>
      <c r="J1" s="168"/>
      <c r="K1" s="168"/>
      <c r="L1" s="168"/>
      <c r="M1" s="168"/>
      <c r="N1" s="168"/>
      <c r="O1" s="168"/>
    </row>
    <row r="2" spans="1:15" s="169" customFormat="1" ht="14">
      <c r="B2" s="170"/>
      <c r="C2" s="170"/>
      <c r="D2" s="170"/>
      <c r="E2" s="170"/>
      <c r="F2" s="170"/>
      <c r="G2" s="170"/>
      <c r="H2" s="170"/>
      <c r="I2" s="170"/>
      <c r="J2" s="170"/>
      <c r="K2" s="170"/>
      <c r="L2" s="170"/>
      <c r="M2" s="170"/>
      <c r="N2" s="170"/>
      <c r="O2" s="170"/>
    </row>
    <row r="3" spans="1:15" s="169" customFormat="1" ht="14">
      <c r="B3" s="170"/>
      <c r="C3" s="170"/>
      <c r="D3" s="170"/>
      <c r="E3" s="170"/>
      <c r="F3" s="171" t="s">
        <v>651</v>
      </c>
      <c r="G3" s="172"/>
      <c r="H3" s="172"/>
      <c r="I3" s="172"/>
      <c r="J3" s="172"/>
      <c r="K3" s="172"/>
      <c r="L3" s="172"/>
      <c r="M3" s="172"/>
      <c r="N3" s="172"/>
      <c r="O3" s="172"/>
    </row>
    <row r="4" spans="1:15" s="169" customFormat="1" ht="15">
      <c r="A4" s="170"/>
      <c r="B4" s="170"/>
      <c r="C4" s="170"/>
      <c r="D4" s="170"/>
      <c r="E4" s="170"/>
      <c r="F4" s="173" t="s">
        <v>652</v>
      </c>
      <c r="G4" s="174" t="s">
        <v>653</v>
      </c>
      <c r="H4" s="174" t="s">
        <v>653</v>
      </c>
      <c r="I4" s="174" t="s">
        <v>654</v>
      </c>
      <c r="J4" s="174" t="s">
        <v>654</v>
      </c>
      <c r="K4" s="175" t="s">
        <v>827</v>
      </c>
      <c r="L4" s="175" t="s">
        <v>826</v>
      </c>
      <c r="M4" s="174" t="s">
        <v>655</v>
      </c>
      <c r="N4" s="176" t="s">
        <v>656</v>
      </c>
      <c r="O4" s="177" t="s">
        <v>657</v>
      </c>
    </row>
    <row r="5" spans="1:15" s="179" customFormat="1" ht="14">
      <c r="A5" s="178" t="s">
        <v>658</v>
      </c>
      <c r="B5" s="178"/>
      <c r="E5" s="180" t="s">
        <v>659</v>
      </c>
      <c r="F5" s="181"/>
      <c r="G5" s="182"/>
      <c r="H5" s="183">
        <v>25</v>
      </c>
      <c r="I5" s="184"/>
      <c r="J5" s="183">
        <v>298</v>
      </c>
      <c r="K5" s="185"/>
      <c r="L5" s="185"/>
      <c r="M5" s="186">
        <v>22800</v>
      </c>
      <c r="N5" s="186">
        <v>17200</v>
      </c>
      <c r="O5" s="187"/>
    </row>
    <row r="6" spans="1:15" s="188" customFormat="1" ht="14.25" customHeight="1">
      <c r="C6" s="189"/>
      <c r="D6" s="189"/>
      <c r="E6" s="190" t="s">
        <v>377</v>
      </c>
      <c r="F6" s="191" t="s">
        <v>660</v>
      </c>
      <c r="G6" s="191" t="s">
        <v>660</v>
      </c>
      <c r="H6" s="192" t="s">
        <v>661</v>
      </c>
      <c r="I6" s="193" t="s">
        <v>660</v>
      </c>
      <c r="J6" s="192" t="s">
        <v>661</v>
      </c>
      <c r="K6" s="192" t="s">
        <v>661</v>
      </c>
      <c r="L6" s="192" t="s">
        <v>661</v>
      </c>
      <c r="M6" s="192" t="s">
        <v>661</v>
      </c>
      <c r="N6" s="192" t="s">
        <v>661</v>
      </c>
      <c r="O6" s="192" t="s">
        <v>661</v>
      </c>
    </row>
    <row r="7" spans="1:15" s="196" customFormat="1" ht="15" thickBot="1">
      <c r="A7" s="279" t="s">
        <v>657</v>
      </c>
      <c r="B7" s="278"/>
      <c r="C7" s="277"/>
      <c r="D7" s="194"/>
      <c r="E7" s="194"/>
      <c r="F7" s="195">
        <v>193445.54812356699</v>
      </c>
      <c r="G7" s="195">
        <v>1627.02159210843</v>
      </c>
      <c r="H7" s="195">
        <v>40675.539802710802</v>
      </c>
      <c r="I7" s="195">
        <v>34.524432895143804</v>
      </c>
      <c r="J7" s="195">
        <v>10288.281002752899</v>
      </c>
      <c r="K7" s="195">
        <v>1239.82990757176</v>
      </c>
      <c r="L7" s="195">
        <v>1.83450149714726</v>
      </c>
      <c r="M7" s="195">
        <v>1.24936576576596</v>
      </c>
      <c r="N7" s="195">
        <v>0</v>
      </c>
      <c r="O7" s="195">
        <v>245652.282703865</v>
      </c>
    </row>
    <row r="8" spans="1:15" ht="17" thickTop="1">
      <c r="A8" s="251" t="s">
        <v>662</v>
      </c>
      <c r="B8" s="276"/>
      <c r="C8" s="276"/>
      <c r="F8" s="198">
        <v>184001.41403575899</v>
      </c>
      <c r="G8" s="198">
        <v>1148.57043305619</v>
      </c>
      <c r="H8" s="198">
        <v>28714.260826404799</v>
      </c>
      <c r="I8" s="198">
        <v>8.3749826372553908</v>
      </c>
      <c r="J8" s="198">
        <v>2495.7448259021098</v>
      </c>
      <c r="K8" s="198">
        <v>0</v>
      </c>
      <c r="L8" s="198">
        <v>0</v>
      </c>
      <c r="M8" s="198">
        <v>0</v>
      </c>
      <c r="N8" s="198">
        <v>0</v>
      </c>
      <c r="O8" s="198">
        <v>215211.419688066</v>
      </c>
    </row>
    <row r="9" spans="1:15">
      <c r="A9" s="262" t="s">
        <v>663</v>
      </c>
      <c r="B9" s="261" t="s">
        <v>664</v>
      </c>
      <c r="C9" s="261"/>
      <c r="F9" s="199">
        <v>138777.07843850099</v>
      </c>
      <c r="G9" s="199">
        <v>54.715138298280799</v>
      </c>
      <c r="H9" s="199">
        <v>1367.87845745702</v>
      </c>
      <c r="I9" s="199">
        <v>2.8285036729455899</v>
      </c>
      <c r="J9" s="199">
        <v>842.89409453778501</v>
      </c>
      <c r="K9" s="199">
        <v>0</v>
      </c>
      <c r="L9" s="199">
        <v>0</v>
      </c>
      <c r="M9" s="199">
        <v>0</v>
      </c>
      <c r="N9" s="199">
        <v>0</v>
      </c>
      <c r="O9" s="199">
        <v>140987.85099049599</v>
      </c>
    </row>
    <row r="10" spans="1:15">
      <c r="A10" s="273"/>
      <c r="B10" s="201" t="s">
        <v>665</v>
      </c>
      <c r="C10" s="265"/>
      <c r="F10" s="202">
        <v>48634.784</v>
      </c>
      <c r="G10" s="202">
        <v>2.2014815011245399</v>
      </c>
      <c r="H10" s="202">
        <v>55.037037528113601</v>
      </c>
      <c r="I10" s="202">
        <v>0.95004713408302799</v>
      </c>
      <c r="J10" s="202">
        <v>283.11404595674202</v>
      </c>
      <c r="K10" s="202">
        <v>0</v>
      </c>
      <c r="L10" s="202">
        <v>0</v>
      </c>
      <c r="M10" s="202">
        <v>0</v>
      </c>
      <c r="N10" s="202">
        <v>0</v>
      </c>
      <c r="O10" s="202">
        <v>48972.935083484903</v>
      </c>
    </row>
    <row r="11" spans="1:15">
      <c r="A11" s="273"/>
      <c r="B11" s="203" t="s">
        <v>666</v>
      </c>
      <c r="C11" s="265"/>
      <c r="F11" s="202">
        <v>3812.7149666805999</v>
      </c>
      <c r="G11" s="202">
        <v>7.6760326508409193E-2</v>
      </c>
      <c r="H11" s="202">
        <v>1.91900816271023</v>
      </c>
      <c r="I11" s="202">
        <v>1.7951022797155099E-2</v>
      </c>
      <c r="J11" s="202">
        <v>5.3494047935522104</v>
      </c>
      <c r="K11" s="202">
        <v>0</v>
      </c>
      <c r="L11" s="202">
        <v>0</v>
      </c>
      <c r="M11" s="202">
        <v>0</v>
      </c>
      <c r="N11" s="202">
        <v>0</v>
      </c>
      <c r="O11" s="202">
        <v>3819.9833796368698</v>
      </c>
    </row>
    <row r="12" spans="1:15">
      <c r="A12" s="273"/>
      <c r="B12" s="203" t="s">
        <v>667</v>
      </c>
      <c r="C12" s="275"/>
      <c r="F12" s="202">
        <v>59911.139978467501</v>
      </c>
      <c r="G12" s="202">
        <v>46.048467190971003</v>
      </c>
      <c r="H12" s="202">
        <v>1151.2116797742799</v>
      </c>
      <c r="I12" s="202">
        <v>1.14837139925547</v>
      </c>
      <c r="J12" s="202">
        <v>342.21467697813102</v>
      </c>
      <c r="K12" s="202">
        <v>0</v>
      </c>
      <c r="L12" s="202">
        <v>0</v>
      </c>
      <c r="M12" s="202">
        <v>0</v>
      </c>
      <c r="N12" s="202">
        <v>0</v>
      </c>
      <c r="O12" s="202">
        <v>61404.566335219897</v>
      </c>
    </row>
    <row r="13" spans="1:15">
      <c r="A13" s="273"/>
      <c r="B13" s="203" t="s">
        <v>668</v>
      </c>
      <c r="C13" s="265"/>
      <c r="F13" s="202">
        <v>11438.1418216695</v>
      </c>
      <c r="G13" s="202">
        <v>0.38725400381413699</v>
      </c>
      <c r="H13" s="202">
        <v>9.6813500953534195</v>
      </c>
      <c r="I13" s="202">
        <v>0.32665449599741497</v>
      </c>
      <c r="J13" s="202">
        <v>97.343039807229701</v>
      </c>
      <c r="K13" s="202">
        <v>0</v>
      </c>
      <c r="L13" s="202">
        <v>0</v>
      </c>
      <c r="M13" s="202">
        <v>0</v>
      </c>
      <c r="N13" s="202">
        <v>0</v>
      </c>
      <c r="O13" s="202">
        <v>11545.166211572099</v>
      </c>
    </row>
    <row r="14" spans="1:15">
      <c r="A14" s="273"/>
      <c r="B14" s="203" t="s">
        <v>670</v>
      </c>
      <c r="C14" s="274"/>
      <c r="F14" s="202">
        <v>257.8612</v>
      </c>
      <c r="G14" s="202">
        <v>4.6039000000000002E-3</v>
      </c>
      <c r="H14" s="202">
        <v>0.11509750000000001</v>
      </c>
      <c r="I14" s="202">
        <v>9.6725000000000005E-3</v>
      </c>
      <c r="J14" s="202">
        <v>2.8824049999999999</v>
      </c>
      <c r="K14" s="202">
        <v>0</v>
      </c>
      <c r="L14" s="202">
        <v>0</v>
      </c>
      <c r="M14" s="202">
        <v>0</v>
      </c>
      <c r="N14" s="202">
        <v>0</v>
      </c>
      <c r="O14" s="202">
        <v>260.85870249999999</v>
      </c>
    </row>
    <row r="15" spans="1:15">
      <c r="A15" s="273"/>
      <c r="B15" s="203" t="s">
        <v>671</v>
      </c>
      <c r="C15" s="203"/>
      <c r="F15" s="202">
        <v>5883.3660616835105</v>
      </c>
      <c r="G15" s="202">
        <v>0.111214552150946</v>
      </c>
      <c r="H15" s="202">
        <v>2.78036380377366</v>
      </c>
      <c r="I15" s="202">
        <v>0.13633584216981101</v>
      </c>
      <c r="J15" s="202">
        <v>40.628080966603797</v>
      </c>
      <c r="K15" s="202">
        <v>0</v>
      </c>
      <c r="L15" s="202">
        <v>0</v>
      </c>
      <c r="M15" s="202">
        <v>0</v>
      </c>
      <c r="N15" s="202">
        <v>0</v>
      </c>
      <c r="O15" s="202">
        <v>5926.7745064538904</v>
      </c>
    </row>
    <row r="16" spans="1:15">
      <c r="A16" s="273"/>
      <c r="B16" s="203" t="s">
        <v>175</v>
      </c>
      <c r="C16" s="203"/>
      <c r="F16" s="202">
        <v>8626.4941099999996</v>
      </c>
      <c r="G16" s="202">
        <v>5.8813758237117701</v>
      </c>
      <c r="H16" s="202">
        <v>147.034395592794</v>
      </c>
      <c r="I16" s="202">
        <v>0.23453837864270399</v>
      </c>
      <c r="J16" s="202">
        <v>69.892436835525899</v>
      </c>
      <c r="K16" s="202">
        <v>0</v>
      </c>
      <c r="L16" s="202">
        <v>0</v>
      </c>
      <c r="M16" s="202">
        <v>0</v>
      </c>
      <c r="N16" s="202">
        <v>0</v>
      </c>
      <c r="O16" s="202">
        <v>8843.4209424283199</v>
      </c>
    </row>
    <row r="17" spans="1:15">
      <c r="A17" s="273"/>
      <c r="B17" s="203" t="s">
        <v>672</v>
      </c>
      <c r="C17" s="203"/>
      <c r="F17" s="202">
        <v>212.5763</v>
      </c>
      <c r="G17" s="202">
        <v>3.9810000000000002E-3</v>
      </c>
      <c r="H17" s="202">
        <v>9.9525000000000002E-2</v>
      </c>
      <c r="I17" s="202">
        <v>4.9328999999999996E-3</v>
      </c>
      <c r="J17" s="202">
        <v>1.4700042</v>
      </c>
      <c r="K17" s="202">
        <v>0</v>
      </c>
      <c r="L17" s="202">
        <v>0</v>
      </c>
      <c r="M17" s="202">
        <v>0</v>
      </c>
      <c r="N17" s="202">
        <v>0</v>
      </c>
      <c r="O17" s="202">
        <v>214.14582920000001</v>
      </c>
    </row>
    <row r="18" spans="1:15">
      <c r="A18" s="262" t="s">
        <v>673</v>
      </c>
      <c r="B18" s="261" t="s">
        <v>825</v>
      </c>
      <c r="C18" s="261"/>
      <c r="F18" s="199">
        <v>37871.616432541603</v>
      </c>
      <c r="G18" s="199">
        <v>4.6297914206388997</v>
      </c>
      <c r="H18" s="199">
        <v>115.744785515972</v>
      </c>
      <c r="I18" s="199">
        <v>5.4961607663332002</v>
      </c>
      <c r="J18" s="199">
        <v>1637.8559083672901</v>
      </c>
      <c r="K18" s="199">
        <v>0</v>
      </c>
      <c r="L18" s="199">
        <v>0</v>
      </c>
      <c r="M18" s="199">
        <v>0</v>
      </c>
      <c r="N18" s="199">
        <v>0</v>
      </c>
      <c r="O18" s="199">
        <v>39625.217126424803</v>
      </c>
    </row>
    <row r="19" spans="1:15">
      <c r="A19" s="273"/>
      <c r="B19" s="203" t="s">
        <v>674</v>
      </c>
      <c r="C19" s="265"/>
      <c r="F19" s="202">
        <v>1217.93707192386</v>
      </c>
      <c r="G19" s="202">
        <v>5.3766872428909498E-2</v>
      </c>
      <c r="H19" s="202">
        <v>1.3441718107227401</v>
      </c>
      <c r="I19" s="202">
        <v>3.4942414415803598E-2</v>
      </c>
      <c r="J19" s="202">
        <v>10.4128394959095</v>
      </c>
      <c r="K19" s="202">
        <v>0</v>
      </c>
      <c r="L19" s="202">
        <v>0</v>
      </c>
      <c r="M19" s="202">
        <v>0</v>
      </c>
      <c r="N19" s="202">
        <v>0</v>
      </c>
      <c r="O19" s="202">
        <v>1229.6940832304999</v>
      </c>
    </row>
    <row r="20" spans="1:15">
      <c r="A20" s="273"/>
      <c r="B20" s="203" t="s">
        <v>675</v>
      </c>
      <c r="C20" s="265"/>
      <c r="F20" s="202">
        <v>24667.1776362071</v>
      </c>
      <c r="G20" s="202">
        <v>1.54487897210749</v>
      </c>
      <c r="H20" s="202">
        <v>38.6219743026871</v>
      </c>
      <c r="I20" s="202">
        <v>1.6140009458737099</v>
      </c>
      <c r="J20" s="202">
        <v>480.97228187036501</v>
      </c>
      <c r="K20" s="202">
        <v>0</v>
      </c>
      <c r="L20" s="202">
        <v>0</v>
      </c>
      <c r="M20" s="202">
        <v>0</v>
      </c>
      <c r="N20" s="202">
        <v>0</v>
      </c>
      <c r="O20" s="202">
        <v>25186.771892380199</v>
      </c>
    </row>
    <row r="21" spans="1:15" s="205" customFormat="1" ht="12">
      <c r="A21" s="266"/>
      <c r="B21" s="265"/>
      <c r="C21" s="212" t="s">
        <v>676</v>
      </c>
      <c r="F21" s="206">
        <v>3003.8366821002501</v>
      </c>
      <c r="G21" s="206">
        <v>0.31030805820276902</v>
      </c>
      <c r="H21" s="206">
        <v>7.7577014550692303</v>
      </c>
      <c r="I21" s="206">
        <v>0.21904657477160799</v>
      </c>
      <c r="J21" s="206">
        <v>65.275879281939197</v>
      </c>
      <c r="K21" s="206">
        <v>0</v>
      </c>
      <c r="L21" s="206">
        <v>0</v>
      </c>
      <c r="M21" s="206">
        <v>0</v>
      </c>
      <c r="N21" s="206">
        <v>0</v>
      </c>
      <c r="O21" s="206">
        <v>3076.8702628372498</v>
      </c>
    </row>
    <row r="22" spans="1:15" s="205" customFormat="1" ht="12">
      <c r="A22" s="266"/>
      <c r="B22" s="265"/>
      <c r="C22" s="212" t="s">
        <v>677</v>
      </c>
      <c r="F22" s="206">
        <v>5480.3334135627301</v>
      </c>
      <c r="G22" s="206">
        <v>0.54363099577997298</v>
      </c>
      <c r="H22" s="206">
        <v>13.590774894499299</v>
      </c>
      <c r="I22" s="206">
        <v>0.409685122384636</v>
      </c>
      <c r="J22" s="206">
        <v>122.086166470622</v>
      </c>
      <c r="K22" s="206">
        <v>0</v>
      </c>
      <c r="L22" s="206">
        <v>0</v>
      </c>
      <c r="M22" s="206">
        <v>0</v>
      </c>
      <c r="N22" s="206">
        <v>0</v>
      </c>
      <c r="O22" s="206">
        <v>5616.0103549278501</v>
      </c>
    </row>
    <row r="23" spans="1:15" s="205" customFormat="1" ht="12">
      <c r="A23" s="266"/>
      <c r="B23" s="265"/>
      <c r="C23" s="212" t="s">
        <v>678</v>
      </c>
      <c r="F23" s="206">
        <v>2870.4006576217398</v>
      </c>
      <c r="G23" s="206">
        <v>0.119289671791574</v>
      </c>
      <c r="H23" s="206">
        <v>2.98224179478935</v>
      </c>
      <c r="I23" s="206">
        <v>0.23694815331309199</v>
      </c>
      <c r="J23" s="206">
        <v>70.6105496873014</v>
      </c>
      <c r="K23" s="206">
        <v>0</v>
      </c>
      <c r="L23" s="206">
        <v>0</v>
      </c>
      <c r="M23" s="206">
        <v>0</v>
      </c>
      <c r="N23" s="206">
        <v>0</v>
      </c>
      <c r="O23" s="206">
        <v>2943.9934491038298</v>
      </c>
    </row>
    <row r="24" spans="1:15" s="205" customFormat="1" ht="12">
      <c r="A24" s="266"/>
      <c r="B24" s="265"/>
      <c r="C24" s="212" t="s">
        <v>679</v>
      </c>
      <c r="F24" s="206">
        <v>34.067579666966601</v>
      </c>
      <c r="G24" s="206">
        <v>1.42183180083412E-2</v>
      </c>
      <c r="H24" s="206">
        <v>0.35545795020852999</v>
      </c>
      <c r="I24" s="206">
        <v>6.4472229105655898E-4</v>
      </c>
      <c r="J24" s="206">
        <v>0.19212724273485501</v>
      </c>
      <c r="K24" s="206">
        <v>0</v>
      </c>
      <c r="L24" s="206">
        <v>0</v>
      </c>
      <c r="M24" s="206">
        <v>0</v>
      </c>
      <c r="N24" s="206">
        <v>0</v>
      </c>
      <c r="O24" s="206">
        <v>34.615164859910003</v>
      </c>
    </row>
    <row r="25" spans="1:15" s="205" customFormat="1" ht="12">
      <c r="A25" s="266"/>
      <c r="B25" s="265"/>
      <c r="C25" s="212" t="s">
        <v>680</v>
      </c>
      <c r="F25" s="206">
        <v>90.512835519134299</v>
      </c>
      <c r="G25" s="206">
        <v>1.78492971169886E-3</v>
      </c>
      <c r="H25" s="206">
        <v>4.4623242792471401E-2</v>
      </c>
      <c r="I25" s="206">
        <v>7.4398389702126496E-3</v>
      </c>
      <c r="J25" s="206">
        <v>2.2170720131233699</v>
      </c>
      <c r="K25" s="206">
        <v>0</v>
      </c>
      <c r="L25" s="206">
        <v>0</v>
      </c>
      <c r="M25" s="206">
        <v>0</v>
      </c>
      <c r="N25" s="206">
        <v>0</v>
      </c>
      <c r="O25" s="206">
        <v>92.774530775050096</v>
      </c>
    </row>
    <row r="26" spans="1:15" s="205" customFormat="1" ht="12">
      <c r="A26" s="266"/>
      <c r="B26" s="265"/>
      <c r="C26" s="212" t="s">
        <v>681</v>
      </c>
      <c r="F26" s="206">
        <v>85.451853165140406</v>
      </c>
      <c r="G26" s="206">
        <v>2.2012990786667301E-3</v>
      </c>
      <c r="H26" s="206">
        <v>5.5032476966668298E-2</v>
      </c>
      <c r="I26" s="206">
        <v>6.9782607197157896E-3</v>
      </c>
      <c r="J26" s="206">
        <v>2.0795216944753001</v>
      </c>
      <c r="K26" s="206">
        <v>0</v>
      </c>
      <c r="L26" s="206">
        <v>0</v>
      </c>
      <c r="M26" s="206">
        <v>0</v>
      </c>
      <c r="N26" s="206">
        <v>0</v>
      </c>
      <c r="O26" s="206">
        <v>87.586407336582397</v>
      </c>
    </row>
    <row r="27" spans="1:15" s="205" customFormat="1" ht="12">
      <c r="A27" s="266"/>
      <c r="B27" s="265"/>
      <c r="C27" s="212" t="s">
        <v>682</v>
      </c>
      <c r="F27" s="206">
        <v>13099.0079361425</v>
      </c>
      <c r="G27" s="206">
        <v>0.55193300736810802</v>
      </c>
      <c r="H27" s="206">
        <v>13.798325184202699</v>
      </c>
      <c r="I27" s="206">
        <v>0.73319235433113294</v>
      </c>
      <c r="J27" s="206">
        <v>218.49132159067801</v>
      </c>
      <c r="K27" s="206">
        <v>0</v>
      </c>
      <c r="L27" s="206">
        <v>0</v>
      </c>
      <c r="M27" s="206">
        <v>0</v>
      </c>
      <c r="N27" s="206">
        <v>0</v>
      </c>
      <c r="O27" s="206">
        <v>13331.297582917399</v>
      </c>
    </row>
    <row r="28" spans="1:15" s="205" customFormat="1" ht="12">
      <c r="A28" s="266"/>
      <c r="B28" s="265"/>
      <c r="C28" s="212" t="s">
        <v>683</v>
      </c>
      <c r="F28" s="206">
        <v>3.5666784287059099</v>
      </c>
      <c r="G28" s="206">
        <v>1.5126921663548101E-3</v>
      </c>
      <c r="H28" s="206">
        <v>3.7817304158870302E-2</v>
      </c>
      <c r="I28" s="206">
        <v>6.5919092255390695E-5</v>
      </c>
      <c r="J28" s="206">
        <v>1.9643889492106398E-2</v>
      </c>
      <c r="K28" s="206">
        <v>0</v>
      </c>
      <c r="L28" s="206">
        <v>0</v>
      </c>
      <c r="M28" s="206">
        <v>0</v>
      </c>
      <c r="N28" s="206">
        <v>0</v>
      </c>
      <c r="O28" s="206">
        <v>3.6241396223568798</v>
      </c>
    </row>
    <row r="29" spans="1:15">
      <c r="A29" s="273"/>
      <c r="B29" s="203" t="s">
        <v>684</v>
      </c>
      <c r="C29" s="265"/>
      <c r="F29" s="202" t="s">
        <v>817</v>
      </c>
      <c r="G29" s="202" t="s">
        <v>817</v>
      </c>
      <c r="H29" s="202" t="s">
        <v>817</v>
      </c>
      <c r="I29" s="202" t="s">
        <v>817</v>
      </c>
      <c r="J29" s="202" t="s">
        <v>817</v>
      </c>
      <c r="K29" s="202" t="s">
        <v>817</v>
      </c>
      <c r="L29" s="202" t="s">
        <v>817</v>
      </c>
      <c r="M29" s="202" t="s">
        <v>817</v>
      </c>
      <c r="N29" s="202" t="s">
        <v>817</v>
      </c>
      <c r="O29" s="202" t="s">
        <v>817</v>
      </c>
    </row>
    <row r="30" spans="1:15">
      <c r="A30" s="273"/>
      <c r="B30" s="203" t="s">
        <v>685</v>
      </c>
      <c r="C30" s="265"/>
      <c r="F30" s="202" t="s">
        <v>817</v>
      </c>
      <c r="G30" s="202" t="s">
        <v>817</v>
      </c>
      <c r="H30" s="202" t="s">
        <v>817</v>
      </c>
      <c r="I30" s="202" t="s">
        <v>817</v>
      </c>
      <c r="J30" s="202" t="s">
        <v>817</v>
      </c>
      <c r="K30" s="202" t="s">
        <v>817</v>
      </c>
      <c r="L30" s="202" t="s">
        <v>817</v>
      </c>
      <c r="M30" s="202" t="s">
        <v>817</v>
      </c>
      <c r="N30" s="202" t="s">
        <v>817</v>
      </c>
      <c r="O30" s="202" t="s">
        <v>817</v>
      </c>
    </row>
    <row r="31" spans="1:15">
      <c r="A31" s="273"/>
      <c r="B31" s="203" t="s">
        <v>686</v>
      </c>
      <c r="C31" s="212"/>
      <c r="F31" s="202">
        <v>9636.72625551282</v>
      </c>
      <c r="G31" s="202">
        <v>2.8976069269225402</v>
      </c>
      <c r="H31" s="202">
        <v>72.440173173063599</v>
      </c>
      <c r="I31" s="202">
        <v>2.9265966524255398</v>
      </c>
      <c r="J31" s="202">
        <v>872.12580242281194</v>
      </c>
      <c r="K31" s="202">
        <v>0</v>
      </c>
      <c r="L31" s="202">
        <v>0</v>
      </c>
      <c r="M31" s="202">
        <v>0</v>
      </c>
      <c r="N31" s="202">
        <v>0</v>
      </c>
      <c r="O31" s="202">
        <v>10581.2922311087</v>
      </c>
    </row>
    <row r="32" spans="1:15" s="205" customFormat="1" ht="12">
      <c r="A32" s="266"/>
      <c r="B32" s="265"/>
      <c r="C32" s="212" t="s">
        <v>687</v>
      </c>
      <c r="F32" s="206">
        <v>3516.4390320141902</v>
      </c>
      <c r="G32" s="206">
        <v>0.21455480925877399</v>
      </c>
      <c r="H32" s="206">
        <v>5.3638702314693401</v>
      </c>
      <c r="I32" s="206">
        <v>1.3826739052808299</v>
      </c>
      <c r="J32" s="206">
        <v>412.03682377368898</v>
      </c>
      <c r="K32" s="206">
        <v>0</v>
      </c>
      <c r="L32" s="206">
        <v>0</v>
      </c>
      <c r="M32" s="206">
        <v>0</v>
      </c>
      <c r="N32" s="206">
        <v>0</v>
      </c>
      <c r="O32" s="206">
        <v>3933.8397260193501</v>
      </c>
    </row>
    <row r="33" spans="1:15" s="205" customFormat="1" ht="12">
      <c r="A33" s="266"/>
      <c r="B33" s="265"/>
      <c r="C33" s="212" t="s">
        <v>688</v>
      </c>
      <c r="F33" s="206">
        <v>331.84385089741301</v>
      </c>
      <c r="G33" s="206">
        <v>0.26188755680346598</v>
      </c>
      <c r="H33" s="206">
        <v>6.5471889200866604</v>
      </c>
      <c r="I33" s="206">
        <v>6.4229617528219596E-2</v>
      </c>
      <c r="J33" s="206">
        <v>19.1404260234094</v>
      </c>
      <c r="K33" s="206">
        <v>0</v>
      </c>
      <c r="L33" s="206">
        <v>0</v>
      </c>
      <c r="M33" s="206">
        <v>0</v>
      </c>
      <c r="N33" s="206">
        <v>0</v>
      </c>
      <c r="O33" s="206">
        <v>357.53146584090899</v>
      </c>
    </row>
    <row r="34" spans="1:15" s="205" customFormat="1" ht="12">
      <c r="A34" s="266"/>
      <c r="B34" s="265"/>
      <c r="C34" s="212" t="s">
        <v>689</v>
      </c>
      <c r="F34" s="206">
        <v>3648.6100254401599</v>
      </c>
      <c r="G34" s="206">
        <v>0.30356240909645898</v>
      </c>
      <c r="H34" s="206">
        <v>7.58906022741147</v>
      </c>
      <c r="I34" s="206">
        <v>1.39043959254686</v>
      </c>
      <c r="J34" s="206">
        <v>414.35099857896398</v>
      </c>
      <c r="K34" s="206">
        <v>0</v>
      </c>
      <c r="L34" s="206">
        <v>0</v>
      </c>
      <c r="M34" s="206">
        <v>0</v>
      </c>
      <c r="N34" s="206">
        <v>0</v>
      </c>
      <c r="O34" s="206">
        <v>4070.5500842465399</v>
      </c>
    </row>
    <row r="35" spans="1:15" s="205" customFormat="1" ht="12">
      <c r="A35" s="266"/>
      <c r="B35" s="265"/>
      <c r="C35" s="212" t="s">
        <v>690</v>
      </c>
      <c r="F35" s="206">
        <v>108.58614077833199</v>
      </c>
      <c r="G35" s="206">
        <v>0.108311014243026</v>
      </c>
      <c r="H35" s="206">
        <v>2.7077753560756399</v>
      </c>
      <c r="I35" s="206">
        <v>1.03458471804855E-2</v>
      </c>
      <c r="J35" s="206">
        <v>3.0830624597846898</v>
      </c>
      <c r="K35" s="206">
        <v>0</v>
      </c>
      <c r="L35" s="206">
        <v>0</v>
      </c>
      <c r="M35" s="206">
        <v>0</v>
      </c>
      <c r="N35" s="206">
        <v>0</v>
      </c>
      <c r="O35" s="206">
        <v>114.37697859419301</v>
      </c>
    </row>
    <row r="36" spans="1:15" s="205" customFormat="1" ht="12">
      <c r="A36" s="266"/>
      <c r="B36" s="265"/>
      <c r="C36" s="212" t="s">
        <v>691</v>
      </c>
      <c r="F36" s="206">
        <v>399.16860638272902</v>
      </c>
      <c r="G36" s="206">
        <v>0.404188237520819</v>
      </c>
      <c r="H36" s="206">
        <v>10.1047059380205</v>
      </c>
      <c r="I36" s="206">
        <v>3.6152689889144399E-2</v>
      </c>
      <c r="J36" s="206">
        <v>10.773501586965001</v>
      </c>
      <c r="K36" s="206">
        <v>0</v>
      </c>
      <c r="L36" s="206">
        <v>0</v>
      </c>
      <c r="M36" s="206">
        <v>0</v>
      </c>
      <c r="N36" s="206">
        <v>0</v>
      </c>
      <c r="O36" s="206">
        <v>420.04681390771401</v>
      </c>
    </row>
    <row r="37" spans="1:15" s="205" customFormat="1" ht="12">
      <c r="A37" s="266"/>
      <c r="B37" s="265"/>
      <c r="C37" s="212" t="s">
        <v>692</v>
      </c>
      <c r="D37" s="207"/>
      <c r="E37" s="207"/>
      <c r="F37" s="206">
        <v>1632.0786000000001</v>
      </c>
      <c r="G37" s="206">
        <v>1.6051029000000001</v>
      </c>
      <c r="H37" s="206">
        <v>40.127572499999999</v>
      </c>
      <c r="I37" s="206">
        <v>4.2755000000000001E-2</v>
      </c>
      <c r="J37" s="206">
        <v>12.74099</v>
      </c>
      <c r="K37" s="208">
        <v>0</v>
      </c>
      <c r="L37" s="208">
        <v>0</v>
      </c>
      <c r="M37" s="208">
        <v>0</v>
      </c>
      <c r="N37" s="208">
        <v>0</v>
      </c>
      <c r="O37" s="206">
        <v>1684.9471625000001</v>
      </c>
    </row>
    <row r="38" spans="1:15">
      <c r="A38" s="249" t="s">
        <v>693</v>
      </c>
      <c r="B38" s="248" t="s">
        <v>694</v>
      </c>
      <c r="C38" s="272"/>
      <c r="D38" s="225"/>
      <c r="E38" s="225"/>
      <c r="F38" s="218">
        <v>7352.71916471651</v>
      </c>
      <c r="G38" s="218">
        <v>1089.2255033372701</v>
      </c>
      <c r="H38" s="218">
        <v>27230.637583431901</v>
      </c>
      <c r="I38" s="218">
        <v>5.0318197976607297E-2</v>
      </c>
      <c r="J38" s="218">
        <v>14.994822997029001</v>
      </c>
      <c r="K38" s="218">
        <v>0</v>
      </c>
      <c r="L38" s="218">
        <v>0</v>
      </c>
      <c r="M38" s="218">
        <v>0</v>
      </c>
      <c r="N38" s="218">
        <v>0</v>
      </c>
      <c r="O38" s="218">
        <v>34598.351571145402</v>
      </c>
    </row>
    <row r="39" spans="1:15">
      <c r="A39" s="271"/>
      <c r="B39" s="201" t="s">
        <v>695</v>
      </c>
      <c r="C39" s="269"/>
      <c r="D39" s="225"/>
      <c r="E39" s="225"/>
      <c r="F39" s="211">
        <v>0</v>
      </c>
      <c r="G39" s="211">
        <v>13.6514295007585</v>
      </c>
      <c r="H39" s="211">
        <v>341.285737518963</v>
      </c>
      <c r="I39" s="211">
        <v>0</v>
      </c>
      <c r="J39" s="211">
        <v>0</v>
      </c>
      <c r="K39" s="211">
        <v>0</v>
      </c>
      <c r="L39" s="211">
        <v>0</v>
      </c>
      <c r="M39" s="211">
        <v>0</v>
      </c>
      <c r="N39" s="211">
        <v>0</v>
      </c>
      <c r="O39" s="211">
        <v>341.285737518963</v>
      </c>
    </row>
    <row r="40" spans="1:15">
      <c r="A40" s="271"/>
      <c r="B40" s="270" t="s">
        <v>696</v>
      </c>
      <c r="C40" s="269"/>
      <c r="D40" s="225"/>
      <c r="E40" s="225"/>
      <c r="F40" s="211">
        <v>7352.71916471651</v>
      </c>
      <c r="G40" s="211">
        <v>1075.57407383652</v>
      </c>
      <c r="H40" s="211">
        <v>26889.351845912901</v>
      </c>
      <c r="I40" s="211">
        <v>5.0318197976607297E-2</v>
      </c>
      <c r="J40" s="211">
        <v>14.994822997029001</v>
      </c>
      <c r="K40" s="211">
        <v>0</v>
      </c>
      <c r="L40" s="211">
        <v>0</v>
      </c>
      <c r="M40" s="211">
        <v>0</v>
      </c>
      <c r="N40" s="211">
        <v>0</v>
      </c>
      <c r="O40" s="211">
        <v>34257.065833626402</v>
      </c>
    </row>
    <row r="41" spans="1:15">
      <c r="A41" s="213" t="s">
        <v>697</v>
      </c>
      <c r="B41" s="214" t="s">
        <v>698</v>
      </c>
      <c r="C41" s="214"/>
      <c r="D41" s="215"/>
      <c r="E41" s="215"/>
      <c r="F41" s="216">
        <v>0</v>
      </c>
      <c r="G41" s="216">
        <v>0</v>
      </c>
      <c r="H41" s="216">
        <v>0</v>
      </c>
      <c r="I41" s="216">
        <v>0</v>
      </c>
      <c r="J41" s="216">
        <v>0</v>
      </c>
      <c r="K41" s="216">
        <v>0</v>
      </c>
      <c r="L41" s="216">
        <v>0</v>
      </c>
      <c r="M41" s="216">
        <v>0</v>
      </c>
      <c r="N41" s="216">
        <v>0</v>
      </c>
      <c r="O41" s="216">
        <v>0</v>
      </c>
    </row>
    <row r="42" spans="1:15">
      <c r="A42" s="217" t="s">
        <v>699</v>
      </c>
      <c r="B42" s="251"/>
      <c r="C42" s="250"/>
      <c r="F42" s="198">
        <v>8801.2195151412307</v>
      </c>
      <c r="G42" s="198">
        <v>1.3895930320868799</v>
      </c>
      <c r="H42" s="198">
        <v>34.7398258021719</v>
      </c>
      <c r="I42" s="198">
        <v>3.54902620650165</v>
      </c>
      <c r="J42" s="198">
        <v>1057.60980953749</v>
      </c>
      <c r="K42" s="198">
        <v>1239.82990757176</v>
      </c>
      <c r="L42" s="198">
        <v>1.83450149714726</v>
      </c>
      <c r="M42" s="198">
        <v>1.24936576576596</v>
      </c>
      <c r="N42" s="198">
        <v>0</v>
      </c>
      <c r="O42" s="198">
        <v>11136.4829253156</v>
      </c>
    </row>
    <row r="43" spans="1:15">
      <c r="A43" s="262" t="s">
        <v>663</v>
      </c>
      <c r="B43" s="261" t="s">
        <v>700</v>
      </c>
      <c r="C43" s="261"/>
      <c r="F43" s="199">
        <v>1185.3316597384201</v>
      </c>
      <c r="G43" s="199">
        <v>0</v>
      </c>
      <c r="H43" s="199">
        <v>0</v>
      </c>
      <c r="I43" s="199">
        <v>0</v>
      </c>
      <c r="J43" s="199">
        <v>0</v>
      </c>
      <c r="K43" s="199">
        <v>0</v>
      </c>
      <c r="L43" s="199">
        <v>0</v>
      </c>
      <c r="M43" s="199">
        <v>0</v>
      </c>
      <c r="N43" s="199">
        <v>0</v>
      </c>
      <c r="O43" s="199">
        <v>1185.3316597384201</v>
      </c>
    </row>
    <row r="44" spans="1:15" s="205" customFormat="1" ht="12">
      <c r="A44" s="266"/>
      <c r="B44" s="268"/>
      <c r="C44" s="212" t="s">
        <v>501</v>
      </c>
      <c r="F44" s="206">
        <v>908.77135694748699</v>
      </c>
      <c r="G44" s="206">
        <v>0</v>
      </c>
      <c r="H44" s="206">
        <v>0</v>
      </c>
      <c r="I44" s="206">
        <v>0</v>
      </c>
      <c r="J44" s="206">
        <v>0</v>
      </c>
      <c r="K44" s="206">
        <v>0</v>
      </c>
      <c r="L44" s="206">
        <v>0</v>
      </c>
      <c r="M44" s="206">
        <v>0</v>
      </c>
      <c r="N44" s="206">
        <v>0</v>
      </c>
      <c r="O44" s="206">
        <v>908.77135694748699</v>
      </c>
    </row>
    <row r="45" spans="1:15" s="205" customFormat="1" ht="12">
      <c r="A45" s="266"/>
      <c r="B45" s="268"/>
      <c r="C45" s="212" t="s">
        <v>183</v>
      </c>
      <c r="F45" s="206">
        <v>114.211319424903</v>
      </c>
      <c r="G45" s="206">
        <v>0</v>
      </c>
      <c r="H45" s="206">
        <v>0</v>
      </c>
      <c r="I45" s="206">
        <v>0</v>
      </c>
      <c r="J45" s="206">
        <v>0</v>
      </c>
      <c r="K45" s="206">
        <v>0</v>
      </c>
      <c r="L45" s="206">
        <v>0</v>
      </c>
      <c r="M45" s="206">
        <v>0</v>
      </c>
      <c r="N45" s="206">
        <v>0</v>
      </c>
      <c r="O45" s="206">
        <v>114.211319424903</v>
      </c>
    </row>
    <row r="46" spans="1:15" s="205" customFormat="1" ht="12">
      <c r="A46" s="266"/>
      <c r="B46" s="268"/>
      <c r="C46" s="212" t="s">
        <v>824</v>
      </c>
      <c r="F46" s="206">
        <v>162.348983366026</v>
      </c>
      <c r="G46" s="206">
        <v>0</v>
      </c>
      <c r="H46" s="206">
        <v>0</v>
      </c>
      <c r="I46" s="206">
        <v>0</v>
      </c>
      <c r="J46" s="206">
        <v>0</v>
      </c>
      <c r="K46" s="206">
        <v>0</v>
      </c>
      <c r="L46" s="206">
        <v>0</v>
      </c>
      <c r="M46" s="206">
        <v>0</v>
      </c>
      <c r="N46" s="206">
        <v>0</v>
      </c>
      <c r="O46" s="206">
        <v>162.348983366026</v>
      </c>
    </row>
    <row r="47" spans="1:15" s="267" customFormat="1">
      <c r="A47" s="262" t="s">
        <v>673</v>
      </c>
      <c r="B47" s="261" t="s">
        <v>823</v>
      </c>
      <c r="C47" s="261"/>
      <c r="F47" s="199">
        <v>0</v>
      </c>
      <c r="G47" s="199">
        <v>0</v>
      </c>
      <c r="H47" s="218">
        <v>0</v>
      </c>
      <c r="I47" s="199">
        <v>0</v>
      </c>
      <c r="J47" s="199">
        <v>0</v>
      </c>
      <c r="K47" s="199">
        <v>0</v>
      </c>
      <c r="L47" s="199">
        <v>0</v>
      </c>
      <c r="M47" s="199">
        <v>0</v>
      </c>
      <c r="N47" s="199">
        <v>0</v>
      </c>
      <c r="O47" s="199">
        <v>0</v>
      </c>
    </row>
    <row r="48" spans="1:15" s="205" customFormat="1" ht="12">
      <c r="A48" s="266"/>
      <c r="B48" s="268"/>
      <c r="C48" s="212" t="s">
        <v>702</v>
      </c>
      <c r="F48" s="206">
        <v>0</v>
      </c>
      <c r="G48" s="206">
        <v>0</v>
      </c>
      <c r="H48" s="206">
        <v>0</v>
      </c>
      <c r="I48" s="206">
        <v>0</v>
      </c>
      <c r="J48" s="206">
        <v>0</v>
      </c>
      <c r="K48" s="206">
        <v>0</v>
      </c>
      <c r="L48" s="206">
        <v>0</v>
      </c>
      <c r="M48" s="206">
        <v>0</v>
      </c>
      <c r="N48" s="206">
        <v>0</v>
      </c>
      <c r="O48" s="206">
        <v>0</v>
      </c>
    </row>
    <row r="49" spans="1:15" s="267" customFormat="1">
      <c r="A49" s="262" t="s">
        <v>693</v>
      </c>
      <c r="B49" s="261" t="s">
        <v>704</v>
      </c>
      <c r="C49" s="261"/>
      <c r="F49" s="199">
        <v>0</v>
      </c>
      <c r="G49" s="199">
        <v>0</v>
      </c>
      <c r="H49" s="199">
        <v>0</v>
      </c>
      <c r="I49" s="199">
        <v>0</v>
      </c>
      <c r="J49" s="199">
        <v>0</v>
      </c>
      <c r="K49" s="199">
        <v>0</v>
      </c>
      <c r="L49" s="218">
        <v>0</v>
      </c>
      <c r="M49" s="218">
        <v>0</v>
      </c>
      <c r="N49" s="199">
        <v>0</v>
      </c>
      <c r="O49" s="199">
        <v>0</v>
      </c>
    </row>
    <row r="50" spans="1:15" s="205" customFormat="1" ht="12">
      <c r="A50" s="266"/>
      <c r="B50" s="265"/>
      <c r="C50" s="265" t="s">
        <v>705</v>
      </c>
      <c r="F50" s="206">
        <v>0</v>
      </c>
      <c r="G50" s="206">
        <v>0</v>
      </c>
      <c r="H50" s="206">
        <v>0</v>
      </c>
      <c r="I50" s="206">
        <v>0</v>
      </c>
      <c r="J50" s="206">
        <v>0</v>
      </c>
      <c r="K50" s="206">
        <v>0</v>
      </c>
      <c r="L50" s="219">
        <v>0</v>
      </c>
      <c r="M50" s="219">
        <v>0</v>
      </c>
      <c r="N50" s="206">
        <v>0</v>
      </c>
      <c r="O50" s="206">
        <v>0</v>
      </c>
    </row>
    <row r="51" spans="1:15" s="205" customFormat="1" ht="12">
      <c r="A51" s="266"/>
      <c r="B51" s="265"/>
      <c r="C51" s="265" t="s">
        <v>244</v>
      </c>
      <c r="F51" s="206">
        <v>0</v>
      </c>
      <c r="G51" s="206">
        <v>0</v>
      </c>
      <c r="H51" s="206">
        <v>0</v>
      </c>
      <c r="I51" s="206">
        <v>0</v>
      </c>
      <c r="J51" s="206">
        <v>0</v>
      </c>
      <c r="K51" s="206">
        <v>0</v>
      </c>
      <c r="L51" s="219">
        <v>0</v>
      </c>
      <c r="M51" s="219">
        <v>0</v>
      </c>
      <c r="N51" s="206">
        <v>0</v>
      </c>
      <c r="O51" s="206">
        <v>0</v>
      </c>
    </row>
    <row r="52" spans="1:15" s="205" customFormat="1" ht="12">
      <c r="A52" s="258"/>
      <c r="B52" s="257"/>
      <c r="C52" s="257" t="s">
        <v>706</v>
      </c>
      <c r="D52" s="207"/>
      <c r="E52" s="207"/>
      <c r="F52" s="208">
        <v>0</v>
      </c>
      <c r="G52" s="208">
        <v>0</v>
      </c>
      <c r="H52" s="208">
        <v>0</v>
      </c>
      <c r="I52" s="208">
        <v>0</v>
      </c>
      <c r="J52" s="208">
        <v>0</v>
      </c>
      <c r="K52" s="208">
        <v>0</v>
      </c>
      <c r="L52" s="219">
        <v>0</v>
      </c>
      <c r="M52" s="219">
        <v>0</v>
      </c>
      <c r="N52" s="208">
        <v>0</v>
      </c>
      <c r="O52" s="208">
        <v>0</v>
      </c>
    </row>
    <row r="53" spans="1:15">
      <c r="A53" s="220" t="s">
        <v>697</v>
      </c>
      <c r="B53" s="221" t="s">
        <v>707</v>
      </c>
      <c r="C53" s="248"/>
      <c r="D53" s="225"/>
      <c r="E53" s="225"/>
      <c r="F53" s="211">
        <v>0</v>
      </c>
      <c r="G53" s="211">
        <v>0</v>
      </c>
      <c r="H53" s="211">
        <v>0</v>
      </c>
      <c r="I53" s="211">
        <v>0</v>
      </c>
      <c r="J53" s="211">
        <v>0</v>
      </c>
      <c r="K53" s="211">
        <v>1239.82990757176</v>
      </c>
      <c r="L53" s="211">
        <v>0.62594487713679003</v>
      </c>
      <c r="M53" s="211">
        <v>8.9985765765959999E-2</v>
      </c>
      <c r="N53" s="211">
        <v>0</v>
      </c>
      <c r="O53" s="211">
        <v>1240.5458382146601</v>
      </c>
    </row>
    <row r="54" spans="1:15">
      <c r="A54" s="220" t="s">
        <v>708</v>
      </c>
      <c r="B54" s="221" t="s">
        <v>709</v>
      </c>
      <c r="C54" s="248"/>
      <c r="D54" s="225"/>
      <c r="E54" s="225"/>
      <c r="F54" s="211">
        <v>7613.78769472761</v>
      </c>
      <c r="G54" s="211">
        <v>1.3895930320868799</v>
      </c>
      <c r="H54" s="211">
        <v>34.7398258021719</v>
      </c>
      <c r="I54" s="211">
        <v>3.46094917269513</v>
      </c>
      <c r="J54" s="211">
        <v>1031.36285346315</v>
      </c>
      <c r="K54" s="211">
        <v>0</v>
      </c>
      <c r="L54" s="211">
        <v>0</v>
      </c>
      <c r="M54" s="211">
        <v>0</v>
      </c>
      <c r="N54" s="211">
        <v>0</v>
      </c>
      <c r="O54" s="211">
        <v>8679.8903739929301</v>
      </c>
    </row>
    <row r="55" spans="1:15">
      <c r="A55" s="213" t="s">
        <v>710</v>
      </c>
      <c r="B55" s="214" t="s">
        <v>711</v>
      </c>
      <c r="C55" s="264"/>
      <c r="D55" s="253"/>
      <c r="E55" s="253"/>
      <c r="F55" s="252">
        <v>2.1001606752077802</v>
      </c>
      <c r="G55" s="252">
        <v>0</v>
      </c>
      <c r="H55" s="252">
        <v>0</v>
      </c>
      <c r="I55" s="252">
        <v>8.8077033806518407E-2</v>
      </c>
      <c r="J55" s="252">
        <v>26.246956074342499</v>
      </c>
      <c r="K55" s="252">
        <v>0</v>
      </c>
      <c r="L55" s="252">
        <v>1.20855662001047</v>
      </c>
      <c r="M55" s="252">
        <v>1.1593800000000001</v>
      </c>
      <c r="N55" s="252">
        <v>0</v>
      </c>
      <c r="O55" s="252">
        <v>30.7150533695607</v>
      </c>
    </row>
    <row r="56" spans="1:15">
      <c r="A56" s="251" t="s">
        <v>712</v>
      </c>
      <c r="B56" s="250"/>
      <c r="C56" s="250"/>
      <c r="F56" s="223">
        <v>627.14666666666699</v>
      </c>
      <c r="G56" s="223">
        <v>403.59301941015201</v>
      </c>
      <c r="H56" s="223">
        <v>10089.825485253799</v>
      </c>
      <c r="I56" s="388">
        <v>22.080698671386799</v>
      </c>
      <c r="J56" s="223">
        <v>6580.0482040732604</v>
      </c>
      <c r="K56" s="198">
        <v>0</v>
      </c>
      <c r="L56" s="198">
        <v>0</v>
      </c>
      <c r="M56" s="198">
        <v>0</v>
      </c>
      <c r="N56" s="198">
        <v>0</v>
      </c>
      <c r="O56" s="198">
        <v>17297.0203559937</v>
      </c>
    </row>
    <row r="57" spans="1:15">
      <c r="A57" s="262" t="s">
        <v>663</v>
      </c>
      <c r="B57" s="261" t="s">
        <v>27</v>
      </c>
      <c r="C57" s="261"/>
      <c r="F57" s="211">
        <v>0</v>
      </c>
      <c r="G57" s="211">
        <v>375.55702362844801</v>
      </c>
      <c r="H57" s="211">
        <v>9388.9255907112001</v>
      </c>
      <c r="I57" s="211">
        <v>0</v>
      </c>
      <c r="J57" s="211">
        <v>0</v>
      </c>
      <c r="K57" s="202">
        <v>0</v>
      </c>
      <c r="L57" s="202">
        <v>0</v>
      </c>
      <c r="M57" s="202">
        <v>0</v>
      </c>
      <c r="N57" s="202">
        <v>0</v>
      </c>
      <c r="O57" s="202">
        <v>9388.9255907112001</v>
      </c>
    </row>
    <row r="58" spans="1:15">
      <c r="A58" s="262" t="s">
        <v>673</v>
      </c>
      <c r="B58" s="261" t="s">
        <v>28</v>
      </c>
      <c r="C58" s="261"/>
      <c r="F58" s="211">
        <v>0</v>
      </c>
      <c r="G58" s="211">
        <v>28.015029293088201</v>
      </c>
      <c r="H58" s="211">
        <v>700.37573232720501</v>
      </c>
      <c r="I58" s="211">
        <v>4.73003773929773</v>
      </c>
      <c r="J58" s="211">
        <v>1409.55124631072</v>
      </c>
      <c r="K58" s="202">
        <v>0</v>
      </c>
      <c r="L58" s="202">
        <v>0</v>
      </c>
      <c r="M58" s="202">
        <v>0</v>
      </c>
      <c r="N58" s="202">
        <v>0</v>
      </c>
      <c r="O58" s="202">
        <v>2109.92697863793</v>
      </c>
    </row>
    <row r="59" spans="1:15">
      <c r="A59" s="262" t="s">
        <v>693</v>
      </c>
      <c r="B59" s="261" t="s">
        <v>713</v>
      </c>
      <c r="C59" s="261"/>
      <c r="F59" s="202">
        <v>0</v>
      </c>
      <c r="G59" s="202">
        <v>0</v>
      </c>
      <c r="H59" s="202">
        <v>0</v>
      </c>
      <c r="I59" s="202">
        <v>17.350117356458298</v>
      </c>
      <c r="J59" s="202">
        <v>5170.3349722245703</v>
      </c>
      <c r="K59" s="199">
        <v>0</v>
      </c>
      <c r="L59" s="199">
        <v>0</v>
      </c>
      <c r="M59" s="199">
        <v>0</v>
      </c>
      <c r="N59" s="199">
        <v>0</v>
      </c>
      <c r="O59" s="199">
        <v>5170.3349722245703</v>
      </c>
    </row>
    <row r="60" spans="1:15" s="205" customFormat="1" ht="12">
      <c r="A60" s="260"/>
      <c r="B60" s="259"/>
      <c r="C60" s="257" t="s">
        <v>714</v>
      </c>
      <c r="F60" s="208">
        <v>0</v>
      </c>
      <c r="G60" s="208">
        <v>0</v>
      </c>
      <c r="H60" s="208">
        <v>0</v>
      </c>
      <c r="I60" s="208">
        <v>14.0451018535356</v>
      </c>
      <c r="J60" s="208">
        <v>4185.4403523536002</v>
      </c>
      <c r="K60" s="206">
        <v>0</v>
      </c>
      <c r="L60" s="206">
        <v>0</v>
      </c>
      <c r="M60" s="206">
        <v>0</v>
      </c>
      <c r="N60" s="206">
        <v>0</v>
      </c>
      <c r="O60" s="206">
        <v>4185.4403523536002</v>
      </c>
    </row>
    <row r="61" spans="1:15" s="205" customFormat="1" ht="12">
      <c r="A61" s="258"/>
      <c r="B61" s="257"/>
      <c r="C61" s="257" t="s">
        <v>715</v>
      </c>
      <c r="D61" s="207"/>
      <c r="E61" s="207"/>
      <c r="F61" s="208">
        <v>0</v>
      </c>
      <c r="G61" s="208">
        <v>0</v>
      </c>
      <c r="H61" s="208">
        <v>0</v>
      </c>
      <c r="I61" s="208">
        <v>3.3050155029227102</v>
      </c>
      <c r="J61" s="208">
        <v>984.89461987096797</v>
      </c>
      <c r="K61" s="208">
        <v>0</v>
      </c>
      <c r="L61" s="208">
        <v>0</v>
      </c>
      <c r="M61" s="208">
        <v>0</v>
      </c>
      <c r="N61" s="208">
        <v>0</v>
      </c>
      <c r="O61" s="208">
        <v>984.89461987096797</v>
      </c>
    </row>
    <row r="62" spans="1:15" s="204" customFormat="1" ht="13">
      <c r="A62" s="249" t="s">
        <v>697</v>
      </c>
      <c r="B62" s="248" t="s">
        <v>185</v>
      </c>
      <c r="C62" s="256"/>
      <c r="D62" s="210"/>
      <c r="E62" s="210"/>
      <c r="F62" s="211">
        <v>0</v>
      </c>
      <c r="G62" s="211">
        <v>2.0966488615384599E-2</v>
      </c>
      <c r="H62" s="211">
        <v>0.52416221538461505</v>
      </c>
      <c r="I62" s="211">
        <v>5.4357563076923104E-4</v>
      </c>
      <c r="J62" s="211">
        <v>0.16198553796923101</v>
      </c>
      <c r="K62" s="211">
        <v>0</v>
      </c>
      <c r="L62" s="211">
        <v>0</v>
      </c>
      <c r="M62" s="211">
        <v>0</v>
      </c>
      <c r="N62" s="211">
        <v>0</v>
      </c>
      <c r="O62" s="211">
        <v>0.68614775335384603</v>
      </c>
    </row>
    <row r="63" spans="1:15">
      <c r="A63" s="255" t="s">
        <v>708</v>
      </c>
      <c r="B63" s="214" t="s">
        <v>716</v>
      </c>
      <c r="C63" s="254"/>
      <c r="D63" s="253"/>
      <c r="E63" s="253"/>
      <c r="F63" s="222">
        <v>627.14666666666699</v>
      </c>
      <c r="G63" s="222">
        <v>0</v>
      </c>
      <c r="H63" s="222">
        <v>0</v>
      </c>
      <c r="I63" s="222">
        <v>0</v>
      </c>
      <c r="J63" s="222">
        <v>0</v>
      </c>
      <c r="K63" s="252">
        <v>0</v>
      </c>
      <c r="L63" s="252">
        <v>0</v>
      </c>
      <c r="M63" s="252">
        <v>0</v>
      </c>
      <c r="N63" s="252">
        <v>0</v>
      </c>
      <c r="O63" s="252">
        <v>627.14666666666699</v>
      </c>
    </row>
    <row r="64" spans="1:15">
      <c r="A64" s="251" t="s">
        <v>717</v>
      </c>
      <c r="B64" s="250"/>
      <c r="C64" s="250"/>
      <c r="F64" s="198">
        <v>15.767906</v>
      </c>
      <c r="G64" s="198">
        <v>73.468546610000004</v>
      </c>
      <c r="H64" s="198">
        <v>1836.7136652500001</v>
      </c>
      <c r="I64" s="198">
        <v>0.51972538000000001</v>
      </c>
      <c r="J64" s="198">
        <v>154.87816323999999</v>
      </c>
      <c r="K64" s="198">
        <v>0</v>
      </c>
      <c r="L64" s="198">
        <v>0</v>
      </c>
      <c r="M64" s="198">
        <v>0</v>
      </c>
      <c r="N64" s="198">
        <v>0</v>
      </c>
      <c r="O64" s="198">
        <v>2007.3597344899999</v>
      </c>
    </row>
    <row r="65" spans="1:31">
      <c r="A65" s="249" t="s">
        <v>663</v>
      </c>
      <c r="B65" s="248" t="s">
        <v>718</v>
      </c>
      <c r="C65" s="248"/>
      <c r="D65" s="225"/>
      <c r="E65" s="225"/>
      <c r="F65" s="211">
        <v>0</v>
      </c>
      <c r="G65" s="211">
        <v>67.717971750000004</v>
      </c>
      <c r="H65" s="211">
        <v>1692.9492937499999</v>
      </c>
      <c r="I65" s="211">
        <v>0</v>
      </c>
      <c r="J65" s="211">
        <v>0</v>
      </c>
      <c r="K65" s="211">
        <v>0</v>
      </c>
      <c r="L65" s="211">
        <v>0</v>
      </c>
      <c r="M65" s="211">
        <v>0</v>
      </c>
      <c r="N65" s="211">
        <v>0</v>
      </c>
      <c r="O65" s="211">
        <v>1692.9492937499999</v>
      </c>
    </row>
    <row r="66" spans="1:31">
      <c r="A66" s="249" t="s">
        <v>822</v>
      </c>
      <c r="B66" s="248" t="s">
        <v>719</v>
      </c>
      <c r="E66" s="225"/>
      <c r="F66" s="211">
        <v>0</v>
      </c>
      <c r="G66" s="211">
        <v>4.19146208</v>
      </c>
      <c r="H66" s="211">
        <v>104.786552</v>
      </c>
      <c r="I66" s="211">
        <v>0.25148773000000002</v>
      </c>
      <c r="J66" s="211">
        <v>74.943343540000001</v>
      </c>
      <c r="K66" s="211">
        <v>0</v>
      </c>
      <c r="L66" s="211">
        <v>0</v>
      </c>
      <c r="M66" s="211">
        <v>0</v>
      </c>
      <c r="N66" s="211">
        <v>0</v>
      </c>
      <c r="O66" s="211">
        <v>179.72989554</v>
      </c>
    </row>
    <row r="67" spans="1:31">
      <c r="A67" s="249" t="s">
        <v>693</v>
      </c>
      <c r="B67" s="248" t="s">
        <v>720</v>
      </c>
      <c r="C67" s="248"/>
      <c r="D67" s="225"/>
      <c r="E67" s="225"/>
      <c r="F67" s="211">
        <v>0</v>
      </c>
      <c r="G67" s="211">
        <v>1.5576839600000001</v>
      </c>
      <c r="H67" s="211">
        <v>38.942098999999999</v>
      </c>
      <c r="I67" s="211">
        <v>0.24149386</v>
      </c>
      <c r="J67" s="211">
        <v>71.965170279999995</v>
      </c>
      <c r="K67" s="211">
        <v>0</v>
      </c>
      <c r="L67" s="211">
        <v>0</v>
      </c>
      <c r="M67" s="211">
        <v>0</v>
      </c>
      <c r="N67" s="211">
        <v>0</v>
      </c>
      <c r="O67" s="211">
        <v>110.90726927999999</v>
      </c>
    </row>
    <row r="68" spans="1:31">
      <c r="A68" s="247" t="s">
        <v>697</v>
      </c>
      <c r="B68" s="246" t="s">
        <v>721</v>
      </c>
      <c r="C68" s="246"/>
      <c r="D68" s="245"/>
      <c r="E68" s="245"/>
      <c r="F68" s="222">
        <v>15.767906</v>
      </c>
      <c r="G68" s="222">
        <v>1.4288199999999999E-3</v>
      </c>
      <c r="H68" s="222">
        <v>3.5720500000000002E-2</v>
      </c>
      <c r="I68" s="222">
        <v>2.674379E-2</v>
      </c>
      <c r="J68" s="222">
        <v>7.9696494199999997</v>
      </c>
      <c r="K68" s="222">
        <v>0</v>
      </c>
      <c r="L68" s="222">
        <v>0</v>
      </c>
      <c r="M68" s="222">
        <v>0</v>
      </c>
      <c r="N68" s="222">
        <v>0</v>
      </c>
      <c r="O68" s="222">
        <v>23.77327592</v>
      </c>
    </row>
    <row r="69" spans="1:31" s="196" customFormat="1" ht="14"/>
    <row r="70" spans="1:31">
      <c r="A70" s="204" t="s">
        <v>248</v>
      </c>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row>
    <row r="71" spans="1:31" s="204" customFormat="1" ht="13">
      <c r="A71" s="204" t="s">
        <v>821</v>
      </c>
    </row>
    <row r="72" spans="1:31" s="204" customFormat="1" ht="15">
      <c r="A72" s="204" t="s">
        <v>918</v>
      </c>
    </row>
    <row r="73" spans="1:31" s="204" customFormat="1" ht="15">
      <c r="A73" s="204" t="s">
        <v>917</v>
      </c>
      <c r="F73" s="387"/>
      <c r="G73" s="387"/>
      <c r="H73" s="387"/>
      <c r="I73" s="387"/>
      <c r="J73" s="387"/>
      <c r="K73" s="387"/>
      <c r="L73" s="387"/>
      <c r="M73" s="387"/>
      <c r="N73" s="387"/>
      <c r="O73" s="387"/>
      <c r="P73" s="387"/>
      <c r="Q73" s="387"/>
      <c r="R73" s="387"/>
      <c r="S73" s="387"/>
      <c r="T73" s="387"/>
      <c r="U73" s="387"/>
      <c r="V73" s="387"/>
      <c r="W73" s="387"/>
      <c r="X73" s="387"/>
      <c r="Y73" s="387"/>
      <c r="Z73" s="387"/>
      <c r="AA73" s="387"/>
      <c r="AB73" s="387"/>
      <c r="AC73" s="387"/>
      <c r="AE73" s="386"/>
    </row>
    <row r="74" spans="1:31" s="204" customFormat="1" ht="13">
      <c r="A74" s="204" t="s">
        <v>722</v>
      </c>
    </row>
    <row r="75" spans="1:31" s="204" customFormat="1" ht="13">
      <c r="A75" s="204" t="s">
        <v>723</v>
      </c>
      <c r="B75" s="204" t="s">
        <v>724</v>
      </c>
    </row>
    <row r="76" spans="1:31" s="204" customFormat="1" ht="13">
      <c r="A76" s="385">
        <v>0</v>
      </c>
      <c r="B76" s="204" t="s">
        <v>725</v>
      </c>
    </row>
    <row r="77" spans="1:31" s="204" customFormat="1" ht="13">
      <c r="A77" s="204" t="s">
        <v>817</v>
      </c>
      <c r="B77" s="204" t="s">
        <v>816</v>
      </c>
    </row>
    <row r="78" spans="1:31" s="204" customFormat="1" ht="13">
      <c r="A78" s="204" t="s">
        <v>815</v>
      </c>
    </row>
    <row r="79" spans="1:31">
      <c r="A79" s="204" t="s">
        <v>916</v>
      </c>
      <c r="F79" s="383"/>
      <c r="G79" s="383"/>
      <c r="H79" s="383"/>
      <c r="I79" s="383"/>
      <c r="J79" s="383"/>
      <c r="K79" s="383"/>
      <c r="L79" s="383"/>
      <c r="M79" s="383"/>
      <c r="N79" s="383"/>
      <c r="O79" s="384"/>
      <c r="P79" s="383"/>
      <c r="R79" s="383"/>
      <c r="S79" s="383"/>
      <c r="T79" s="383"/>
      <c r="U79" s="383"/>
      <c r="V79" s="383"/>
      <c r="W79" s="383"/>
      <c r="X79" s="383"/>
      <c r="Y79" s="383"/>
      <c r="Z79" s="383"/>
      <c r="AA79" s="383"/>
      <c r="AB79" s="383"/>
      <c r="AC79" s="383"/>
      <c r="AE79" s="382"/>
    </row>
    <row r="80" spans="1:31">
      <c r="A80" s="381" t="s">
        <v>915</v>
      </c>
      <c r="B80" s="209"/>
      <c r="C80" s="209"/>
      <c r="D80" s="204"/>
      <c r="E80" s="380"/>
      <c r="F80" s="380"/>
      <c r="G80" s="224"/>
      <c r="H80" s="224"/>
      <c r="I80" s="224"/>
      <c r="J80" s="224"/>
      <c r="K80" s="224"/>
      <c r="L80" s="224"/>
      <c r="M80" s="224"/>
      <c r="N80" s="224"/>
      <c r="O80" s="224"/>
      <c r="P80" s="224"/>
      <c r="Q80" s="224"/>
      <c r="R80" s="224"/>
      <c r="S80" s="224"/>
      <c r="T80" s="224"/>
      <c r="U80" s="224"/>
      <c r="V80" s="224"/>
      <c r="W80" s="224"/>
      <c r="X80" s="224"/>
      <c r="Y80" s="224"/>
      <c r="Z80" s="224"/>
      <c r="AA80" s="224"/>
    </row>
    <row r="81" spans="1:27">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c r="AA81" s="224"/>
    </row>
  </sheetData>
  <hyperlinks>
    <hyperlink ref="A80" r:id="rId1" xr:uid="{00000000-0004-0000-2A00-000000000000}"/>
  </hyperlinks>
  <pageMargins left="0.70866141732283472" right="0.70866141732283472" top="0.74803149606299213" bottom="0.74803149606299213" header="0.31496062992125984" footer="0.31496062992125984"/>
  <pageSetup paperSize="5" scale="42"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4" tint="0.39997558519241921"/>
    <pageSetUpPr fitToPage="1"/>
  </sheetPr>
  <dimension ref="A1:AE81"/>
  <sheetViews>
    <sheetView zoomScale="80" zoomScaleNormal="80" workbookViewId="0">
      <pane xSplit="5" ySplit="7" topLeftCell="F77" activePane="bottomRight" state="frozen"/>
      <selection activeCell="A80" sqref="A80"/>
      <selection pane="topRight" activeCell="A80" sqref="A80"/>
      <selection pane="bottomLeft" activeCell="A80" sqref="A80"/>
      <selection pane="bottomRight" activeCell="A80" sqref="A80"/>
    </sheetView>
  </sheetViews>
  <sheetFormatPr baseColWidth="10" defaultColWidth="9.1640625" defaultRowHeight="16"/>
  <cols>
    <col min="1" max="1" width="4.5" style="197" customWidth="1"/>
    <col min="2" max="2" width="3.33203125" style="197" customWidth="1"/>
    <col min="3" max="3" width="52.5" style="197" customWidth="1"/>
    <col min="4" max="5" width="3.33203125" style="197" customWidth="1"/>
    <col min="6" max="15" width="16.5" style="197" customWidth="1"/>
    <col min="16" max="16384" width="9.1640625" style="197"/>
  </cols>
  <sheetData>
    <row r="1" spans="1:15" s="169" customFormat="1" ht="14">
      <c r="A1" s="280" t="s">
        <v>923</v>
      </c>
      <c r="B1" s="168"/>
      <c r="C1" s="168"/>
      <c r="D1" s="168"/>
      <c r="E1" s="168"/>
      <c r="F1" s="168"/>
      <c r="G1" s="168"/>
      <c r="H1" s="168"/>
      <c r="I1" s="168"/>
      <c r="J1" s="168"/>
      <c r="K1" s="168"/>
      <c r="L1" s="168"/>
      <c r="M1" s="168"/>
      <c r="N1" s="168"/>
      <c r="O1" s="168"/>
    </row>
    <row r="2" spans="1:15" s="169" customFormat="1" ht="14">
      <c r="B2" s="170"/>
      <c r="C2" s="170"/>
      <c r="D2" s="170"/>
      <c r="E2" s="170"/>
      <c r="F2" s="170"/>
      <c r="G2" s="170"/>
      <c r="H2" s="170"/>
      <c r="I2" s="170"/>
      <c r="J2" s="170"/>
      <c r="K2" s="170"/>
      <c r="L2" s="170"/>
      <c r="M2" s="170"/>
      <c r="N2" s="170"/>
      <c r="O2" s="170"/>
    </row>
    <row r="3" spans="1:15" s="169" customFormat="1" ht="14">
      <c r="B3" s="170"/>
      <c r="C3" s="170"/>
      <c r="D3" s="170"/>
      <c r="E3" s="170"/>
      <c r="F3" s="171" t="s">
        <v>651</v>
      </c>
      <c r="G3" s="172"/>
      <c r="H3" s="172"/>
      <c r="I3" s="172"/>
      <c r="J3" s="172"/>
      <c r="K3" s="172"/>
      <c r="L3" s="172"/>
      <c r="M3" s="172"/>
      <c r="N3" s="172"/>
      <c r="O3" s="172"/>
    </row>
    <row r="4" spans="1:15" s="169" customFormat="1" ht="15">
      <c r="A4" s="170"/>
      <c r="B4" s="170"/>
      <c r="C4" s="170"/>
      <c r="D4" s="170"/>
      <c r="E4" s="170"/>
      <c r="F4" s="173" t="s">
        <v>652</v>
      </c>
      <c r="G4" s="174" t="s">
        <v>653</v>
      </c>
      <c r="H4" s="174" t="s">
        <v>653</v>
      </c>
      <c r="I4" s="174" t="s">
        <v>654</v>
      </c>
      <c r="J4" s="174" t="s">
        <v>654</v>
      </c>
      <c r="K4" s="175" t="s">
        <v>827</v>
      </c>
      <c r="L4" s="175" t="s">
        <v>826</v>
      </c>
      <c r="M4" s="174" t="s">
        <v>655</v>
      </c>
      <c r="N4" s="176" t="s">
        <v>656</v>
      </c>
      <c r="O4" s="177" t="s">
        <v>657</v>
      </c>
    </row>
    <row r="5" spans="1:15" s="179" customFormat="1" ht="14">
      <c r="A5" s="178" t="s">
        <v>658</v>
      </c>
      <c r="B5" s="178"/>
      <c r="E5" s="180" t="s">
        <v>659</v>
      </c>
      <c r="F5" s="181"/>
      <c r="G5" s="182"/>
      <c r="H5" s="183">
        <v>25</v>
      </c>
      <c r="I5" s="184"/>
      <c r="J5" s="183">
        <v>298</v>
      </c>
      <c r="K5" s="185"/>
      <c r="L5" s="185"/>
      <c r="M5" s="186">
        <v>22800</v>
      </c>
      <c r="N5" s="186">
        <v>17200</v>
      </c>
      <c r="O5" s="187"/>
    </row>
    <row r="6" spans="1:15" s="188" customFormat="1" ht="14.25" customHeight="1">
      <c r="C6" s="189"/>
      <c r="D6" s="189"/>
      <c r="E6" s="190" t="s">
        <v>377</v>
      </c>
      <c r="F6" s="191" t="s">
        <v>660</v>
      </c>
      <c r="G6" s="191" t="s">
        <v>660</v>
      </c>
      <c r="H6" s="192" t="s">
        <v>661</v>
      </c>
      <c r="I6" s="193" t="s">
        <v>660</v>
      </c>
      <c r="J6" s="192" t="s">
        <v>661</v>
      </c>
      <c r="K6" s="192" t="s">
        <v>661</v>
      </c>
      <c r="L6" s="192" t="s">
        <v>661</v>
      </c>
      <c r="M6" s="192" t="s">
        <v>661</v>
      </c>
      <c r="N6" s="192" t="s">
        <v>661</v>
      </c>
      <c r="O6" s="192" t="s">
        <v>661</v>
      </c>
    </row>
    <row r="7" spans="1:15" s="196" customFormat="1" ht="15" thickBot="1">
      <c r="A7" s="279" t="s">
        <v>657</v>
      </c>
      <c r="B7" s="278"/>
      <c r="C7" s="277"/>
      <c r="D7" s="194"/>
      <c r="E7" s="194"/>
      <c r="F7" s="195">
        <v>189648.32032797701</v>
      </c>
      <c r="G7" s="195">
        <v>1615.86893066887</v>
      </c>
      <c r="H7" s="195">
        <v>40396.7232667219</v>
      </c>
      <c r="I7" s="195">
        <v>33.231330872785797</v>
      </c>
      <c r="J7" s="195">
        <v>9902.9366000901791</v>
      </c>
      <c r="K7" s="195">
        <v>1121.7417591245401</v>
      </c>
      <c r="L7" s="195">
        <v>1.11261251438786</v>
      </c>
      <c r="M7" s="195">
        <v>1.09223771157189</v>
      </c>
      <c r="N7" s="195">
        <v>0</v>
      </c>
      <c r="O7" s="195">
        <v>241071.92680413899</v>
      </c>
    </row>
    <row r="8" spans="1:15" ht="17" thickTop="1">
      <c r="A8" s="251" t="s">
        <v>662</v>
      </c>
      <c r="B8" s="276"/>
      <c r="C8" s="276"/>
      <c r="F8" s="198">
        <v>181007.850204869</v>
      </c>
      <c r="G8" s="198">
        <v>1127.69373301307</v>
      </c>
      <c r="H8" s="198">
        <v>28192.343325326699</v>
      </c>
      <c r="I8" s="198">
        <v>8.2477282100381508</v>
      </c>
      <c r="J8" s="198">
        <v>2457.8230065913699</v>
      </c>
      <c r="K8" s="198">
        <v>0</v>
      </c>
      <c r="L8" s="198">
        <v>0</v>
      </c>
      <c r="M8" s="198">
        <v>0</v>
      </c>
      <c r="N8" s="198">
        <v>0</v>
      </c>
      <c r="O8" s="198">
        <v>211658.01653678701</v>
      </c>
    </row>
    <row r="9" spans="1:15">
      <c r="A9" s="262" t="s">
        <v>663</v>
      </c>
      <c r="B9" s="261" t="s">
        <v>664</v>
      </c>
      <c r="C9" s="261"/>
      <c r="F9" s="199">
        <v>135384.40655369699</v>
      </c>
      <c r="G9" s="199">
        <v>56.133131863242397</v>
      </c>
      <c r="H9" s="199">
        <v>1403.3282965810599</v>
      </c>
      <c r="I9" s="199">
        <v>2.7212665662001898</v>
      </c>
      <c r="J9" s="199">
        <v>810.93743672765697</v>
      </c>
      <c r="K9" s="199">
        <v>0</v>
      </c>
      <c r="L9" s="199">
        <v>0</v>
      </c>
      <c r="M9" s="199">
        <v>0</v>
      </c>
      <c r="N9" s="199">
        <v>0</v>
      </c>
      <c r="O9" s="199">
        <v>137598.67228700599</v>
      </c>
    </row>
    <row r="10" spans="1:15">
      <c r="A10" s="273"/>
      <c r="B10" s="201" t="s">
        <v>665</v>
      </c>
      <c r="C10" s="265"/>
      <c r="F10" s="202">
        <v>48892.434800000003</v>
      </c>
      <c r="G10" s="202">
        <v>1.9643989355251501</v>
      </c>
      <c r="H10" s="202">
        <v>49.1099733881288</v>
      </c>
      <c r="I10" s="202">
        <v>0.93879649035010104</v>
      </c>
      <c r="J10" s="202">
        <v>279.76135412433001</v>
      </c>
      <c r="K10" s="202">
        <v>0</v>
      </c>
      <c r="L10" s="202">
        <v>0</v>
      </c>
      <c r="M10" s="202">
        <v>0</v>
      </c>
      <c r="N10" s="202">
        <v>0</v>
      </c>
      <c r="O10" s="202">
        <v>49221.3061275125</v>
      </c>
    </row>
    <row r="11" spans="1:15">
      <c r="A11" s="273"/>
      <c r="B11" s="203" t="s">
        <v>666</v>
      </c>
      <c r="C11" s="265"/>
      <c r="F11" s="202">
        <v>3697.5053296946699</v>
      </c>
      <c r="G11" s="202">
        <v>7.4099527472216195E-2</v>
      </c>
      <c r="H11" s="202">
        <v>1.8524881868054</v>
      </c>
      <c r="I11" s="202">
        <v>1.8694053828898299E-2</v>
      </c>
      <c r="J11" s="202">
        <v>5.5708280410116799</v>
      </c>
      <c r="K11" s="202">
        <v>0</v>
      </c>
      <c r="L11" s="202">
        <v>0</v>
      </c>
      <c r="M11" s="202">
        <v>0</v>
      </c>
      <c r="N11" s="202">
        <v>0</v>
      </c>
      <c r="O11" s="202">
        <v>3704.92864592249</v>
      </c>
    </row>
    <row r="12" spans="1:15">
      <c r="A12" s="273"/>
      <c r="B12" s="203" t="s">
        <v>667</v>
      </c>
      <c r="C12" s="275"/>
      <c r="F12" s="202">
        <v>58555.541342352197</v>
      </c>
      <c r="G12" s="202">
        <v>48.175194100855997</v>
      </c>
      <c r="H12" s="202">
        <v>1204.3798525213999</v>
      </c>
      <c r="I12" s="202">
        <v>1.10025718150887</v>
      </c>
      <c r="J12" s="202">
        <v>327.87664008964299</v>
      </c>
      <c r="K12" s="202">
        <v>0</v>
      </c>
      <c r="L12" s="202">
        <v>0</v>
      </c>
      <c r="M12" s="202">
        <v>0</v>
      </c>
      <c r="N12" s="202">
        <v>0</v>
      </c>
      <c r="O12" s="202">
        <v>60087.797834963203</v>
      </c>
    </row>
    <row r="13" spans="1:15">
      <c r="A13" s="273"/>
      <c r="B13" s="203" t="s">
        <v>668</v>
      </c>
      <c r="C13" s="265"/>
      <c r="F13" s="202">
        <v>10205.291109076001</v>
      </c>
      <c r="G13" s="202">
        <v>0.36277720652661799</v>
      </c>
      <c r="H13" s="202">
        <v>9.0694301631654604</v>
      </c>
      <c r="I13" s="202">
        <v>0.306065709317694</v>
      </c>
      <c r="J13" s="202">
        <v>91.207581376672707</v>
      </c>
      <c r="K13" s="202">
        <v>0</v>
      </c>
      <c r="L13" s="202">
        <v>0</v>
      </c>
      <c r="M13" s="202">
        <v>0</v>
      </c>
      <c r="N13" s="202">
        <v>0</v>
      </c>
      <c r="O13" s="202">
        <v>10305.568120615801</v>
      </c>
    </row>
    <row r="14" spans="1:15">
      <c r="A14" s="273"/>
      <c r="B14" s="203" t="s">
        <v>670</v>
      </c>
      <c r="C14" s="274"/>
      <c r="F14" s="202">
        <v>165.39070000000001</v>
      </c>
      <c r="G14" s="202">
        <v>2.8616000000000002E-3</v>
      </c>
      <c r="H14" s="202">
        <v>7.1540000000000006E-2</v>
      </c>
      <c r="I14" s="202">
        <v>7.2601000000000002E-3</v>
      </c>
      <c r="J14" s="202">
        <v>2.1635097999999999</v>
      </c>
      <c r="K14" s="202">
        <v>0</v>
      </c>
      <c r="L14" s="202">
        <v>0</v>
      </c>
      <c r="M14" s="202">
        <v>0</v>
      </c>
      <c r="N14" s="202">
        <v>0</v>
      </c>
      <c r="O14" s="202">
        <v>167.62574979999999</v>
      </c>
    </row>
    <row r="15" spans="1:15">
      <c r="A15" s="273"/>
      <c r="B15" s="203" t="s">
        <v>671</v>
      </c>
      <c r="C15" s="203"/>
      <c r="F15" s="202">
        <v>5544.5791425745101</v>
      </c>
      <c r="G15" s="202">
        <v>0.10497433856343601</v>
      </c>
      <c r="H15" s="202">
        <v>2.6243584640858901</v>
      </c>
      <c r="I15" s="202">
        <v>0.12634039936287</v>
      </c>
      <c r="J15" s="202">
        <v>37.649439010135197</v>
      </c>
      <c r="K15" s="202">
        <v>0</v>
      </c>
      <c r="L15" s="202">
        <v>0</v>
      </c>
      <c r="M15" s="202">
        <v>0</v>
      </c>
      <c r="N15" s="202">
        <v>0</v>
      </c>
      <c r="O15" s="202">
        <v>5584.8529400487396</v>
      </c>
    </row>
    <row r="16" spans="1:15">
      <c r="A16" s="273"/>
      <c r="B16" s="203" t="s">
        <v>175</v>
      </c>
      <c r="C16" s="203"/>
      <c r="F16" s="202">
        <v>8129.2791299999999</v>
      </c>
      <c r="G16" s="202">
        <v>5.4451631542989096</v>
      </c>
      <c r="H16" s="202">
        <v>136.12907885747299</v>
      </c>
      <c r="I16" s="202">
        <v>0.219387731831761</v>
      </c>
      <c r="J16" s="202">
        <v>65.377544085864898</v>
      </c>
      <c r="K16" s="202">
        <v>0</v>
      </c>
      <c r="L16" s="202">
        <v>0</v>
      </c>
      <c r="M16" s="202">
        <v>0</v>
      </c>
      <c r="N16" s="202">
        <v>0</v>
      </c>
      <c r="O16" s="202">
        <v>8330.7857529433404</v>
      </c>
    </row>
    <row r="17" spans="1:15">
      <c r="A17" s="273"/>
      <c r="B17" s="203" t="s">
        <v>672</v>
      </c>
      <c r="C17" s="203"/>
      <c r="F17" s="202">
        <v>194.38499999999999</v>
      </c>
      <c r="G17" s="202">
        <v>3.663E-3</v>
      </c>
      <c r="H17" s="202">
        <v>9.1575000000000004E-2</v>
      </c>
      <c r="I17" s="202">
        <v>4.4648999999999999E-3</v>
      </c>
      <c r="J17" s="202">
        <v>1.3305402</v>
      </c>
      <c r="K17" s="202">
        <v>0</v>
      </c>
      <c r="L17" s="202">
        <v>0</v>
      </c>
      <c r="M17" s="202">
        <v>0</v>
      </c>
      <c r="N17" s="202">
        <v>0</v>
      </c>
      <c r="O17" s="202">
        <v>195.8071152</v>
      </c>
    </row>
    <row r="18" spans="1:15">
      <c r="A18" s="262" t="s">
        <v>673</v>
      </c>
      <c r="B18" s="261" t="s">
        <v>825</v>
      </c>
      <c r="C18" s="261"/>
      <c r="F18" s="199">
        <v>38258.521341867803</v>
      </c>
      <c r="G18" s="199">
        <v>4.5212846396435804</v>
      </c>
      <c r="H18" s="199">
        <v>113.032115991089</v>
      </c>
      <c r="I18" s="199">
        <v>5.4713518413848004</v>
      </c>
      <c r="J18" s="199">
        <v>1630.46284873267</v>
      </c>
      <c r="K18" s="199">
        <v>0</v>
      </c>
      <c r="L18" s="199">
        <v>0</v>
      </c>
      <c r="M18" s="199">
        <v>0</v>
      </c>
      <c r="N18" s="199">
        <v>0</v>
      </c>
      <c r="O18" s="199">
        <v>40002.016306591497</v>
      </c>
    </row>
    <row r="19" spans="1:15">
      <c r="A19" s="273"/>
      <c r="B19" s="203" t="s">
        <v>674</v>
      </c>
      <c r="C19" s="265"/>
      <c r="F19" s="202">
        <v>1240.6993285855599</v>
      </c>
      <c r="G19" s="202">
        <v>5.5927902956084498E-2</v>
      </c>
      <c r="H19" s="202">
        <v>1.39819757390211</v>
      </c>
      <c r="I19" s="202">
        <v>3.5787275585504902E-2</v>
      </c>
      <c r="J19" s="202">
        <v>10.664608124480401</v>
      </c>
      <c r="K19" s="202">
        <v>0</v>
      </c>
      <c r="L19" s="202">
        <v>0</v>
      </c>
      <c r="M19" s="202">
        <v>0</v>
      </c>
      <c r="N19" s="202">
        <v>0</v>
      </c>
      <c r="O19" s="202">
        <v>1252.76213428395</v>
      </c>
    </row>
    <row r="20" spans="1:15">
      <c r="A20" s="273"/>
      <c r="B20" s="203" t="s">
        <v>675</v>
      </c>
      <c r="C20" s="265"/>
      <c r="F20" s="202">
        <v>25321.517144755799</v>
      </c>
      <c r="G20" s="202">
        <v>1.5980667495509899</v>
      </c>
      <c r="H20" s="202">
        <v>39.951668738774799</v>
      </c>
      <c r="I20" s="202">
        <v>1.7329097055792</v>
      </c>
      <c r="J20" s="202">
        <v>516.40709226260196</v>
      </c>
      <c r="K20" s="202">
        <v>0</v>
      </c>
      <c r="L20" s="202">
        <v>0</v>
      </c>
      <c r="M20" s="202">
        <v>0</v>
      </c>
      <c r="N20" s="202">
        <v>0</v>
      </c>
      <c r="O20" s="202">
        <v>25877.875905757199</v>
      </c>
    </row>
    <row r="21" spans="1:15" s="205" customFormat="1" ht="12">
      <c r="A21" s="266"/>
      <c r="B21" s="265"/>
      <c r="C21" s="212" t="s">
        <v>676</v>
      </c>
      <c r="F21" s="206">
        <v>3453.2998384817402</v>
      </c>
      <c r="G21" s="206">
        <v>0.35029190244334502</v>
      </c>
      <c r="H21" s="206">
        <v>8.7572975610836306</v>
      </c>
      <c r="I21" s="206">
        <v>0.27601311481991803</v>
      </c>
      <c r="J21" s="206">
        <v>82.251908216335494</v>
      </c>
      <c r="K21" s="206">
        <v>0</v>
      </c>
      <c r="L21" s="206">
        <v>0</v>
      </c>
      <c r="M21" s="206">
        <v>0</v>
      </c>
      <c r="N21" s="206">
        <v>0</v>
      </c>
      <c r="O21" s="206">
        <v>3544.3090442591601</v>
      </c>
    </row>
    <row r="22" spans="1:15" s="205" customFormat="1" ht="12">
      <c r="A22" s="266"/>
      <c r="B22" s="265"/>
      <c r="C22" s="212" t="s">
        <v>677</v>
      </c>
      <c r="F22" s="206">
        <v>5753.10740742081</v>
      </c>
      <c r="G22" s="206">
        <v>0.56621828509876204</v>
      </c>
      <c r="H22" s="206">
        <v>14.155457127469001</v>
      </c>
      <c r="I22" s="206">
        <v>0.49978128472210098</v>
      </c>
      <c r="J22" s="206">
        <v>148.93482284718601</v>
      </c>
      <c r="K22" s="206">
        <v>0</v>
      </c>
      <c r="L22" s="206">
        <v>0</v>
      </c>
      <c r="M22" s="206">
        <v>0</v>
      </c>
      <c r="N22" s="206">
        <v>0</v>
      </c>
      <c r="O22" s="206">
        <v>5916.19768739547</v>
      </c>
    </row>
    <row r="23" spans="1:15" s="205" customFormat="1" ht="12">
      <c r="A23" s="266"/>
      <c r="B23" s="265"/>
      <c r="C23" s="212" t="s">
        <v>678</v>
      </c>
      <c r="F23" s="206">
        <v>3103.5494055145</v>
      </c>
      <c r="G23" s="206">
        <v>0.13074631032544001</v>
      </c>
      <c r="H23" s="206">
        <v>3.2686577581360101</v>
      </c>
      <c r="I23" s="206">
        <v>0.24289665896681101</v>
      </c>
      <c r="J23" s="206">
        <v>72.383204372109802</v>
      </c>
      <c r="K23" s="206">
        <v>0</v>
      </c>
      <c r="L23" s="206">
        <v>0</v>
      </c>
      <c r="M23" s="206">
        <v>0</v>
      </c>
      <c r="N23" s="206">
        <v>0</v>
      </c>
      <c r="O23" s="206">
        <v>3179.2012676447498</v>
      </c>
    </row>
    <row r="24" spans="1:15" s="205" customFormat="1" ht="12">
      <c r="A24" s="266"/>
      <c r="B24" s="265"/>
      <c r="C24" s="212" t="s">
        <v>679</v>
      </c>
      <c r="F24" s="206">
        <v>37.326507461092703</v>
      </c>
      <c r="G24" s="206">
        <v>1.5385951492435501E-2</v>
      </c>
      <c r="H24" s="206">
        <v>0.38464878731088697</v>
      </c>
      <c r="I24" s="206">
        <v>6.8327987016551805E-4</v>
      </c>
      <c r="J24" s="206">
        <v>0.20361740130932399</v>
      </c>
      <c r="K24" s="206">
        <v>0</v>
      </c>
      <c r="L24" s="206">
        <v>0</v>
      </c>
      <c r="M24" s="206">
        <v>0</v>
      </c>
      <c r="N24" s="206">
        <v>0</v>
      </c>
      <c r="O24" s="206">
        <v>37.914773649712899</v>
      </c>
    </row>
    <row r="25" spans="1:15" s="205" customFormat="1" ht="12">
      <c r="A25" s="266"/>
      <c r="B25" s="265"/>
      <c r="C25" s="212" t="s">
        <v>680</v>
      </c>
      <c r="F25" s="206">
        <v>89.102101913721299</v>
      </c>
      <c r="G25" s="206">
        <v>1.7353618284076399E-3</v>
      </c>
      <c r="H25" s="206">
        <v>4.3384045710190999E-2</v>
      </c>
      <c r="I25" s="206">
        <v>7.1813193701955498E-3</v>
      </c>
      <c r="J25" s="206">
        <v>2.1400331723182702</v>
      </c>
      <c r="K25" s="206">
        <v>0</v>
      </c>
      <c r="L25" s="206">
        <v>0</v>
      </c>
      <c r="M25" s="206">
        <v>0</v>
      </c>
      <c r="N25" s="206">
        <v>0</v>
      </c>
      <c r="O25" s="206">
        <v>91.285519131749794</v>
      </c>
    </row>
    <row r="26" spans="1:15" s="205" customFormat="1" ht="12">
      <c r="A26" s="266"/>
      <c r="B26" s="265"/>
      <c r="C26" s="212" t="s">
        <v>681</v>
      </c>
      <c r="F26" s="206">
        <v>84.212820378085794</v>
      </c>
      <c r="G26" s="206">
        <v>2.1287999203382299E-3</v>
      </c>
      <c r="H26" s="206">
        <v>5.3219998008455699E-2</v>
      </c>
      <c r="I26" s="206">
        <v>6.7412114687569798E-3</v>
      </c>
      <c r="J26" s="206">
        <v>2.0088810176895802</v>
      </c>
      <c r="K26" s="206">
        <v>0</v>
      </c>
      <c r="L26" s="206">
        <v>0</v>
      </c>
      <c r="M26" s="206">
        <v>0</v>
      </c>
      <c r="N26" s="206">
        <v>0</v>
      </c>
      <c r="O26" s="206">
        <v>86.274921393783799</v>
      </c>
    </row>
    <row r="27" spans="1:15" s="205" customFormat="1" ht="12">
      <c r="A27" s="266"/>
      <c r="B27" s="265"/>
      <c r="C27" s="212" t="s">
        <v>682</v>
      </c>
      <c r="F27" s="206">
        <v>12798.3147976092</v>
      </c>
      <c r="G27" s="206">
        <v>0.53045545935913396</v>
      </c>
      <c r="H27" s="206">
        <v>13.261386483978301</v>
      </c>
      <c r="I27" s="206">
        <v>0.69956470399798298</v>
      </c>
      <c r="J27" s="206">
        <v>208.470281791399</v>
      </c>
      <c r="K27" s="206">
        <v>0</v>
      </c>
      <c r="L27" s="206">
        <v>0</v>
      </c>
      <c r="M27" s="206">
        <v>0</v>
      </c>
      <c r="N27" s="206">
        <v>0</v>
      </c>
      <c r="O27" s="206">
        <v>13020.046465884599</v>
      </c>
    </row>
    <row r="28" spans="1:15" s="205" customFormat="1" ht="12">
      <c r="A28" s="266"/>
      <c r="B28" s="265"/>
      <c r="C28" s="212" t="s">
        <v>683</v>
      </c>
      <c r="F28" s="206">
        <v>2.60426597660447</v>
      </c>
      <c r="G28" s="206">
        <v>1.1046790831289201E-3</v>
      </c>
      <c r="H28" s="206">
        <v>2.7616977078223099E-2</v>
      </c>
      <c r="I28" s="206">
        <v>4.8132363271437602E-5</v>
      </c>
      <c r="J28" s="206">
        <v>1.4343444254888401E-2</v>
      </c>
      <c r="K28" s="206">
        <v>0</v>
      </c>
      <c r="L28" s="206">
        <v>0</v>
      </c>
      <c r="M28" s="206">
        <v>0</v>
      </c>
      <c r="N28" s="206">
        <v>0</v>
      </c>
      <c r="O28" s="206">
        <v>2.6462263979375802</v>
      </c>
    </row>
    <row r="29" spans="1:15">
      <c r="A29" s="273"/>
      <c r="B29" s="203" t="s">
        <v>684</v>
      </c>
      <c r="C29" s="265"/>
      <c r="F29" s="202" t="s">
        <v>817</v>
      </c>
      <c r="G29" s="202" t="s">
        <v>817</v>
      </c>
      <c r="H29" s="202" t="s">
        <v>817</v>
      </c>
      <c r="I29" s="202" t="s">
        <v>817</v>
      </c>
      <c r="J29" s="202" t="s">
        <v>817</v>
      </c>
      <c r="K29" s="202" t="s">
        <v>817</v>
      </c>
      <c r="L29" s="202" t="s">
        <v>817</v>
      </c>
      <c r="M29" s="202" t="s">
        <v>817</v>
      </c>
      <c r="N29" s="202" t="s">
        <v>817</v>
      </c>
      <c r="O29" s="202" t="s">
        <v>817</v>
      </c>
    </row>
    <row r="30" spans="1:15">
      <c r="A30" s="273"/>
      <c r="B30" s="203" t="s">
        <v>685</v>
      </c>
      <c r="C30" s="265"/>
      <c r="F30" s="202" t="s">
        <v>817</v>
      </c>
      <c r="G30" s="202" t="s">
        <v>817</v>
      </c>
      <c r="H30" s="202" t="s">
        <v>817</v>
      </c>
      <c r="I30" s="202" t="s">
        <v>817</v>
      </c>
      <c r="J30" s="202" t="s">
        <v>817</v>
      </c>
      <c r="K30" s="202" t="s">
        <v>817</v>
      </c>
      <c r="L30" s="202" t="s">
        <v>817</v>
      </c>
      <c r="M30" s="202" t="s">
        <v>817</v>
      </c>
      <c r="N30" s="202" t="s">
        <v>817</v>
      </c>
      <c r="O30" s="202" t="s">
        <v>817</v>
      </c>
    </row>
    <row r="31" spans="1:15">
      <c r="A31" s="273"/>
      <c r="B31" s="203" t="s">
        <v>686</v>
      </c>
      <c r="C31" s="212"/>
      <c r="F31" s="202">
        <v>9743.8906010042392</v>
      </c>
      <c r="G31" s="202">
        <v>2.7574087752839098</v>
      </c>
      <c r="H31" s="202">
        <v>68.935219382097699</v>
      </c>
      <c r="I31" s="202">
        <v>2.94951148658508</v>
      </c>
      <c r="J31" s="202">
        <v>878.95442300235504</v>
      </c>
      <c r="K31" s="202">
        <v>0</v>
      </c>
      <c r="L31" s="202">
        <v>0</v>
      </c>
      <c r="M31" s="202">
        <v>0</v>
      </c>
      <c r="N31" s="202">
        <v>0</v>
      </c>
      <c r="O31" s="202">
        <v>10691.780243388699</v>
      </c>
    </row>
    <row r="32" spans="1:15" s="205" customFormat="1" ht="12">
      <c r="A32" s="266"/>
      <c r="B32" s="265"/>
      <c r="C32" s="212" t="s">
        <v>687</v>
      </c>
      <c r="F32" s="206">
        <v>3697.19163639929</v>
      </c>
      <c r="G32" s="206">
        <v>0.22077205526037499</v>
      </c>
      <c r="H32" s="206">
        <v>5.5193013815093703</v>
      </c>
      <c r="I32" s="206">
        <v>1.42672779430839</v>
      </c>
      <c r="J32" s="206">
        <v>425.16488270389902</v>
      </c>
      <c r="K32" s="206">
        <v>0</v>
      </c>
      <c r="L32" s="206">
        <v>0</v>
      </c>
      <c r="M32" s="206">
        <v>0</v>
      </c>
      <c r="N32" s="206">
        <v>0</v>
      </c>
      <c r="O32" s="206">
        <v>4127.8758204846999</v>
      </c>
    </row>
    <row r="33" spans="1:15" s="205" customFormat="1" ht="12">
      <c r="A33" s="266"/>
      <c r="B33" s="265"/>
      <c r="C33" s="212" t="s">
        <v>688</v>
      </c>
      <c r="F33" s="206">
        <v>346.262042132798</v>
      </c>
      <c r="G33" s="206">
        <v>0.20447853391904999</v>
      </c>
      <c r="H33" s="206">
        <v>5.1119633479762596</v>
      </c>
      <c r="I33" s="206">
        <v>7.6939684369586397E-2</v>
      </c>
      <c r="J33" s="206">
        <v>22.928025942136699</v>
      </c>
      <c r="K33" s="206">
        <v>0</v>
      </c>
      <c r="L33" s="206">
        <v>0</v>
      </c>
      <c r="M33" s="206">
        <v>0</v>
      </c>
      <c r="N33" s="206">
        <v>0</v>
      </c>
      <c r="O33" s="206">
        <v>374.302031422911</v>
      </c>
    </row>
    <row r="34" spans="1:15" s="205" customFormat="1" ht="12">
      <c r="A34" s="266"/>
      <c r="B34" s="265"/>
      <c r="C34" s="212" t="s">
        <v>689</v>
      </c>
      <c r="F34" s="206">
        <v>3594.1563666065399</v>
      </c>
      <c r="G34" s="206">
        <v>0.27126315906614701</v>
      </c>
      <c r="H34" s="206">
        <v>6.7815789766536803</v>
      </c>
      <c r="I34" s="206">
        <v>1.3519033045407201</v>
      </c>
      <c r="J34" s="206">
        <v>402.86718475313398</v>
      </c>
      <c r="K34" s="206">
        <v>0</v>
      </c>
      <c r="L34" s="206">
        <v>0</v>
      </c>
      <c r="M34" s="206">
        <v>0</v>
      </c>
      <c r="N34" s="206">
        <v>0</v>
      </c>
      <c r="O34" s="206">
        <v>4003.80513033633</v>
      </c>
    </row>
    <row r="35" spans="1:15" s="205" customFormat="1" ht="12">
      <c r="A35" s="266"/>
      <c r="B35" s="265"/>
      <c r="C35" s="212" t="s">
        <v>690</v>
      </c>
      <c r="F35" s="206">
        <v>104.781434574363</v>
      </c>
      <c r="G35" s="206">
        <v>0.101055513369342</v>
      </c>
      <c r="H35" s="206">
        <v>2.52638783423355</v>
      </c>
      <c r="I35" s="206">
        <v>9.7037980405563495E-3</v>
      </c>
      <c r="J35" s="206">
        <v>2.8917318160857901</v>
      </c>
      <c r="K35" s="206">
        <v>0</v>
      </c>
      <c r="L35" s="206">
        <v>0</v>
      </c>
      <c r="M35" s="206">
        <v>0</v>
      </c>
      <c r="N35" s="206">
        <v>0</v>
      </c>
      <c r="O35" s="206">
        <v>110.199554224683</v>
      </c>
    </row>
    <row r="36" spans="1:15" s="205" customFormat="1" ht="12">
      <c r="A36" s="266"/>
      <c r="B36" s="265"/>
      <c r="C36" s="212" t="s">
        <v>691</v>
      </c>
      <c r="F36" s="206">
        <v>492.86072129124301</v>
      </c>
      <c r="G36" s="206">
        <v>0.47959036366899199</v>
      </c>
      <c r="H36" s="206">
        <v>11.9897590917248</v>
      </c>
      <c r="I36" s="206">
        <v>4.4327905325835797E-2</v>
      </c>
      <c r="J36" s="206">
        <v>13.2097157870991</v>
      </c>
      <c r="K36" s="206">
        <v>0</v>
      </c>
      <c r="L36" s="206">
        <v>0</v>
      </c>
      <c r="M36" s="206">
        <v>0</v>
      </c>
      <c r="N36" s="206">
        <v>0</v>
      </c>
      <c r="O36" s="206">
        <v>518.060196170067</v>
      </c>
    </row>
    <row r="37" spans="1:15" s="205" customFormat="1" ht="12">
      <c r="A37" s="266"/>
      <c r="B37" s="265"/>
      <c r="C37" s="212" t="s">
        <v>692</v>
      </c>
      <c r="D37" s="207"/>
      <c r="E37" s="207"/>
      <c r="F37" s="206">
        <v>1508.6384</v>
      </c>
      <c r="G37" s="206">
        <v>1.4802491499999999</v>
      </c>
      <c r="H37" s="206">
        <v>37.006228749999998</v>
      </c>
      <c r="I37" s="206">
        <v>3.9909E-2</v>
      </c>
      <c r="J37" s="206">
        <v>11.892882</v>
      </c>
      <c r="K37" s="208">
        <v>0</v>
      </c>
      <c r="L37" s="208">
        <v>0</v>
      </c>
      <c r="M37" s="208">
        <v>0</v>
      </c>
      <c r="N37" s="208">
        <v>0</v>
      </c>
      <c r="O37" s="206">
        <v>1557.5375107499999</v>
      </c>
    </row>
    <row r="38" spans="1:15">
      <c r="A38" s="249" t="s">
        <v>693</v>
      </c>
      <c r="B38" s="248" t="s">
        <v>694</v>
      </c>
      <c r="C38" s="272"/>
      <c r="D38" s="225"/>
      <c r="E38" s="225"/>
      <c r="F38" s="218">
        <v>7364.92230930409</v>
      </c>
      <c r="G38" s="218">
        <v>1067.03931651018</v>
      </c>
      <c r="H38" s="218">
        <v>26675.9829127546</v>
      </c>
      <c r="I38" s="218">
        <v>5.5109802453162597E-2</v>
      </c>
      <c r="J38" s="218">
        <v>16.422721131042501</v>
      </c>
      <c r="K38" s="218">
        <v>0</v>
      </c>
      <c r="L38" s="218">
        <v>0</v>
      </c>
      <c r="M38" s="218">
        <v>0</v>
      </c>
      <c r="N38" s="218">
        <v>0</v>
      </c>
      <c r="O38" s="218">
        <v>34057.327943189703</v>
      </c>
    </row>
    <row r="39" spans="1:15">
      <c r="A39" s="271"/>
      <c r="B39" s="201" t="s">
        <v>695</v>
      </c>
      <c r="C39" s="269"/>
      <c r="D39" s="225"/>
      <c r="E39" s="225"/>
      <c r="F39" s="211">
        <v>0</v>
      </c>
      <c r="G39" s="211">
        <v>14.037272843806299</v>
      </c>
      <c r="H39" s="211">
        <v>350.931821095158</v>
      </c>
      <c r="I39" s="211">
        <v>0</v>
      </c>
      <c r="J39" s="211">
        <v>0</v>
      </c>
      <c r="K39" s="211">
        <v>0</v>
      </c>
      <c r="L39" s="211">
        <v>0</v>
      </c>
      <c r="M39" s="211">
        <v>0</v>
      </c>
      <c r="N39" s="211">
        <v>0</v>
      </c>
      <c r="O39" s="211">
        <v>350.931821095158</v>
      </c>
    </row>
    <row r="40" spans="1:15">
      <c r="A40" s="271"/>
      <c r="B40" s="270" t="s">
        <v>696</v>
      </c>
      <c r="C40" s="269"/>
      <c r="D40" s="225"/>
      <c r="E40" s="225"/>
      <c r="F40" s="211">
        <v>7364.92230930409</v>
      </c>
      <c r="G40" s="211">
        <v>1053.0020436663799</v>
      </c>
      <c r="H40" s="211">
        <v>26325.051091659399</v>
      </c>
      <c r="I40" s="211">
        <v>5.5109802453162597E-2</v>
      </c>
      <c r="J40" s="211">
        <v>16.422721131042501</v>
      </c>
      <c r="K40" s="211">
        <v>0</v>
      </c>
      <c r="L40" s="211">
        <v>0</v>
      </c>
      <c r="M40" s="211">
        <v>0</v>
      </c>
      <c r="N40" s="211">
        <v>0</v>
      </c>
      <c r="O40" s="211">
        <v>33706.396122094498</v>
      </c>
    </row>
    <row r="41" spans="1:15">
      <c r="A41" s="213" t="s">
        <v>697</v>
      </c>
      <c r="B41" s="214" t="s">
        <v>698</v>
      </c>
      <c r="C41" s="214"/>
      <c r="D41" s="215"/>
      <c r="E41" s="215"/>
      <c r="F41" s="216">
        <v>0</v>
      </c>
      <c r="G41" s="216">
        <v>0</v>
      </c>
      <c r="H41" s="216">
        <v>0</v>
      </c>
      <c r="I41" s="216">
        <v>0</v>
      </c>
      <c r="J41" s="216">
        <v>0</v>
      </c>
      <c r="K41" s="216">
        <v>0</v>
      </c>
      <c r="L41" s="216">
        <v>0</v>
      </c>
      <c r="M41" s="216">
        <v>0</v>
      </c>
      <c r="N41" s="216">
        <v>0</v>
      </c>
      <c r="O41" s="216">
        <v>0</v>
      </c>
    </row>
    <row r="42" spans="1:15">
      <c r="A42" s="217" t="s">
        <v>699</v>
      </c>
      <c r="B42" s="251"/>
      <c r="C42" s="250"/>
      <c r="F42" s="198">
        <v>8072.3439373745296</v>
      </c>
      <c r="G42" s="198">
        <v>1.34388482218181</v>
      </c>
      <c r="H42" s="198">
        <v>33.597120554545199</v>
      </c>
      <c r="I42" s="198">
        <v>3.3814412058826901</v>
      </c>
      <c r="J42" s="198">
        <v>1007.6694793530399</v>
      </c>
      <c r="K42" s="198">
        <v>1121.7417591245401</v>
      </c>
      <c r="L42" s="198">
        <v>1.11261251438786</v>
      </c>
      <c r="M42" s="198">
        <v>1.09223771157189</v>
      </c>
      <c r="N42" s="198">
        <v>0</v>
      </c>
      <c r="O42" s="198">
        <v>10237.5571466326</v>
      </c>
    </row>
    <row r="43" spans="1:15">
      <c r="A43" s="262" t="s">
        <v>663</v>
      </c>
      <c r="B43" s="261" t="s">
        <v>700</v>
      </c>
      <c r="C43" s="261"/>
      <c r="F43" s="199">
        <v>1152.59301696119</v>
      </c>
      <c r="G43" s="199">
        <v>0</v>
      </c>
      <c r="H43" s="199">
        <v>0</v>
      </c>
      <c r="I43" s="199">
        <v>0</v>
      </c>
      <c r="J43" s="199">
        <v>0</v>
      </c>
      <c r="K43" s="199">
        <v>0</v>
      </c>
      <c r="L43" s="199">
        <v>0</v>
      </c>
      <c r="M43" s="199">
        <v>0</v>
      </c>
      <c r="N43" s="199">
        <v>0</v>
      </c>
      <c r="O43" s="199">
        <v>1152.59301696119</v>
      </c>
    </row>
    <row r="44" spans="1:15" s="205" customFormat="1" ht="12">
      <c r="A44" s="266"/>
      <c r="B44" s="268"/>
      <c r="C44" s="212" t="s">
        <v>501</v>
      </c>
      <c r="F44" s="206">
        <v>906.04511419879202</v>
      </c>
      <c r="G44" s="206">
        <v>0</v>
      </c>
      <c r="H44" s="206">
        <v>0</v>
      </c>
      <c r="I44" s="206">
        <v>0</v>
      </c>
      <c r="J44" s="206">
        <v>0</v>
      </c>
      <c r="K44" s="206">
        <v>0</v>
      </c>
      <c r="L44" s="206">
        <v>0</v>
      </c>
      <c r="M44" s="206">
        <v>0</v>
      </c>
      <c r="N44" s="206">
        <v>0</v>
      </c>
      <c r="O44" s="206">
        <v>906.04511419879202</v>
      </c>
    </row>
    <row r="45" spans="1:15" s="205" customFormat="1" ht="12">
      <c r="A45" s="266"/>
      <c r="B45" s="268"/>
      <c r="C45" s="212" t="s">
        <v>183</v>
      </c>
      <c r="F45" s="206">
        <v>109.591495772832</v>
      </c>
      <c r="G45" s="206">
        <v>0</v>
      </c>
      <c r="H45" s="206">
        <v>0</v>
      </c>
      <c r="I45" s="206">
        <v>0</v>
      </c>
      <c r="J45" s="206">
        <v>0</v>
      </c>
      <c r="K45" s="206">
        <v>0</v>
      </c>
      <c r="L45" s="206">
        <v>0</v>
      </c>
      <c r="M45" s="206">
        <v>0</v>
      </c>
      <c r="N45" s="206">
        <v>0</v>
      </c>
      <c r="O45" s="206">
        <v>109.591495772832</v>
      </c>
    </row>
    <row r="46" spans="1:15" s="205" customFormat="1" ht="12">
      <c r="A46" s="266"/>
      <c r="B46" s="268"/>
      <c r="C46" s="212" t="s">
        <v>824</v>
      </c>
      <c r="F46" s="206">
        <v>136.95640698956601</v>
      </c>
      <c r="G46" s="206">
        <v>0</v>
      </c>
      <c r="H46" s="206">
        <v>0</v>
      </c>
      <c r="I46" s="206">
        <v>0</v>
      </c>
      <c r="J46" s="206">
        <v>0</v>
      </c>
      <c r="K46" s="206">
        <v>0</v>
      </c>
      <c r="L46" s="206">
        <v>0</v>
      </c>
      <c r="M46" s="206">
        <v>0</v>
      </c>
      <c r="N46" s="206">
        <v>0</v>
      </c>
      <c r="O46" s="206">
        <v>136.95640698956601</v>
      </c>
    </row>
    <row r="47" spans="1:15" s="267" customFormat="1">
      <c r="A47" s="262" t="s">
        <v>673</v>
      </c>
      <c r="B47" s="261" t="s">
        <v>823</v>
      </c>
      <c r="C47" s="261"/>
      <c r="F47" s="199">
        <v>0</v>
      </c>
      <c r="G47" s="199">
        <v>0</v>
      </c>
      <c r="H47" s="218">
        <v>0</v>
      </c>
      <c r="I47" s="199">
        <v>0</v>
      </c>
      <c r="J47" s="199">
        <v>0</v>
      </c>
      <c r="K47" s="199">
        <v>0</v>
      </c>
      <c r="L47" s="199">
        <v>0</v>
      </c>
      <c r="M47" s="199">
        <v>0</v>
      </c>
      <c r="N47" s="199">
        <v>0</v>
      </c>
      <c r="O47" s="199">
        <v>0</v>
      </c>
    </row>
    <row r="48" spans="1:15" s="205" customFormat="1" ht="12">
      <c r="A48" s="266"/>
      <c r="B48" s="268"/>
      <c r="C48" s="212" t="s">
        <v>702</v>
      </c>
      <c r="F48" s="206">
        <v>0</v>
      </c>
      <c r="G48" s="206">
        <v>0</v>
      </c>
      <c r="H48" s="206">
        <v>0</v>
      </c>
      <c r="I48" s="206">
        <v>0</v>
      </c>
      <c r="J48" s="206">
        <v>0</v>
      </c>
      <c r="K48" s="206">
        <v>0</v>
      </c>
      <c r="L48" s="206">
        <v>0</v>
      </c>
      <c r="M48" s="206">
        <v>0</v>
      </c>
      <c r="N48" s="206">
        <v>0</v>
      </c>
      <c r="O48" s="206">
        <v>0</v>
      </c>
    </row>
    <row r="49" spans="1:15" s="267" customFormat="1">
      <c r="A49" s="262" t="s">
        <v>693</v>
      </c>
      <c r="B49" s="261" t="s">
        <v>704</v>
      </c>
      <c r="C49" s="261"/>
      <c r="F49" s="199">
        <v>0</v>
      </c>
      <c r="G49" s="199">
        <v>0</v>
      </c>
      <c r="H49" s="199">
        <v>0</v>
      </c>
      <c r="I49" s="199">
        <v>0</v>
      </c>
      <c r="J49" s="199">
        <v>0</v>
      </c>
      <c r="K49" s="199">
        <v>0</v>
      </c>
      <c r="L49" s="218">
        <v>0</v>
      </c>
      <c r="M49" s="218">
        <v>0</v>
      </c>
      <c r="N49" s="199">
        <v>0</v>
      </c>
      <c r="O49" s="199">
        <v>0</v>
      </c>
    </row>
    <row r="50" spans="1:15" s="205" customFormat="1" ht="12">
      <c r="A50" s="266"/>
      <c r="B50" s="265"/>
      <c r="C50" s="265" t="s">
        <v>705</v>
      </c>
      <c r="F50" s="206">
        <v>0</v>
      </c>
      <c r="G50" s="206">
        <v>0</v>
      </c>
      <c r="H50" s="206">
        <v>0</v>
      </c>
      <c r="I50" s="206">
        <v>0</v>
      </c>
      <c r="J50" s="206">
        <v>0</v>
      </c>
      <c r="K50" s="206">
        <v>0</v>
      </c>
      <c r="L50" s="219">
        <v>0</v>
      </c>
      <c r="M50" s="219">
        <v>0</v>
      </c>
      <c r="N50" s="206">
        <v>0</v>
      </c>
      <c r="O50" s="206">
        <v>0</v>
      </c>
    </row>
    <row r="51" spans="1:15" s="205" customFormat="1" ht="12">
      <c r="A51" s="266"/>
      <c r="B51" s="265"/>
      <c r="C51" s="265" t="s">
        <v>244</v>
      </c>
      <c r="F51" s="206">
        <v>0</v>
      </c>
      <c r="G51" s="206">
        <v>0</v>
      </c>
      <c r="H51" s="206">
        <v>0</v>
      </c>
      <c r="I51" s="206">
        <v>0</v>
      </c>
      <c r="J51" s="206">
        <v>0</v>
      </c>
      <c r="K51" s="206">
        <v>0</v>
      </c>
      <c r="L51" s="219">
        <v>0</v>
      </c>
      <c r="M51" s="219">
        <v>0</v>
      </c>
      <c r="N51" s="206">
        <v>0</v>
      </c>
      <c r="O51" s="206">
        <v>0</v>
      </c>
    </row>
    <row r="52" spans="1:15" s="205" customFormat="1" ht="12">
      <c r="A52" s="258"/>
      <c r="B52" s="257"/>
      <c r="C52" s="257" t="s">
        <v>706</v>
      </c>
      <c r="D52" s="207"/>
      <c r="E52" s="207"/>
      <c r="F52" s="208">
        <v>0</v>
      </c>
      <c r="G52" s="208">
        <v>0</v>
      </c>
      <c r="H52" s="208">
        <v>0</v>
      </c>
      <c r="I52" s="208">
        <v>0</v>
      </c>
      <c r="J52" s="208">
        <v>0</v>
      </c>
      <c r="K52" s="208">
        <v>0</v>
      </c>
      <c r="L52" s="219">
        <v>0</v>
      </c>
      <c r="M52" s="219">
        <v>0</v>
      </c>
      <c r="N52" s="208">
        <v>0</v>
      </c>
      <c r="O52" s="208">
        <v>0</v>
      </c>
    </row>
    <row r="53" spans="1:15">
      <c r="A53" s="220" t="s">
        <v>697</v>
      </c>
      <c r="B53" s="221" t="s">
        <v>707</v>
      </c>
      <c r="C53" s="248"/>
      <c r="D53" s="225"/>
      <c r="E53" s="225"/>
      <c r="F53" s="211">
        <v>0</v>
      </c>
      <c r="G53" s="211">
        <v>0</v>
      </c>
      <c r="H53" s="211">
        <v>0</v>
      </c>
      <c r="I53" s="211">
        <v>0</v>
      </c>
      <c r="J53" s="211">
        <v>0</v>
      </c>
      <c r="K53" s="211">
        <v>1121.7417591245401</v>
      </c>
      <c r="L53" s="211">
        <v>0.57216206040099105</v>
      </c>
      <c r="M53" s="211">
        <v>7.8549711571890599E-2</v>
      </c>
      <c r="N53" s="211">
        <v>0</v>
      </c>
      <c r="O53" s="211">
        <v>1122.3924708965101</v>
      </c>
    </row>
    <row r="54" spans="1:15">
      <c r="A54" s="220" t="s">
        <v>708</v>
      </c>
      <c r="B54" s="221" t="s">
        <v>709</v>
      </c>
      <c r="C54" s="248"/>
      <c r="D54" s="225"/>
      <c r="E54" s="225"/>
      <c r="F54" s="211">
        <v>6918.9391177683001</v>
      </c>
      <c r="G54" s="211">
        <v>1.34388482218181</v>
      </c>
      <c r="H54" s="211">
        <v>33.597120554545199</v>
      </c>
      <c r="I54" s="211">
        <v>3.2957664256472499</v>
      </c>
      <c r="J54" s="211">
        <v>982.13839484288201</v>
      </c>
      <c r="K54" s="211">
        <v>0</v>
      </c>
      <c r="L54" s="211">
        <v>0</v>
      </c>
      <c r="M54" s="211">
        <v>0</v>
      </c>
      <c r="N54" s="211">
        <v>0</v>
      </c>
      <c r="O54" s="211">
        <v>7934.6746331657296</v>
      </c>
    </row>
    <row r="55" spans="1:15">
      <c r="A55" s="213" t="s">
        <v>710</v>
      </c>
      <c r="B55" s="214" t="s">
        <v>711</v>
      </c>
      <c r="C55" s="264"/>
      <c r="D55" s="253"/>
      <c r="E55" s="253"/>
      <c r="F55" s="252">
        <v>0.81180264504673505</v>
      </c>
      <c r="G55" s="252">
        <v>0</v>
      </c>
      <c r="H55" s="252">
        <v>0</v>
      </c>
      <c r="I55" s="252">
        <v>8.5674780235433096E-2</v>
      </c>
      <c r="J55" s="252">
        <v>25.531084510159101</v>
      </c>
      <c r="K55" s="252">
        <v>0</v>
      </c>
      <c r="L55" s="252">
        <v>0.54045045398687097</v>
      </c>
      <c r="M55" s="252">
        <v>1.0136879999999999</v>
      </c>
      <c r="N55" s="252">
        <v>0</v>
      </c>
      <c r="O55" s="252">
        <v>27.897025609192699</v>
      </c>
    </row>
    <row r="56" spans="1:15">
      <c r="A56" s="251" t="s">
        <v>712</v>
      </c>
      <c r="B56" s="250"/>
      <c r="C56" s="250"/>
      <c r="F56" s="223">
        <v>555.79333333333295</v>
      </c>
      <c r="G56" s="223">
        <v>413.59304331362398</v>
      </c>
      <c r="H56" s="223">
        <v>10339.8260828406</v>
      </c>
      <c r="I56" s="388">
        <v>21.091254566865</v>
      </c>
      <c r="J56" s="223">
        <v>6285.1938609257704</v>
      </c>
      <c r="K56" s="198">
        <v>0</v>
      </c>
      <c r="L56" s="198">
        <v>0</v>
      </c>
      <c r="M56" s="198">
        <v>0</v>
      </c>
      <c r="N56" s="198">
        <v>0</v>
      </c>
      <c r="O56" s="198">
        <v>17180.8132770997</v>
      </c>
    </row>
    <row r="57" spans="1:15">
      <c r="A57" s="262" t="s">
        <v>663</v>
      </c>
      <c r="B57" s="261" t="s">
        <v>27</v>
      </c>
      <c r="C57" s="261"/>
      <c r="F57" s="211">
        <v>0</v>
      </c>
      <c r="G57" s="211">
        <v>385.13533130981301</v>
      </c>
      <c r="H57" s="211">
        <v>9628.3832827453098</v>
      </c>
      <c r="I57" s="211">
        <v>0</v>
      </c>
      <c r="J57" s="211">
        <v>0</v>
      </c>
      <c r="K57" s="202">
        <v>0</v>
      </c>
      <c r="L57" s="202">
        <v>0</v>
      </c>
      <c r="M57" s="202">
        <v>0</v>
      </c>
      <c r="N57" s="202">
        <v>0</v>
      </c>
      <c r="O57" s="202">
        <v>9628.3832827453098</v>
      </c>
    </row>
    <row r="58" spans="1:15">
      <c r="A58" s="262" t="s">
        <v>673</v>
      </c>
      <c r="B58" s="261" t="s">
        <v>28</v>
      </c>
      <c r="C58" s="261"/>
      <c r="F58" s="211">
        <v>0</v>
      </c>
      <c r="G58" s="211">
        <v>28.445000038273101</v>
      </c>
      <c r="H58" s="211">
        <v>711.12500095682606</v>
      </c>
      <c r="I58" s="211">
        <v>4.8431379013718798</v>
      </c>
      <c r="J58" s="211">
        <v>1443.2550946088199</v>
      </c>
      <c r="K58" s="202">
        <v>0</v>
      </c>
      <c r="L58" s="202">
        <v>0</v>
      </c>
      <c r="M58" s="202">
        <v>0</v>
      </c>
      <c r="N58" s="202">
        <v>0</v>
      </c>
      <c r="O58" s="202">
        <v>2154.3800955656502</v>
      </c>
    </row>
    <row r="59" spans="1:15">
      <c r="A59" s="262" t="s">
        <v>693</v>
      </c>
      <c r="B59" s="261" t="s">
        <v>713</v>
      </c>
      <c r="C59" s="261"/>
      <c r="F59" s="202">
        <v>0</v>
      </c>
      <c r="G59" s="202">
        <v>0</v>
      </c>
      <c r="H59" s="202">
        <v>0</v>
      </c>
      <c r="I59" s="202">
        <v>16.2477870960162</v>
      </c>
      <c r="J59" s="202">
        <v>4841.8405546128297</v>
      </c>
      <c r="K59" s="199">
        <v>0</v>
      </c>
      <c r="L59" s="199">
        <v>0</v>
      </c>
      <c r="M59" s="199">
        <v>0</v>
      </c>
      <c r="N59" s="199">
        <v>0</v>
      </c>
      <c r="O59" s="199">
        <v>4841.8405546128297</v>
      </c>
    </row>
    <row r="60" spans="1:15" s="205" customFormat="1" ht="12">
      <c r="A60" s="260"/>
      <c r="B60" s="259"/>
      <c r="C60" s="257" t="s">
        <v>714</v>
      </c>
      <c r="F60" s="208">
        <v>0</v>
      </c>
      <c r="G60" s="208">
        <v>0</v>
      </c>
      <c r="H60" s="208">
        <v>0</v>
      </c>
      <c r="I60" s="208">
        <v>13.1105756351579</v>
      </c>
      <c r="J60" s="208">
        <v>3906.95153927705</v>
      </c>
      <c r="K60" s="206">
        <v>0</v>
      </c>
      <c r="L60" s="206">
        <v>0</v>
      </c>
      <c r="M60" s="206">
        <v>0</v>
      </c>
      <c r="N60" s="206">
        <v>0</v>
      </c>
      <c r="O60" s="206">
        <v>3906.95153927705</v>
      </c>
    </row>
    <row r="61" spans="1:15" s="205" customFormat="1" ht="12">
      <c r="A61" s="258"/>
      <c r="B61" s="257"/>
      <c r="C61" s="257" t="s">
        <v>715</v>
      </c>
      <c r="D61" s="207"/>
      <c r="E61" s="207"/>
      <c r="F61" s="208">
        <v>0</v>
      </c>
      <c r="G61" s="208">
        <v>0</v>
      </c>
      <c r="H61" s="208">
        <v>0</v>
      </c>
      <c r="I61" s="208">
        <v>3.1372114608583201</v>
      </c>
      <c r="J61" s="208">
        <v>934.88901533577905</v>
      </c>
      <c r="K61" s="208">
        <v>0</v>
      </c>
      <c r="L61" s="208">
        <v>0</v>
      </c>
      <c r="M61" s="208">
        <v>0</v>
      </c>
      <c r="N61" s="208">
        <v>0</v>
      </c>
      <c r="O61" s="208">
        <v>934.88901533577905</v>
      </c>
    </row>
    <row r="62" spans="1:15" s="204" customFormat="1" ht="13">
      <c r="A62" s="249" t="s">
        <v>697</v>
      </c>
      <c r="B62" s="248" t="s">
        <v>185</v>
      </c>
      <c r="C62" s="256"/>
      <c r="D62" s="210"/>
      <c r="E62" s="210"/>
      <c r="F62" s="211">
        <v>0</v>
      </c>
      <c r="G62" s="211">
        <v>1.27119655384615E-2</v>
      </c>
      <c r="H62" s="211">
        <v>0.31779913846153901</v>
      </c>
      <c r="I62" s="211">
        <v>3.2956947692307697E-4</v>
      </c>
      <c r="J62" s="211">
        <v>9.8211704123076907E-2</v>
      </c>
      <c r="K62" s="211">
        <v>0</v>
      </c>
      <c r="L62" s="211">
        <v>0</v>
      </c>
      <c r="M62" s="211">
        <v>0</v>
      </c>
      <c r="N62" s="211">
        <v>0</v>
      </c>
      <c r="O62" s="211">
        <v>0.41601084258461501</v>
      </c>
    </row>
    <row r="63" spans="1:15">
      <c r="A63" s="255" t="s">
        <v>708</v>
      </c>
      <c r="B63" s="214" t="s">
        <v>716</v>
      </c>
      <c r="C63" s="254"/>
      <c r="D63" s="253"/>
      <c r="E63" s="253"/>
      <c r="F63" s="222">
        <v>555.79333333333295</v>
      </c>
      <c r="G63" s="222">
        <v>0</v>
      </c>
      <c r="H63" s="222">
        <v>0</v>
      </c>
      <c r="I63" s="222">
        <v>0</v>
      </c>
      <c r="J63" s="222">
        <v>0</v>
      </c>
      <c r="K63" s="252">
        <v>0</v>
      </c>
      <c r="L63" s="252">
        <v>0</v>
      </c>
      <c r="M63" s="252">
        <v>0</v>
      </c>
      <c r="N63" s="252">
        <v>0</v>
      </c>
      <c r="O63" s="252">
        <v>555.79333333333295</v>
      </c>
    </row>
    <row r="64" spans="1:15">
      <c r="A64" s="251" t="s">
        <v>717</v>
      </c>
      <c r="B64" s="250"/>
      <c r="C64" s="250"/>
      <c r="F64" s="198">
        <v>12.3328524</v>
      </c>
      <c r="G64" s="198">
        <v>73.238269520000003</v>
      </c>
      <c r="H64" s="198">
        <v>1830.9567380000001</v>
      </c>
      <c r="I64" s="198">
        <v>0.51090689</v>
      </c>
      <c r="J64" s="198">
        <v>152.25025321999999</v>
      </c>
      <c r="K64" s="198">
        <v>0</v>
      </c>
      <c r="L64" s="198">
        <v>0</v>
      </c>
      <c r="M64" s="198">
        <v>0</v>
      </c>
      <c r="N64" s="198">
        <v>0</v>
      </c>
      <c r="O64" s="198">
        <v>1995.5398436200001</v>
      </c>
    </row>
    <row r="65" spans="1:31">
      <c r="A65" s="249" t="s">
        <v>663</v>
      </c>
      <c r="B65" s="248" t="s">
        <v>718</v>
      </c>
      <c r="C65" s="248"/>
      <c r="D65" s="225"/>
      <c r="E65" s="225"/>
      <c r="F65" s="211">
        <v>0</v>
      </c>
      <c r="G65" s="211">
        <v>67.511571169999996</v>
      </c>
      <c r="H65" s="211">
        <v>1687.7892792499999</v>
      </c>
      <c r="I65" s="211">
        <v>0</v>
      </c>
      <c r="J65" s="211">
        <v>0</v>
      </c>
      <c r="K65" s="211">
        <v>0</v>
      </c>
      <c r="L65" s="211">
        <v>0</v>
      </c>
      <c r="M65" s="211">
        <v>0</v>
      </c>
      <c r="N65" s="211">
        <v>0</v>
      </c>
      <c r="O65" s="211">
        <v>1687.7892792499999</v>
      </c>
    </row>
    <row r="66" spans="1:31">
      <c r="A66" s="249" t="s">
        <v>822</v>
      </c>
      <c r="B66" s="248" t="s">
        <v>719</v>
      </c>
      <c r="E66" s="225"/>
      <c r="F66" s="211">
        <v>0</v>
      </c>
      <c r="G66" s="211">
        <v>4.19337172</v>
      </c>
      <c r="H66" s="211">
        <v>104.834293</v>
      </c>
      <c r="I66" s="211">
        <v>0.2516023</v>
      </c>
      <c r="J66" s="211">
        <v>74.977485400000006</v>
      </c>
      <c r="K66" s="211">
        <v>0</v>
      </c>
      <c r="L66" s="211">
        <v>0</v>
      </c>
      <c r="M66" s="211">
        <v>0</v>
      </c>
      <c r="N66" s="211">
        <v>0</v>
      </c>
      <c r="O66" s="211">
        <v>179.81177840000001</v>
      </c>
    </row>
    <row r="67" spans="1:31">
      <c r="A67" s="249" t="s">
        <v>693</v>
      </c>
      <c r="B67" s="248" t="s">
        <v>720</v>
      </c>
      <c r="C67" s="248"/>
      <c r="D67" s="225"/>
      <c r="E67" s="225"/>
      <c r="F67" s="211">
        <v>0</v>
      </c>
      <c r="G67" s="211">
        <v>1.5322422499999999</v>
      </c>
      <c r="H67" s="211">
        <v>38.306056249999997</v>
      </c>
      <c r="I67" s="211">
        <v>0.23899692</v>
      </c>
      <c r="J67" s="211">
        <v>71.221082159999995</v>
      </c>
      <c r="K67" s="211">
        <v>0</v>
      </c>
      <c r="L67" s="211">
        <v>0</v>
      </c>
      <c r="M67" s="211">
        <v>0</v>
      </c>
      <c r="N67" s="211">
        <v>0</v>
      </c>
      <c r="O67" s="211">
        <v>109.52713841000001</v>
      </c>
    </row>
    <row r="68" spans="1:31">
      <c r="A68" s="247" t="s">
        <v>697</v>
      </c>
      <c r="B68" s="246" t="s">
        <v>721</v>
      </c>
      <c r="C68" s="246"/>
      <c r="D68" s="245"/>
      <c r="E68" s="245"/>
      <c r="F68" s="222">
        <v>12.3328524</v>
      </c>
      <c r="G68" s="222">
        <v>1.08438E-3</v>
      </c>
      <c r="H68" s="222">
        <v>2.7109500000000002E-2</v>
      </c>
      <c r="I68" s="222">
        <v>2.030767E-2</v>
      </c>
      <c r="J68" s="222">
        <v>6.0516856600000004</v>
      </c>
      <c r="K68" s="222">
        <v>0</v>
      </c>
      <c r="L68" s="222">
        <v>0</v>
      </c>
      <c r="M68" s="222">
        <v>0</v>
      </c>
      <c r="N68" s="222">
        <v>0</v>
      </c>
      <c r="O68" s="222">
        <v>18.411647559999999</v>
      </c>
    </row>
    <row r="69" spans="1:31" s="196" customFormat="1" ht="14"/>
    <row r="70" spans="1:31">
      <c r="A70" s="204" t="s">
        <v>248</v>
      </c>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row>
    <row r="71" spans="1:31" s="204" customFormat="1" ht="13">
      <c r="A71" s="204" t="s">
        <v>821</v>
      </c>
    </row>
    <row r="72" spans="1:31" s="204" customFormat="1" ht="15">
      <c r="A72" s="204" t="s">
        <v>918</v>
      </c>
    </row>
    <row r="73" spans="1:31" s="204" customFormat="1" ht="15">
      <c r="A73" s="204" t="s">
        <v>917</v>
      </c>
      <c r="F73" s="387"/>
      <c r="G73" s="387"/>
      <c r="H73" s="387"/>
      <c r="I73" s="387"/>
      <c r="J73" s="387"/>
      <c r="K73" s="387"/>
      <c r="L73" s="387"/>
      <c r="M73" s="387"/>
      <c r="N73" s="387"/>
      <c r="O73" s="387"/>
      <c r="P73" s="387"/>
      <c r="Q73" s="387"/>
      <c r="R73" s="387"/>
      <c r="S73" s="387"/>
      <c r="T73" s="387"/>
      <c r="U73" s="387"/>
      <c r="V73" s="387"/>
      <c r="W73" s="387"/>
      <c r="X73" s="387"/>
      <c r="Y73" s="387"/>
      <c r="Z73" s="387"/>
      <c r="AA73" s="387"/>
      <c r="AB73" s="387"/>
      <c r="AC73" s="387"/>
      <c r="AE73" s="386"/>
    </row>
    <row r="74" spans="1:31" s="204" customFormat="1" ht="13">
      <c r="A74" s="204" t="s">
        <v>722</v>
      </c>
    </row>
    <row r="75" spans="1:31" s="204" customFormat="1" ht="13">
      <c r="A75" s="204" t="s">
        <v>723</v>
      </c>
      <c r="B75" s="204" t="s">
        <v>724</v>
      </c>
    </row>
    <row r="76" spans="1:31" s="204" customFormat="1" ht="13">
      <c r="A76" s="385">
        <v>0</v>
      </c>
      <c r="B76" s="204" t="s">
        <v>725</v>
      </c>
    </row>
    <row r="77" spans="1:31" s="204" customFormat="1" ht="13">
      <c r="A77" s="204" t="s">
        <v>817</v>
      </c>
      <c r="B77" s="204" t="s">
        <v>816</v>
      </c>
    </row>
    <row r="78" spans="1:31" s="204" customFormat="1" ht="13">
      <c r="A78" s="204" t="s">
        <v>815</v>
      </c>
    </row>
    <row r="79" spans="1:31">
      <c r="A79" s="204" t="s">
        <v>916</v>
      </c>
      <c r="F79" s="383"/>
      <c r="G79" s="383"/>
      <c r="H79" s="383"/>
      <c r="I79" s="383"/>
      <c r="J79" s="383"/>
      <c r="K79" s="383"/>
      <c r="L79" s="383"/>
      <c r="M79" s="383"/>
      <c r="N79" s="383"/>
      <c r="O79" s="384"/>
      <c r="P79" s="383"/>
      <c r="R79" s="383"/>
      <c r="S79" s="383"/>
      <c r="T79" s="383"/>
      <c r="U79" s="383"/>
      <c r="V79" s="383"/>
      <c r="W79" s="383"/>
      <c r="X79" s="383"/>
      <c r="Y79" s="383"/>
      <c r="Z79" s="383"/>
      <c r="AA79" s="383"/>
      <c r="AB79" s="383"/>
      <c r="AC79" s="383"/>
      <c r="AE79" s="382"/>
    </row>
    <row r="80" spans="1:31">
      <c r="A80" s="381" t="s">
        <v>915</v>
      </c>
      <c r="B80" s="209"/>
      <c r="C80" s="209"/>
      <c r="D80" s="204"/>
      <c r="E80" s="380"/>
      <c r="F80" s="380"/>
      <c r="G80" s="224"/>
      <c r="H80" s="224"/>
      <c r="I80" s="224"/>
      <c r="J80" s="224"/>
      <c r="K80" s="224"/>
      <c r="L80" s="224"/>
      <c r="M80" s="224"/>
      <c r="N80" s="224"/>
      <c r="O80" s="224"/>
      <c r="P80" s="224"/>
      <c r="Q80" s="224"/>
      <c r="R80" s="224"/>
      <c r="S80" s="224"/>
      <c r="T80" s="224"/>
      <c r="U80" s="224"/>
      <c r="V80" s="224"/>
      <c r="W80" s="224"/>
      <c r="X80" s="224"/>
      <c r="Y80" s="224"/>
      <c r="Z80" s="224"/>
      <c r="AA80" s="224"/>
    </row>
    <row r="81" spans="1:27">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c r="AA81" s="224"/>
    </row>
  </sheetData>
  <hyperlinks>
    <hyperlink ref="A80" r:id="rId1" xr:uid="{00000000-0004-0000-2B00-000000000000}"/>
  </hyperlinks>
  <pageMargins left="0.70866141732283472" right="0.70866141732283472" top="0.74803149606299213" bottom="0.74803149606299213" header="0.31496062992125984" footer="0.31496062992125984"/>
  <pageSetup paperSize="5" scale="42"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4" tint="0.39997558519241921"/>
    <pageSetUpPr fitToPage="1"/>
  </sheetPr>
  <dimension ref="A1:AE81"/>
  <sheetViews>
    <sheetView zoomScale="80" zoomScaleNormal="80" workbookViewId="0">
      <pane xSplit="5" ySplit="7" topLeftCell="F65" activePane="bottomRight" state="frozen"/>
      <selection activeCell="A80" sqref="A80"/>
      <selection pane="topRight" activeCell="A80" sqref="A80"/>
      <selection pane="bottomLeft" activeCell="A80" sqref="A80"/>
      <selection pane="bottomRight" activeCell="A80" sqref="A80"/>
    </sheetView>
  </sheetViews>
  <sheetFormatPr baseColWidth="10" defaultColWidth="9.1640625" defaultRowHeight="16"/>
  <cols>
    <col min="1" max="1" width="4.5" style="197" customWidth="1"/>
    <col min="2" max="2" width="3.33203125" style="197" customWidth="1"/>
    <col min="3" max="3" width="52.5" style="197" customWidth="1"/>
    <col min="4" max="5" width="3.33203125" style="197" customWidth="1"/>
    <col min="6" max="15" width="16.5" style="197" customWidth="1"/>
    <col min="16" max="16384" width="9.1640625" style="197"/>
  </cols>
  <sheetData>
    <row r="1" spans="1:15" s="169" customFormat="1" ht="14">
      <c r="A1" s="280" t="s">
        <v>924</v>
      </c>
      <c r="B1" s="168"/>
      <c r="C1" s="168"/>
      <c r="D1" s="168"/>
      <c r="E1" s="168"/>
      <c r="F1" s="168"/>
      <c r="G1" s="168"/>
      <c r="H1" s="168"/>
      <c r="I1" s="168"/>
      <c r="J1" s="168"/>
      <c r="K1" s="168"/>
      <c r="L1" s="168"/>
      <c r="M1" s="168"/>
      <c r="N1" s="168"/>
      <c r="O1" s="168"/>
    </row>
    <row r="2" spans="1:15" s="169" customFormat="1" ht="14">
      <c r="B2" s="170"/>
      <c r="C2" s="170"/>
      <c r="D2" s="170"/>
      <c r="E2" s="170"/>
      <c r="F2" s="170"/>
      <c r="G2" s="170"/>
      <c r="H2" s="170"/>
      <c r="I2" s="170"/>
      <c r="J2" s="170"/>
      <c r="K2" s="170"/>
      <c r="L2" s="170"/>
      <c r="M2" s="170"/>
      <c r="N2" s="170"/>
      <c r="O2" s="170"/>
    </row>
    <row r="3" spans="1:15" s="169" customFormat="1" ht="14">
      <c r="B3" s="170"/>
      <c r="C3" s="170"/>
      <c r="D3" s="170"/>
      <c r="E3" s="170"/>
      <c r="F3" s="171" t="s">
        <v>651</v>
      </c>
      <c r="G3" s="172"/>
      <c r="H3" s="172"/>
      <c r="I3" s="172"/>
      <c r="J3" s="172"/>
      <c r="K3" s="172"/>
      <c r="L3" s="172"/>
      <c r="M3" s="172"/>
      <c r="N3" s="172"/>
      <c r="O3" s="172"/>
    </row>
    <row r="4" spans="1:15" s="169" customFormat="1" ht="15">
      <c r="A4" s="170"/>
      <c r="B4" s="170"/>
      <c r="C4" s="170"/>
      <c r="D4" s="170"/>
      <c r="E4" s="170"/>
      <c r="F4" s="173" t="s">
        <v>652</v>
      </c>
      <c r="G4" s="174" t="s">
        <v>653</v>
      </c>
      <c r="H4" s="174" t="s">
        <v>653</v>
      </c>
      <c r="I4" s="174" t="s">
        <v>654</v>
      </c>
      <c r="J4" s="174" t="s">
        <v>654</v>
      </c>
      <c r="K4" s="175" t="s">
        <v>827</v>
      </c>
      <c r="L4" s="175" t="s">
        <v>826</v>
      </c>
      <c r="M4" s="174" t="s">
        <v>655</v>
      </c>
      <c r="N4" s="176" t="s">
        <v>656</v>
      </c>
      <c r="O4" s="177" t="s">
        <v>657</v>
      </c>
    </row>
    <row r="5" spans="1:15" s="179" customFormat="1" ht="14">
      <c r="A5" s="178" t="s">
        <v>658</v>
      </c>
      <c r="B5" s="178"/>
      <c r="E5" s="180" t="s">
        <v>659</v>
      </c>
      <c r="F5" s="181"/>
      <c r="G5" s="182"/>
      <c r="H5" s="183">
        <v>25</v>
      </c>
      <c r="I5" s="184"/>
      <c r="J5" s="183">
        <v>298</v>
      </c>
      <c r="K5" s="185"/>
      <c r="L5" s="185"/>
      <c r="M5" s="186">
        <v>22800</v>
      </c>
      <c r="N5" s="186">
        <v>17200</v>
      </c>
      <c r="O5" s="187"/>
    </row>
    <row r="6" spans="1:15" s="188" customFormat="1" ht="14.25" customHeight="1">
      <c r="C6" s="189"/>
      <c r="D6" s="189"/>
      <c r="E6" s="190" t="s">
        <v>377</v>
      </c>
      <c r="F6" s="191" t="s">
        <v>660</v>
      </c>
      <c r="G6" s="191" t="s">
        <v>660</v>
      </c>
      <c r="H6" s="192" t="s">
        <v>661</v>
      </c>
      <c r="I6" s="193" t="s">
        <v>660</v>
      </c>
      <c r="J6" s="192" t="s">
        <v>661</v>
      </c>
      <c r="K6" s="192" t="s">
        <v>661</v>
      </c>
      <c r="L6" s="192" t="s">
        <v>661</v>
      </c>
      <c r="M6" s="192" t="s">
        <v>661</v>
      </c>
      <c r="N6" s="192" t="s">
        <v>661</v>
      </c>
      <c r="O6" s="192" t="s">
        <v>661</v>
      </c>
    </row>
    <row r="7" spans="1:15" s="196" customFormat="1" ht="15" thickBot="1">
      <c r="A7" s="279" t="s">
        <v>657</v>
      </c>
      <c r="B7" s="278"/>
      <c r="C7" s="277"/>
      <c r="D7" s="194"/>
      <c r="E7" s="194"/>
      <c r="F7" s="195">
        <v>181968.58235014099</v>
      </c>
      <c r="G7" s="195">
        <v>1640.20944754484</v>
      </c>
      <c r="H7" s="195">
        <v>41005.236188620998</v>
      </c>
      <c r="I7" s="195">
        <v>31.285753609835801</v>
      </c>
      <c r="J7" s="195">
        <v>9323.1545757310596</v>
      </c>
      <c r="K7" s="195">
        <v>990.30330699524404</v>
      </c>
      <c r="L7" s="195">
        <v>0.98130371721880505</v>
      </c>
      <c r="M7" s="195">
        <v>2.16151109435889</v>
      </c>
      <c r="N7" s="195">
        <v>0</v>
      </c>
      <c r="O7" s="195">
        <v>233290.419236299</v>
      </c>
    </row>
    <row r="8" spans="1:15" ht="17" thickTop="1">
      <c r="A8" s="251" t="s">
        <v>662</v>
      </c>
      <c r="B8" s="276"/>
      <c r="C8" s="276"/>
      <c r="F8" s="198">
        <v>173414.236222159</v>
      </c>
      <c r="G8" s="198">
        <v>1129.1994127033599</v>
      </c>
      <c r="H8" s="198">
        <v>28229.985317584102</v>
      </c>
      <c r="I8" s="198">
        <v>7.3638812649035303</v>
      </c>
      <c r="J8" s="198">
        <v>2194.4366169412501</v>
      </c>
      <c r="K8" s="198">
        <v>0</v>
      </c>
      <c r="L8" s="198">
        <v>0</v>
      </c>
      <c r="M8" s="198">
        <v>0</v>
      </c>
      <c r="N8" s="198">
        <v>0</v>
      </c>
      <c r="O8" s="198">
        <v>203838.65815668399</v>
      </c>
    </row>
    <row r="9" spans="1:15">
      <c r="A9" s="262" t="s">
        <v>663</v>
      </c>
      <c r="B9" s="261" t="s">
        <v>664</v>
      </c>
      <c r="C9" s="261"/>
      <c r="F9" s="199">
        <v>132061.39428330801</v>
      </c>
      <c r="G9" s="199">
        <v>59.145907789085598</v>
      </c>
      <c r="H9" s="199">
        <v>1478.6476947271401</v>
      </c>
      <c r="I9" s="199">
        <v>2.6558999228828899</v>
      </c>
      <c r="J9" s="199">
        <v>791.45817701910198</v>
      </c>
      <c r="K9" s="199">
        <v>0</v>
      </c>
      <c r="L9" s="199">
        <v>0</v>
      </c>
      <c r="M9" s="199">
        <v>0</v>
      </c>
      <c r="N9" s="199">
        <v>0</v>
      </c>
      <c r="O9" s="199">
        <v>134331.50015505499</v>
      </c>
    </row>
    <row r="10" spans="1:15">
      <c r="A10" s="273"/>
      <c r="B10" s="201" t="s">
        <v>665</v>
      </c>
      <c r="C10" s="265"/>
      <c r="F10" s="202">
        <v>48740.457999778802</v>
      </c>
      <c r="G10" s="202">
        <v>1.78133652755831</v>
      </c>
      <c r="H10" s="202">
        <v>44.533413188957702</v>
      </c>
      <c r="I10" s="202">
        <v>0.93759633289229805</v>
      </c>
      <c r="J10" s="202">
        <v>279.40370720190498</v>
      </c>
      <c r="K10" s="202">
        <v>0</v>
      </c>
      <c r="L10" s="202">
        <v>0</v>
      </c>
      <c r="M10" s="202">
        <v>0</v>
      </c>
      <c r="N10" s="202">
        <v>0</v>
      </c>
      <c r="O10" s="202">
        <v>49064.395120169698</v>
      </c>
    </row>
    <row r="11" spans="1:15">
      <c r="A11" s="273"/>
      <c r="B11" s="203" t="s">
        <v>666</v>
      </c>
      <c r="C11" s="265"/>
      <c r="F11" s="202">
        <v>3221.1153083526001</v>
      </c>
      <c r="G11" s="202">
        <v>6.6555539896434895E-2</v>
      </c>
      <c r="H11" s="202">
        <v>1.6638884974108701</v>
      </c>
      <c r="I11" s="202">
        <v>1.75436237103247E-2</v>
      </c>
      <c r="J11" s="202">
        <v>5.2279998656767699</v>
      </c>
      <c r="K11" s="202">
        <v>0</v>
      </c>
      <c r="L11" s="202">
        <v>0</v>
      </c>
      <c r="M11" s="202">
        <v>0</v>
      </c>
      <c r="N11" s="202">
        <v>0</v>
      </c>
      <c r="O11" s="202">
        <v>3228.00719671569</v>
      </c>
    </row>
    <row r="12" spans="1:15">
      <c r="A12" s="273"/>
      <c r="B12" s="203" t="s">
        <v>667</v>
      </c>
      <c r="C12" s="275"/>
      <c r="F12" s="202">
        <v>56421.4835497514</v>
      </c>
      <c r="G12" s="202">
        <v>51.842757251643803</v>
      </c>
      <c r="H12" s="202">
        <v>1296.0689312910999</v>
      </c>
      <c r="I12" s="202">
        <v>1.06060426826851</v>
      </c>
      <c r="J12" s="202">
        <v>316.06007194401599</v>
      </c>
      <c r="K12" s="202">
        <v>0</v>
      </c>
      <c r="L12" s="202">
        <v>0</v>
      </c>
      <c r="M12" s="202">
        <v>0</v>
      </c>
      <c r="N12" s="202">
        <v>0</v>
      </c>
      <c r="O12" s="202">
        <v>58033.612552986502</v>
      </c>
    </row>
    <row r="13" spans="1:15">
      <c r="A13" s="273"/>
      <c r="B13" s="203" t="s">
        <v>668</v>
      </c>
      <c r="C13" s="265"/>
      <c r="F13" s="202">
        <v>9113.4406372011508</v>
      </c>
      <c r="G13" s="202">
        <v>0.34105087137223</v>
      </c>
      <c r="H13" s="202">
        <v>8.5262717843057505</v>
      </c>
      <c r="I13" s="202">
        <v>0.28754967460085501</v>
      </c>
      <c r="J13" s="202">
        <v>85.689803031054893</v>
      </c>
      <c r="K13" s="202">
        <v>0</v>
      </c>
      <c r="L13" s="202">
        <v>0</v>
      </c>
      <c r="M13" s="202">
        <v>0</v>
      </c>
      <c r="N13" s="202">
        <v>0</v>
      </c>
      <c r="O13" s="202">
        <v>9207.6567120165091</v>
      </c>
    </row>
    <row r="14" spans="1:15">
      <c r="A14" s="273"/>
      <c r="B14" s="203" t="s">
        <v>670</v>
      </c>
      <c r="C14" s="274"/>
      <c r="F14" s="202">
        <v>122.0819</v>
      </c>
      <c r="G14" s="202">
        <v>2.1036000000000002E-3</v>
      </c>
      <c r="H14" s="202">
        <v>5.2589999999999998E-2</v>
      </c>
      <c r="I14" s="202">
        <v>5.6261999999999996E-3</v>
      </c>
      <c r="J14" s="202">
        <v>1.6766076000000001</v>
      </c>
      <c r="K14" s="202">
        <v>0</v>
      </c>
      <c r="L14" s="202">
        <v>0</v>
      </c>
      <c r="M14" s="202">
        <v>0</v>
      </c>
      <c r="N14" s="202">
        <v>0</v>
      </c>
      <c r="O14" s="202">
        <v>123.8110976</v>
      </c>
    </row>
    <row r="15" spans="1:15">
      <c r="A15" s="273"/>
      <c r="B15" s="203" t="s">
        <v>671</v>
      </c>
      <c r="C15" s="203"/>
      <c r="F15" s="202">
        <v>5636.35979822441</v>
      </c>
      <c r="G15" s="202">
        <v>0.10722480920645</v>
      </c>
      <c r="H15" s="202">
        <v>2.6806202301612498</v>
      </c>
      <c r="I15" s="202">
        <v>0.121282551465989</v>
      </c>
      <c r="J15" s="202">
        <v>36.142200336864803</v>
      </c>
      <c r="K15" s="202">
        <v>0</v>
      </c>
      <c r="L15" s="202">
        <v>0</v>
      </c>
      <c r="M15" s="202">
        <v>0</v>
      </c>
      <c r="N15" s="202">
        <v>0</v>
      </c>
      <c r="O15" s="202">
        <v>5675.1826187914303</v>
      </c>
    </row>
    <row r="16" spans="1:15">
      <c r="A16" s="273"/>
      <c r="B16" s="203" t="s">
        <v>175</v>
      </c>
      <c r="C16" s="203"/>
      <c r="F16" s="202">
        <v>8559.7528899999998</v>
      </c>
      <c r="G16" s="202">
        <v>5.0002031894082801</v>
      </c>
      <c r="H16" s="202">
        <v>125.005079735207</v>
      </c>
      <c r="I16" s="202">
        <v>0.22046967194491399</v>
      </c>
      <c r="J16" s="202">
        <v>65.699962239584195</v>
      </c>
      <c r="K16" s="202">
        <v>0</v>
      </c>
      <c r="L16" s="202">
        <v>0</v>
      </c>
      <c r="M16" s="202">
        <v>0</v>
      </c>
      <c r="N16" s="202">
        <v>0</v>
      </c>
      <c r="O16" s="202">
        <v>8750.45793197479</v>
      </c>
    </row>
    <row r="17" spans="1:15">
      <c r="A17" s="273"/>
      <c r="B17" s="203" t="s">
        <v>672</v>
      </c>
      <c r="C17" s="203"/>
      <c r="F17" s="202">
        <v>246.7022</v>
      </c>
      <c r="G17" s="202">
        <v>4.6759999999999996E-3</v>
      </c>
      <c r="H17" s="202">
        <v>0.1169</v>
      </c>
      <c r="I17" s="202">
        <v>5.2275999999999998E-3</v>
      </c>
      <c r="J17" s="202">
        <v>1.5578247999999999</v>
      </c>
      <c r="K17" s="202">
        <v>0</v>
      </c>
      <c r="L17" s="202">
        <v>0</v>
      </c>
      <c r="M17" s="202">
        <v>0</v>
      </c>
      <c r="N17" s="202">
        <v>0</v>
      </c>
      <c r="O17" s="202">
        <v>248.37692480000001</v>
      </c>
    </row>
    <row r="18" spans="1:15">
      <c r="A18" s="262" t="s">
        <v>673</v>
      </c>
      <c r="B18" s="261" t="s">
        <v>825</v>
      </c>
      <c r="C18" s="261"/>
      <c r="F18" s="199">
        <v>33729.720545180397</v>
      </c>
      <c r="G18" s="199">
        <v>4.2329774308768897</v>
      </c>
      <c r="H18" s="199">
        <v>105.824435771922</v>
      </c>
      <c r="I18" s="199">
        <v>4.6498976641217897</v>
      </c>
      <c r="J18" s="199">
        <v>1385.6695039082899</v>
      </c>
      <c r="K18" s="199">
        <v>0</v>
      </c>
      <c r="L18" s="199">
        <v>0</v>
      </c>
      <c r="M18" s="199">
        <v>0</v>
      </c>
      <c r="N18" s="199">
        <v>0</v>
      </c>
      <c r="O18" s="199">
        <v>35221.214484860597</v>
      </c>
    </row>
    <row r="19" spans="1:15">
      <c r="A19" s="273"/>
      <c r="B19" s="203" t="s">
        <v>674</v>
      </c>
      <c r="C19" s="265"/>
      <c r="F19" s="202">
        <v>1222.2783808603999</v>
      </c>
      <c r="G19" s="202">
        <v>5.25537952900701E-2</v>
      </c>
      <c r="H19" s="202">
        <v>1.3138448822517499</v>
      </c>
      <c r="I19" s="202">
        <v>3.5330689677961997E-2</v>
      </c>
      <c r="J19" s="202">
        <v>10.528545524032699</v>
      </c>
      <c r="K19" s="202">
        <v>0</v>
      </c>
      <c r="L19" s="202">
        <v>0</v>
      </c>
      <c r="M19" s="202">
        <v>0</v>
      </c>
      <c r="N19" s="202">
        <v>0</v>
      </c>
      <c r="O19" s="202">
        <v>1234.1207712666801</v>
      </c>
    </row>
    <row r="20" spans="1:15">
      <c r="A20" s="273"/>
      <c r="B20" s="203" t="s">
        <v>675</v>
      </c>
      <c r="C20" s="265"/>
      <c r="F20" s="202">
        <v>22840.0613857996</v>
      </c>
      <c r="G20" s="202">
        <v>1.50510512309296</v>
      </c>
      <c r="H20" s="202">
        <v>37.627628077324097</v>
      </c>
      <c r="I20" s="202">
        <v>1.67756432967448</v>
      </c>
      <c r="J20" s="202">
        <v>499.91417024299602</v>
      </c>
      <c r="K20" s="202">
        <v>0</v>
      </c>
      <c r="L20" s="202">
        <v>0</v>
      </c>
      <c r="M20" s="202">
        <v>0</v>
      </c>
      <c r="N20" s="202">
        <v>0</v>
      </c>
      <c r="O20" s="202">
        <v>23377.6031841199</v>
      </c>
    </row>
    <row r="21" spans="1:15" s="205" customFormat="1" ht="12">
      <c r="A21" s="266"/>
      <c r="B21" s="265"/>
      <c r="C21" s="212" t="s">
        <v>676</v>
      </c>
      <c r="F21" s="206">
        <v>3454.26942463144</v>
      </c>
      <c r="G21" s="206">
        <v>0.35643981961856602</v>
      </c>
      <c r="H21" s="206">
        <v>8.9109954904641508</v>
      </c>
      <c r="I21" s="206">
        <v>0.30491422614081698</v>
      </c>
      <c r="J21" s="206">
        <v>90.864439389963295</v>
      </c>
      <c r="K21" s="206">
        <v>0</v>
      </c>
      <c r="L21" s="206">
        <v>0</v>
      </c>
      <c r="M21" s="206">
        <v>0</v>
      </c>
      <c r="N21" s="206">
        <v>0</v>
      </c>
      <c r="O21" s="206">
        <v>3554.0448595118701</v>
      </c>
    </row>
    <row r="22" spans="1:15" s="205" customFormat="1" ht="12">
      <c r="A22" s="266"/>
      <c r="B22" s="265"/>
      <c r="C22" s="212" t="s">
        <v>677</v>
      </c>
      <c r="F22" s="206">
        <v>5503.4714042248597</v>
      </c>
      <c r="G22" s="206">
        <v>0.55078222691341205</v>
      </c>
      <c r="H22" s="206">
        <v>13.769555672835301</v>
      </c>
      <c r="I22" s="206">
        <v>0.54846565651761303</v>
      </c>
      <c r="J22" s="206">
        <v>163.44276564224899</v>
      </c>
      <c r="K22" s="206">
        <v>0</v>
      </c>
      <c r="L22" s="206">
        <v>0</v>
      </c>
      <c r="M22" s="206">
        <v>0</v>
      </c>
      <c r="N22" s="206">
        <v>0</v>
      </c>
      <c r="O22" s="206">
        <v>5680.6837255399396</v>
      </c>
    </row>
    <row r="23" spans="1:15" s="205" customFormat="1" ht="12">
      <c r="A23" s="266"/>
      <c r="B23" s="265"/>
      <c r="C23" s="212" t="s">
        <v>678</v>
      </c>
      <c r="F23" s="206">
        <v>3067.1885250974401</v>
      </c>
      <c r="G23" s="206">
        <v>0.13457262731598901</v>
      </c>
      <c r="H23" s="206">
        <v>3.36431568289973</v>
      </c>
      <c r="I23" s="206">
        <v>0.23539445430815201</v>
      </c>
      <c r="J23" s="206">
        <v>70.147547383829206</v>
      </c>
      <c r="K23" s="206">
        <v>0</v>
      </c>
      <c r="L23" s="206">
        <v>0</v>
      </c>
      <c r="M23" s="206">
        <v>0</v>
      </c>
      <c r="N23" s="206">
        <v>0</v>
      </c>
      <c r="O23" s="206">
        <v>3140.7003881641699</v>
      </c>
    </row>
    <row r="24" spans="1:15" s="205" customFormat="1" ht="12">
      <c r="A24" s="266"/>
      <c r="B24" s="265"/>
      <c r="C24" s="212" t="s">
        <v>679</v>
      </c>
      <c r="F24" s="206">
        <v>35.186583934566002</v>
      </c>
      <c r="G24" s="206">
        <v>1.4817520770431299E-2</v>
      </c>
      <c r="H24" s="206">
        <v>0.37043801926078301</v>
      </c>
      <c r="I24" s="206">
        <v>6.4384731165093901E-4</v>
      </c>
      <c r="J24" s="206">
        <v>0.19186649887198001</v>
      </c>
      <c r="K24" s="206">
        <v>0</v>
      </c>
      <c r="L24" s="206">
        <v>0</v>
      </c>
      <c r="M24" s="206">
        <v>0</v>
      </c>
      <c r="N24" s="206">
        <v>0</v>
      </c>
      <c r="O24" s="206">
        <v>35.7488884526988</v>
      </c>
    </row>
    <row r="25" spans="1:15" s="205" customFormat="1" ht="12">
      <c r="A25" s="266"/>
      <c r="B25" s="265"/>
      <c r="C25" s="212" t="s">
        <v>680</v>
      </c>
      <c r="F25" s="206">
        <v>70.793696483085895</v>
      </c>
      <c r="G25" s="206">
        <v>1.38984141135274E-3</v>
      </c>
      <c r="H25" s="206">
        <v>3.4746035283818498E-2</v>
      </c>
      <c r="I25" s="206">
        <v>5.7001976011600104E-3</v>
      </c>
      <c r="J25" s="206">
        <v>1.6986588851456801</v>
      </c>
      <c r="K25" s="206">
        <v>0</v>
      </c>
      <c r="L25" s="206">
        <v>0</v>
      </c>
      <c r="M25" s="206">
        <v>0</v>
      </c>
      <c r="N25" s="206">
        <v>0</v>
      </c>
      <c r="O25" s="206">
        <v>72.527101403515402</v>
      </c>
    </row>
    <row r="26" spans="1:15" s="205" customFormat="1" ht="12">
      <c r="A26" s="266"/>
      <c r="B26" s="265"/>
      <c r="C26" s="212" t="s">
        <v>681</v>
      </c>
      <c r="F26" s="206">
        <v>69.224291828538995</v>
      </c>
      <c r="G26" s="206">
        <v>1.74990774882552E-3</v>
      </c>
      <c r="H26" s="206">
        <v>4.3747693720637998E-2</v>
      </c>
      <c r="I26" s="206">
        <v>5.5366265867898903E-3</v>
      </c>
      <c r="J26" s="206">
        <v>1.6499147228633899</v>
      </c>
      <c r="K26" s="206">
        <v>0</v>
      </c>
      <c r="L26" s="206">
        <v>0</v>
      </c>
      <c r="M26" s="206">
        <v>0</v>
      </c>
      <c r="N26" s="206">
        <v>0</v>
      </c>
      <c r="O26" s="206">
        <v>70.917954245122999</v>
      </c>
    </row>
    <row r="27" spans="1:15" s="205" customFormat="1" ht="12">
      <c r="A27" s="266"/>
      <c r="B27" s="265"/>
      <c r="C27" s="212" t="s">
        <v>682</v>
      </c>
      <c r="F27" s="206">
        <v>10632.896868698301</v>
      </c>
      <c r="G27" s="206">
        <v>0.44237104903465402</v>
      </c>
      <c r="H27" s="206">
        <v>11.0592762258664</v>
      </c>
      <c r="I27" s="206">
        <v>0.57677938130693795</v>
      </c>
      <c r="J27" s="206">
        <v>171.880255629468</v>
      </c>
      <c r="K27" s="206">
        <v>0</v>
      </c>
      <c r="L27" s="206">
        <v>0</v>
      </c>
      <c r="M27" s="206">
        <v>0</v>
      </c>
      <c r="N27" s="206">
        <v>0</v>
      </c>
      <c r="O27" s="206">
        <v>10815.8364005536</v>
      </c>
    </row>
    <row r="28" spans="1:15" s="205" customFormat="1" ht="12">
      <c r="A28" s="266"/>
      <c r="B28" s="265"/>
      <c r="C28" s="212" t="s">
        <v>683</v>
      </c>
      <c r="F28" s="206">
        <v>7.0305909014144303</v>
      </c>
      <c r="G28" s="206">
        <v>2.9821302797327E-3</v>
      </c>
      <c r="H28" s="206">
        <v>7.4553256993317399E-2</v>
      </c>
      <c r="I28" s="206">
        <v>1.2993990136484E-4</v>
      </c>
      <c r="J28" s="206">
        <v>3.8722090606722201E-2</v>
      </c>
      <c r="K28" s="206">
        <v>0</v>
      </c>
      <c r="L28" s="206">
        <v>0</v>
      </c>
      <c r="M28" s="206">
        <v>0</v>
      </c>
      <c r="N28" s="206">
        <v>0</v>
      </c>
      <c r="O28" s="206">
        <v>7.1438662490144704</v>
      </c>
    </row>
    <row r="29" spans="1:15">
      <c r="A29" s="273"/>
      <c r="B29" s="203" t="s">
        <v>684</v>
      </c>
      <c r="C29" s="265"/>
      <c r="F29" s="202" t="s">
        <v>817</v>
      </c>
      <c r="G29" s="202" t="s">
        <v>817</v>
      </c>
      <c r="H29" s="202" t="s">
        <v>817</v>
      </c>
      <c r="I29" s="202" t="s">
        <v>817</v>
      </c>
      <c r="J29" s="202" t="s">
        <v>817</v>
      </c>
      <c r="K29" s="202" t="s">
        <v>817</v>
      </c>
      <c r="L29" s="202" t="s">
        <v>817</v>
      </c>
      <c r="M29" s="202" t="s">
        <v>817</v>
      </c>
      <c r="N29" s="202" t="s">
        <v>817</v>
      </c>
      <c r="O29" s="202" t="s">
        <v>817</v>
      </c>
    </row>
    <row r="30" spans="1:15">
      <c r="A30" s="273"/>
      <c r="B30" s="203" t="s">
        <v>685</v>
      </c>
      <c r="C30" s="265"/>
      <c r="F30" s="202" t="s">
        <v>817</v>
      </c>
      <c r="G30" s="202" t="s">
        <v>817</v>
      </c>
      <c r="H30" s="202" t="s">
        <v>817</v>
      </c>
      <c r="I30" s="202" t="s">
        <v>817</v>
      </c>
      <c r="J30" s="202" t="s">
        <v>817</v>
      </c>
      <c r="K30" s="202" t="s">
        <v>817</v>
      </c>
      <c r="L30" s="202" t="s">
        <v>817</v>
      </c>
      <c r="M30" s="202" t="s">
        <v>817</v>
      </c>
      <c r="N30" s="202" t="s">
        <v>817</v>
      </c>
      <c r="O30" s="202" t="s">
        <v>817</v>
      </c>
    </row>
    <row r="31" spans="1:15">
      <c r="A31" s="273"/>
      <c r="B31" s="203" t="s">
        <v>686</v>
      </c>
      <c r="C31" s="212"/>
      <c r="F31" s="202">
        <v>8513.0965510803799</v>
      </c>
      <c r="G31" s="202">
        <v>2.6102476047530399</v>
      </c>
      <c r="H31" s="202">
        <v>65.256190118825998</v>
      </c>
      <c r="I31" s="202">
        <v>2.4927831210492899</v>
      </c>
      <c r="J31" s="202">
        <v>742.84937007268798</v>
      </c>
      <c r="K31" s="202">
        <v>0</v>
      </c>
      <c r="L31" s="202">
        <v>0</v>
      </c>
      <c r="M31" s="202">
        <v>0</v>
      </c>
      <c r="N31" s="202">
        <v>0</v>
      </c>
      <c r="O31" s="202">
        <v>9321.2021112718994</v>
      </c>
    </row>
    <row r="32" spans="1:15" s="205" customFormat="1" ht="12">
      <c r="A32" s="266"/>
      <c r="B32" s="265"/>
      <c r="C32" s="212" t="s">
        <v>687</v>
      </c>
      <c r="F32" s="206">
        <v>3118.3021694572799</v>
      </c>
      <c r="G32" s="206">
        <v>0.18770230777956901</v>
      </c>
      <c r="H32" s="206">
        <v>4.6925576944892304</v>
      </c>
      <c r="I32" s="206">
        <v>1.2029134873586</v>
      </c>
      <c r="J32" s="206">
        <v>358.46821923286399</v>
      </c>
      <c r="K32" s="206">
        <v>0</v>
      </c>
      <c r="L32" s="206">
        <v>0</v>
      </c>
      <c r="M32" s="206">
        <v>0</v>
      </c>
      <c r="N32" s="206">
        <v>0</v>
      </c>
      <c r="O32" s="206">
        <v>3481.46294638463</v>
      </c>
    </row>
    <row r="33" spans="1:15" s="205" customFormat="1" ht="12">
      <c r="A33" s="266"/>
      <c r="B33" s="265"/>
      <c r="C33" s="212" t="s">
        <v>688</v>
      </c>
      <c r="F33" s="206">
        <v>267.50200764184399</v>
      </c>
      <c r="G33" s="206">
        <v>0.153037759699649</v>
      </c>
      <c r="H33" s="206">
        <v>3.82594399249122</v>
      </c>
      <c r="I33" s="206">
        <v>6.2870520970086705E-2</v>
      </c>
      <c r="J33" s="206">
        <v>18.735415249085801</v>
      </c>
      <c r="K33" s="206">
        <v>0</v>
      </c>
      <c r="L33" s="206">
        <v>0</v>
      </c>
      <c r="M33" s="206">
        <v>0</v>
      </c>
      <c r="N33" s="206">
        <v>0</v>
      </c>
      <c r="O33" s="206">
        <v>290.063366883421</v>
      </c>
    </row>
    <row r="34" spans="1:15" s="205" customFormat="1" ht="12">
      <c r="A34" s="266"/>
      <c r="B34" s="265"/>
      <c r="C34" s="212" t="s">
        <v>689</v>
      </c>
      <c r="F34" s="206">
        <v>3051.3684729650399</v>
      </c>
      <c r="G34" s="206">
        <v>0.234681112684622</v>
      </c>
      <c r="H34" s="206">
        <v>5.8670278171155603</v>
      </c>
      <c r="I34" s="206">
        <v>1.13940170916491</v>
      </c>
      <c r="J34" s="206">
        <v>339.54170933114199</v>
      </c>
      <c r="K34" s="206">
        <v>0</v>
      </c>
      <c r="L34" s="206">
        <v>0</v>
      </c>
      <c r="M34" s="206">
        <v>0</v>
      </c>
      <c r="N34" s="206">
        <v>0</v>
      </c>
      <c r="O34" s="206">
        <v>3396.7772101133</v>
      </c>
    </row>
    <row r="35" spans="1:15" s="205" customFormat="1" ht="12">
      <c r="A35" s="266"/>
      <c r="B35" s="265"/>
      <c r="C35" s="212" t="s">
        <v>690</v>
      </c>
      <c r="F35" s="206">
        <v>101.164092745331</v>
      </c>
      <c r="G35" s="206">
        <v>0.10025347603399599</v>
      </c>
      <c r="H35" s="206">
        <v>2.5063369008499001</v>
      </c>
      <c r="I35" s="206">
        <v>8.4038697379098196E-3</v>
      </c>
      <c r="J35" s="206">
        <v>2.5043531818971299</v>
      </c>
      <c r="K35" s="206">
        <v>0</v>
      </c>
      <c r="L35" s="206">
        <v>0</v>
      </c>
      <c r="M35" s="206">
        <v>0</v>
      </c>
      <c r="N35" s="206">
        <v>0</v>
      </c>
      <c r="O35" s="206">
        <v>106.17478282807799</v>
      </c>
    </row>
    <row r="36" spans="1:15" s="205" customFormat="1" ht="12">
      <c r="A36" s="266"/>
      <c r="B36" s="265"/>
      <c r="C36" s="212" t="s">
        <v>691</v>
      </c>
      <c r="F36" s="206">
        <v>458.26980827088499</v>
      </c>
      <c r="G36" s="206">
        <v>0.452864598555202</v>
      </c>
      <c r="H36" s="206">
        <v>11.3216149638801</v>
      </c>
      <c r="I36" s="206">
        <v>3.8518533817780497E-2</v>
      </c>
      <c r="J36" s="206">
        <v>11.4785230776986</v>
      </c>
      <c r="K36" s="206">
        <v>0</v>
      </c>
      <c r="L36" s="206">
        <v>0</v>
      </c>
      <c r="M36" s="206">
        <v>0</v>
      </c>
      <c r="N36" s="206">
        <v>0</v>
      </c>
      <c r="O36" s="206">
        <v>481.06994631246403</v>
      </c>
    </row>
    <row r="37" spans="1:15" s="205" customFormat="1" ht="12">
      <c r="A37" s="266"/>
      <c r="B37" s="265"/>
      <c r="C37" s="212" t="s">
        <v>692</v>
      </c>
      <c r="D37" s="207"/>
      <c r="E37" s="207"/>
      <c r="F37" s="206">
        <v>1516.49</v>
      </c>
      <c r="G37" s="206">
        <v>1.4817083499999999</v>
      </c>
      <c r="H37" s="206">
        <v>37.042708750000003</v>
      </c>
      <c r="I37" s="206">
        <v>4.0675000000000003E-2</v>
      </c>
      <c r="J37" s="206">
        <v>12.12115</v>
      </c>
      <c r="K37" s="208">
        <v>0</v>
      </c>
      <c r="L37" s="208">
        <v>0</v>
      </c>
      <c r="M37" s="208">
        <v>0</v>
      </c>
      <c r="N37" s="208">
        <v>0</v>
      </c>
      <c r="O37" s="206">
        <v>1565.6538587499999</v>
      </c>
    </row>
    <row r="38" spans="1:15">
      <c r="A38" s="249" t="s">
        <v>693</v>
      </c>
      <c r="B38" s="248" t="s">
        <v>694</v>
      </c>
      <c r="C38" s="272"/>
      <c r="D38" s="225"/>
      <c r="E38" s="225"/>
      <c r="F38" s="218">
        <v>7623.1213936703598</v>
      </c>
      <c r="G38" s="218">
        <v>1065.8205274833999</v>
      </c>
      <c r="H38" s="218">
        <v>26645.513187084998</v>
      </c>
      <c r="I38" s="218">
        <v>5.8083677898841203E-2</v>
      </c>
      <c r="J38" s="218">
        <v>17.308936013854701</v>
      </c>
      <c r="K38" s="218">
        <v>0</v>
      </c>
      <c r="L38" s="218">
        <v>0</v>
      </c>
      <c r="M38" s="218">
        <v>0</v>
      </c>
      <c r="N38" s="218">
        <v>0</v>
      </c>
      <c r="O38" s="218">
        <v>34285.943516769199</v>
      </c>
    </row>
    <row r="39" spans="1:15">
      <c r="A39" s="271"/>
      <c r="B39" s="201" t="s">
        <v>695</v>
      </c>
      <c r="C39" s="269"/>
      <c r="D39" s="225"/>
      <c r="E39" s="225"/>
      <c r="F39" s="211">
        <v>0</v>
      </c>
      <c r="G39" s="211">
        <v>13.5292491774268</v>
      </c>
      <c r="H39" s="211">
        <v>338.23122943567103</v>
      </c>
      <c r="I39" s="211">
        <v>0</v>
      </c>
      <c r="J39" s="211">
        <v>0</v>
      </c>
      <c r="K39" s="211">
        <v>0</v>
      </c>
      <c r="L39" s="211">
        <v>0</v>
      </c>
      <c r="M39" s="211">
        <v>0</v>
      </c>
      <c r="N39" s="211">
        <v>0</v>
      </c>
      <c r="O39" s="211">
        <v>338.23122943567103</v>
      </c>
    </row>
    <row r="40" spans="1:15">
      <c r="A40" s="271"/>
      <c r="B40" s="270" t="s">
        <v>696</v>
      </c>
      <c r="C40" s="269"/>
      <c r="D40" s="225"/>
      <c r="E40" s="225"/>
      <c r="F40" s="211">
        <v>7623.1213936703598</v>
      </c>
      <c r="G40" s="211">
        <v>1052.2912783059701</v>
      </c>
      <c r="H40" s="211">
        <v>26307.281957649298</v>
      </c>
      <c r="I40" s="211">
        <v>5.8083677898841203E-2</v>
      </c>
      <c r="J40" s="211">
        <v>17.308936013854701</v>
      </c>
      <c r="K40" s="211">
        <v>0</v>
      </c>
      <c r="L40" s="211">
        <v>0</v>
      </c>
      <c r="M40" s="211">
        <v>0</v>
      </c>
      <c r="N40" s="211">
        <v>0</v>
      </c>
      <c r="O40" s="211">
        <v>33947.712287333597</v>
      </c>
    </row>
    <row r="41" spans="1:15">
      <c r="A41" s="213" t="s">
        <v>697</v>
      </c>
      <c r="B41" s="214" t="s">
        <v>698</v>
      </c>
      <c r="C41" s="214"/>
      <c r="D41" s="215"/>
      <c r="E41" s="215"/>
      <c r="F41" s="216">
        <v>0</v>
      </c>
      <c r="G41" s="216">
        <v>0</v>
      </c>
      <c r="H41" s="216">
        <v>0</v>
      </c>
      <c r="I41" s="216">
        <v>0</v>
      </c>
      <c r="J41" s="216">
        <v>0</v>
      </c>
      <c r="K41" s="216">
        <v>0</v>
      </c>
      <c r="L41" s="216">
        <v>0</v>
      </c>
      <c r="M41" s="216">
        <v>0</v>
      </c>
      <c r="N41" s="216">
        <v>0</v>
      </c>
      <c r="O41" s="216">
        <v>0</v>
      </c>
    </row>
    <row r="42" spans="1:15">
      <c r="A42" s="217" t="s">
        <v>699</v>
      </c>
      <c r="B42" s="251"/>
      <c r="C42" s="250"/>
      <c r="F42" s="198">
        <v>7983.1904366481403</v>
      </c>
      <c r="G42" s="198">
        <v>1.3488524770008501</v>
      </c>
      <c r="H42" s="198">
        <v>33.721311925021197</v>
      </c>
      <c r="I42" s="198">
        <v>3.38758440260859</v>
      </c>
      <c r="J42" s="198">
        <v>1009.50015197736</v>
      </c>
      <c r="K42" s="198">
        <v>990.30330699524404</v>
      </c>
      <c r="L42" s="198">
        <v>0.98130371721880505</v>
      </c>
      <c r="M42" s="198">
        <v>2.16151109435889</v>
      </c>
      <c r="N42" s="198">
        <v>0</v>
      </c>
      <c r="O42" s="198">
        <v>10019.858022357301</v>
      </c>
    </row>
    <row r="43" spans="1:15">
      <c r="A43" s="262" t="s">
        <v>663</v>
      </c>
      <c r="B43" s="261" t="s">
        <v>700</v>
      </c>
      <c r="C43" s="261"/>
      <c r="F43" s="199">
        <v>1093.17163446468</v>
      </c>
      <c r="G43" s="199">
        <v>0</v>
      </c>
      <c r="H43" s="199">
        <v>0</v>
      </c>
      <c r="I43" s="199">
        <v>0</v>
      </c>
      <c r="J43" s="199">
        <v>0</v>
      </c>
      <c r="K43" s="199">
        <v>0</v>
      </c>
      <c r="L43" s="199">
        <v>0</v>
      </c>
      <c r="M43" s="199">
        <v>0</v>
      </c>
      <c r="N43" s="199">
        <v>0</v>
      </c>
      <c r="O43" s="199">
        <v>1093.17163446468</v>
      </c>
    </row>
    <row r="44" spans="1:15" s="205" customFormat="1" ht="12">
      <c r="A44" s="266"/>
      <c r="B44" s="268"/>
      <c r="C44" s="212" t="s">
        <v>501</v>
      </c>
      <c r="F44" s="206">
        <v>826.86580357985997</v>
      </c>
      <c r="G44" s="206">
        <v>0</v>
      </c>
      <c r="H44" s="206">
        <v>0</v>
      </c>
      <c r="I44" s="206">
        <v>0</v>
      </c>
      <c r="J44" s="206">
        <v>0</v>
      </c>
      <c r="K44" s="206">
        <v>0</v>
      </c>
      <c r="L44" s="206">
        <v>0</v>
      </c>
      <c r="M44" s="206">
        <v>0</v>
      </c>
      <c r="N44" s="206">
        <v>0</v>
      </c>
      <c r="O44" s="206">
        <v>826.86580357985997</v>
      </c>
    </row>
    <row r="45" spans="1:15" s="205" customFormat="1" ht="12">
      <c r="A45" s="266"/>
      <c r="B45" s="268"/>
      <c r="C45" s="212" t="s">
        <v>183</v>
      </c>
      <c r="F45" s="206">
        <v>91.368885739818296</v>
      </c>
      <c r="G45" s="206">
        <v>0</v>
      </c>
      <c r="H45" s="206">
        <v>0</v>
      </c>
      <c r="I45" s="206">
        <v>0</v>
      </c>
      <c r="J45" s="206">
        <v>0</v>
      </c>
      <c r="K45" s="206">
        <v>0</v>
      </c>
      <c r="L45" s="206">
        <v>0</v>
      </c>
      <c r="M45" s="206">
        <v>0</v>
      </c>
      <c r="N45" s="206">
        <v>0</v>
      </c>
      <c r="O45" s="206">
        <v>91.368885739818296</v>
      </c>
    </row>
    <row r="46" spans="1:15" s="205" customFormat="1" ht="12">
      <c r="A46" s="266"/>
      <c r="B46" s="268"/>
      <c r="C46" s="212" t="s">
        <v>824</v>
      </c>
      <c r="F46" s="206">
        <v>174.936945144997</v>
      </c>
      <c r="G46" s="206">
        <v>0</v>
      </c>
      <c r="H46" s="206">
        <v>0</v>
      </c>
      <c r="I46" s="206">
        <v>0</v>
      </c>
      <c r="J46" s="206">
        <v>0</v>
      </c>
      <c r="K46" s="206">
        <v>0</v>
      </c>
      <c r="L46" s="206">
        <v>0</v>
      </c>
      <c r="M46" s="206">
        <v>0</v>
      </c>
      <c r="N46" s="206">
        <v>0</v>
      </c>
      <c r="O46" s="206">
        <v>174.936945144997</v>
      </c>
    </row>
    <row r="47" spans="1:15" s="267" customFormat="1">
      <c r="A47" s="262" t="s">
        <v>673</v>
      </c>
      <c r="B47" s="261" t="s">
        <v>823</v>
      </c>
      <c r="C47" s="261"/>
      <c r="F47" s="199">
        <v>0</v>
      </c>
      <c r="G47" s="199">
        <v>0</v>
      </c>
      <c r="H47" s="218">
        <v>0</v>
      </c>
      <c r="I47" s="199">
        <v>0</v>
      </c>
      <c r="J47" s="199">
        <v>0</v>
      </c>
      <c r="K47" s="199">
        <v>0</v>
      </c>
      <c r="L47" s="199">
        <v>0</v>
      </c>
      <c r="M47" s="199">
        <v>0</v>
      </c>
      <c r="N47" s="199">
        <v>0</v>
      </c>
      <c r="O47" s="199">
        <v>0</v>
      </c>
    </row>
    <row r="48" spans="1:15" s="205" customFormat="1" ht="12">
      <c r="A48" s="266"/>
      <c r="B48" s="268"/>
      <c r="C48" s="212" t="s">
        <v>702</v>
      </c>
      <c r="F48" s="206">
        <v>0</v>
      </c>
      <c r="G48" s="206">
        <v>0</v>
      </c>
      <c r="H48" s="206">
        <v>0</v>
      </c>
      <c r="I48" s="206">
        <v>0</v>
      </c>
      <c r="J48" s="206">
        <v>0</v>
      </c>
      <c r="K48" s="206">
        <v>0</v>
      </c>
      <c r="L48" s="206">
        <v>0</v>
      </c>
      <c r="M48" s="206">
        <v>0</v>
      </c>
      <c r="N48" s="206">
        <v>0</v>
      </c>
      <c r="O48" s="206">
        <v>0</v>
      </c>
    </row>
    <row r="49" spans="1:15" s="267" customFormat="1">
      <c r="A49" s="262" t="s">
        <v>693</v>
      </c>
      <c r="B49" s="261" t="s">
        <v>704</v>
      </c>
      <c r="C49" s="261"/>
      <c r="F49" s="199">
        <v>0</v>
      </c>
      <c r="G49" s="199">
        <v>0</v>
      </c>
      <c r="H49" s="199">
        <v>0</v>
      </c>
      <c r="I49" s="199">
        <v>0</v>
      </c>
      <c r="J49" s="199">
        <v>0</v>
      </c>
      <c r="K49" s="199">
        <v>0</v>
      </c>
      <c r="L49" s="218">
        <v>0</v>
      </c>
      <c r="M49" s="218">
        <v>0</v>
      </c>
      <c r="N49" s="199">
        <v>0</v>
      </c>
      <c r="O49" s="199">
        <v>0</v>
      </c>
    </row>
    <row r="50" spans="1:15" s="205" customFormat="1" ht="12">
      <c r="A50" s="266"/>
      <c r="B50" s="265"/>
      <c r="C50" s="265" t="s">
        <v>705</v>
      </c>
      <c r="F50" s="206">
        <v>0</v>
      </c>
      <c r="G50" s="206">
        <v>0</v>
      </c>
      <c r="H50" s="206">
        <v>0</v>
      </c>
      <c r="I50" s="206">
        <v>0</v>
      </c>
      <c r="J50" s="206">
        <v>0</v>
      </c>
      <c r="K50" s="206">
        <v>0</v>
      </c>
      <c r="L50" s="219">
        <v>0</v>
      </c>
      <c r="M50" s="219">
        <v>0</v>
      </c>
      <c r="N50" s="206">
        <v>0</v>
      </c>
      <c r="O50" s="206">
        <v>0</v>
      </c>
    </row>
    <row r="51" spans="1:15" s="205" customFormat="1" ht="12">
      <c r="A51" s="266"/>
      <c r="B51" s="265"/>
      <c r="C51" s="265" t="s">
        <v>244</v>
      </c>
      <c r="F51" s="206">
        <v>0</v>
      </c>
      <c r="G51" s="206">
        <v>0</v>
      </c>
      <c r="H51" s="206">
        <v>0</v>
      </c>
      <c r="I51" s="206">
        <v>0</v>
      </c>
      <c r="J51" s="206">
        <v>0</v>
      </c>
      <c r="K51" s="206">
        <v>0</v>
      </c>
      <c r="L51" s="219">
        <v>0</v>
      </c>
      <c r="M51" s="219">
        <v>0</v>
      </c>
      <c r="N51" s="206">
        <v>0</v>
      </c>
      <c r="O51" s="206">
        <v>0</v>
      </c>
    </row>
    <row r="52" spans="1:15" s="205" customFormat="1" ht="12">
      <c r="A52" s="258"/>
      <c r="B52" s="257"/>
      <c r="C52" s="257" t="s">
        <v>706</v>
      </c>
      <c r="D52" s="207"/>
      <c r="E52" s="207"/>
      <c r="F52" s="208">
        <v>0</v>
      </c>
      <c r="G52" s="208">
        <v>0</v>
      </c>
      <c r="H52" s="208">
        <v>0</v>
      </c>
      <c r="I52" s="208">
        <v>0</v>
      </c>
      <c r="J52" s="208">
        <v>0</v>
      </c>
      <c r="K52" s="208">
        <v>0</v>
      </c>
      <c r="L52" s="219">
        <v>0</v>
      </c>
      <c r="M52" s="219">
        <v>0</v>
      </c>
      <c r="N52" s="208">
        <v>0</v>
      </c>
      <c r="O52" s="208">
        <v>0</v>
      </c>
    </row>
    <row r="53" spans="1:15">
      <c r="A53" s="220" t="s">
        <v>697</v>
      </c>
      <c r="B53" s="221" t="s">
        <v>707</v>
      </c>
      <c r="C53" s="248"/>
      <c r="D53" s="225"/>
      <c r="E53" s="225"/>
      <c r="F53" s="211">
        <v>0</v>
      </c>
      <c r="G53" s="211">
        <v>0</v>
      </c>
      <c r="H53" s="211">
        <v>0</v>
      </c>
      <c r="I53" s="211">
        <v>0</v>
      </c>
      <c r="J53" s="211">
        <v>0</v>
      </c>
      <c r="K53" s="211">
        <v>990.30330699524404</v>
      </c>
      <c r="L53" s="211">
        <v>0.66207106357881895</v>
      </c>
      <c r="M53" s="211">
        <v>4.1111094358894901E-2</v>
      </c>
      <c r="N53" s="211">
        <v>0</v>
      </c>
      <c r="O53" s="211">
        <v>991.00648915318197</v>
      </c>
    </row>
    <row r="54" spans="1:15">
      <c r="A54" s="220" t="s">
        <v>708</v>
      </c>
      <c r="B54" s="221" t="s">
        <v>709</v>
      </c>
      <c r="C54" s="248"/>
      <c r="D54" s="225"/>
      <c r="E54" s="225"/>
      <c r="F54" s="211">
        <v>6889.9285635414299</v>
      </c>
      <c r="G54" s="211">
        <v>1.3488524770008501</v>
      </c>
      <c r="H54" s="211">
        <v>33.721311925021197</v>
      </c>
      <c r="I54" s="211">
        <v>3.29565468741019</v>
      </c>
      <c r="J54" s="211">
        <v>982.10509684823705</v>
      </c>
      <c r="K54" s="211">
        <v>0</v>
      </c>
      <c r="L54" s="211">
        <v>0</v>
      </c>
      <c r="M54" s="211">
        <v>0</v>
      </c>
      <c r="N54" s="211">
        <v>0</v>
      </c>
      <c r="O54" s="211">
        <v>7905.7549723146903</v>
      </c>
    </row>
    <row r="55" spans="1:15">
      <c r="A55" s="213" t="s">
        <v>710</v>
      </c>
      <c r="B55" s="214" t="s">
        <v>711</v>
      </c>
      <c r="C55" s="264"/>
      <c r="D55" s="253"/>
      <c r="E55" s="253"/>
      <c r="F55" s="252">
        <v>9.0238642035116001E-2</v>
      </c>
      <c r="G55" s="252">
        <v>0</v>
      </c>
      <c r="H55" s="252">
        <v>0</v>
      </c>
      <c r="I55" s="252">
        <v>9.1929715198403497E-2</v>
      </c>
      <c r="J55" s="252">
        <v>27.395055129124199</v>
      </c>
      <c r="K55" s="252">
        <v>0</v>
      </c>
      <c r="L55" s="252">
        <v>0.31923265363998599</v>
      </c>
      <c r="M55" s="252">
        <v>2.1204000000000001</v>
      </c>
      <c r="N55" s="252">
        <v>0</v>
      </c>
      <c r="O55" s="252">
        <v>29.924926424799299</v>
      </c>
    </row>
    <row r="56" spans="1:15">
      <c r="A56" s="251" t="s">
        <v>712</v>
      </c>
      <c r="B56" s="250"/>
      <c r="C56" s="250"/>
      <c r="F56" s="223">
        <v>564.59333333333302</v>
      </c>
      <c r="G56" s="223">
        <v>436.32073496447703</v>
      </c>
      <c r="H56" s="223">
        <v>10908.0183741119</v>
      </c>
      <c r="I56" s="388">
        <v>20.0303181723237</v>
      </c>
      <c r="J56" s="223">
        <v>5969.0348153524501</v>
      </c>
      <c r="K56" s="198">
        <v>0</v>
      </c>
      <c r="L56" s="198">
        <v>0</v>
      </c>
      <c r="M56" s="198">
        <v>0</v>
      </c>
      <c r="N56" s="198">
        <v>0</v>
      </c>
      <c r="O56" s="198">
        <v>17441.646522797699</v>
      </c>
    </row>
    <row r="57" spans="1:15">
      <c r="A57" s="262" t="s">
        <v>663</v>
      </c>
      <c r="B57" s="261" t="s">
        <v>27</v>
      </c>
      <c r="C57" s="261"/>
      <c r="F57" s="211">
        <v>0</v>
      </c>
      <c r="G57" s="211">
        <v>406.92128616859202</v>
      </c>
      <c r="H57" s="211">
        <v>10173.032154214799</v>
      </c>
      <c r="I57" s="211">
        <v>0</v>
      </c>
      <c r="J57" s="211">
        <v>0</v>
      </c>
      <c r="K57" s="202">
        <v>0</v>
      </c>
      <c r="L57" s="202">
        <v>0</v>
      </c>
      <c r="M57" s="202">
        <v>0</v>
      </c>
      <c r="N57" s="202">
        <v>0</v>
      </c>
      <c r="O57" s="202">
        <v>10173.032154214799</v>
      </c>
    </row>
    <row r="58" spans="1:15">
      <c r="A58" s="262" t="s">
        <v>673</v>
      </c>
      <c r="B58" s="261" t="s">
        <v>28</v>
      </c>
      <c r="C58" s="261"/>
      <c r="F58" s="211">
        <v>0</v>
      </c>
      <c r="G58" s="211">
        <v>29.387413701238401</v>
      </c>
      <c r="H58" s="211">
        <v>734.68534253095902</v>
      </c>
      <c r="I58" s="211">
        <v>5.0866959265955503</v>
      </c>
      <c r="J58" s="211">
        <v>1515.83538612547</v>
      </c>
      <c r="K58" s="202">
        <v>0</v>
      </c>
      <c r="L58" s="202">
        <v>0</v>
      </c>
      <c r="M58" s="202">
        <v>0</v>
      </c>
      <c r="N58" s="202">
        <v>0</v>
      </c>
      <c r="O58" s="202">
        <v>2250.52072865643</v>
      </c>
    </row>
    <row r="59" spans="1:15">
      <c r="A59" s="262" t="s">
        <v>693</v>
      </c>
      <c r="B59" s="261" t="s">
        <v>713</v>
      </c>
      <c r="C59" s="261"/>
      <c r="F59" s="202">
        <v>0</v>
      </c>
      <c r="G59" s="202">
        <v>0</v>
      </c>
      <c r="H59" s="202">
        <v>0</v>
      </c>
      <c r="I59" s="202">
        <v>14.9433102247558</v>
      </c>
      <c r="J59" s="202">
        <v>4453.10644697723</v>
      </c>
      <c r="K59" s="199">
        <v>0</v>
      </c>
      <c r="L59" s="199">
        <v>0</v>
      </c>
      <c r="M59" s="199">
        <v>0</v>
      </c>
      <c r="N59" s="199">
        <v>0</v>
      </c>
      <c r="O59" s="199">
        <v>4453.10644697723</v>
      </c>
    </row>
    <row r="60" spans="1:15" s="205" customFormat="1" ht="12">
      <c r="A60" s="260"/>
      <c r="B60" s="259"/>
      <c r="C60" s="257" t="s">
        <v>714</v>
      </c>
      <c r="F60" s="208">
        <v>0</v>
      </c>
      <c r="G60" s="208">
        <v>0</v>
      </c>
      <c r="H60" s="208">
        <v>0</v>
      </c>
      <c r="I60" s="208">
        <v>11.9411421793234</v>
      </c>
      <c r="J60" s="208">
        <v>3558.46036943839</v>
      </c>
      <c r="K60" s="206">
        <v>0</v>
      </c>
      <c r="L60" s="206">
        <v>0</v>
      </c>
      <c r="M60" s="206">
        <v>0</v>
      </c>
      <c r="N60" s="206">
        <v>0</v>
      </c>
      <c r="O60" s="206">
        <v>3558.46036943839</v>
      </c>
    </row>
    <row r="61" spans="1:15" s="205" customFormat="1" ht="12">
      <c r="A61" s="258"/>
      <c r="B61" s="257"/>
      <c r="C61" s="257" t="s">
        <v>715</v>
      </c>
      <c r="D61" s="207"/>
      <c r="E61" s="207"/>
      <c r="F61" s="208">
        <v>0</v>
      </c>
      <c r="G61" s="208">
        <v>0</v>
      </c>
      <c r="H61" s="208">
        <v>0</v>
      </c>
      <c r="I61" s="208">
        <v>3.00216804543237</v>
      </c>
      <c r="J61" s="208">
        <v>894.64607753884502</v>
      </c>
      <c r="K61" s="208">
        <v>0</v>
      </c>
      <c r="L61" s="208">
        <v>0</v>
      </c>
      <c r="M61" s="208">
        <v>0</v>
      </c>
      <c r="N61" s="208">
        <v>0</v>
      </c>
      <c r="O61" s="208">
        <v>894.64607753884502</v>
      </c>
    </row>
    <row r="62" spans="1:15" s="204" customFormat="1" ht="13">
      <c r="A62" s="249" t="s">
        <v>697</v>
      </c>
      <c r="B62" s="248" t="s">
        <v>185</v>
      </c>
      <c r="C62" s="256"/>
      <c r="D62" s="210"/>
      <c r="E62" s="210"/>
      <c r="F62" s="211">
        <v>0</v>
      </c>
      <c r="G62" s="211">
        <v>1.20350946461538E-2</v>
      </c>
      <c r="H62" s="211">
        <v>0.30087736615384603</v>
      </c>
      <c r="I62" s="211">
        <v>3.1202097230769203E-4</v>
      </c>
      <c r="J62" s="211">
        <v>9.29822497476923E-2</v>
      </c>
      <c r="K62" s="211">
        <v>0</v>
      </c>
      <c r="L62" s="211">
        <v>0</v>
      </c>
      <c r="M62" s="211">
        <v>0</v>
      </c>
      <c r="N62" s="211">
        <v>0</v>
      </c>
      <c r="O62" s="211">
        <v>0.39385961590153901</v>
      </c>
    </row>
    <row r="63" spans="1:15">
      <c r="A63" s="255" t="s">
        <v>708</v>
      </c>
      <c r="B63" s="214" t="s">
        <v>716</v>
      </c>
      <c r="C63" s="254"/>
      <c r="D63" s="253"/>
      <c r="E63" s="253"/>
      <c r="F63" s="222">
        <v>564.59333333333302</v>
      </c>
      <c r="G63" s="222">
        <v>0</v>
      </c>
      <c r="H63" s="222">
        <v>0</v>
      </c>
      <c r="I63" s="222">
        <v>0</v>
      </c>
      <c r="J63" s="222">
        <v>0</v>
      </c>
      <c r="K63" s="252">
        <v>0</v>
      </c>
      <c r="L63" s="252">
        <v>0</v>
      </c>
      <c r="M63" s="252">
        <v>0</v>
      </c>
      <c r="N63" s="252">
        <v>0</v>
      </c>
      <c r="O63" s="252">
        <v>564.59333333333302</v>
      </c>
    </row>
    <row r="64" spans="1:15">
      <c r="A64" s="251" t="s">
        <v>717</v>
      </c>
      <c r="B64" s="250"/>
      <c r="C64" s="250"/>
      <c r="F64" s="198">
        <v>6.5623579999999997</v>
      </c>
      <c r="G64" s="198">
        <v>73.340447400000002</v>
      </c>
      <c r="H64" s="198">
        <v>1833.5111850000001</v>
      </c>
      <c r="I64" s="198">
        <v>0.50396976999999998</v>
      </c>
      <c r="J64" s="198">
        <v>150.18299146000001</v>
      </c>
      <c r="K64" s="198">
        <v>0</v>
      </c>
      <c r="L64" s="198">
        <v>0</v>
      </c>
      <c r="M64" s="198">
        <v>0</v>
      </c>
      <c r="N64" s="198">
        <v>0</v>
      </c>
      <c r="O64" s="198">
        <v>1990.25653446</v>
      </c>
    </row>
    <row r="65" spans="1:31">
      <c r="A65" s="249" t="s">
        <v>663</v>
      </c>
      <c r="B65" s="248" t="s">
        <v>718</v>
      </c>
      <c r="C65" s="248"/>
      <c r="D65" s="225"/>
      <c r="E65" s="225"/>
      <c r="F65" s="211">
        <v>0</v>
      </c>
      <c r="G65" s="211">
        <v>67.496187579999997</v>
      </c>
      <c r="H65" s="211">
        <v>1687.4046894999999</v>
      </c>
      <c r="I65" s="211">
        <v>0</v>
      </c>
      <c r="J65" s="211">
        <v>0</v>
      </c>
      <c r="K65" s="211">
        <v>0</v>
      </c>
      <c r="L65" s="211">
        <v>0</v>
      </c>
      <c r="M65" s="211">
        <v>0</v>
      </c>
      <c r="N65" s="211">
        <v>0</v>
      </c>
      <c r="O65" s="211">
        <v>1687.4046894999999</v>
      </c>
    </row>
    <row r="66" spans="1:31">
      <c r="A66" s="249" t="s">
        <v>822</v>
      </c>
      <c r="B66" s="248" t="s">
        <v>719</v>
      </c>
      <c r="E66" s="225"/>
      <c r="F66" s="211">
        <v>0</v>
      </c>
      <c r="G66" s="211">
        <v>4.31650563</v>
      </c>
      <c r="H66" s="211">
        <v>107.91264074999999</v>
      </c>
      <c r="I66" s="211">
        <v>0.25899033999999999</v>
      </c>
      <c r="J66" s="211">
        <v>77.179121319999993</v>
      </c>
      <c r="K66" s="211">
        <v>0</v>
      </c>
      <c r="L66" s="211">
        <v>0</v>
      </c>
      <c r="M66" s="211">
        <v>0</v>
      </c>
      <c r="N66" s="211">
        <v>0</v>
      </c>
      <c r="O66" s="211">
        <v>185.09176206999999</v>
      </c>
    </row>
    <row r="67" spans="1:31">
      <c r="A67" s="249" t="s">
        <v>693</v>
      </c>
      <c r="B67" s="248" t="s">
        <v>720</v>
      </c>
      <c r="C67" s="248"/>
      <c r="D67" s="225"/>
      <c r="E67" s="225"/>
      <c r="F67" s="211">
        <v>0</v>
      </c>
      <c r="G67" s="211">
        <v>1.52726826</v>
      </c>
      <c r="H67" s="211">
        <v>38.181706499999997</v>
      </c>
      <c r="I67" s="211">
        <v>0.23583841999999999</v>
      </c>
      <c r="J67" s="211">
        <v>70.279849159999998</v>
      </c>
      <c r="K67" s="211">
        <v>0</v>
      </c>
      <c r="L67" s="211">
        <v>0</v>
      </c>
      <c r="M67" s="211">
        <v>0</v>
      </c>
      <c r="N67" s="211">
        <v>0</v>
      </c>
      <c r="O67" s="211">
        <v>108.46155566</v>
      </c>
    </row>
    <row r="68" spans="1:31">
      <c r="A68" s="247" t="s">
        <v>697</v>
      </c>
      <c r="B68" s="246" t="s">
        <v>721</v>
      </c>
      <c r="C68" s="246"/>
      <c r="D68" s="245"/>
      <c r="E68" s="245"/>
      <c r="F68" s="222">
        <v>6.5623579999999997</v>
      </c>
      <c r="G68" s="222">
        <v>4.8592999999999998E-4</v>
      </c>
      <c r="H68" s="222">
        <v>1.2148249999999999E-2</v>
      </c>
      <c r="I68" s="222">
        <v>9.1410099999999998E-3</v>
      </c>
      <c r="J68" s="222">
        <v>2.7240209800000001</v>
      </c>
      <c r="K68" s="222">
        <v>0</v>
      </c>
      <c r="L68" s="222">
        <v>0</v>
      </c>
      <c r="M68" s="222">
        <v>0</v>
      </c>
      <c r="N68" s="222">
        <v>0</v>
      </c>
      <c r="O68" s="222">
        <v>9.2985272299999995</v>
      </c>
    </row>
    <row r="69" spans="1:31" s="196" customFormat="1" ht="14"/>
    <row r="70" spans="1:31">
      <c r="A70" s="204" t="s">
        <v>248</v>
      </c>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row>
    <row r="71" spans="1:31" s="204" customFormat="1" ht="13">
      <c r="A71" s="204" t="s">
        <v>821</v>
      </c>
    </row>
    <row r="72" spans="1:31" s="204" customFormat="1" ht="15">
      <c r="A72" s="204" t="s">
        <v>918</v>
      </c>
    </row>
    <row r="73" spans="1:31" s="204" customFormat="1" ht="15">
      <c r="A73" s="204" t="s">
        <v>917</v>
      </c>
      <c r="F73" s="387"/>
      <c r="G73" s="387"/>
      <c r="H73" s="387"/>
      <c r="I73" s="387"/>
      <c r="J73" s="387"/>
      <c r="K73" s="387"/>
      <c r="L73" s="387"/>
      <c r="M73" s="387"/>
      <c r="N73" s="387"/>
      <c r="O73" s="387"/>
      <c r="P73" s="387"/>
      <c r="Q73" s="387"/>
      <c r="R73" s="387"/>
      <c r="S73" s="387"/>
      <c r="T73" s="387"/>
      <c r="U73" s="387"/>
      <c r="V73" s="387"/>
      <c r="W73" s="387"/>
      <c r="X73" s="387"/>
      <c r="Y73" s="387"/>
      <c r="Z73" s="387"/>
      <c r="AA73" s="387"/>
      <c r="AB73" s="387"/>
      <c r="AC73" s="387"/>
      <c r="AE73" s="386"/>
    </row>
    <row r="74" spans="1:31" s="204" customFormat="1" ht="13">
      <c r="A74" s="204" t="s">
        <v>722</v>
      </c>
    </row>
    <row r="75" spans="1:31" s="204" customFormat="1" ht="13">
      <c r="A75" s="204" t="s">
        <v>723</v>
      </c>
      <c r="B75" s="204" t="s">
        <v>724</v>
      </c>
    </row>
    <row r="76" spans="1:31" s="204" customFormat="1" ht="13">
      <c r="A76" s="385">
        <v>0</v>
      </c>
      <c r="B76" s="204" t="s">
        <v>725</v>
      </c>
    </row>
    <row r="77" spans="1:31" s="204" customFormat="1" ht="13">
      <c r="A77" s="204" t="s">
        <v>817</v>
      </c>
      <c r="B77" s="204" t="s">
        <v>816</v>
      </c>
    </row>
    <row r="78" spans="1:31" s="204" customFormat="1" ht="13">
      <c r="A78" s="204" t="s">
        <v>815</v>
      </c>
    </row>
    <row r="79" spans="1:31">
      <c r="A79" s="204" t="s">
        <v>916</v>
      </c>
      <c r="F79" s="383"/>
      <c r="G79" s="383"/>
      <c r="H79" s="383"/>
      <c r="I79" s="383"/>
      <c r="J79" s="383"/>
      <c r="K79" s="383"/>
      <c r="L79" s="383"/>
      <c r="M79" s="383"/>
      <c r="N79" s="383"/>
      <c r="O79" s="384"/>
      <c r="P79" s="383"/>
      <c r="R79" s="383"/>
      <c r="S79" s="383"/>
      <c r="T79" s="383"/>
      <c r="U79" s="383"/>
      <c r="V79" s="383"/>
      <c r="W79" s="383"/>
      <c r="X79" s="383"/>
      <c r="Y79" s="383"/>
      <c r="Z79" s="383"/>
      <c r="AA79" s="383"/>
      <c r="AB79" s="383"/>
      <c r="AC79" s="383"/>
      <c r="AE79" s="382"/>
    </row>
    <row r="80" spans="1:31">
      <c r="A80" s="381" t="s">
        <v>915</v>
      </c>
      <c r="B80" s="209"/>
      <c r="C80" s="209"/>
      <c r="D80" s="204"/>
      <c r="E80" s="380"/>
      <c r="F80" s="380"/>
      <c r="G80" s="224"/>
      <c r="H80" s="224"/>
      <c r="I80" s="224"/>
      <c r="J80" s="224"/>
      <c r="K80" s="224"/>
      <c r="L80" s="224"/>
      <c r="M80" s="224"/>
      <c r="N80" s="224"/>
      <c r="O80" s="224"/>
      <c r="P80" s="224"/>
      <c r="Q80" s="224"/>
      <c r="R80" s="224"/>
      <c r="S80" s="224"/>
      <c r="T80" s="224"/>
      <c r="U80" s="224"/>
      <c r="V80" s="224"/>
      <c r="W80" s="224"/>
      <c r="X80" s="224"/>
      <c r="Y80" s="224"/>
      <c r="Z80" s="224"/>
      <c r="AA80" s="224"/>
    </row>
    <row r="81" spans="1:27">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c r="AA81" s="224"/>
    </row>
  </sheetData>
  <hyperlinks>
    <hyperlink ref="A80" r:id="rId1" xr:uid="{00000000-0004-0000-2C00-000000000000}"/>
  </hyperlinks>
  <pageMargins left="0.70866141732283472" right="0.70866141732283472" top="0.74803149606299213" bottom="0.74803149606299213" header="0.31496062992125984" footer="0.31496062992125984"/>
  <pageSetup paperSize="5" scale="42"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4" tint="0.39997558519241921"/>
    <pageSetUpPr fitToPage="1"/>
  </sheetPr>
  <dimension ref="A1:AE81"/>
  <sheetViews>
    <sheetView zoomScale="80" zoomScaleNormal="80" workbookViewId="0">
      <pane xSplit="5" ySplit="7" topLeftCell="F29" activePane="bottomRight" state="frozen"/>
      <selection activeCell="A80" sqref="A80"/>
      <selection pane="topRight" activeCell="A80" sqref="A80"/>
      <selection pane="bottomLeft" activeCell="A80" sqref="A80"/>
      <selection pane="bottomRight" activeCell="M19" sqref="M19"/>
    </sheetView>
  </sheetViews>
  <sheetFormatPr baseColWidth="10" defaultColWidth="9.1640625" defaultRowHeight="16"/>
  <cols>
    <col min="1" max="1" width="4.5" style="197" customWidth="1"/>
    <col min="2" max="2" width="3.33203125" style="197" customWidth="1"/>
    <col min="3" max="3" width="52.5" style="197" customWidth="1"/>
    <col min="4" max="5" width="3.33203125" style="197" customWidth="1"/>
    <col min="6" max="15" width="16.5" style="197" customWidth="1"/>
    <col min="16" max="16384" width="9.1640625" style="197"/>
  </cols>
  <sheetData>
    <row r="1" spans="1:15" s="169" customFormat="1" ht="14">
      <c r="A1" s="280" t="s">
        <v>925</v>
      </c>
      <c r="B1" s="168"/>
      <c r="C1" s="168"/>
      <c r="D1" s="168"/>
      <c r="E1" s="168"/>
      <c r="F1" s="168"/>
      <c r="G1" s="168"/>
      <c r="H1" s="168"/>
      <c r="I1" s="168"/>
      <c r="J1" s="168"/>
      <c r="K1" s="168"/>
      <c r="L1" s="168"/>
      <c r="M1" s="168"/>
      <c r="N1" s="168"/>
      <c r="O1" s="168"/>
    </row>
    <row r="2" spans="1:15" s="169" customFormat="1" ht="14">
      <c r="B2" s="170"/>
      <c r="C2" s="170"/>
      <c r="D2" s="170"/>
      <c r="E2" s="170"/>
      <c r="F2" s="170"/>
      <c r="G2" s="170"/>
      <c r="H2" s="170"/>
      <c r="I2" s="170"/>
      <c r="J2" s="170"/>
      <c r="K2" s="170"/>
      <c r="L2" s="170"/>
      <c r="M2" s="170"/>
      <c r="N2" s="170"/>
      <c r="O2" s="170"/>
    </row>
    <row r="3" spans="1:15" s="169" customFormat="1" ht="14">
      <c r="B3" s="170"/>
      <c r="C3" s="170"/>
      <c r="D3" s="170"/>
      <c r="E3" s="170"/>
      <c r="F3" s="171" t="s">
        <v>651</v>
      </c>
      <c r="G3" s="172"/>
      <c r="H3" s="172"/>
      <c r="I3" s="172"/>
      <c r="J3" s="172"/>
      <c r="K3" s="172"/>
      <c r="L3" s="172"/>
      <c r="M3" s="172"/>
      <c r="N3" s="172"/>
      <c r="O3" s="172"/>
    </row>
    <row r="4" spans="1:15" s="169" customFormat="1" ht="15">
      <c r="A4" s="170"/>
      <c r="B4" s="170"/>
      <c r="C4" s="170"/>
      <c r="D4" s="170"/>
      <c r="E4" s="170"/>
      <c r="F4" s="173" t="s">
        <v>652</v>
      </c>
      <c r="G4" s="174" t="s">
        <v>653</v>
      </c>
      <c r="H4" s="174" t="s">
        <v>653</v>
      </c>
      <c r="I4" s="174" t="s">
        <v>654</v>
      </c>
      <c r="J4" s="174" t="s">
        <v>654</v>
      </c>
      <c r="K4" s="175" t="s">
        <v>827</v>
      </c>
      <c r="L4" s="175" t="s">
        <v>826</v>
      </c>
      <c r="M4" s="174" t="s">
        <v>655</v>
      </c>
      <c r="N4" s="176" t="s">
        <v>656</v>
      </c>
      <c r="O4" s="177" t="s">
        <v>657</v>
      </c>
    </row>
    <row r="5" spans="1:15" s="179" customFormat="1" ht="14">
      <c r="A5" s="178" t="s">
        <v>658</v>
      </c>
      <c r="B5" s="178"/>
      <c r="E5" s="180" t="s">
        <v>659</v>
      </c>
      <c r="F5" s="181"/>
      <c r="G5" s="182"/>
      <c r="H5" s="183">
        <v>25</v>
      </c>
      <c r="I5" s="184"/>
      <c r="J5" s="183">
        <v>298</v>
      </c>
      <c r="K5" s="185"/>
      <c r="L5" s="185"/>
      <c r="M5" s="186">
        <v>22800</v>
      </c>
      <c r="N5" s="186">
        <v>17200</v>
      </c>
      <c r="O5" s="187"/>
    </row>
    <row r="6" spans="1:15" s="188" customFormat="1" ht="14.25" customHeight="1">
      <c r="C6" s="189"/>
      <c r="D6" s="189"/>
      <c r="E6" s="190" t="s">
        <v>377</v>
      </c>
      <c r="F6" s="191" t="s">
        <v>660</v>
      </c>
      <c r="G6" s="191" t="s">
        <v>660</v>
      </c>
      <c r="H6" s="192" t="s">
        <v>661</v>
      </c>
      <c r="I6" s="193" t="s">
        <v>660</v>
      </c>
      <c r="J6" s="192" t="s">
        <v>661</v>
      </c>
      <c r="K6" s="192" t="s">
        <v>661</v>
      </c>
      <c r="L6" s="192" t="s">
        <v>661</v>
      </c>
      <c r="M6" s="192" t="s">
        <v>661</v>
      </c>
      <c r="N6" s="192" t="s">
        <v>661</v>
      </c>
      <c r="O6" s="192" t="s">
        <v>661</v>
      </c>
    </row>
    <row r="7" spans="1:15" s="196" customFormat="1" ht="15" thickBot="1">
      <c r="A7" s="279" t="s">
        <v>657</v>
      </c>
      <c r="B7" s="278"/>
      <c r="C7" s="277"/>
      <c r="D7" s="194"/>
      <c r="E7" s="194"/>
      <c r="F7" s="195">
        <v>188352.247324998</v>
      </c>
      <c r="G7" s="195">
        <v>1705.3020811291799</v>
      </c>
      <c r="H7" s="195">
        <v>42632.552028229402</v>
      </c>
      <c r="I7" s="195">
        <v>34.944358098212298</v>
      </c>
      <c r="J7" s="195">
        <v>10413.4187132673</v>
      </c>
      <c r="K7" s="195">
        <v>920.86953767818295</v>
      </c>
      <c r="L7" s="195">
        <v>1.24734818545514</v>
      </c>
      <c r="M7" s="195">
        <v>2.5670322071860201</v>
      </c>
      <c r="N7" s="195">
        <v>0</v>
      </c>
      <c r="O7" s="195">
        <v>242322.90198456601</v>
      </c>
    </row>
    <row r="8" spans="1:15" ht="17" thickTop="1">
      <c r="A8" s="251" t="s">
        <v>662</v>
      </c>
      <c r="B8" s="276"/>
      <c r="C8" s="276"/>
      <c r="F8" s="198">
        <v>179367.10242571801</v>
      </c>
      <c r="G8" s="198">
        <v>1164.3192912857501</v>
      </c>
      <c r="H8" s="198">
        <v>29107.982282143701</v>
      </c>
      <c r="I8" s="198">
        <v>8.4145086163537695</v>
      </c>
      <c r="J8" s="198">
        <v>2507.5235676734201</v>
      </c>
      <c r="K8" s="198">
        <v>0</v>
      </c>
      <c r="L8" s="198">
        <v>0</v>
      </c>
      <c r="M8" s="198">
        <v>0</v>
      </c>
      <c r="N8" s="198">
        <v>0</v>
      </c>
      <c r="O8" s="198">
        <v>210982.60827553499</v>
      </c>
    </row>
    <row r="9" spans="1:15">
      <c r="A9" s="262" t="s">
        <v>663</v>
      </c>
      <c r="B9" s="261" t="s">
        <v>664</v>
      </c>
      <c r="C9" s="261"/>
      <c r="F9" s="199">
        <v>134889.031373356</v>
      </c>
      <c r="G9" s="199">
        <v>65.086721109568899</v>
      </c>
      <c r="H9" s="199">
        <v>1627.16802773922</v>
      </c>
      <c r="I9" s="199">
        <v>2.8005117534741002</v>
      </c>
      <c r="J9" s="199">
        <v>834.55250253528197</v>
      </c>
      <c r="K9" s="199">
        <v>0</v>
      </c>
      <c r="L9" s="199">
        <v>0</v>
      </c>
      <c r="M9" s="199">
        <v>0</v>
      </c>
      <c r="N9" s="199">
        <v>0</v>
      </c>
      <c r="O9" s="199">
        <v>137350.75190363001</v>
      </c>
    </row>
    <row r="10" spans="1:15">
      <c r="A10" s="273"/>
      <c r="B10" s="201" t="s">
        <v>665</v>
      </c>
      <c r="C10" s="265"/>
      <c r="F10" s="202">
        <v>52553.020969026002</v>
      </c>
      <c r="G10" s="202">
        <v>2.0630239197538698</v>
      </c>
      <c r="H10" s="202">
        <v>51.575597993846699</v>
      </c>
      <c r="I10" s="202">
        <v>1.00784886412038</v>
      </c>
      <c r="J10" s="202">
        <v>300.33896150787399</v>
      </c>
      <c r="K10" s="202">
        <v>0</v>
      </c>
      <c r="L10" s="202">
        <v>0</v>
      </c>
      <c r="M10" s="202">
        <v>0</v>
      </c>
      <c r="N10" s="202">
        <v>0</v>
      </c>
      <c r="O10" s="202">
        <v>52904.935528527698</v>
      </c>
    </row>
    <row r="11" spans="1:15">
      <c r="A11" s="273"/>
      <c r="B11" s="203" t="s">
        <v>666</v>
      </c>
      <c r="C11" s="265"/>
      <c r="F11" s="202">
        <v>3292.1327558985599</v>
      </c>
      <c r="G11" s="202">
        <v>6.7620422037967906E-2</v>
      </c>
      <c r="H11" s="202">
        <v>1.6905105509492</v>
      </c>
      <c r="I11" s="202">
        <v>2.03425136476784E-2</v>
      </c>
      <c r="J11" s="202">
        <v>6.0620690670081503</v>
      </c>
      <c r="K11" s="202">
        <v>0</v>
      </c>
      <c r="L11" s="202">
        <v>0</v>
      </c>
      <c r="M11" s="202">
        <v>0</v>
      </c>
      <c r="N11" s="202">
        <v>0</v>
      </c>
      <c r="O11" s="202">
        <v>3299.8853355165202</v>
      </c>
    </row>
    <row r="12" spans="1:15">
      <c r="A12" s="273"/>
      <c r="B12" s="203" t="s">
        <v>667</v>
      </c>
      <c r="C12" s="275"/>
      <c r="F12" s="202">
        <v>55246.708713608299</v>
      </c>
      <c r="G12" s="202">
        <v>57.974622690706703</v>
      </c>
      <c r="H12" s="202">
        <v>1449.36556726767</v>
      </c>
      <c r="I12" s="202">
        <v>1.12481603169561</v>
      </c>
      <c r="J12" s="202">
        <v>335.19517744529202</v>
      </c>
      <c r="K12" s="202">
        <v>0</v>
      </c>
      <c r="L12" s="202">
        <v>0</v>
      </c>
      <c r="M12" s="202">
        <v>0</v>
      </c>
      <c r="N12" s="202">
        <v>0</v>
      </c>
      <c r="O12" s="202">
        <v>57031.269458321301</v>
      </c>
    </row>
    <row r="13" spans="1:15">
      <c r="A13" s="273"/>
      <c r="B13" s="203" t="s">
        <v>668</v>
      </c>
      <c r="C13" s="265"/>
      <c r="F13" s="202">
        <v>9005.8210073760292</v>
      </c>
      <c r="G13" s="202">
        <v>0.35650324022311802</v>
      </c>
      <c r="H13" s="202">
        <v>8.91258100557795</v>
      </c>
      <c r="I13" s="202">
        <v>0.29448499225185798</v>
      </c>
      <c r="J13" s="202">
        <v>87.756527691053506</v>
      </c>
      <c r="K13" s="202">
        <v>0</v>
      </c>
      <c r="L13" s="202">
        <v>0</v>
      </c>
      <c r="M13" s="202">
        <v>0</v>
      </c>
      <c r="N13" s="202">
        <v>0</v>
      </c>
      <c r="O13" s="202">
        <v>9102.4901160726604</v>
      </c>
    </row>
    <row r="14" spans="1:15">
      <c r="A14" s="273"/>
      <c r="B14" s="203" t="s">
        <v>670</v>
      </c>
      <c r="C14" s="274"/>
      <c r="F14" s="202">
        <v>149.66739999999999</v>
      </c>
      <c r="G14" s="202">
        <v>2.6293000000000002E-3</v>
      </c>
      <c r="H14" s="202">
        <v>6.5732499999999999E-2</v>
      </c>
      <c r="I14" s="202">
        <v>6.4523000000000002E-3</v>
      </c>
      <c r="J14" s="202">
        <v>1.9227854</v>
      </c>
      <c r="K14" s="202">
        <v>0</v>
      </c>
      <c r="L14" s="202">
        <v>0</v>
      </c>
      <c r="M14" s="202">
        <v>0</v>
      </c>
      <c r="N14" s="202">
        <v>0</v>
      </c>
      <c r="O14" s="202">
        <v>151.65591789999999</v>
      </c>
    </row>
    <row r="15" spans="1:15">
      <c r="A15" s="273"/>
      <c r="B15" s="203" t="s">
        <v>671</v>
      </c>
      <c r="C15" s="203"/>
      <c r="F15" s="202">
        <v>5606.3172574468899</v>
      </c>
      <c r="G15" s="202">
        <v>0.106493631327284</v>
      </c>
      <c r="H15" s="202">
        <v>2.6623407831821</v>
      </c>
      <c r="I15" s="202">
        <v>0.122446532667525</v>
      </c>
      <c r="J15" s="202">
        <v>36.489066734922503</v>
      </c>
      <c r="K15" s="202">
        <v>0</v>
      </c>
      <c r="L15" s="202">
        <v>0</v>
      </c>
      <c r="M15" s="202">
        <v>0</v>
      </c>
      <c r="N15" s="202">
        <v>0</v>
      </c>
      <c r="O15" s="202">
        <v>5645.4686649650002</v>
      </c>
    </row>
    <row r="16" spans="1:15">
      <c r="A16" s="273"/>
      <c r="B16" s="203" t="s">
        <v>175</v>
      </c>
      <c r="C16" s="203"/>
      <c r="F16" s="202">
        <v>8730.7643200000002</v>
      </c>
      <c r="G16" s="202">
        <v>4.5101049055199098</v>
      </c>
      <c r="H16" s="202">
        <v>112.752622637998</v>
      </c>
      <c r="I16" s="202">
        <v>0.217812119091046</v>
      </c>
      <c r="J16" s="202">
        <v>64.908011489131795</v>
      </c>
      <c r="K16" s="202">
        <v>0</v>
      </c>
      <c r="L16" s="202">
        <v>0</v>
      </c>
      <c r="M16" s="202">
        <v>0</v>
      </c>
      <c r="N16" s="202">
        <v>0</v>
      </c>
      <c r="O16" s="202">
        <v>8908.4249541271292</v>
      </c>
    </row>
    <row r="17" spans="1:15">
      <c r="A17" s="273"/>
      <c r="B17" s="203" t="s">
        <v>672</v>
      </c>
      <c r="C17" s="203"/>
      <c r="F17" s="202">
        <v>304.59895</v>
      </c>
      <c r="G17" s="202">
        <v>5.7229999999999998E-3</v>
      </c>
      <c r="H17" s="202">
        <v>0.14307500000000001</v>
      </c>
      <c r="I17" s="202">
        <v>6.3083999999999996E-3</v>
      </c>
      <c r="J17" s="202">
        <v>1.8799032</v>
      </c>
      <c r="K17" s="202">
        <v>0</v>
      </c>
      <c r="L17" s="202">
        <v>0</v>
      </c>
      <c r="M17" s="202">
        <v>0</v>
      </c>
      <c r="N17" s="202">
        <v>0</v>
      </c>
      <c r="O17" s="202">
        <v>306.62192820000001</v>
      </c>
    </row>
    <row r="18" spans="1:15">
      <c r="A18" s="262" t="s">
        <v>673</v>
      </c>
      <c r="B18" s="261" t="s">
        <v>825</v>
      </c>
      <c r="C18" s="261"/>
      <c r="F18" s="199">
        <v>36481.103621375398</v>
      </c>
      <c r="G18" s="199">
        <v>4.7557320687456102</v>
      </c>
      <c r="H18" s="199">
        <v>118.89330171864</v>
      </c>
      <c r="I18" s="199">
        <v>5.5735882520995403</v>
      </c>
      <c r="J18" s="199">
        <v>1660.92929912566</v>
      </c>
      <c r="K18" s="199">
        <v>0</v>
      </c>
      <c r="L18" s="199">
        <v>0</v>
      </c>
      <c r="M18" s="199">
        <v>0</v>
      </c>
      <c r="N18" s="199">
        <v>0</v>
      </c>
      <c r="O18" s="199">
        <v>38260.926222219699</v>
      </c>
    </row>
    <row r="19" spans="1:15">
      <c r="A19" s="273"/>
      <c r="B19" s="203" t="s">
        <v>674</v>
      </c>
      <c r="C19" s="265"/>
      <c r="F19" s="202">
        <v>1411.2710719352799</v>
      </c>
      <c r="G19" s="202">
        <v>5.2692295661814201E-2</v>
      </c>
      <c r="H19" s="202">
        <v>1.3173073915453499</v>
      </c>
      <c r="I19" s="202">
        <v>4.04791367179822E-2</v>
      </c>
      <c r="J19" s="202">
        <v>12.062782741958699</v>
      </c>
      <c r="K19" s="202">
        <v>0</v>
      </c>
      <c r="L19" s="202">
        <v>0</v>
      </c>
      <c r="M19" s="202">
        <v>0</v>
      </c>
      <c r="N19" s="202">
        <v>0</v>
      </c>
      <c r="O19" s="202">
        <v>1424.65116206878</v>
      </c>
    </row>
    <row r="20" spans="1:15">
      <c r="A20" s="273"/>
      <c r="B20" s="203" t="s">
        <v>675</v>
      </c>
      <c r="C20" s="265"/>
      <c r="F20" s="202">
        <v>23036.0119013892</v>
      </c>
      <c r="G20" s="202">
        <v>1.55567546607593</v>
      </c>
      <c r="H20" s="202">
        <v>38.891886651898197</v>
      </c>
      <c r="I20" s="202">
        <v>1.8065541549709001</v>
      </c>
      <c r="J20" s="202">
        <v>538.35313818132897</v>
      </c>
      <c r="K20" s="202">
        <v>0</v>
      </c>
      <c r="L20" s="202">
        <v>0</v>
      </c>
      <c r="M20" s="202">
        <v>0</v>
      </c>
      <c r="N20" s="202">
        <v>0</v>
      </c>
      <c r="O20" s="202">
        <v>23613.256926222399</v>
      </c>
    </row>
    <row r="21" spans="1:15" s="205" customFormat="1" ht="12">
      <c r="A21" s="266"/>
      <c r="B21" s="265"/>
      <c r="C21" s="212" t="s">
        <v>676</v>
      </c>
      <c r="F21" s="206">
        <v>3697.2510687503</v>
      </c>
      <c r="G21" s="206">
        <v>0.38474709516314998</v>
      </c>
      <c r="H21" s="206">
        <v>9.6186773790787399</v>
      </c>
      <c r="I21" s="206">
        <v>0.36362332925098301</v>
      </c>
      <c r="J21" s="206">
        <v>108.359752116793</v>
      </c>
      <c r="K21" s="206">
        <v>0</v>
      </c>
      <c r="L21" s="206">
        <v>0</v>
      </c>
      <c r="M21" s="206">
        <v>0</v>
      </c>
      <c r="N21" s="206">
        <v>0</v>
      </c>
      <c r="O21" s="206">
        <v>3815.2294982461699</v>
      </c>
    </row>
    <row r="22" spans="1:15" s="205" customFormat="1" ht="12">
      <c r="A22" s="266"/>
      <c r="B22" s="265"/>
      <c r="C22" s="212" t="s">
        <v>677</v>
      </c>
      <c r="F22" s="206">
        <v>5602.6697034852696</v>
      </c>
      <c r="G22" s="206">
        <v>0.56393969863327598</v>
      </c>
      <c r="H22" s="206">
        <v>14.0984924658319</v>
      </c>
      <c r="I22" s="206">
        <v>0.63302859178887705</v>
      </c>
      <c r="J22" s="206">
        <v>188.64252035308499</v>
      </c>
      <c r="K22" s="206">
        <v>0</v>
      </c>
      <c r="L22" s="206">
        <v>0</v>
      </c>
      <c r="M22" s="206">
        <v>0</v>
      </c>
      <c r="N22" s="206">
        <v>0</v>
      </c>
      <c r="O22" s="206">
        <v>5805.4107163041899</v>
      </c>
    </row>
    <row r="23" spans="1:15" s="205" customFormat="1" ht="12">
      <c r="A23" s="266"/>
      <c r="B23" s="265"/>
      <c r="C23" s="212" t="s">
        <v>678</v>
      </c>
      <c r="F23" s="206">
        <v>3187.87160067168</v>
      </c>
      <c r="G23" s="206">
        <v>0.15115378099215401</v>
      </c>
      <c r="H23" s="206">
        <v>3.7788445248038598</v>
      </c>
      <c r="I23" s="206">
        <v>0.23917802670125901</v>
      </c>
      <c r="J23" s="206">
        <v>71.275051956975204</v>
      </c>
      <c r="K23" s="206">
        <v>0</v>
      </c>
      <c r="L23" s="206">
        <v>0</v>
      </c>
      <c r="M23" s="206">
        <v>0</v>
      </c>
      <c r="N23" s="206">
        <v>0</v>
      </c>
      <c r="O23" s="206">
        <v>3262.9254971534601</v>
      </c>
    </row>
    <row r="24" spans="1:15" s="205" customFormat="1" ht="12">
      <c r="A24" s="266"/>
      <c r="B24" s="265"/>
      <c r="C24" s="212" t="s">
        <v>679</v>
      </c>
      <c r="F24" s="206">
        <v>35.186427748743597</v>
      </c>
      <c r="G24" s="206">
        <v>1.5121815440083401E-2</v>
      </c>
      <c r="H24" s="206">
        <v>0.37804538600208598</v>
      </c>
      <c r="I24" s="206">
        <v>6.4061156408193299E-4</v>
      </c>
      <c r="J24" s="206">
        <v>0.19090224609641601</v>
      </c>
      <c r="K24" s="206">
        <v>0</v>
      </c>
      <c r="L24" s="206">
        <v>0</v>
      </c>
      <c r="M24" s="206">
        <v>0</v>
      </c>
      <c r="N24" s="206">
        <v>0</v>
      </c>
      <c r="O24" s="206">
        <v>35.755375380842104</v>
      </c>
    </row>
    <row r="25" spans="1:15" s="205" customFormat="1" ht="12">
      <c r="A25" s="266"/>
      <c r="B25" s="265"/>
      <c r="C25" s="212" t="s">
        <v>680</v>
      </c>
      <c r="F25" s="206">
        <v>70.552084411649901</v>
      </c>
      <c r="G25" s="206">
        <v>1.39494868126866E-3</v>
      </c>
      <c r="H25" s="206">
        <v>3.48737170317166E-2</v>
      </c>
      <c r="I25" s="206">
        <v>5.6758180430202896E-3</v>
      </c>
      <c r="J25" s="206">
        <v>1.69139377682005</v>
      </c>
      <c r="K25" s="206">
        <v>0</v>
      </c>
      <c r="L25" s="206">
        <v>0</v>
      </c>
      <c r="M25" s="206">
        <v>0</v>
      </c>
      <c r="N25" s="206">
        <v>0</v>
      </c>
      <c r="O25" s="206">
        <v>72.278351905501694</v>
      </c>
    </row>
    <row r="26" spans="1:15" s="205" customFormat="1" ht="12">
      <c r="A26" s="266"/>
      <c r="B26" s="265"/>
      <c r="C26" s="212" t="s">
        <v>681</v>
      </c>
      <c r="F26" s="206">
        <v>60.591920083081703</v>
      </c>
      <c r="G26" s="206">
        <v>1.5316916600927699E-3</v>
      </c>
      <c r="H26" s="206">
        <v>3.8292291502319303E-2</v>
      </c>
      <c r="I26" s="206">
        <v>4.8331848623137004E-3</v>
      </c>
      <c r="J26" s="206">
        <v>1.4402890889694799</v>
      </c>
      <c r="K26" s="206">
        <v>0</v>
      </c>
      <c r="L26" s="206">
        <v>0</v>
      </c>
      <c r="M26" s="206">
        <v>0</v>
      </c>
      <c r="N26" s="206">
        <v>0</v>
      </c>
      <c r="O26" s="206">
        <v>62.070501463553498</v>
      </c>
    </row>
    <row r="27" spans="1:15" s="205" customFormat="1" ht="12">
      <c r="A27" s="266"/>
      <c r="B27" s="265"/>
      <c r="C27" s="212" t="s">
        <v>682</v>
      </c>
      <c r="F27" s="206">
        <v>10369.679091682799</v>
      </c>
      <c r="G27" s="206">
        <v>0.43260794339723802</v>
      </c>
      <c r="H27" s="206">
        <v>10.815198584931</v>
      </c>
      <c r="I27" s="206">
        <v>0.55934892830794603</v>
      </c>
      <c r="J27" s="206">
        <v>166.685980635768</v>
      </c>
      <c r="K27" s="206">
        <v>0</v>
      </c>
      <c r="L27" s="206">
        <v>0</v>
      </c>
      <c r="M27" s="206">
        <v>0</v>
      </c>
      <c r="N27" s="206">
        <v>0</v>
      </c>
      <c r="O27" s="206">
        <v>10547.1802709035</v>
      </c>
    </row>
    <row r="28" spans="1:15" s="205" customFormat="1" ht="12">
      <c r="A28" s="266"/>
      <c r="B28" s="265"/>
      <c r="C28" s="212" t="s">
        <v>683</v>
      </c>
      <c r="F28" s="206">
        <v>12.2100045556952</v>
      </c>
      <c r="G28" s="206">
        <v>5.1784921086662104E-3</v>
      </c>
      <c r="H28" s="206">
        <v>0.12946230271665499</v>
      </c>
      <c r="I28" s="206">
        <v>2.2566445242216501E-4</v>
      </c>
      <c r="J28" s="206">
        <v>6.7248006821805206E-2</v>
      </c>
      <c r="K28" s="206">
        <v>0</v>
      </c>
      <c r="L28" s="206">
        <v>0</v>
      </c>
      <c r="M28" s="206">
        <v>0</v>
      </c>
      <c r="N28" s="206">
        <v>0</v>
      </c>
      <c r="O28" s="206">
        <v>12.406714865233599</v>
      </c>
    </row>
    <row r="29" spans="1:15">
      <c r="A29" s="273"/>
      <c r="B29" s="203" t="s">
        <v>684</v>
      </c>
      <c r="C29" s="265"/>
      <c r="F29" s="202" t="s">
        <v>817</v>
      </c>
      <c r="G29" s="202" t="s">
        <v>817</v>
      </c>
      <c r="H29" s="202" t="s">
        <v>817</v>
      </c>
      <c r="I29" s="202" t="s">
        <v>817</v>
      </c>
      <c r="J29" s="202" t="s">
        <v>817</v>
      </c>
      <c r="K29" s="202" t="s">
        <v>817</v>
      </c>
      <c r="L29" s="202" t="s">
        <v>817</v>
      </c>
      <c r="M29" s="202" t="s">
        <v>817</v>
      </c>
      <c r="N29" s="202" t="s">
        <v>817</v>
      </c>
      <c r="O29" s="202" t="s">
        <v>817</v>
      </c>
    </row>
    <row r="30" spans="1:15">
      <c r="A30" s="273"/>
      <c r="B30" s="203" t="s">
        <v>685</v>
      </c>
      <c r="C30" s="265"/>
      <c r="F30" s="202" t="s">
        <v>817</v>
      </c>
      <c r="G30" s="202" t="s">
        <v>817</v>
      </c>
      <c r="H30" s="202" t="s">
        <v>817</v>
      </c>
      <c r="I30" s="202" t="s">
        <v>817</v>
      </c>
      <c r="J30" s="202" t="s">
        <v>817</v>
      </c>
      <c r="K30" s="202" t="s">
        <v>817</v>
      </c>
      <c r="L30" s="202" t="s">
        <v>817</v>
      </c>
      <c r="M30" s="202" t="s">
        <v>817</v>
      </c>
      <c r="N30" s="202" t="s">
        <v>817</v>
      </c>
      <c r="O30" s="202" t="s">
        <v>817</v>
      </c>
    </row>
    <row r="31" spans="1:15">
      <c r="A31" s="273"/>
      <c r="B31" s="203" t="s">
        <v>686</v>
      </c>
      <c r="C31" s="212"/>
      <c r="F31" s="202">
        <v>8811.4617683707602</v>
      </c>
      <c r="G31" s="202">
        <v>2.9664717883198799</v>
      </c>
      <c r="H31" s="202">
        <v>74.161794707997004</v>
      </c>
      <c r="I31" s="202">
        <v>2.4794747487934998</v>
      </c>
      <c r="J31" s="202">
        <v>738.883475140462</v>
      </c>
      <c r="K31" s="202">
        <v>0</v>
      </c>
      <c r="L31" s="202">
        <v>0</v>
      </c>
      <c r="M31" s="202">
        <v>0</v>
      </c>
      <c r="N31" s="202">
        <v>0</v>
      </c>
      <c r="O31" s="202">
        <v>9624.5070382192207</v>
      </c>
    </row>
    <row r="32" spans="1:15" s="205" customFormat="1" ht="12">
      <c r="A32" s="266"/>
      <c r="B32" s="265"/>
      <c r="C32" s="212" t="s">
        <v>687</v>
      </c>
      <c r="F32" s="206">
        <v>3186.4579183373398</v>
      </c>
      <c r="G32" s="206">
        <v>0.191580384005475</v>
      </c>
      <c r="H32" s="206">
        <v>4.7895096001368804</v>
      </c>
      <c r="I32" s="206">
        <v>1.2291283531183199</v>
      </c>
      <c r="J32" s="206">
        <v>366.280249229258</v>
      </c>
      <c r="K32" s="206">
        <v>0</v>
      </c>
      <c r="L32" s="206">
        <v>0</v>
      </c>
      <c r="M32" s="206">
        <v>0</v>
      </c>
      <c r="N32" s="206">
        <v>0</v>
      </c>
      <c r="O32" s="206">
        <v>3557.52767716674</v>
      </c>
    </row>
    <row r="33" spans="1:15" s="205" customFormat="1" ht="12">
      <c r="A33" s="266"/>
      <c r="B33" s="265"/>
      <c r="C33" s="212" t="s">
        <v>688</v>
      </c>
      <c r="F33" s="206">
        <v>305.56105354905998</v>
      </c>
      <c r="G33" s="206">
        <v>0.20039156617245399</v>
      </c>
      <c r="H33" s="206">
        <v>5.0097891543113402</v>
      </c>
      <c r="I33" s="206">
        <v>6.2415554875246103E-2</v>
      </c>
      <c r="J33" s="206">
        <v>18.599835352823298</v>
      </c>
      <c r="K33" s="206">
        <v>0</v>
      </c>
      <c r="L33" s="206">
        <v>0</v>
      </c>
      <c r="M33" s="206">
        <v>0</v>
      </c>
      <c r="N33" s="206">
        <v>0</v>
      </c>
      <c r="O33" s="206">
        <v>329.17067805619502</v>
      </c>
    </row>
    <row r="34" spans="1:15" s="205" customFormat="1" ht="12">
      <c r="A34" s="266"/>
      <c r="B34" s="265"/>
      <c r="C34" s="212" t="s">
        <v>689</v>
      </c>
      <c r="F34" s="206">
        <v>2932.9190565045501</v>
      </c>
      <c r="G34" s="206">
        <v>0.22795652219776799</v>
      </c>
      <c r="H34" s="206">
        <v>5.6989130549442102</v>
      </c>
      <c r="I34" s="206">
        <v>1.0926445629624599</v>
      </c>
      <c r="J34" s="206">
        <v>325.60807976281399</v>
      </c>
      <c r="K34" s="206">
        <v>0</v>
      </c>
      <c r="L34" s="206">
        <v>0</v>
      </c>
      <c r="M34" s="206">
        <v>0</v>
      </c>
      <c r="N34" s="206">
        <v>0</v>
      </c>
      <c r="O34" s="206">
        <v>3264.2260493223098</v>
      </c>
    </row>
    <row r="35" spans="1:15" s="205" customFormat="1" ht="12">
      <c r="A35" s="266"/>
      <c r="B35" s="265"/>
      <c r="C35" s="212" t="s">
        <v>690</v>
      </c>
      <c r="F35" s="206">
        <v>108.450065233054</v>
      </c>
      <c r="G35" s="206">
        <v>0.107833270021475</v>
      </c>
      <c r="H35" s="206">
        <v>2.6958317505368901</v>
      </c>
      <c r="I35" s="206">
        <v>8.5969045084142402E-3</v>
      </c>
      <c r="J35" s="206">
        <v>2.5618775435074399</v>
      </c>
      <c r="K35" s="206">
        <v>0</v>
      </c>
      <c r="L35" s="206">
        <v>0</v>
      </c>
      <c r="M35" s="206">
        <v>0</v>
      </c>
      <c r="N35" s="206">
        <v>0</v>
      </c>
      <c r="O35" s="206">
        <v>113.707774527098</v>
      </c>
    </row>
    <row r="36" spans="1:15" s="205" customFormat="1" ht="12">
      <c r="A36" s="266"/>
      <c r="B36" s="265"/>
      <c r="C36" s="212" t="s">
        <v>691</v>
      </c>
      <c r="F36" s="206">
        <v>472.86687474675301</v>
      </c>
      <c r="G36" s="206">
        <v>0.46497407092270798</v>
      </c>
      <c r="H36" s="206">
        <v>11.6243517730677</v>
      </c>
      <c r="I36" s="206">
        <v>3.9217373329055699E-2</v>
      </c>
      <c r="J36" s="206">
        <v>11.686777252058601</v>
      </c>
      <c r="K36" s="206">
        <v>0</v>
      </c>
      <c r="L36" s="206">
        <v>0</v>
      </c>
      <c r="M36" s="206">
        <v>0</v>
      </c>
      <c r="N36" s="206">
        <v>0</v>
      </c>
      <c r="O36" s="206">
        <v>496.17800377187899</v>
      </c>
    </row>
    <row r="37" spans="1:15" s="205" customFormat="1" ht="12">
      <c r="A37" s="266"/>
      <c r="B37" s="265"/>
      <c r="C37" s="212" t="s">
        <v>692</v>
      </c>
      <c r="D37" s="207"/>
      <c r="E37" s="207"/>
      <c r="F37" s="206">
        <v>1805.2067999999999</v>
      </c>
      <c r="G37" s="206">
        <v>1.7737359749999999</v>
      </c>
      <c r="H37" s="206">
        <v>44.343399374999997</v>
      </c>
      <c r="I37" s="206">
        <v>4.7472E-2</v>
      </c>
      <c r="J37" s="206">
        <v>14.146656</v>
      </c>
      <c r="K37" s="208">
        <v>0</v>
      </c>
      <c r="L37" s="208">
        <v>0</v>
      </c>
      <c r="M37" s="208">
        <v>0</v>
      </c>
      <c r="N37" s="208">
        <v>0</v>
      </c>
      <c r="O37" s="206">
        <v>1863.696855375</v>
      </c>
    </row>
    <row r="38" spans="1:15">
      <c r="A38" s="249" t="s">
        <v>693</v>
      </c>
      <c r="B38" s="248" t="s">
        <v>694</v>
      </c>
      <c r="C38" s="272"/>
      <c r="D38" s="225"/>
      <c r="E38" s="225"/>
      <c r="F38" s="218">
        <v>7996.9674309869297</v>
      </c>
      <c r="G38" s="218">
        <v>1094.47683810743</v>
      </c>
      <c r="H38" s="218">
        <v>27361.920952685901</v>
      </c>
      <c r="I38" s="218">
        <v>4.04086107801227E-2</v>
      </c>
      <c r="J38" s="218">
        <v>12.0417660124766</v>
      </c>
      <c r="K38" s="218">
        <v>0</v>
      </c>
      <c r="L38" s="218">
        <v>0</v>
      </c>
      <c r="M38" s="218">
        <v>0</v>
      </c>
      <c r="N38" s="218">
        <v>0</v>
      </c>
      <c r="O38" s="218">
        <v>35370.9301496853</v>
      </c>
    </row>
    <row r="39" spans="1:15">
      <c r="A39" s="271"/>
      <c r="B39" s="201" t="s">
        <v>695</v>
      </c>
      <c r="C39" s="269"/>
      <c r="D39" s="225"/>
      <c r="E39" s="225"/>
      <c r="F39" s="211">
        <v>0</v>
      </c>
      <c r="G39" s="211">
        <v>13.8520223464689</v>
      </c>
      <c r="H39" s="211">
        <v>346.30055866172199</v>
      </c>
      <c r="I39" s="211">
        <v>0</v>
      </c>
      <c r="J39" s="211">
        <v>0</v>
      </c>
      <c r="K39" s="211">
        <v>0</v>
      </c>
      <c r="L39" s="211">
        <v>0</v>
      </c>
      <c r="M39" s="211">
        <v>0</v>
      </c>
      <c r="N39" s="211">
        <v>0</v>
      </c>
      <c r="O39" s="211">
        <v>346.30055866172199</v>
      </c>
    </row>
    <row r="40" spans="1:15">
      <c r="A40" s="271"/>
      <c r="B40" s="270" t="s">
        <v>696</v>
      </c>
      <c r="C40" s="269"/>
      <c r="D40" s="225"/>
      <c r="E40" s="225"/>
      <c r="F40" s="211">
        <v>7996.9674309869297</v>
      </c>
      <c r="G40" s="211">
        <v>1080.62481576097</v>
      </c>
      <c r="H40" s="211">
        <v>27015.620394024099</v>
      </c>
      <c r="I40" s="211">
        <v>4.04086107801227E-2</v>
      </c>
      <c r="J40" s="211">
        <v>12.0417660124766</v>
      </c>
      <c r="K40" s="211">
        <v>0</v>
      </c>
      <c r="L40" s="211">
        <v>0</v>
      </c>
      <c r="M40" s="211">
        <v>0</v>
      </c>
      <c r="N40" s="211">
        <v>0</v>
      </c>
      <c r="O40" s="211">
        <v>35024.6295910236</v>
      </c>
    </row>
    <row r="41" spans="1:15">
      <c r="A41" s="213" t="s">
        <v>697</v>
      </c>
      <c r="B41" s="214" t="s">
        <v>698</v>
      </c>
      <c r="C41" s="214"/>
      <c r="D41" s="215"/>
      <c r="E41" s="215"/>
      <c r="F41" s="216">
        <v>0</v>
      </c>
      <c r="G41" s="216">
        <v>0</v>
      </c>
      <c r="H41" s="216">
        <v>0</v>
      </c>
      <c r="I41" s="216">
        <v>0</v>
      </c>
      <c r="J41" s="216">
        <v>0</v>
      </c>
      <c r="K41" s="216">
        <v>0</v>
      </c>
      <c r="L41" s="216">
        <v>0</v>
      </c>
      <c r="M41" s="216">
        <v>0</v>
      </c>
      <c r="N41" s="216">
        <v>0</v>
      </c>
      <c r="O41" s="216">
        <v>0</v>
      </c>
    </row>
    <row r="42" spans="1:15">
      <c r="A42" s="217" t="s">
        <v>699</v>
      </c>
      <c r="B42" s="251"/>
      <c r="C42" s="250"/>
      <c r="F42" s="198">
        <v>8433.8786555467505</v>
      </c>
      <c r="G42" s="198">
        <v>1.5749408036061301</v>
      </c>
      <c r="H42" s="198">
        <v>39.373520090153299</v>
      </c>
      <c r="I42" s="198">
        <v>3.8320568453494301</v>
      </c>
      <c r="J42" s="198">
        <v>1141.95293991413</v>
      </c>
      <c r="K42" s="198">
        <v>920.86953767818295</v>
      </c>
      <c r="L42" s="198">
        <v>1.24734818545514</v>
      </c>
      <c r="M42" s="198">
        <v>2.5670322071860201</v>
      </c>
      <c r="N42" s="198">
        <v>0</v>
      </c>
      <c r="O42" s="198">
        <v>10539.889033621899</v>
      </c>
    </row>
    <row r="43" spans="1:15">
      <c r="A43" s="262" t="s">
        <v>663</v>
      </c>
      <c r="B43" s="261" t="s">
        <v>700</v>
      </c>
      <c r="C43" s="261"/>
      <c r="F43" s="199">
        <v>1362.05004002239</v>
      </c>
      <c r="G43" s="199">
        <v>0</v>
      </c>
      <c r="H43" s="199">
        <v>0</v>
      </c>
      <c r="I43" s="199">
        <v>0</v>
      </c>
      <c r="J43" s="199">
        <v>0</v>
      </c>
      <c r="K43" s="199">
        <v>0</v>
      </c>
      <c r="L43" s="199">
        <v>0</v>
      </c>
      <c r="M43" s="199">
        <v>0</v>
      </c>
      <c r="N43" s="199">
        <v>0</v>
      </c>
      <c r="O43" s="199">
        <v>1362.05004002239</v>
      </c>
    </row>
    <row r="44" spans="1:15" s="205" customFormat="1" ht="12">
      <c r="A44" s="266"/>
      <c r="B44" s="268"/>
      <c r="C44" s="212" t="s">
        <v>501</v>
      </c>
      <c r="F44" s="206">
        <v>1063.8876895058199</v>
      </c>
      <c r="G44" s="206">
        <v>0</v>
      </c>
      <c r="H44" s="206">
        <v>0</v>
      </c>
      <c r="I44" s="206">
        <v>0</v>
      </c>
      <c r="J44" s="206">
        <v>0</v>
      </c>
      <c r="K44" s="206">
        <v>0</v>
      </c>
      <c r="L44" s="206">
        <v>0</v>
      </c>
      <c r="M44" s="206">
        <v>0</v>
      </c>
      <c r="N44" s="206">
        <v>0</v>
      </c>
      <c r="O44" s="206">
        <v>1063.8876895058199</v>
      </c>
    </row>
    <row r="45" spans="1:15" s="205" customFormat="1" ht="12">
      <c r="A45" s="266"/>
      <c r="B45" s="268"/>
      <c r="C45" s="212" t="s">
        <v>183</v>
      </c>
      <c r="F45" s="206">
        <v>104.25543321471601</v>
      </c>
      <c r="G45" s="206">
        <v>0</v>
      </c>
      <c r="H45" s="206">
        <v>0</v>
      </c>
      <c r="I45" s="206">
        <v>0</v>
      </c>
      <c r="J45" s="206">
        <v>0</v>
      </c>
      <c r="K45" s="206">
        <v>0</v>
      </c>
      <c r="L45" s="206">
        <v>0</v>
      </c>
      <c r="M45" s="206">
        <v>0</v>
      </c>
      <c r="N45" s="206">
        <v>0</v>
      </c>
      <c r="O45" s="206">
        <v>104.25543321471601</v>
      </c>
    </row>
    <row r="46" spans="1:15" s="205" customFormat="1" ht="12">
      <c r="A46" s="266"/>
      <c r="B46" s="268"/>
      <c r="C46" s="212" t="s">
        <v>824</v>
      </c>
      <c r="F46" s="206">
        <v>193.90691730184901</v>
      </c>
      <c r="G46" s="206">
        <v>0</v>
      </c>
      <c r="H46" s="206">
        <v>0</v>
      </c>
      <c r="I46" s="206">
        <v>0</v>
      </c>
      <c r="J46" s="206">
        <v>0</v>
      </c>
      <c r="K46" s="206">
        <v>0</v>
      </c>
      <c r="L46" s="206">
        <v>0</v>
      </c>
      <c r="M46" s="206">
        <v>0</v>
      </c>
      <c r="N46" s="206">
        <v>0</v>
      </c>
      <c r="O46" s="206">
        <v>193.90691730184901</v>
      </c>
    </row>
    <row r="47" spans="1:15" s="267" customFormat="1">
      <c r="A47" s="262" t="s">
        <v>673</v>
      </c>
      <c r="B47" s="261" t="s">
        <v>823</v>
      </c>
      <c r="C47" s="261"/>
      <c r="F47" s="199">
        <v>0</v>
      </c>
      <c r="G47" s="199">
        <v>0</v>
      </c>
      <c r="H47" s="218">
        <v>0</v>
      </c>
      <c r="I47" s="199">
        <v>0</v>
      </c>
      <c r="J47" s="199">
        <v>0</v>
      </c>
      <c r="K47" s="199">
        <v>0</v>
      </c>
      <c r="L47" s="199">
        <v>0</v>
      </c>
      <c r="M47" s="199">
        <v>0</v>
      </c>
      <c r="N47" s="199">
        <v>0</v>
      </c>
      <c r="O47" s="199">
        <v>0</v>
      </c>
    </row>
    <row r="48" spans="1:15" s="205" customFormat="1" ht="12">
      <c r="A48" s="266"/>
      <c r="B48" s="268"/>
      <c r="C48" s="212" t="s">
        <v>702</v>
      </c>
      <c r="F48" s="206">
        <v>0</v>
      </c>
      <c r="G48" s="206">
        <v>0</v>
      </c>
      <c r="H48" s="206">
        <v>0</v>
      </c>
      <c r="I48" s="206">
        <v>0</v>
      </c>
      <c r="J48" s="206">
        <v>0</v>
      </c>
      <c r="K48" s="206">
        <v>0</v>
      </c>
      <c r="L48" s="206">
        <v>0</v>
      </c>
      <c r="M48" s="206">
        <v>0</v>
      </c>
      <c r="N48" s="206">
        <v>0</v>
      </c>
      <c r="O48" s="206">
        <v>0</v>
      </c>
    </row>
    <row r="49" spans="1:15" s="267" customFormat="1">
      <c r="A49" s="262" t="s">
        <v>693</v>
      </c>
      <c r="B49" s="261" t="s">
        <v>704</v>
      </c>
      <c r="C49" s="261"/>
      <c r="F49" s="199">
        <v>0</v>
      </c>
      <c r="G49" s="199">
        <v>0</v>
      </c>
      <c r="H49" s="199">
        <v>0</v>
      </c>
      <c r="I49" s="199">
        <v>0</v>
      </c>
      <c r="J49" s="199">
        <v>0</v>
      </c>
      <c r="K49" s="199">
        <v>0</v>
      </c>
      <c r="L49" s="218">
        <v>0</v>
      </c>
      <c r="M49" s="218">
        <v>0</v>
      </c>
      <c r="N49" s="199">
        <v>0</v>
      </c>
      <c r="O49" s="199">
        <v>0</v>
      </c>
    </row>
    <row r="50" spans="1:15" s="205" customFormat="1" ht="12">
      <c r="A50" s="266"/>
      <c r="B50" s="265"/>
      <c r="C50" s="265" t="s">
        <v>705</v>
      </c>
      <c r="F50" s="206">
        <v>0</v>
      </c>
      <c r="G50" s="206">
        <v>0</v>
      </c>
      <c r="H50" s="206">
        <v>0</v>
      </c>
      <c r="I50" s="206">
        <v>0</v>
      </c>
      <c r="J50" s="206">
        <v>0</v>
      </c>
      <c r="K50" s="206">
        <v>0</v>
      </c>
      <c r="L50" s="219">
        <v>0</v>
      </c>
      <c r="M50" s="219">
        <v>0</v>
      </c>
      <c r="N50" s="206">
        <v>0</v>
      </c>
      <c r="O50" s="206">
        <v>0</v>
      </c>
    </row>
    <row r="51" spans="1:15" s="205" customFormat="1" ht="12">
      <c r="A51" s="266"/>
      <c r="B51" s="265"/>
      <c r="C51" s="265" t="s">
        <v>244</v>
      </c>
      <c r="F51" s="206">
        <v>0</v>
      </c>
      <c r="G51" s="206">
        <v>0</v>
      </c>
      <c r="H51" s="206">
        <v>0</v>
      </c>
      <c r="I51" s="206">
        <v>0</v>
      </c>
      <c r="J51" s="206">
        <v>0</v>
      </c>
      <c r="K51" s="206">
        <v>0</v>
      </c>
      <c r="L51" s="219">
        <v>0</v>
      </c>
      <c r="M51" s="219">
        <v>0</v>
      </c>
      <c r="N51" s="206">
        <v>0</v>
      </c>
      <c r="O51" s="206">
        <v>0</v>
      </c>
    </row>
    <row r="52" spans="1:15" s="205" customFormat="1" ht="12">
      <c r="A52" s="258"/>
      <c r="B52" s="257"/>
      <c r="C52" s="257" t="s">
        <v>706</v>
      </c>
      <c r="D52" s="207"/>
      <c r="E52" s="207"/>
      <c r="F52" s="208">
        <v>0</v>
      </c>
      <c r="G52" s="208">
        <v>0</v>
      </c>
      <c r="H52" s="208">
        <v>0</v>
      </c>
      <c r="I52" s="208">
        <v>0</v>
      </c>
      <c r="J52" s="208">
        <v>0</v>
      </c>
      <c r="K52" s="208">
        <v>0</v>
      </c>
      <c r="L52" s="219">
        <v>0</v>
      </c>
      <c r="M52" s="219">
        <v>0</v>
      </c>
      <c r="N52" s="208">
        <v>0</v>
      </c>
      <c r="O52" s="208">
        <v>0</v>
      </c>
    </row>
    <row r="53" spans="1:15">
      <c r="A53" s="220" t="s">
        <v>697</v>
      </c>
      <c r="B53" s="221" t="s">
        <v>707</v>
      </c>
      <c r="C53" s="248"/>
      <c r="D53" s="225"/>
      <c r="E53" s="225"/>
      <c r="F53" s="211">
        <v>0</v>
      </c>
      <c r="G53" s="211">
        <v>0</v>
      </c>
      <c r="H53" s="211">
        <v>0</v>
      </c>
      <c r="I53" s="211">
        <v>0</v>
      </c>
      <c r="J53" s="211">
        <v>0</v>
      </c>
      <c r="K53" s="211">
        <v>920.86953767818295</v>
      </c>
      <c r="L53" s="211">
        <v>0.90151817057908001</v>
      </c>
      <c r="M53" s="211">
        <v>0.12059220718602399</v>
      </c>
      <c r="N53" s="211">
        <v>0</v>
      </c>
      <c r="O53" s="211">
        <v>921.89164805594805</v>
      </c>
    </row>
    <row r="54" spans="1:15">
      <c r="A54" s="220" t="s">
        <v>708</v>
      </c>
      <c r="B54" s="221" t="s">
        <v>709</v>
      </c>
      <c r="C54" s="248"/>
      <c r="D54" s="225"/>
      <c r="E54" s="225"/>
      <c r="F54" s="211">
        <v>7071.8286133540196</v>
      </c>
      <c r="G54" s="211">
        <v>1.5749408036061301</v>
      </c>
      <c r="H54" s="211">
        <v>39.373520090153299</v>
      </c>
      <c r="I54" s="211">
        <v>3.7128665249388302</v>
      </c>
      <c r="J54" s="211">
        <v>1106.43422443177</v>
      </c>
      <c r="K54" s="211">
        <v>0</v>
      </c>
      <c r="L54" s="211">
        <v>0</v>
      </c>
      <c r="M54" s="211">
        <v>0</v>
      </c>
      <c r="N54" s="211">
        <v>0</v>
      </c>
      <c r="O54" s="211">
        <v>8217.6363578759392</v>
      </c>
    </row>
    <row r="55" spans="1:15">
      <c r="A55" s="213" t="s">
        <v>710</v>
      </c>
      <c r="B55" s="214" t="s">
        <v>711</v>
      </c>
      <c r="C55" s="264"/>
      <c r="D55" s="253"/>
      <c r="E55" s="253"/>
      <c r="F55" s="252">
        <v>2.1703429103832898E-6</v>
      </c>
      <c r="G55" s="252">
        <v>0</v>
      </c>
      <c r="H55" s="252">
        <v>0</v>
      </c>
      <c r="I55" s="252">
        <v>0.119190320410604</v>
      </c>
      <c r="J55" s="252">
        <v>35.518715482360001</v>
      </c>
      <c r="K55" s="252">
        <v>0</v>
      </c>
      <c r="L55" s="252">
        <v>0.34583001487606402</v>
      </c>
      <c r="M55" s="252">
        <v>2.4464399999999999</v>
      </c>
      <c r="N55" s="252">
        <v>0</v>
      </c>
      <c r="O55" s="252">
        <v>38.310987667578999</v>
      </c>
    </row>
    <row r="56" spans="1:15">
      <c r="A56" s="251" t="s">
        <v>712</v>
      </c>
      <c r="B56" s="250"/>
      <c r="C56" s="250"/>
      <c r="F56" s="223">
        <v>535.55333333333294</v>
      </c>
      <c r="G56" s="223">
        <v>464.15332794982203</v>
      </c>
      <c r="H56" s="223">
        <v>11603.8331987456</v>
      </c>
      <c r="I56" s="388">
        <v>22.173085486509098</v>
      </c>
      <c r="J56" s="223">
        <v>6607.5794749797296</v>
      </c>
      <c r="K56" s="198">
        <v>0</v>
      </c>
      <c r="L56" s="198">
        <v>0</v>
      </c>
      <c r="M56" s="198">
        <v>0</v>
      </c>
      <c r="N56" s="198">
        <v>0</v>
      </c>
      <c r="O56" s="198">
        <v>18746.9660070586</v>
      </c>
    </row>
    <row r="57" spans="1:15">
      <c r="A57" s="262" t="s">
        <v>663</v>
      </c>
      <c r="B57" s="261" t="s">
        <v>27</v>
      </c>
      <c r="C57" s="261"/>
      <c r="F57" s="211">
        <v>0</v>
      </c>
      <c r="G57" s="211">
        <v>433.06973042723001</v>
      </c>
      <c r="H57" s="211">
        <v>10826.7432606807</v>
      </c>
      <c r="I57" s="211">
        <v>0</v>
      </c>
      <c r="J57" s="211">
        <v>0</v>
      </c>
      <c r="K57" s="202">
        <v>0</v>
      </c>
      <c r="L57" s="202">
        <v>0</v>
      </c>
      <c r="M57" s="202">
        <v>0</v>
      </c>
      <c r="N57" s="202">
        <v>0</v>
      </c>
      <c r="O57" s="202">
        <v>10826.7432606807</v>
      </c>
    </row>
    <row r="58" spans="1:15">
      <c r="A58" s="262" t="s">
        <v>673</v>
      </c>
      <c r="B58" s="261" t="s">
        <v>28</v>
      </c>
      <c r="C58" s="261"/>
      <c r="F58" s="211">
        <v>0</v>
      </c>
      <c r="G58" s="211">
        <v>31.0700766137922</v>
      </c>
      <c r="H58" s="211">
        <v>776.75191534480496</v>
      </c>
      <c r="I58" s="211">
        <v>5.3881519691579802</v>
      </c>
      <c r="J58" s="211">
        <v>1605.6692868090799</v>
      </c>
      <c r="K58" s="202">
        <v>0</v>
      </c>
      <c r="L58" s="202">
        <v>0</v>
      </c>
      <c r="M58" s="202">
        <v>0</v>
      </c>
      <c r="N58" s="202">
        <v>0</v>
      </c>
      <c r="O58" s="202">
        <v>2382.4212021538801</v>
      </c>
    </row>
    <row r="59" spans="1:15">
      <c r="A59" s="262" t="s">
        <v>693</v>
      </c>
      <c r="B59" s="261" t="s">
        <v>713</v>
      </c>
      <c r="C59" s="261"/>
      <c r="F59" s="202">
        <v>0</v>
      </c>
      <c r="G59" s="202">
        <v>0</v>
      </c>
      <c r="H59" s="202">
        <v>0</v>
      </c>
      <c r="I59" s="202">
        <v>16.784582975271199</v>
      </c>
      <c r="J59" s="202">
        <v>5001.8057266308097</v>
      </c>
      <c r="K59" s="199">
        <v>0</v>
      </c>
      <c r="L59" s="199">
        <v>0</v>
      </c>
      <c r="M59" s="199">
        <v>0</v>
      </c>
      <c r="N59" s="199">
        <v>0</v>
      </c>
      <c r="O59" s="199">
        <v>5001.8057266308097</v>
      </c>
    </row>
    <row r="60" spans="1:15" s="205" customFormat="1" ht="12">
      <c r="A60" s="260"/>
      <c r="B60" s="259"/>
      <c r="C60" s="257" t="s">
        <v>714</v>
      </c>
      <c r="F60" s="208">
        <v>0</v>
      </c>
      <c r="G60" s="208">
        <v>0</v>
      </c>
      <c r="H60" s="208">
        <v>0</v>
      </c>
      <c r="I60" s="208">
        <v>13.5025864150518</v>
      </c>
      <c r="J60" s="208">
        <v>4023.7707516854398</v>
      </c>
      <c r="K60" s="206">
        <v>0</v>
      </c>
      <c r="L60" s="206">
        <v>0</v>
      </c>
      <c r="M60" s="206">
        <v>0</v>
      </c>
      <c r="N60" s="206">
        <v>0</v>
      </c>
      <c r="O60" s="206">
        <v>4023.7707516854398</v>
      </c>
    </row>
    <row r="61" spans="1:15" s="205" customFormat="1" ht="12">
      <c r="A61" s="258"/>
      <c r="B61" s="257"/>
      <c r="C61" s="257" t="s">
        <v>715</v>
      </c>
      <c r="D61" s="207"/>
      <c r="E61" s="207"/>
      <c r="F61" s="208">
        <v>0</v>
      </c>
      <c r="G61" s="208">
        <v>0</v>
      </c>
      <c r="H61" s="208">
        <v>0</v>
      </c>
      <c r="I61" s="208">
        <v>3.2819965602193601</v>
      </c>
      <c r="J61" s="208">
        <v>978.03497494536998</v>
      </c>
      <c r="K61" s="208">
        <v>0</v>
      </c>
      <c r="L61" s="208">
        <v>0</v>
      </c>
      <c r="M61" s="208">
        <v>0</v>
      </c>
      <c r="N61" s="208">
        <v>0</v>
      </c>
      <c r="O61" s="208">
        <v>978.03497494536998</v>
      </c>
    </row>
    <row r="62" spans="1:15" s="204" customFormat="1" ht="13">
      <c r="A62" s="249" t="s">
        <v>697</v>
      </c>
      <c r="B62" s="248" t="s">
        <v>185</v>
      </c>
      <c r="C62" s="256"/>
      <c r="D62" s="210"/>
      <c r="E62" s="210"/>
      <c r="F62" s="211">
        <v>0</v>
      </c>
      <c r="G62" s="211">
        <v>1.35209088E-2</v>
      </c>
      <c r="H62" s="211">
        <v>0.33802272</v>
      </c>
      <c r="I62" s="211">
        <v>3.5054208000000002E-4</v>
      </c>
      <c r="J62" s="211">
        <v>0.10446153984000001</v>
      </c>
      <c r="K62" s="211">
        <v>0</v>
      </c>
      <c r="L62" s="211">
        <v>0</v>
      </c>
      <c r="M62" s="211">
        <v>0</v>
      </c>
      <c r="N62" s="211">
        <v>0</v>
      </c>
      <c r="O62" s="211">
        <v>0.44248425984</v>
      </c>
    </row>
    <row r="63" spans="1:15">
      <c r="A63" s="255" t="s">
        <v>708</v>
      </c>
      <c r="B63" s="214" t="s">
        <v>716</v>
      </c>
      <c r="C63" s="254"/>
      <c r="D63" s="253"/>
      <c r="E63" s="253"/>
      <c r="F63" s="222">
        <v>535.55333333333294</v>
      </c>
      <c r="G63" s="222">
        <v>0</v>
      </c>
      <c r="H63" s="222">
        <v>0</v>
      </c>
      <c r="I63" s="222">
        <v>0</v>
      </c>
      <c r="J63" s="222">
        <v>0</v>
      </c>
      <c r="K63" s="252">
        <v>0</v>
      </c>
      <c r="L63" s="252">
        <v>0</v>
      </c>
      <c r="M63" s="252">
        <v>0</v>
      </c>
      <c r="N63" s="252">
        <v>0</v>
      </c>
      <c r="O63" s="252">
        <v>535.55333333333294</v>
      </c>
    </row>
    <row r="64" spans="1:15">
      <c r="A64" s="251" t="s">
        <v>717</v>
      </c>
      <c r="B64" s="250"/>
      <c r="C64" s="250"/>
      <c r="F64" s="198">
        <v>15.7129104</v>
      </c>
      <c r="G64" s="198">
        <v>75.254521089999997</v>
      </c>
      <c r="H64" s="198">
        <v>1881.36302725</v>
      </c>
      <c r="I64" s="198">
        <v>0.52470715000000001</v>
      </c>
      <c r="J64" s="198">
        <v>156.36273069999999</v>
      </c>
      <c r="K64" s="198">
        <v>0</v>
      </c>
      <c r="L64" s="198">
        <v>0</v>
      </c>
      <c r="M64" s="198">
        <v>0</v>
      </c>
      <c r="N64" s="198">
        <v>0</v>
      </c>
      <c r="O64" s="198">
        <v>2053.4386683500002</v>
      </c>
    </row>
    <row r="65" spans="1:31">
      <c r="A65" s="249" t="s">
        <v>663</v>
      </c>
      <c r="B65" s="248" t="s">
        <v>718</v>
      </c>
      <c r="C65" s="248"/>
      <c r="D65" s="225"/>
      <c r="E65" s="225"/>
      <c r="F65" s="211">
        <v>0</v>
      </c>
      <c r="G65" s="211">
        <v>69.312763439999998</v>
      </c>
      <c r="H65" s="211">
        <v>1732.819086</v>
      </c>
      <c r="I65" s="211">
        <v>0</v>
      </c>
      <c r="J65" s="211">
        <v>0</v>
      </c>
      <c r="K65" s="211">
        <v>0</v>
      </c>
      <c r="L65" s="211">
        <v>0</v>
      </c>
      <c r="M65" s="211">
        <v>0</v>
      </c>
      <c r="N65" s="211">
        <v>0</v>
      </c>
      <c r="O65" s="211">
        <v>1732.819086</v>
      </c>
    </row>
    <row r="66" spans="1:31">
      <c r="A66" s="249" t="s">
        <v>822</v>
      </c>
      <c r="B66" s="248" t="s">
        <v>719</v>
      </c>
      <c r="E66" s="225"/>
      <c r="F66" s="211">
        <v>0</v>
      </c>
      <c r="G66" s="211">
        <v>4.4396395499999999</v>
      </c>
      <c r="H66" s="211">
        <v>110.99098875</v>
      </c>
      <c r="I66" s="211">
        <v>0.26637836999999998</v>
      </c>
      <c r="J66" s="211">
        <v>79.380754260000003</v>
      </c>
      <c r="K66" s="211">
        <v>0</v>
      </c>
      <c r="L66" s="211">
        <v>0</v>
      </c>
      <c r="M66" s="211">
        <v>0</v>
      </c>
      <c r="N66" s="211">
        <v>0</v>
      </c>
      <c r="O66" s="211">
        <v>190.37174300999999</v>
      </c>
    </row>
    <row r="67" spans="1:31">
      <c r="A67" s="249" t="s">
        <v>693</v>
      </c>
      <c r="B67" s="248" t="s">
        <v>720</v>
      </c>
      <c r="C67" s="248"/>
      <c r="D67" s="225"/>
      <c r="E67" s="225"/>
      <c r="F67" s="211">
        <v>0</v>
      </c>
      <c r="G67" s="211">
        <v>1.50070196</v>
      </c>
      <c r="H67" s="211">
        <v>37.517549000000002</v>
      </c>
      <c r="I67" s="211">
        <v>0.23181626999999999</v>
      </c>
      <c r="J67" s="211">
        <v>69.081248459999998</v>
      </c>
      <c r="K67" s="211">
        <v>0</v>
      </c>
      <c r="L67" s="211">
        <v>0</v>
      </c>
      <c r="M67" s="211">
        <v>0</v>
      </c>
      <c r="N67" s="211">
        <v>0</v>
      </c>
      <c r="O67" s="211">
        <v>106.59879746</v>
      </c>
    </row>
    <row r="68" spans="1:31">
      <c r="A68" s="247" t="s">
        <v>697</v>
      </c>
      <c r="B68" s="246" t="s">
        <v>721</v>
      </c>
      <c r="C68" s="246"/>
      <c r="D68" s="245"/>
      <c r="E68" s="245"/>
      <c r="F68" s="222">
        <v>15.7129104</v>
      </c>
      <c r="G68" s="222">
        <v>1.41614E-3</v>
      </c>
      <c r="H68" s="222">
        <v>3.5403499999999997E-2</v>
      </c>
      <c r="I68" s="222">
        <v>2.651251E-2</v>
      </c>
      <c r="J68" s="222">
        <v>7.9007279800000001</v>
      </c>
      <c r="K68" s="222">
        <v>0</v>
      </c>
      <c r="L68" s="222">
        <v>0</v>
      </c>
      <c r="M68" s="222">
        <v>0</v>
      </c>
      <c r="N68" s="222">
        <v>0</v>
      </c>
      <c r="O68" s="222">
        <v>23.649041879999999</v>
      </c>
    </row>
    <row r="69" spans="1:31" s="196" customFormat="1" ht="14"/>
    <row r="70" spans="1:31">
      <c r="A70" s="204" t="s">
        <v>248</v>
      </c>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row>
    <row r="71" spans="1:31" s="204" customFormat="1" ht="13">
      <c r="A71" s="204" t="s">
        <v>821</v>
      </c>
    </row>
    <row r="72" spans="1:31" s="204" customFormat="1" ht="15">
      <c r="A72" s="204" t="s">
        <v>918</v>
      </c>
    </row>
    <row r="73" spans="1:31" s="204" customFormat="1" ht="15">
      <c r="A73" s="204" t="s">
        <v>917</v>
      </c>
      <c r="F73" s="387"/>
      <c r="G73" s="387"/>
      <c r="H73" s="387"/>
      <c r="I73" s="387"/>
      <c r="J73" s="387"/>
      <c r="K73" s="387"/>
      <c r="L73" s="387"/>
      <c r="M73" s="387"/>
      <c r="N73" s="387"/>
      <c r="O73" s="387"/>
      <c r="P73" s="387"/>
      <c r="Q73" s="387"/>
      <c r="R73" s="387"/>
      <c r="S73" s="387"/>
      <c r="T73" s="387"/>
      <c r="U73" s="387"/>
      <c r="V73" s="387"/>
      <c r="W73" s="387"/>
      <c r="X73" s="387"/>
      <c r="Y73" s="387"/>
      <c r="Z73" s="387"/>
      <c r="AA73" s="387"/>
      <c r="AB73" s="387"/>
      <c r="AC73" s="387"/>
      <c r="AE73" s="386"/>
    </row>
    <row r="74" spans="1:31" s="204" customFormat="1" ht="13">
      <c r="A74" s="204" t="s">
        <v>722</v>
      </c>
    </row>
    <row r="75" spans="1:31" s="204" customFormat="1" ht="13">
      <c r="A75" s="204" t="s">
        <v>723</v>
      </c>
      <c r="B75" s="204" t="s">
        <v>724</v>
      </c>
    </row>
    <row r="76" spans="1:31" s="204" customFormat="1" ht="13">
      <c r="A76" s="385">
        <v>0</v>
      </c>
      <c r="B76" s="204" t="s">
        <v>725</v>
      </c>
    </row>
    <row r="77" spans="1:31" s="204" customFormat="1" ht="13">
      <c r="A77" s="204" t="s">
        <v>817</v>
      </c>
      <c r="B77" s="204" t="s">
        <v>816</v>
      </c>
    </row>
    <row r="78" spans="1:31" s="204" customFormat="1" ht="13">
      <c r="A78" s="204" t="s">
        <v>815</v>
      </c>
    </row>
    <row r="79" spans="1:31">
      <c r="A79" s="204" t="s">
        <v>916</v>
      </c>
      <c r="F79" s="383"/>
      <c r="G79" s="383"/>
      <c r="H79" s="383"/>
      <c r="I79" s="383"/>
      <c r="J79" s="383"/>
      <c r="K79" s="383"/>
      <c r="L79" s="383"/>
      <c r="M79" s="383"/>
      <c r="N79" s="383"/>
      <c r="O79" s="384"/>
      <c r="P79" s="383"/>
      <c r="R79" s="383"/>
      <c r="S79" s="383"/>
      <c r="T79" s="383"/>
      <c r="U79" s="383"/>
      <c r="V79" s="383"/>
      <c r="W79" s="383"/>
      <c r="X79" s="383"/>
      <c r="Y79" s="383"/>
      <c r="Z79" s="383"/>
      <c r="AA79" s="383"/>
      <c r="AB79" s="383"/>
      <c r="AC79" s="383"/>
      <c r="AE79" s="382"/>
    </row>
    <row r="80" spans="1:31">
      <c r="A80" s="381" t="s">
        <v>915</v>
      </c>
      <c r="B80" s="209"/>
      <c r="C80" s="209"/>
      <c r="D80" s="204"/>
      <c r="E80" s="380"/>
      <c r="F80" s="380"/>
      <c r="G80" s="224"/>
      <c r="H80" s="224"/>
      <c r="I80" s="224"/>
      <c r="J80" s="224"/>
      <c r="K80" s="224"/>
      <c r="L80" s="224"/>
      <c r="M80" s="224"/>
      <c r="N80" s="224"/>
      <c r="O80" s="224"/>
      <c r="P80" s="224"/>
      <c r="Q80" s="224"/>
      <c r="R80" s="224"/>
      <c r="S80" s="224"/>
      <c r="T80" s="224"/>
      <c r="U80" s="224"/>
      <c r="V80" s="224"/>
      <c r="W80" s="224"/>
      <c r="X80" s="224"/>
      <c r="Y80" s="224"/>
      <c r="Z80" s="224"/>
      <c r="AA80" s="224"/>
    </row>
    <row r="81" spans="1:27">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c r="AA81" s="224"/>
    </row>
  </sheetData>
  <hyperlinks>
    <hyperlink ref="A80" r:id="rId1" xr:uid="{00000000-0004-0000-2D00-000000000000}"/>
  </hyperlinks>
  <pageMargins left="0.70866141732283472" right="0.70866141732283472" top="0.74803149606299213" bottom="0.74803149606299213" header="0.31496062992125984" footer="0.31496062992125984"/>
  <pageSetup paperSize="5" scale="42"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4" tint="0.39997558519241921"/>
    <pageSetUpPr fitToPage="1"/>
  </sheetPr>
  <dimension ref="A1:AE81"/>
  <sheetViews>
    <sheetView zoomScale="80" zoomScaleNormal="80" workbookViewId="0">
      <pane xSplit="5" ySplit="7" topLeftCell="F33" activePane="bottomRight" state="frozen"/>
      <selection activeCell="A80" sqref="A80"/>
      <selection pane="topRight" activeCell="A80" sqref="A80"/>
      <selection pane="bottomLeft" activeCell="A80" sqref="A80"/>
      <selection pane="bottomRight" activeCell="K61" sqref="K61"/>
    </sheetView>
  </sheetViews>
  <sheetFormatPr baseColWidth="10" defaultColWidth="9.1640625" defaultRowHeight="16"/>
  <cols>
    <col min="1" max="1" width="4.5" style="197" customWidth="1"/>
    <col min="2" max="2" width="3.33203125" style="197" customWidth="1"/>
    <col min="3" max="3" width="52.5" style="197" customWidth="1"/>
    <col min="4" max="5" width="3.33203125" style="197" customWidth="1"/>
    <col min="6" max="15" width="16.5" style="197" customWidth="1"/>
    <col min="16" max="16384" width="9.1640625" style="197"/>
  </cols>
  <sheetData>
    <row r="1" spans="1:15" s="169" customFormat="1" ht="14">
      <c r="A1" s="280" t="s">
        <v>926</v>
      </c>
      <c r="B1" s="168"/>
      <c r="C1" s="168"/>
      <c r="D1" s="168"/>
      <c r="E1" s="168"/>
      <c r="F1" s="168"/>
      <c r="G1" s="168"/>
      <c r="H1" s="168"/>
      <c r="I1" s="168"/>
      <c r="J1" s="168"/>
      <c r="K1" s="168"/>
      <c r="L1" s="168"/>
      <c r="M1" s="168"/>
      <c r="N1" s="168"/>
      <c r="O1" s="168"/>
    </row>
    <row r="2" spans="1:15" s="169" customFormat="1" ht="14">
      <c r="B2" s="170"/>
      <c r="C2" s="170"/>
      <c r="D2" s="170"/>
      <c r="E2" s="170"/>
      <c r="F2" s="170"/>
      <c r="G2" s="170"/>
      <c r="H2" s="170"/>
      <c r="I2" s="170"/>
      <c r="J2" s="170"/>
      <c r="K2" s="170"/>
      <c r="L2" s="170"/>
      <c r="M2" s="170"/>
      <c r="N2" s="170"/>
      <c r="O2" s="170"/>
    </row>
    <row r="3" spans="1:15" s="169" customFormat="1" ht="14">
      <c r="B3" s="170"/>
      <c r="C3" s="170"/>
      <c r="D3" s="170"/>
      <c r="E3" s="170"/>
      <c r="F3" s="171" t="s">
        <v>651</v>
      </c>
      <c r="G3" s="172"/>
      <c r="H3" s="172"/>
      <c r="I3" s="172"/>
      <c r="J3" s="172"/>
      <c r="K3" s="172"/>
      <c r="L3" s="172"/>
      <c r="M3" s="172"/>
      <c r="N3" s="172"/>
      <c r="O3" s="172"/>
    </row>
    <row r="4" spans="1:15" s="169" customFormat="1" ht="15">
      <c r="A4" s="170"/>
      <c r="B4" s="170"/>
      <c r="C4" s="170"/>
      <c r="D4" s="170"/>
      <c r="E4" s="170"/>
      <c r="F4" s="173" t="s">
        <v>652</v>
      </c>
      <c r="G4" s="174" t="s">
        <v>653</v>
      </c>
      <c r="H4" s="174" t="s">
        <v>653</v>
      </c>
      <c r="I4" s="174" t="s">
        <v>654</v>
      </c>
      <c r="J4" s="174" t="s">
        <v>654</v>
      </c>
      <c r="K4" s="175" t="s">
        <v>827</v>
      </c>
      <c r="L4" s="175" t="s">
        <v>826</v>
      </c>
      <c r="M4" s="174" t="s">
        <v>655</v>
      </c>
      <c r="N4" s="176" t="s">
        <v>656</v>
      </c>
      <c r="O4" s="177" t="s">
        <v>657</v>
      </c>
    </row>
    <row r="5" spans="1:15" s="179" customFormat="1" ht="14">
      <c r="A5" s="178" t="s">
        <v>658</v>
      </c>
      <c r="B5" s="178"/>
      <c r="E5" s="180" t="s">
        <v>659</v>
      </c>
      <c r="F5" s="181"/>
      <c r="G5" s="182"/>
      <c r="H5" s="183">
        <v>25</v>
      </c>
      <c r="I5" s="184"/>
      <c r="J5" s="183">
        <v>298</v>
      </c>
      <c r="K5" s="185"/>
      <c r="L5" s="185"/>
      <c r="M5" s="186">
        <v>22800</v>
      </c>
      <c r="N5" s="186">
        <v>17200</v>
      </c>
      <c r="O5" s="187"/>
    </row>
    <row r="6" spans="1:15" s="188" customFormat="1" ht="14.25" customHeight="1">
      <c r="C6" s="189"/>
      <c r="D6" s="189"/>
      <c r="E6" s="190" t="s">
        <v>377</v>
      </c>
      <c r="F6" s="191" t="s">
        <v>660</v>
      </c>
      <c r="G6" s="191" t="s">
        <v>660</v>
      </c>
      <c r="H6" s="192" t="s">
        <v>661</v>
      </c>
      <c r="I6" s="193" t="s">
        <v>660</v>
      </c>
      <c r="J6" s="192" t="s">
        <v>661</v>
      </c>
      <c r="K6" s="192" t="s">
        <v>661</v>
      </c>
      <c r="L6" s="192" t="s">
        <v>661</v>
      </c>
      <c r="M6" s="192" t="s">
        <v>661</v>
      </c>
      <c r="N6" s="192" t="s">
        <v>661</v>
      </c>
      <c r="O6" s="192" t="s">
        <v>661</v>
      </c>
    </row>
    <row r="7" spans="1:15" s="196" customFormat="1" ht="15" thickBot="1">
      <c r="A7" s="279" t="s">
        <v>657</v>
      </c>
      <c r="B7" s="278"/>
      <c r="C7" s="277"/>
      <c r="D7" s="194"/>
      <c r="E7" s="194"/>
      <c r="F7" s="195">
        <v>192810.08123919499</v>
      </c>
      <c r="G7" s="195">
        <v>1760.7351973689799</v>
      </c>
      <c r="H7" s="195">
        <v>44018.379934224598</v>
      </c>
      <c r="I7" s="195">
        <v>33.223648308325103</v>
      </c>
      <c r="J7" s="195">
        <v>9900.6471958808797</v>
      </c>
      <c r="K7" s="195">
        <v>890.47774868767601</v>
      </c>
      <c r="L7" s="195">
        <v>1.07384743804671</v>
      </c>
      <c r="M7" s="195">
        <v>0.72177445092898795</v>
      </c>
      <c r="N7" s="195">
        <v>0</v>
      </c>
      <c r="O7" s="195">
        <v>247621.38173987699</v>
      </c>
    </row>
    <row r="8" spans="1:15" ht="17" thickTop="1">
      <c r="A8" s="251" t="s">
        <v>662</v>
      </c>
      <c r="B8" s="276"/>
      <c r="C8" s="276"/>
      <c r="F8" s="198">
        <v>183876.67304399301</v>
      </c>
      <c r="G8" s="198">
        <v>1196.95551897121</v>
      </c>
      <c r="H8" s="198">
        <v>29923.8879742803</v>
      </c>
      <c r="I8" s="198">
        <v>8.6785681729165898</v>
      </c>
      <c r="J8" s="198">
        <v>2586.2133155291399</v>
      </c>
      <c r="K8" s="198">
        <v>0</v>
      </c>
      <c r="L8" s="198">
        <v>0</v>
      </c>
      <c r="M8" s="198">
        <v>0</v>
      </c>
      <c r="N8" s="198">
        <v>0</v>
      </c>
      <c r="O8" s="198">
        <v>216386.77433380301</v>
      </c>
    </row>
    <row r="9" spans="1:15">
      <c r="A9" s="262" t="s">
        <v>663</v>
      </c>
      <c r="B9" s="261" t="s">
        <v>664</v>
      </c>
      <c r="C9" s="261"/>
      <c r="F9" s="199">
        <v>139584.31139113201</v>
      </c>
      <c r="G9" s="199">
        <v>72.316153685095898</v>
      </c>
      <c r="H9" s="199">
        <v>1807.9038421273999</v>
      </c>
      <c r="I9" s="199">
        <v>2.8850785178939899</v>
      </c>
      <c r="J9" s="199">
        <v>859.75339833240901</v>
      </c>
      <c r="K9" s="199">
        <v>0</v>
      </c>
      <c r="L9" s="199">
        <v>0</v>
      </c>
      <c r="M9" s="199">
        <v>0</v>
      </c>
      <c r="N9" s="199">
        <v>0</v>
      </c>
      <c r="O9" s="199">
        <v>142251.968631592</v>
      </c>
    </row>
    <row r="10" spans="1:15">
      <c r="A10" s="273"/>
      <c r="B10" s="201" t="s">
        <v>665</v>
      </c>
      <c r="C10" s="265"/>
      <c r="F10" s="202">
        <v>52227.208672854103</v>
      </c>
      <c r="G10" s="202">
        <v>1.8680004292983099</v>
      </c>
      <c r="H10" s="202">
        <v>46.700010732457699</v>
      </c>
      <c r="I10" s="202">
        <v>0.99922131709661299</v>
      </c>
      <c r="J10" s="202">
        <v>297.76795249479102</v>
      </c>
      <c r="K10" s="202">
        <v>0</v>
      </c>
      <c r="L10" s="202">
        <v>0</v>
      </c>
      <c r="M10" s="202">
        <v>0</v>
      </c>
      <c r="N10" s="202">
        <v>0</v>
      </c>
      <c r="O10" s="202">
        <v>52571.6766360814</v>
      </c>
    </row>
    <row r="11" spans="1:15">
      <c r="A11" s="273"/>
      <c r="B11" s="203" t="s">
        <v>666</v>
      </c>
      <c r="C11" s="265"/>
      <c r="F11" s="202">
        <v>3788.9039464011798</v>
      </c>
      <c r="G11" s="202">
        <v>7.8858848078240201E-2</v>
      </c>
      <c r="H11" s="202">
        <v>1.9714712019559999</v>
      </c>
      <c r="I11" s="202">
        <v>2.44218693596196E-2</v>
      </c>
      <c r="J11" s="202">
        <v>7.2777170691666502</v>
      </c>
      <c r="K11" s="202">
        <v>0</v>
      </c>
      <c r="L11" s="202">
        <v>0</v>
      </c>
      <c r="M11" s="202">
        <v>0</v>
      </c>
      <c r="N11" s="202">
        <v>0</v>
      </c>
      <c r="O11" s="202">
        <v>3798.15313467231</v>
      </c>
    </row>
    <row r="12" spans="1:15">
      <c r="A12" s="273"/>
      <c r="B12" s="203" t="s">
        <v>667</v>
      </c>
      <c r="C12" s="275"/>
      <c r="F12" s="202">
        <v>59148.674177727</v>
      </c>
      <c r="G12" s="202">
        <v>65.858412234608707</v>
      </c>
      <c r="H12" s="202">
        <v>1646.4603058652201</v>
      </c>
      <c r="I12" s="202">
        <v>1.1863706280850199</v>
      </c>
      <c r="J12" s="202">
        <v>353.53844716933702</v>
      </c>
      <c r="K12" s="202">
        <v>0</v>
      </c>
      <c r="L12" s="202">
        <v>0</v>
      </c>
      <c r="M12" s="202">
        <v>0</v>
      </c>
      <c r="N12" s="202">
        <v>0</v>
      </c>
      <c r="O12" s="202">
        <v>61148.672930761597</v>
      </c>
    </row>
    <row r="13" spans="1:15">
      <c r="A13" s="273"/>
      <c r="B13" s="203" t="s">
        <v>668</v>
      </c>
      <c r="C13" s="265"/>
      <c r="F13" s="202">
        <v>9166.8360062424108</v>
      </c>
      <c r="G13" s="202">
        <v>0.40027069930100601</v>
      </c>
      <c r="H13" s="202">
        <v>10.0067674825252</v>
      </c>
      <c r="I13" s="202">
        <v>0.32548877329023901</v>
      </c>
      <c r="J13" s="202">
        <v>96.995654440491094</v>
      </c>
      <c r="K13" s="202">
        <v>0</v>
      </c>
      <c r="L13" s="202">
        <v>0</v>
      </c>
      <c r="M13" s="202">
        <v>0</v>
      </c>
      <c r="N13" s="202">
        <v>0</v>
      </c>
      <c r="O13" s="202">
        <v>9273.8384281654307</v>
      </c>
    </row>
    <row r="14" spans="1:15">
      <c r="A14" s="273"/>
      <c r="B14" s="203" t="s">
        <v>670</v>
      </c>
      <c r="C14" s="274"/>
      <c r="F14" s="202">
        <v>194.76830000000001</v>
      </c>
      <c r="G14" s="202">
        <v>3.5136E-3</v>
      </c>
      <c r="H14" s="202">
        <v>8.7840000000000001E-2</v>
      </c>
      <c r="I14" s="202">
        <v>6.9731999999999997E-3</v>
      </c>
      <c r="J14" s="202">
        <v>2.0780135999999998</v>
      </c>
      <c r="K14" s="202">
        <v>0</v>
      </c>
      <c r="L14" s="202">
        <v>0</v>
      </c>
      <c r="M14" s="202">
        <v>0</v>
      </c>
      <c r="N14" s="202">
        <v>0</v>
      </c>
      <c r="O14" s="202">
        <v>196.9341536</v>
      </c>
    </row>
    <row r="15" spans="1:15">
      <c r="A15" s="273"/>
      <c r="B15" s="203" t="s">
        <v>671</v>
      </c>
      <c r="C15" s="203"/>
      <c r="F15" s="202">
        <v>5846.4015779075899</v>
      </c>
      <c r="G15" s="202">
        <v>0.111336082002349</v>
      </c>
      <c r="H15" s="202">
        <v>2.78340205005872</v>
      </c>
      <c r="I15" s="202">
        <v>0.122241540960353</v>
      </c>
      <c r="J15" s="202">
        <v>36.427979206185199</v>
      </c>
      <c r="K15" s="202">
        <v>0</v>
      </c>
      <c r="L15" s="202">
        <v>0</v>
      </c>
      <c r="M15" s="202">
        <v>0</v>
      </c>
      <c r="N15" s="202">
        <v>0</v>
      </c>
      <c r="O15" s="202">
        <v>5885.6129591638301</v>
      </c>
    </row>
    <row r="16" spans="1:15">
      <c r="A16" s="273"/>
      <c r="B16" s="203" t="s">
        <v>175</v>
      </c>
      <c r="C16" s="203"/>
      <c r="F16" s="202">
        <v>8938.4942300000002</v>
      </c>
      <c r="G16" s="202">
        <v>3.9906363918072598</v>
      </c>
      <c r="H16" s="202">
        <v>99.7659097951815</v>
      </c>
      <c r="I16" s="202">
        <v>0.214685589102143</v>
      </c>
      <c r="J16" s="202">
        <v>63.976305552438703</v>
      </c>
      <c r="K16" s="202">
        <v>0</v>
      </c>
      <c r="L16" s="202">
        <v>0</v>
      </c>
      <c r="M16" s="202">
        <v>0</v>
      </c>
      <c r="N16" s="202">
        <v>0</v>
      </c>
      <c r="O16" s="202">
        <v>9102.2364453476202</v>
      </c>
    </row>
    <row r="17" spans="1:15">
      <c r="A17" s="273"/>
      <c r="B17" s="203" t="s">
        <v>672</v>
      </c>
      <c r="C17" s="203"/>
      <c r="F17" s="202">
        <v>273.02447999999998</v>
      </c>
      <c r="G17" s="202">
        <v>5.1253999999999996E-3</v>
      </c>
      <c r="H17" s="202">
        <v>0.128135</v>
      </c>
      <c r="I17" s="202">
        <v>5.6756000000000003E-3</v>
      </c>
      <c r="J17" s="202">
        <v>1.6913288</v>
      </c>
      <c r="K17" s="202">
        <v>0</v>
      </c>
      <c r="L17" s="202">
        <v>0</v>
      </c>
      <c r="M17" s="202">
        <v>0</v>
      </c>
      <c r="N17" s="202">
        <v>0</v>
      </c>
      <c r="O17" s="202">
        <v>274.84394379999998</v>
      </c>
    </row>
    <row r="18" spans="1:15">
      <c r="A18" s="262" t="s">
        <v>673</v>
      </c>
      <c r="B18" s="261" t="s">
        <v>825</v>
      </c>
      <c r="C18" s="261"/>
      <c r="F18" s="199">
        <v>36213.193875178396</v>
      </c>
      <c r="G18" s="199">
        <v>5.1516835279548197</v>
      </c>
      <c r="H18" s="199">
        <v>128.79208819887</v>
      </c>
      <c r="I18" s="199">
        <v>5.7557946996280798</v>
      </c>
      <c r="J18" s="199">
        <v>1715.22682048917</v>
      </c>
      <c r="K18" s="199">
        <v>0</v>
      </c>
      <c r="L18" s="199">
        <v>0</v>
      </c>
      <c r="M18" s="199">
        <v>0</v>
      </c>
      <c r="N18" s="199">
        <v>0</v>
      </c>
      <c r="O18" s="199">
        <v>38057.212783866402</v>
      </c>
    </row>
    <row r="19" spans="1:15">
      <c r="A19" s="273"/>
      <c r="B19" s="203" t="s">
        <v>674</v>
      </c>
      <c r="C19" s="265"/>
      <c r="F19" s="202">
        <v>1457.3096646246499</v>
      </c>
      <c r="G19" s="202">
        <v>4.8953415532014703E-2</v>
      </c>
      <c r="H19" s="202">
        <v>1.2238353883003701</v>
      </c>
      <c r="I19" s="202">
        <v>4.1933733806066603E-2</v>
      </c>
      <c r="J19" s="202">
        <v>12.496252674207801</v>
      </c>
      <c r="K19" s="202">
        <v>0</v>
      </c>
      <c r="L19" s="202">
        <v>0</v>
      </c>
      <c r="M19" s="202">
        <v>0</v>
      </c>
      <c r="N19" s="202">
        <v>0</v>
      </c>
      <c r="O19" s="202">
        <v>1471.02975268716</v>
      </c>
    </row>
    <row r="20" spans="1:15">
      <c r="A20" s="273"/>
      <c r="B20" s="203" t="s">
        <v>675</v>
      </c>
      <c r="C20" s="265"/>
      <c r="F20" s="202">
        <v>22264.978323972999</v>
      </c>
      <c r="G20" s="202">
        <v>1.56721813468473</v>
      </c>
      <c r="H20" s="202">
        <v>39.180453367118197</v>
      </c>
      <c r="I20" s="202">
        <v>1.94988562890685</v>
      </c>
      <c r="J20" s="202">
        <v>581.06591741424199</v>
      </c>
      <c r="K20" s="202">
        <v>0</v>
      </c>
      <c r="L20" s="202">
        <v>0</v>
      </c>
      <c r="M20" s="202">
        <v>0</v>
      </c>
      <c r="N20" s="202">
        <v>0</v>
      </c>
      <c r="O20" s="202">
        <v>22885.224694754299</v>
      </c>
    </row>
    <row r="21" spans="1:15" s="205" customFormat="1" ht="12">
      <c r="A21" s="266"/>
      <c r="B21" s="265"/>
      <c r="C21" s="212" t="s">
        <v>676</v>
      </c>
      <c r="F21" s="206">
        <v>3676.0603612821001</v>
      </c>
      <c r="G21" s="206">
        <v>0.39163722297885001</v>
      </c>
      <c r="H21" s="206">
        <v>9.7909305744712398</v>
      </c>
      <c r="I21" s="206">
        <v>0.42751358749764701</v>
      </c>
      <c r="J21" s="206">
        <v>127.399049074299</v>
      </c>
      <c r="K21" s="206">
        <v>0</v>
      </c>
      <c r="L21" s="206">
        <v>0</v>
      </c>
      <c r="M21" s="206">
        <v>0</v>
      </c>
      <c r="N21" s="206">
        <v>0</v>
      </c>
      <c r="O21" s="206">
        <v>3813.2503409308702</v>
      </c>
    </row>
    <row r="22" spans="1:15" s="205" customFormat="1" ht="12">
      <c r="A22" s="266"/>
      <c r="B22" s="265"/>
      <c r="C22" s="212" t="s">
        <v>677</v>
      </c>
      <c r="F22" s="206">
        <v>5542.3254865482004</v>
      </c>
      <c r="G22" s="206">
        <v>0.57255183529958997</v>
      </c>
      <c r="H22" s="206">
        <v>14.3137958824897</v>
      </c>
      <c r="I22" s="206">
        <v>0.75713068956723895</v>
      </c>
      <c r="J22" s="206">
        <v>225.62494549103701</v>
      </c>
      <c r="K22" s="206">
        <v>0</v>
      </c>
      <c r="L22" s="206">
        <v>0</v>
      </c>
      <c r="M22" s="206">
        <v>0</v>
      </c>
      <c r="N22" s="206">
        <v>0</v>
      </c>
      <c r="O22" s="206">
        <v>5782.2642279217298</v>
      </c>
    </row>
    <row r="23" spans="1:15" s="205" customFormat="1" ht="12">
      <c r="A23" s="266"/>
      <c r="B23" s="265"/>
      <c r="C23" s="212" t="s">
        <v>678</v>
      </c>
      <c r="F23" s="206">
        <v>3270.68965869868</v>
      </c>
      <c r="G23" s="206">
        <v>0.165258947788609</v>
      </c>
      <c r="H23" s="206">
        <v>4.13147369471523</v>
      </c>
      <c r="I23" s="206">
        <v>0.24315344060690899</v>
      </c>
      <c r="J23" s="206">
        <v>72.459725300858906</v>
      </c>
      <c r="K23" s="206">
        <v>0</v>
      </c>
      <c r="L23" s="206">
        <v>0</v>
      </c>
      <c r="M23" s="206">
        <v>0</v>
      </c>
      <c r="N23" s="206">
        <v>0</v>
      </c>
      <c r="O23" s="206">
        <v>3347.2808576942598</v>
      </c>
    </row>
    <row r="24" spans="1:15" s="205" customFormat="1" ht="12">
      <c r="A24" s="266"/>
      <c r="B24" s="265"/>
      <c r="C24" s="212" t="s">
        <v>679</v>
      </c>
      <c r="F24" s="206">
        <v>33.331084053333697</v>
      </c>
      <c r="G24" s="206">
        <v>1.49848757916929E-2</v>
      </c>
      <c r="H24" s="206">
        <v>0.374621894792322</v>
      </c>
      <c r="I24" s="206">
        <v>6.1606426367141298E-4</v>
      </c>
      <c r="J24" s="206">
        <v>0.18358715057408101</v>
      </c>
      <c r="K24" s="206">
        <v>0</v>
      </c>
      <c r="L24" s="206">
        <v>0</v>
      </c>
      <c r="M24" s="206">
        <v>0</v>
      </c>
      <c r="N24" s="206">
        <v>0</v>
      </c>
      <c r="O24" s="206">
        <v>33.8892930987002</v>
      </c>
    </row>
    <row r="25" spans="1:15" s="205" customFormat="1" ht="12">
      <c r="A25" s="266"/>
      <c r="B25" s="265"/>
      <c r="C25" s="212" t="s">
        <v>680</v>
      </c>
      <c r="F25" s="206">
        <v>72.304868098407994</v>
      </c>
      <c r="G25" s="206">
        <v>1.42858045711783E-3</v>
      </c>
      <c r="H25" s="206">
        <v>3.5714511427945801E-2</v>
      </c>
      <c r="I25" s="206">
        <v>5.8173391201076802E-3</v>
      </c>
      <c r="J25" s="206">
        <v>1.7335670577920901</v>
      </c>
      <c r="K25" s="206">
        <v>0</v>
      </c>
      <c r="L25" s="206">
        <v>0</v>
      </c>
      <c r="M25" s="206">
        <v>0</v>
      </c>
      <c r="N25" s="206">
        <v>0</v>
      </c>
      <c r="O25" s="206">
        <v>74.074149667628006</v>
      </c>
    </row>
    <row r="26" spans="1:15" s="205" customFormat="1" ht="12">
      <c r="A26" s="266"/>
      <c r="B26" s="265"/>
      <c r="C26" s="212" t="s">
        <v>681</v>
      </c>
      <c r="F26" s="206">
        <v>50.357815753463598</v>
      </c>
      <c r="G26" s="206">
        <v>1.2729856770392299E-3</v>
      </c>
      <c r="H26" s="206">
        <v>3.1824641925980703E-2</v>
      </c>
      <c r="I26" s="206">
        <v>4.0004242713131601E-3</v>
      </c>
      <c r="J26" s="206">
        <v>1.1921264328513199</v>
      </c>
      <c r="K26" s="206">
        <v>0</v>
      </c>
      <c r="L26" s="206">
        <v>0</v>
      </c>
      <c r="M26" s="206">
        <v>0</v>
      </c>
      <c r="N26" s="206">
        <v>0</v>
      </c>
      <c r="O26" s="206">
        <v>51.581766828240902</v>
      </c>
    </row>
    <row r="27" spans="1:15" s="205" customFormat="1" ht="12">
      <c r="A27" s="266"/>
      <c r="B27" s="265"/>
      <c r="C27" s="212" t="s">
        <v>682</v>
      </c>
      <c r="F27" s="206">
        <v>9576.4897832366405</v>
      </c>
      <c r="G27" s="206">
        <v>0.40166959989633699</v>
      </c>
      <c r="H27" s="206">
        <v>10.041739997408399</v>
      </c>
      <c r="I27" s="206">
        <v>0.51085161434077997</v>
      </c>
      <c r="J27" s="206">
        <v>152.233781073552</v>
      </c>
      <c r="K27" s="206">
        <v>0</v>
      </c>
      <c r="L27" s="206">
        <v>0</v>
      </c>
      <c r="M27" s="206">
        <v>0</v>
      </c>
      <c r="N27" s="206">
        <v>0</v>
      </c>
      <c r="O27" s="206">
        <v>9738.7653043076007</v>
      </c>
    </row>
    <row r="28" spans="1:15" s="205" customFormat="1" ht="12">
      <c r="A28" s="266"/>
      <c r="B28" s="265"/>
      <c r="C28" s="212" t="s">
        <v>683</v>
      </c>
      <c r="F28" s="206">
        <v>43.419266302150298</v>
      </c>
      <c r="G28" s="206">
        <v>1.84140867954905E-2</v>
      </c>
      <c r="H28" s="206">
        <v>0.46035216988726202</v>
      </c>
      <c r="I28" s="206">
        <v>8.0246923918604097E-4</v>
      </c>
      <c r="J28" s="206">
        <v>0.23913583327744001</v>
      </c>
      <c r="K28" s="206">
        <v>0</v>
      </c>
      <c r="L28" s="206">
        <v>0</v>
      </c>
      <c r="M28" s="206">
        <v>0</v>
      </c>
      <c r="N28" s="206">
        <v>0</v>
      </c>
      <c r="O28" s="206">
        <v>44.118754305315001</v>
      </c>
    </row>
    <row r="29" spans="1:15">
      <c r="A29" s="273"/>
      <c r="B29" s="203" t="s">
        <v>684</v>
      </c>
      <c r="C29" s="265"/>
      <c r="F29" s="202" t="s">
        <v>817</v>
      </c>
      <c r="G29" s="202" t="s">
        <v>817</v>
      </c>
      <c r="H29" s="202" t="s">
        <v>817</v>
      </c>
      <c r="I29" s="202" t="s">
        <v>817</v>
      </c>
      <c r="J29" s="202" t="s">
        <v>817</v>
      </c>
      <c r="K29" s="202" t="s">
        <v>817</v>
      </c>
      <c r="L29" s="202" t="s">
        <v>817</v>
      </c>
      <c r="M29" s="202" t="s">
        <v>817</v>
      </c>
      <c r="N29" s="202" t="s">
        <v>817</v>
      </c>
      <c r="O29" s="202" t="s">
        <v>817</v>
      </c>
    </row>
    <row r="30" spans="1:15">
      <c r="A30" s="273"/>
      <c r="B30" s="203" t="s">
        <v>685</v>
      </c>
      <c r="C30" s="265"/>
      <c r="F30" s="202" t="s">
        <v>817</v>
      </c>
      <c r="G30" s="202" t="s">
        <v>817</v>
      </c>
      <c r="H30" s="202" t="s">
        <v>817</v>
      </c>
      <c r="I30" s="202" t="s">
        <v>817</v>
      </c>
      <c r="J30" s="202" t="s">
        <v>817</v>
      </c>
      <c r="K30" s="202" t="s">
        <v>817</v>
      </c>
      <c r="L30" s="202" t="s">
        <v>817</v>
      </c>
      <c r="M30" s="202" t="s">
        <v>817</v>
      </c>
      <c r="N30" s="202" t="s">
        <v>817</v>
      </c>
      <c r="O30" s="202" t="s">
        <v>817</v>
      </c>
    </row>
    <row r="31" spans="1:15">
      <c r="A31" s="273"/>
      <c r="B31" s="203" t="s">
        <v>686</v>
      </c>
      <c r="C31" s="212"/>
      <c r="F31" s="202">
        <v>9254.5657880269991</v>
      </c>
      <c r="G31" s="202">
        <v>3.3538425367387501</v>
      </c>
      <c r="H31" s="202">
        <v>83.846063418468802</v>
      </c>
      <c r="I31" s="202">
        <v>2.51153899201252</v>
      </c>
      <c r="J31" s="202">
        <v>748.43861961973198</v>
      </c>
      <c r="K31" s="202">
        <v>0</v>
      </c>
      <c r="L31" s="202">
        <v>0</v>
      </c>
      <c r="M31" s="202">
        <v>0</v>
      </c>
      <c r="N31" s="202">
        <v>0</v>
      </c>
      <c r="O31" s="202">
        <v>10086.8504710652</v>
      </c>
    </row>
    <row r="32" spans="1:15" s="205" customFormat="1" ht="12">
      <c r="A32" s="266"/>
      <c r="B32" s="265"/>
      <c r="C32" s="212" t="s">
        <v>687</v>
      </c>
      <c r="F32" s="206">
        <v>3221.7653847165202</v>
      </c>
      <c r="G32" s="206">
        <v>0.194699448468065</v>
      </c>
      <c r="H32" s="206">
        <v>4.8674862117016202</v>
      </c>
      <c r="I32" s="206">
        <v>1.24238977817854</v>
      </c>
      <c r="J32" s="206">
        <v>370.23215389720599</v>
      </c>
      <c r="K32" s="206">
        <v>0</v>
      </c>
      <c r="L32" s="206">
        <v>0</v>
      </c>
      <c r="M32" s="206">
        <v>0</v>
      </c>
      <c r="N32" s="206">
        <v>0</v>
      </c>
      <c r="O32" s="206">
        <v>3596.8650248254298</v>
      </c>
    </row>
    <row r="33" spans="1:15" s="205" customFormat="1" ht="12">
      <c r="A33" s="266"/>
      <c r="B33" s="265"/>
      <c r="C33" s="212" t="s">
        <v>688</v>
      </c>
      <c r="F33" s="206">
        <v>287.93080858310702</v>
      </c>
      <c r="G33" s="206">
        <v>0.18752977247712599</v>
      </c>
      <c r="H33" s="206">
        <v>4.6882443119281501</v>
      </c>
      <c r="I33" s="206">
        <v>5.9477621150680698E-2</v>
      </c>
      <c r="J33" s="206">
        <v>17.724331102902902</v>
      </c>
      <c r="K33" s="206">
        <v>0</v>
      </c>
      <c r="L33" s="206">
        <v>0</v>
      </c>
      <c r="M33" s="206">
        <v>0</v>
      </c>
      <c r="N33" s="206">
        <v>0</v>
      </c>
      <c r="O33" s="206">
        <v>310.34338399793802</v>
      </c>
    </row>
    <row r="34" spans="1:15" s="205" customFormat="1" ht="12">
      <c r="A34" s="266"/>
      <c r="B34" s="265"/>
      <c r="C34" s="212" t="s">
        <v>689</v>
      </c>
      <c r="F34" s="206">
        <v>2972.3485331034399</v>
      </c>
      <c r="G34" s="206">
        <v>0.231152316982216</v>
      </c>
      <c r="H34" s="206">
        <v>5.7788079245553998</v>
      </c>
      <c r="I34" s="206">
        <v>1.1044607227760801</v>
      </c>
      <c r="J34" s="206">
        <v>329.12929538727099</v>
      </c>
      <c r="K34" s="206">
        <v>0</v>
      </c>
      <c r="L34" s="206">
        <v>0</v>
      </c>
      <c r="M34" s="206">
        <v>0</v>
      </c>
      <c r="N34" s="206">
        <v>0</v>
      </c>
      <c r="O34" s="206">
        <v>3307.2566364152699</v>
      </c>
    </row>
    <row r="35" spans="1:15" s="205" customFormat="1" ht="12">
      <c r="A35" s="266"/>
      <c r="B35" s="265"/>
      <c r="C35" s="212" t="s">
        <v>690</v>
      </c>
      <c r="F35" s="206">
        <v>119.39771824082899</v>
      </c>
      <c r="G35" s="206">
        <v>0.12227937572948799</v>
      </c>
      <c r="H35" s="206">
        <v>3.0569843932371898</v>
      </c>
      <c r="I35" s="206">
        <v>8.7721306853064205E-3</v>
      </c>
      <c r="J35" s="206">
        <v>2.6140949442213102</v>
      </c>
      <c r="K35" s="206">
        <v>0</v>
      </c>
      <c r="L35" s="206">
        <v>0</v>
      </c>
      <c r="M35" s="206">
        <v>0</v>
      </c>
      <c r="N35" s="206">
        <v>0</v>
      </c>
      <c r="O35" s="206">
        <v>125.068797578287</v>
      </c>
    </row>
    <row r="36" spans="1:15" s="205" customFormat="1" ht="12">
      <c r="A36" s="266"/>
      <c r="B36" s="265"/>
      <c r="C36" s="212" t="s">
        <v>691</v>
      </c>
      <c r="F36" s="206">
        <v>497.56014338310302</v>
      </c>
      <c r="G36" s="206">
        <v>0.499395673081858</v>
      </c>
      <c r="H36" s="206">
        <v>12.4848918270465</v>
      </c>
      <c r="I36" s="206">
        <v>3.98847392219168E-2</v>
      </c>
      <c r="J36" s="206">
        <v>11.885652288131199</v>
      </c>
      <c r="K36" s="206">
        <v>0</v>
      </c>
      <c r="L36" s="206">
        <v>0</v>
      </c>
      <c r="M36" s="206">
        <v>0</v>
      </c>
      <c r="N36" s="206">
        <v>0</v>
      </c>
      <c r="O36" s="206">
        <v>521.93068749828103</v>
      </c>
    </row>
    <row r="37" spans="1:15" s="205" customFormat="1" ht="12">
      <c r="A37" s="266"/>
      <c r="B37" s="265"/>
      <c r="C37" s="212" t="s">
        <v>692</v>
      </c>
      <c r="D37" s="207"/>
      <c r="E37" s="207"/>
      <c r="F37" s="206">
        <v>2155.5632000000001</v>
      </c>
      <c r="G37" s="206">
        <v>2.1187859499999999</v>
      </c>
      <c r="H37" s="206">
        <v>52.969648749999998</v>
      </c>
      <c r="I37" s="206">
        <v>5.6554E-2</v>
      </c>
      <c r="J37" s="206">
        <v>16.853092</v>
      </c>
      <c r="K37" s="208">
        <v>0</v>
      </c>
      <c r="L37" s="208">
        <v>0</v>
      </c>
      <c r="M37" s="208">
        <v>0</v>
      </c>
      <c r="N37" s="208">
        <v>0</v>
      </c>
      <c r="O37" s="206">
        <v>2225.3859407499999</v>
      </c>
    </row>
    <row r="38" spans="1:15">
      <c r="A38" s="249" t="s">
        <v>693</v>
      </c>
      <c r="B38" s="248" t="s">
        <v>694</v>
      </c>
      <c r="C38" s="272"/>
      <c r="D38" s="225"/>
      <c r="E38" s="225"/>
      <c r="F38" s="218">
        <v>8079.1677776824599</v>
      </c>
      <c r="G38" s="218">
        <v>1119.4876817581601</v>
      </c>
      <c r="H38" s="218">
        <v>27987.192043954001</v>
      </c>
      <c r="I38" s="218">
        <v>3.7694955394517102E-2</v>
      </c>
      <c r="J38" s="218">
        <v>11.2330967075661</v>
      </c>
      <c r="K38" s="218">
        <v>0</v>
      </c>
      <c r="L38" s="218">
        <v>0</v>
      </c>
      <c r="M38" s="218">
        <v>0</v>
      </c>
      <c r="N38" s="218">
        <v>0</v>
      </c>
      <c r="O38" s="218">
        <v>36077.592918344002</v>
      </c>
    </row>
    <row r="39" spans="1:15">
      <c r="A39" s="271"/>
      <c r="B39" s="201" t="s">
        <v>695</v>
      </c>
      <c r="C39" s="269"/>
      <c r="D39" s="225"/>
      <c r="E39" s="225"/>
      <c r="F39" s="211">
        <v>0</v>
      </c>
      <c r="G39" s="211">
        <v>13.5985172692557</v>
      </c>
      <c r="H39" s="211">
        <v>339.96293173139202</v>
      </c>
      <c r="I39" s="211">
        <v>0</v>
      </c>
      <c r="J39" s="211">
        <v>0</v>
      </c>
      <c r="K39" s="211">
        <v>0</v>
      </c>
      <c r="L39" s="211">
        <v>0</v>
      </c>
      <c r="M39" s="211">
        <v>0</v>
      </c>
      <c r="N39" s="211">
        <v>0</v>
      </c>
      <c r="O39" s="211">
        <v>339.96293173139202</v>
      </c>
    </row>
    <row r="40" spans="1:15">
      <c r="A40" s="271"/>
      <c r="B40" s="270" t="s">
        <v>696</v>
      </c>
      <c r="C40" s="269"/>
      <c r="D40" s="225"/>
      <c r="E40" s="225"/>
      <c r="F40" s="211">
        <v>8079.1677776824599</v>
      </c>
      <c r="G40" s="211">
        <v>1105.8891644889</v>
      </c>
      <c r="H40" s="211">
        <v>27647.229112222602</v>
      </c>
      <c r="I40" s="211">
        <v>3.7694955394517102E-2</v>
      </c>
      <c r="J40" s="211">
        <v>11.2330967075661</v>
      </c>
      <c r="K40" s="211">
        <v>0</v>
      </c>
      <c r="L40" s="211">
        <v>0</v>
      </c>
      <c r="M40" s="211">
        <v>0</v>
      </c>
      <c r="N40" s="211">
        <v>0</v>
      </c>
      <c r="O40" s="211">
        <v>35737.629986612599</v>
      </c>
    </row>
    <row r="41" spans="1:15">
      <c r="A41" s="213" t="s">
        <v>697</v>
      </c>
      <c r="B41" s="214" t="s">
        <v>698</v>
      </c>
      <c r="C41" s="214"/>
      <c r="D41" s="215"/>
      <c r="E41" s="215"/>
      <c r="F41" s="216">
        <v>0</v>
      </c>
      <c r="G41" s="216">
        <v>0</v>
      </c>
      <c r="H41" s="216">
        <v>0</v>
      </c>
      <c r="I41" s="216">
        <v>0</v>
      </c>
      <c r="J41" s="216">
        <v>0</v>
      </c>
      <c r="K41" s="216">
        <v>0</v>
      </c>
      <c r="L41" s="216">
        <v>0</v>
      </c>
      <c r="M41" s="216">
        <v>0</v>
      </c>
      <c r="N41" s="216">
        <v>0</v>
      </c>
      <c r="O41" s="216">
        <v>0</v>
      </c>
    </row>
    <row r="42" spans="1:15">
      <c r="A42" s="217" t="s">
        <v>699</v>
      </c>
      <c r="B42" s="251"/>
      <c r="C42" s="250"/>
      <c r="F42" s="198">
        <v>8440.9504148047799</v>
      </c>
      <c r="G42" s="198">
        <v>1.7338869207791801</v>
      </c>
      <c r="H42" s="198">
        <v>43.347173019479598</v>
      </c>
      <c r="I42" s="198">
        <v>3.3324642183730999</v>
      </c>
      <c r="J42" s="198">
        <v>993.07433707518305</v>
      </c>
      <c r="K42" s="198">
        <v>890.47774868767601</v>
      </c>
      <c r="L42" s="198">
        <v>1.07384743804671</v>
      </c>
      <c r="M42" s="198">
        <v>0.72177445092898795</v>
      </c>
      <c r="N42" s="198">
        <v>0</v>
      </c>
      <c r="O42" s="198">
        <v>10369.645295476101</v>
      </c>
    </row>
    <row r="43" spans="1:15">
      <c r="A43" s="262" t="s">
        <v>663</v>
      </c>
      <c r="B43" s="261" t="s">
        <v>700</v>
      </c>
      <c r="C43" s="261"/>
      <c r="F43" s="199">
        <v>1435.5793308346199</v>
      </c>
      <c r="G43" s="199">
        <v>0</v>
      </c>
      <c r="H43" s="199">
        <v>0</v>
      </c>
      <c r="I43" s="199">
        <v>0</v>
      </c>
      <c r="J43" s="199">
        <v>0</v>
      </c>
      <c r="K43" s="199">
        <v>0</v>
      </c>
      <c r="L43" s="199">
        <v>0</v>
      </c>
      <c r="M43" s="199">
        <v>0</v>
      </c>
      <c r="N43" s="199">
        <v>0</v>
      </c>
      <c r="O43" s="199">
        <v>1435.5793308346199</v>
      </c>
    </row>
    <row r="44" spans="1:15" s="205" customFormat="1" ht="12">
      <c r="A44" s="266"/>
      <c r="B44" s="268"/>
      <c r="C44" s="212" t="s">
        <v>501</v>
      </c>
      <c r="F44" s="206">
        <v>1130.1114596198599</v>
      </c>
      <c r="G44" s="206">
        <v>0</v>
      </c>
      <c r="H44" s="206">
        <v>0</v>
      </c>
      <c r="I44" s="206">
        <v>0</v>
      </c>
      <c r="J44" s="206">
        <v>0</v>
      </c>
      <c r="K44" s="206">
        <v>0</v>
      </c>
      <c r="L44" s="206">
        <v>0</v>
      </c>
      <c r="M44" s="206">
        <v>0</v>
      </c>
      <c r="N44" s="206">
        <v>0</v>
      </c>
      <c r="O44" s="206">
        <v>1130.1114596198599</v>
      </c>
    </row>
    <row r="45" spans="1:15" s="205" customFormat="1" ht="12">
      <c r="A45" s="266"/>
      <c r="B45" s="268"/>
      <c r="C45" s="212" t="s">
        <v>183</v>
      </c>
      <c r="F45" s="206">
        <v>107.47145918694</v>
      </c>
      <c r="G45" s="206">
        <v>0</v>
      </c>
      <c r="H45" s="206">
        <v>0</v>
      </c>
      <c r="I45" s="206">
        <v>0</v>
      </c>
      <c r="J45" s="206">
        <v>0</v>
      </c>
      <c r="K45" s="206">
        <v>0</v>
      </c>
      <c r="L45" s="206">
        <v>0</v>
      </c>
      <c r="M45" s="206">
        <v>0</v>
      </c>
      <c r="N45" s="206">
        <v>0</v>
      </c>
      <c r="O45" s="206">
        <v>107.47145918694</v>
      </c>
    </row>
    <row r="46" spans="1:15" s="205" customFormat="1" ht="12">
      <c r="A46" s="266"/>
      <c r="B46" s="268"/>
      <c r="C46" s="212" t="s">
        <v>824</v>
      </c>
      <c r="F46" s="206">
        <v>197.996412027823</v>
      </c>
      <c r="G46" s="206">
        <v>0</v>
      </c>
      <c r="H46" s="206">
        <v>0</v>
      </c>
      <c r="I46" s="206">
        <v>0</v>
      </c>
      <c r="J46" s="206">
        <v>0</v>
      </c>
      <c r="K46" s="206">
        <v>0</v>
      </c>
      <c r="L46" s="206">
        <v>0</v>
      </c>
      <c r="M46" s="206">
        <v>0</v>
      </c>
      <c r="N46" s="206">
        <v>0</v>
      </c>
      <c r="O46" s="206">
        <v>197.996412027823</v>
      </c>
    </row>
    <row r="47" spans="1:15" s="267" customFormat="1">
      <c r="A47" s="262" t="s">
        <v>673</v>
      </c>
      <c r="B47" s="261" t="s">
        <v>823</v>
      </c>
      <c r="C47" s="261"/>
      <c r="F47" s="199">
        <v>0</v>
      </c>
      <c r="G47" s="199">
        <v>0</v>
      </c>
      <c r="H47" s="218">
        <v>0</v>
      </c>
      <c r="I47" s="199">
        <v>0</v>
      </c>
      <c r="J47" s="199">
        <v>0</v>
      </c>
      <c r="K47" s="199">
        <v>0</v>
      </c>
      <c r="L47" s="199">
        <v>0</v>
      </c>
      <c r="M47" s="199">
        <v>0</v>
      </c>
      <c r="N47" s="199">
        <v>0</v>
      </c>
      <c r="O47" s="199">
        <v>0</v>
      </c>
    </row>
    <row r="48" spans="1:15" s="205" customFormat="1" ht="12">
      <c r="A48" s="266"/>
      <c r="B48" s="268"/>
      <c r="C48" s="212" t="s">
        <v>702</v>
      </c>
      <c r="F48" s="206">
        <v>0</v>
      </c>
      <c r="G48" s="206">
        <v>0</v>
      </c>
      <c r="H48" s="206">
        <v>0</v>
      </c>
      <c r="I48" s="206">
        <v>0</v>
      </c>
      <c r="J48" s="206">
        <v>0</v>
      </c>
      <c r="K48" s="206">
        <v>0</v>
      </c>
      <c r="L48" s="206">
        <v>0</v>
      </c>
      <c r="M48" s="206">
        <v>0</v>
      </c>
      <c r="N48" s="206">
        <v>0</v>
      </c>
      <c r="O48" s="206">
        <v>0</v>
      </c>
    </row>
    <row r="49" spans="1:15" s="267" customFormat="1">
      <c r="A49" s="262" t="s">
        <v>693</v>
      </c>
      <c r="B49" s="261" t="s">
        <v>704</v>
      </c>
      <c r="C49" s="261"/>
      <c r="F49" s="199">
        <v>0</v>
      </c>
      <c r="G49" s="199">
        <v>0</v>
      </c>
      <c r="H49" s="199">
        <v>0</v>
      </c>
      <c r="I49" s="199">
        <v>0</v>
      </c>
      <c r="J49" s="199">
        <v>0</v>
      </c>
      <c r="K49" s="199">
        <v>0</v>
      </c>
      <c r="L49" s="218">
        <v>0</v>
      </c>
      <c r="M49" s="218">
        <v>0</v>
      </c>
      <c r="N49" s="199">
        <v>0</v>
      </c>
      <c r="O49" s="199">
        <v>0</v>
      </c>
    </row>
    <row r="50" spans="1:15" s="205" customFormat="1" ht="12">
      <c r="A50" s="266"/>
      <c r="B50" s="265"/>
      <c r="C50" s="265" t="s">
        <v>705</v>
      </c>
      <c r="F50" s="206">
        <v>0</v>
      </c>
      <c r="G50" s="206">
        <v>0</v>
      </c>
      <c r="H50" s="206">
        <v>0</v>
      </c>
      <c r="I50" s="206">
        <v>0</v>
      </c>
      <c r="J50" s="206">
        <v>0</v>
      </c>
      <c r="K50" s="206">
        <v>0</v>
      </c>
      <c r="L50" s="219">
        <v>0</v>
      </c>
      <c r="M50" s="219">
        <v>0</v>
      </c>
      <c r="N50" s="206">
        <v>0</v>
      </c>
      <c r="O50" s="206">
        <v>0</v>
      </c>
    </row>
    <row r="51" spans="1:15" s="205" customFormat="1" ht="12">
      <c r="A51" s="266"/>
      <c r="B51" s="265"/>
      <c r="C51" s="265" t="s">
        <v>244</v>
      </c>
      <c r="F51" s="206">
        <v>0</v>
      </c>
      <c r="G51" s="206">
        <v>0</v>
      </c>
      <c r="H51" s="206">
        <v>0</v>
      </c>
      <c r="I51" s="206">
        <v>0</v>
      </c>
      <c r="J51" s="206">
        <v>0</v>
      </c>
      <c r="K51" s="206">
        <v>0</v>
      </c>
      <c r="L51" s="219">
        <v>0</v>
      </c>
      <c r="M51" s="219">
        <v>0</v>
      </c>
      <c r="N51" s="206">
        <v>0</v>
      </c>
      <c r="O51" s="206">
        <v>0</v>
      </c>
    </row>
    <row r="52" spans="1:15" s="205" customFormat="1" ht="12">
      <c r="A52" s="258"/>
      <c r="B52" s="257"/>
      <c r="C52" s="257" t="s">
        <v>706</v>
      </c>
      <c r="D52" s="207"/>
      <c r="E52" s="207"/>
      <c r="F52" s="208">
        <v>0</v>
      </c>
      <c r="G52" s="208">
        <v>0</v>
      </c>
      <c r="H52" s="208">
        <v>0</v>
      </c>
      <c r="I52" s="208">
        <v>0</v>
      </c>
      <c r="J52" s="208">
        <v>0</v>
      </c>
      <c r="K52" s="208">
        <v>0</v>
      </c>
      <c r="L52" s="219">
        <v>0</v>
      </c>
      <c r="M52" s="219">
        <v>0</v>
      </c>
      <c r="N52" s="208">
        <v>0</v>
      </c>
      <c r="O52" s="208">
        <v>0</v>
      </c>
    </row>
    <row r="53" spans="1:15">
      <c r="A53" s="220" t="s">
        <v>697</v>
      </c>
      <c r="B53" s="221" t="s">
        <v>707</v>
      </c>
      <c r="C53" s="248"/>
      <c r="D53" s="225"/>
      <c r="E53" s="225"/>
      <c r="F53" s="211">
        <v>0</v>
      </c>
      <c r="G53" s="211">
        <v>0</v>
      </c>
      <c r="H53" s="211">
        <v>0</v>
      </c>
      <c r="I53" s="211">
        <v>0</v>
      </c>
      <c r="J53" s="211">
        <v>0</v>
      </c>
      <c r="K53" s="211">
        <v>890.47774868767601</v>
      </c>
      <c r="L53" s="211">
        <v>0.78298189285303299</v>
      </c>
      <c r="M53" s="211">
        <v>3.7774450928987999E-2</v>
      </c>
      <c r="N53" s="211">
        <v>0</v>
      </c>
      <c r="O53" s="211">
        <v>891.29850503145803</v>
      </c>
    </row>
    <row r="54" spans="1:15">
      <c r="A54" s="220" t="s">
        <v>708</v>
      </c>
      <c r="B54" s="221" t="s">
        <v>709</v>
      </c>
      <c r="C54" s="248"/>
      <c r="D54" s="225"/>
      <c r="E54" s="225"/>
      <c r="F54" s="211">
        <v>7005.3710839701598</v>
      </c>
      <c r="G54" s="211">
        <v>1.7338869207791801</v>
      </c>
      <c r="H54" s="211">
        <v>43.347173019479598</v>
      </c>
      <c r="I54" s="211">
        <v>3.2199900060003301</v>
      </c>
      <c r="J54" s="211">
        <v>959.55702178809895</v>
      </c>
      <c r="K54" s="211">
        <v>0</v>
      </c>
      <c r="L54" s="211">
        <v>0</v>
      </c>
      <c r="M54" s="211">
        <v>0</v>
      </c>
      <c r="N54" s="211">
        <v>0</v>
      </c>
      <c r="O54" s="211">
        <v>8008.2752787777299</v>
      </c>
    </row>
    <row r="55" spans="1:15">
      <c r="A55" s="213" t="s">
        <v>710</v>
      </c>
      <c r="B55" s="214" t="s">
        <v>711</v>
      </c>
      <c r="C55" s="264"/>
      <c r="D55" s="253"/>
      <c r="E55" s="253"/>
      <c r="F55" s="252">
        <v>0</v>
      </c>
      <c r="G55" s="252">
        <v>0</v>
      </c>
      <c r="H55" s="252">
        <v>0</v>
      </c>
      <c r="I55" s="252">
        <v>0.112474212372766</v>
      </c>
      <c r="J55" s="252">
        <v>33.517315287084202</v>
      </c>
      <c r="K55" s="252">
        <v>0</v>
      </c>
      <c r="L55" s="252">
        <v>0.29086554519368002</v>
      </c>
      <c r="M55" s="252">
        <v>0.68400000000000005</v>
      </c>
      <c r="N55" s="252">
        <v>0</v>
      </c>
      <c r="O55" s="252">
        <v>34.492180832277803</v>
      </c>
    </row>
    <row r="56" spans="1:15">
      <c r="A56" s="251" t="s">
        <v>712</v>
      </c>
      <c r="B56" s="250"/>
      <c r="C56" s="250"/>
      <c r="F56" s="223">
        <v>479.11456266666698</v>
      </c>
      <c r="G56" s="223">
        <v>481.042699756996</v>
      </c>
      <c r="H56" s="223">
        <v>12026.0674939249</v>
      </c>
      <c r="I56" s="388">
        <v>20.702806267035399</v>
      </c>
      <c r="J56" s="223">
        <v>6169.4362675765597</v>
      </c>
      <c r="K56" s="198">
        <v>0</v>
      </c>
      <c r="L56" s="198">
        <v>0</v>
      </c>
      <c r="M56" s="198">
        <v>0</v>
      </c>
      <c r="N56" s="198">
        <v>0</v>
      </c>
      <c r="O56" s="198">
        <v>18674.618324168099</v>
      </c>
    </row>
    <row r="57" spans="1:15">
      <c r="A57" s="262" t="s">
        <v>663</v>
      </c>
      <c r="B57" s="261" t="s">
        <v>27</v>
      </c>
      <c r="C57" s="261"/>
      <c r="F57" s="211">
        <v>0</v>
      </c>
      <c r="G57" s="211">
        <v>448.38766318319301</v>
      </c>
      <c r="H57" s="211">
        <v>11209.6915795798</v>
      </c>
      <c r="I57" s="211">
        <v>0</v>
      </c>
      <c r="J57" s="211">
        <v>0</v>
      </c>
      <c r="K57" s="202">
        <v>0</v>
      </c>
      <c r="L57" s="202">
        <v>0</v>
      </c>
      <c r="M57" s="202">
        <v>0</v>
      </c>
      <c r="N57" s="202">
        <v>0</v>
      </c>
      <c r="O57" s="202">
        <v>11209.6915795798</v>
      </c>
    </row>
    <row r="58" spans="1:15">
      <c r="A58" s="262" t="s">
        <v>673</v>
      </c>
      <c r="B58" s="261" t="s">
        <v>28</v>
      </c>
      <c r="C58" s="261"/>
      <c r="F58" s="211">
        <v>0</v>
      </c>
      <c r="G58" s="211">
        <v>32.648544391403199</v>
      </c>
      <c r="H58" s="211">
        <v>816.21360978508096</v>
      </c>
      <c r="I58" s="211">
        <v>5.5757057029263404</v>
      </c>
      <c r="J58" s="211">
        <v>1661.56029947205</v>
      </c>
      <c r="K58" s="202">
        <v>0</v>
      </c>
      <c r="L58" s="202">
        <v>0</v>
      </c>
      <c r="M58" s="202">
        <v>0</v>
      </c>
      <c r="N58" s="202">
        <v>0</v>
      </c>
      <c r="O58" s="202">
        <v>2477.7739092571301</v>
      </c>
    </row>
    <row r="59" spans="1:15">
      <c r="A59" s="262" t="s">
        <v>693</v>
      </c>
      <c r="B59" s="261" t="s">
        <v>713</v>
      </c>
      <c r="C59" s="261"/>
      <c r="F59" s="202">
        <v>0</v>
      </c>
      <c r="G59" s="202">
        <v>0</v>
      </c>
      <c r="H59" s="202">
        <v>0</v>
      </c>
      <c r="I59" s="202">
        <v>15.1269322482691</v>
      </c>
      <c r="J59" s="202">
        <v>4507.8258099841896</v>
      </c>
      <c r="K59" s="199">
        <v>0</v>
      </c>
      <c r="L59" s="199">
        <v>0</v>
      </c>
      <c r="M59" s="199">
        <v>0</v>
      </c>
      <c r="N59" s="199">
        <v>0</v>
      </c>
      <c r="O59" s="199">
        <v>4507.8258099841896</v>
      </c>
    </row>
    <row r="60" spans="1:15" s="205" customFormat="1" ht="12">
      <c r="A60" s="260"/>
      <c r="B60" s="259"/>
      <c r="C60" s="257" t="s">
        <v>714</v>
      </c>
      <c r="F60" s="208">
        <v>0</v>
      </c>
      <c r="G60" s="208">
        <v>0</v>
      </c>
      <c r="H60" s="208">
        <v>0</v>
      </c>
      <c r="I60" s="208">
        <v>12.0682407281324</v>
      </c>
      <c r="J60" s="208">
        <v>3596.3357369834398</v>
      </c>
      <c r="K60" s="206">
        <v>0</v>
      </c>
      <c r="L60" s="206">
        <v>0</v>
      </c>
      <c r="M60" s="206">
        <v>0</v>
      </c>
      <c r="N60" s="206">
        <v>0</v>
      </c>
      <c r="O60" s="206">
        <v>3596.3357369834398</v>
      </c>
    </row>
    <row r="61" spans="1:15" s="205" customFormat="1" ht="12">
      <c r="A61" s="258"/>
      <c r="B61" s="257"/>
      <c r="C61" s="257" t="s">
        <v>715</v>
      </c>
      <c r="D61" s="207"/>
      <c r="E61" s="207"/>
      <c r="F61" s="208">
        <v>0</v>
      </c>
      <c r="G61" s="208">
        <v>0</v>
      </c>
      <c r="H61" s="208">
        <v>0</v>
      </c>
      <c r="I61" s="208">
        <v>3.0586915201367302</v>
      </c>
      <c r="J61" s="208">
        <v>911.49007300074595</v>
      </c>
      <c r="K61" s="208">
        <v>0</v>
      </c>
      <c r="L61" s="208">
        <v>0</v>
      </c>
      <c r="M61" s="208">
        <v>0</v>
      </c>
      <c r="N61" s="208">
        <v>0</v>
      </c>
      <c r="O61" s="208">
        <v>911.49007300074595</v>
      </c>
    </row>
    <row r="62" spans="1:15" s="204" customFormat="1" ht="13">
      <c r="A62" s="249" t="s">
        <v>697</v>
      </c>
      <c r="B62" s="248" t="s">
        <v>185</v>
      </c>
      <c r="C62" s="256"/>
      <c r="D62" s="210"/>
      <c r="E62" s="210"/>
      <c r="F62" s="211">
        <v>0</v>
      </c>
      <c r="G62" s="211">
        <v>6.4921824000000001E-3</v>
      </c>
      <c r="H62" s="211">
        <v>0.16230455999999999</v>
      </c>
      <c r="I62" s="211">
        <v>1.6831583999999999E-4</v>
      </c>
      <c r="J62" s="211">
        <v>5.0158120319999999E-2</v>
      </c>
      <c r="K62" s="211">
        <v>0</v>
      </c>
      <c r="L62" s="211">
        <v>0</v>
      </c>
      <c r="M62" s="211">
        <v>0</v>
      </c>
      <c r="N62" s="211">
        <v>0</v>
      </c>
      <c r="O62" s="211">
        <v>0.21246268032000001</v>
      </c>
    </row>
    <row r="63" spans="1:15">
      <c r="A63" s="255" t="s">
        <v>708</v>
      </c>
      <c r="B63" s="214" t="s">
        <v>716</v>
      </c>
      <c r="C63" s="254"/>
      <c r="D63" s="253"/>
      <c r="E63" s="253"/>
      <c r="F63" s="222">
        <v>479.11456266666698</v>
      </c>
      <c r="G63" s="222">
        <v>0</v>
      </c>
      <c r="H63" s="222">
        <v>0</v>
      </c>
      <c r="I63" s="222">
        <v>0</v>
      </c>
      <c r="J63" s="222">
        <v>0</v>
      </c>
      <c r="K63" s="252">
        <v>0</v>
      </c>
      <c r="L63" s="252">
        <v>0</v>
      </c>
      <c r="M63" s="252">
        <v>0</v>
      </c>
      <c r="N63" s="252">
        <v>0</v>
      </c>
      <c r="O63" s="252">
        <v>479.11456266666698</v>
      </c>
    </row>
    <row r="64" spans="1:15">
      <c r="A64" s="251" t="s">
        <v>717</v>
      </c>
      <c r="B64" s="250"/>
      <c r="C64" s="250"/>
      <c r="F64" s="198">
        <v>13.343217729999999</v>
      </c>
      <c r="G64" s="198">
        <v>81.00309172</v>
      </c>
      <c r="H64" s="198">
        <v>2025.0772930000001</v>
      </c>
      <c r="I64" s="198">
        <v>0.50980965</v>
      </c>
      <c r="J64" s="198">
        <v>151.9232757</v>
      </c>
      <c r="K64" s="198">
        <v>0</v>
      </c>
      <c r="L64" s="198">
        <v>0</v>
      </c>
      <c r="M64" s="198">
        <v>0</v>
      </c>
      <c r="N64" s="198">
        <v>0</v>
      </c>
      <c r="O64" s="198">
        <v>2190.3437864299999</v>
      </c>
    </row>
    <row r="65" spans="1:31">
      <c r="A65" s="249" t="s">
        <v>663</v>
      </c>
      <c r="B65" s="248" t="s">
        <v>718</v>
      </c>
      <c r="C65" s="248"/>
      <c r="D65" s="225"/>
      <c r="E65" s="225"/>
      <c r="F65" s="211">
        <v>0</v>
      </c>
      <c r="G65" s="211">
        <v>75.440926390000001</v>
      </c>
      <c r="H65" s="211">
        <v>1886.0231597500001</v>
      </c>
      <c r="I65" s="211">
        <v>0</v>
      </c>
      <c r="J65" s="211">
        <v>0</v>
      </c>
      <c r="K65" s="211">
        <v>0</v>
      </c>
      <c r="L65" s="211">
        <v>0</v>
      </c>
      <c r="M65" s="211">
        <v>0</v>
      </c>
      <c r="N65" s="211">
        <v>0</v>
      </c>
      <c r="O65" s="211">
        <v>1886.0231597500001</v>
      </c>
    </row>
    <row r="66" spans="1:31">
      <c r="A66" s="249" t="s">
        <v>822</v>
      </c>
      <c r="B66" s="248" t="s">
        <v>719</v>
      </c>
      <c r="E66" s="225"/>
      <c r="F66" s="211">
        <v>0</v>
      </c>
      <c r="G66" s="211">
        <v>4.2642583099999998</v>
      </c>
      <c r="H66" s="211">
        <v>106.60645775</v>
      </c>
      <c r="I66" s="211">
        <v>0.25585550000000001</v>
      </c>
      <c r="J66" s="211">
        <v>76.244939000000002</v>
      </c>
      <c r="K66" s="211">
        <v>0</v>
      </c>
      <c r="L66" s="211">
        <v>0</v>
      </c>
      <c r="M66" s="211">
        <v>0</v>
      </c>
      <c r="N66" s="211">
        <v>0</v>
      </c>
      <c r="O66" s="211">
        <v>182.85139674999999</v>
      </c>
    </row>
    <row r="67" spans="1:31">
      <c r="A67" s="249" t="s">
        <v>693</v>
      </c>
      <c r="B67" s="248" t="s">
        <v>720</v>
      </c>
      <c r="C67" s="248"/>
      <c r="D67" s="225"/>
      <c r="E67" s="225"/>
      <c r="F67" s="211">
        <v>0</v>
      </c>
      <c r="G67" s="211">
        <v>1.29670792</v>
      </c>
      <c r="H67" s="211">
        <v>32.417698000000001</v>
      </c>
      <c r="I67" s="211">
        <v>0.23151388000000001</v>
      </c>
      <c r="J67" s="211">
        <v>68.991136240000003</v>
      </c>
      <c r="K67" s="211">
        <v>0</v>
      </c>
      <c r="L67" s="211">
        <v>0</v>
      </c>
      <c r="M67" s="211">
        <v>0</v>
      </c>
      <c r="N67" s="211">
        <v>0</v>
      </c>
      <c r="O67" s="211">
        <v>101.40883424</v>
      </c>
    </row>
    <row r="68" spans="1:31">
      <c r="A68" s="247" t="s">
        <v>697</v>
      </c>
      <c r="B68" s="246" t="s">
        <v>721</v>
      </c>
      <c r="C68" s="246"/>
      <c r="D68" s="245"/>
      <c r="E68" s="245"/>
      <c r="F68" s="222">
        <v>13.343217729999999</v>
      </c>
      <c r="G68" s="222">
        <v>1.1991E-3</v>
      </c>
      <c r="H68" s="222">
        <v>2.9977500000000001E-2</v>
      </c>
      <c r="I68" s="222">
        <v>2.2440269999999998E-2</v>
      </c>
      <c r="J68" s="222">
        <v>6.6872004599999997</v>
      </c>
      <c r="K68" s="222">
        <v>0</v>
      </c>
      <c r="L68" s="222">
        <v>0</v>
      </c>
      <c r="M68" s="222">
        <v>0</v>
      </c>
      <c r="N68" s="222">
        <v>0</v>
      </c>
      <c r="O68" s="222">
        <v>20.06039569</v>
      </c>
    </row>
    <row r="69" spans="1:31" s="196" customFormat="1" ht="14"/>
    <row r="70" spans="1:31">
      <c r="A70" s="204" t="s">
        <v>248</v>
      </c>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row>
    <row r="71" spans="1:31" s="204" customFormat="1" ht="13">
      <c r="A71" s="204" t="s">
        <v>821</v>
      </c>
    </row>
    <row r="72" spans="1:31" s="204" customFormat="1" ht="15">
      <c r="A72" s="204" t="s">
        <v>918</v>
      </c>
    </row>
    <row r="73" spans="1:31" s="204" customFormat="1" ht="15">
      <c r="A73" s="204" t="s">
        <v>917</v>
      </c>
      <c r="F73" s="387"/>
      <c r="G73" s="387"/>
      <c r="H73" s="387"/>
      <c r="I73" s="387"/>
      <c r="J73" s="387"/>
      <c r="K73" s="387"/>
      <c r="L73" s="387"/>
      <c r="M73" s="387"/>
      <c r="N73" s="387"/>
      <c r="O73" s="387"/>
      <c r="P73" s="387"/>
      <c r="Q73" s="387"/>
      <c r="R73" s="387"/>
      <c r="S73" s="387"/>
      <c r="T73" s="387"/>
      <c r="U73" s="387"/>
      <c r="V73" s="387"/>
      <c r="W73" s="387"/>
      <c r="X73" s="387"/>
      <c r="Y73" s="387"/>
      <c r="Z73" s="387"/>
      <c r="AA73" s="387"/>
      <c r="AB73" s="387"/>
      <c r="AC73" s="387"/>
      <c r="AE73" s="386"/>
    </row>
    <row r="74" spans="1:31" s="204" customFormat="1" ht="13">
      <c r="A74" s="204" t="s">
        <v>722</v>
      </c>
    </row>
    <row r="75" spans="1:31" s="204" customFormat="1" ht="13">
      <c r="A75" s="204" t="s">
        <v>723</v>
      </c>
      <c r="B75" s="204" t="s">
        <v>724</v>
      </c>
    </row>
    <row r="76" spans="1:31" s="204" customFormat="1" ht="13">
      <c r="A76" s="385">
        <v>0</v>
      </c>
      <c r="B76" s="204" t="s">
        <v>725</v>
      </c>
    </row>
    <row r="77" spans="1:31" s="204" customFormat="1" ht="13">
      <c r="A77" s="204" t="s">
        <v>817</v>
      </c>
      <c r="B77" s="204" t="s">
        <v>816</v>
      </c>
    </row>
    <row r="78" spans="1:31" s="204" customFormat="1" ht="13">
      <c r="A78" s="204" t="s">
        <v>815</v>
      </c>
    </row>
    <row r="79" spans="1:31">
      <c r="A79" s="204" t="s">
        <v>916</v>
      </c>
      <c r="F79" s="383"/>
      <c r="G79" s="383"/>
      <c r="H79" s="383"/>
      <c r="I79" s="383"/>
      <c r="J79" s="383"/>
      <c r="K79" s="383"/>
      <c r="L79" s="383"/>
      <c r="M79" s="383"/>
      <c r="N79" s="383"/>
      <c r="O79" s="384"/>
      <c r="P79" s="383"/>
      <c r="R79" s="383"/>
      <c r="S79" s="383"/>
      <c r="T79" s="383"/>
      <c r="U79" s="383"/>
      <c r="V79" s="383"/>
      <c r="W79" s="383"/>
      <c r="X79" s="383"/>
      <c r="Y79" s="383"/>
      <c r="Z79" s="383"/>
      <c r="AA79" s="383"/>
      <c r="AB79" s="383"/>
      <c r="AC79" s="383"/>
      <c r="AE79" s="382"/>
    </row>
    <row r="80" spans="1:31">
      <c r="A80" s="381" t="s">
        <v>915</v>
      </c>
      <c r="B80" s="209"/>
      <c r="C80" s="209"/>
      <c r="D80" s="204"/>
      <c r="E80" s="380"/>
      <c r="F80" s="380"/>
      <c r="G80" s="224"/>
      <c r="H80" s="224"/>
      <c r="I80" s="224"/>
      <c r="J80" s="224"/>
      <c r="K80" s="224"/>
      <c r="L80" s="224"/>
      <c r="M80" s="224"/>
      <c r="N80" s="224"/>
      <c r="O80" s="224"/>
      <c r="P80" s="224"/>
      <c r="Q80" s="224"/>
      <c r="R80" s="224"/>
      <c r="S80" s="224"/>
      <c r="T80" s="224"/>
      <c r="U80" s="224"/>
      <c r="V80" s="224"/>
      <c r="W80" s="224"/>
      <c r="X80" s="224"/>
      <c r="Y80" s="224"/>
      <c r="Z80" s="224"/>
      <c r="AA80" s="224"/>
    </row>
    <row r="81" spans="1:27">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c r="AA81" s="224"/>
    </row>
  </sheetData>
  <hyperlinks>
    <hyperlink ref="A80" r:id="rId1" xr:uid="{00000000-0004-0000-2E00-000000000000}"/>
  </hyperlinks>
  <pageMargins left="0.70866141732283472" right="0.70866141732283472" top="0.74803149606299213" bottom="0.74803149606299213" header="0.31496062992125984" footer="0.31496062992125984"/>
  <pageSetup paperSize="5" scale="42"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theme="4" tint="0.39997558519241921"/>
    <pageSetUpPr fitToPage="1"/>
  </sheetPr>
  <dimension ref="A1:AE81"/>
  <sheetViews>
    <sheetView zoomScale="80" zoomScaleNormal="80" workbookViewId="0">
      <pane xSplit="5" ySplit="7" topLeftCell="F40" activePane="bottomRight" state="frozen"/>
      <selection activeCell="A80" sqref="A80"/>
      <selection pane="topRight" activeCell="A80" sqref="A80"/>
      <selection pane="bottomLeft" activeCell="A80" sqref="A80"/>
      <selection pane="bottomRight" activeCell="F54" sqref="F54"/>
    </sheetView>
  </sheetViews>
  <sheetFormatPr baseColWidth="10" defaultColWidth="9.1640625" defaultRowHeight="16"/>
  <cols>
    <col min="1" max="1" width="4.5" style="197" customWidth="1"/>
    <col min="2" max="2" width="3.33203125" style="197" customWidth="1"/>
    <col min="3" max="3" width="52.5" style="197" customWidth="1"/>
    <col min="4" max="5" width="3.33203125" style="197" customWidth="1"/>
    <col min="6" max="15" width="16.5" style="197" customWidth="1"/>
    <col min="16" max="16384" width="9.1640625" style="197"/>
  </cols>
  <sheetData>
    <row r="1" spans="1:15" s="169" customFormat="1" ht="14">
      <c r="A1" s="280" t="s">
        <v>927</v>
      </c>
      <c r="B1" s="168"/>
      <c r="C1" s="168"/>
      <c r="D1" s="168"/>
      <c r="E1" s="168"/>
      <c r="F1" s="168"/>
      <c r="G1" s="168"/>
      <c r="H1" s="168"/>
      <c r="I1" s="168"/>
      <c r="J1" s="168"/>
      <c r="K1" s="168"/>
      <c r="L1" s="168"/>
      <c r="M1" s="168"/>
      <c r="N1" s="168"/>
      <c r="O1" s="168"/>
    </row>
    <row r="2" spans="1:15" s="169" customFormat="1" ht="14">
      <c r="B2" s="170"/>
      <c r="C2" s="170"/>
      <c r="D2" s="170"/>
      <c r="E2" s="170"/>
      <c r="F2" s="170"/>
      <c r="G2" s="170"/>
      <c r="H2" s="170"/>
      <c r="I2" s="170"/>
      <c r="J2" s="170"/>
      <c r="K2" s="170"/>
      <c r="L2" s="170"/>
      <c r="M2" s="170"/>
      <c r="N2" s="170"/>
      <c r="O2" s="170"/>
    </row>
    <row r="3" spans="1:15" s="169" customFormat="1" ht="14">
      <c r="B3" s="170"/>
      <c r="C3" s="170"/>
      <c r="D3" s="170"/>
      <c r="E3" s="170"/>
      <c r="F3" s="171" t="s">
        <v>651</v>
      </c>
      <c r="G3" s="172"/>
      <c r="H3" s="172"/>
      <c r="I3" s="172"/>
      <c r="J3" s="172"/>
      <c r="K3" s="172"/>
      <c r="L3" s="172"/>
      <c r="M3" s="172"/>
      <c r="N3" s="172"/>
      <c r="O3" s="172"/>
    </row>
    <row r="4" spans="1:15" s="169" customFormat="1" ht="15">
      <c r="A4" s="170"/>
      <c r="B4" s="170"/>
      <c r="C4" s="170"/>
      <c r="D4" s="170"/>
      <c r="E4" s="170"/>
      <c r="F4" s="173" t="s">
        <v>652</v>
      </c>
      <c r="G4" s="174" t="s">
        <v>653</v>
      </c>
      <c r="H4" s="174" t="s">
        <v>653</v>
      </c>
      <c r="I4" s="174" t="s">
        <v>654</v>
      </c>
      <c r="J4" s="174" t="s">
        <v>654</v>
      </c>
      <c r="K4" s="175" t="s">
        <v>827</v>
      </c>
      <c r="L4" s="175" t="s">
        <v>826</v>
      </c>
      <c r="M4" s="174" t="s">
        <v>655</v>
      </c>
      <c r="N4" s="176" t="s">
        <v>656</v>
      </c>
      <c r="O4" s="177" t="s">
        <v>657</v>
      </c>
    </row>
    <row r="5" spans="1:15" s="179" customFormat="1" ht="14">
      <c r="A5" s="178" t="s">
        <v>658</v>
      </c>
      <c r="B5" s="178"/>
      <c r="E5" s="180" t="s">
        <v>659</v>
      </c>
      <c r="F5" s="181"/>
      <c r="G5" s="182"/>
      <c r="H5" s="183">
        <v>25</v>
      </c>
      <c r="I5" s="184"/>
      <c r="J5" s="183">
        <v>298</v>
      </c>
      <c r="K5" s="185"/>
      <c r="L5" s="185"/>
      <c r="M5" s="186">
        <v>22800</v>
      </c>
      <c r="N5" s="186">
        <v>17200</v>
      </c>
      <c r="O5" s="187"/>
    </row>
    <row r="6" spans="1:15" s="188" customFormat="1" ht="14.25" customHeight="1">
      <c r="C6" s="189"/>
      <c r="D6" s="189"/>
      <c r="E6" s="190" t="s">
        <v>377</v>
      </c>
      <c r="F6" s="191" t="s">
        <v>660</v>
      </c>
      <c r="G6" s="191" t="s">
        <v>660</v>
      </c>
      <c r="H6" s="192" t="s">
        <v>661</v>
      </c>
      <c r="I6" s="193" t="s">
        <v>660</v>
      </c>
      <c r="J6" s="192" t="s">
        <v>661</v>
      </c>
      <c r="K6" s="192" t="s">
        <v>661</v>
      </c>
      <c r="L6" s="192" t="s">
        <v>661</v>
      </c>
      <c r="M6" s="192" t="s">
        <v>661</v>
      </c>
      <c r="N6" s="192" t="s">
        <v>661</v>
      </c>
      <c r="O6" s="192" t="s">
        <v>661</v>
      </c>
    </row>
    <row r="7" spans="1:15" s="196" customFormat="1" ht="15" thickBot="1">
      <c r="A7" s="279" t="s">
        <v>657</v>
      </c>
      <c r="B7" s="278"/>
      <c r="C7" s="277"/>
      <c r="D7" s="194"/>
      <c r="E7" s="194"/>
      <c r="F7" s="195">
        <v>184137.14247153499</v>
      </c>
      <c r="G7" s="195">
        <v>1764.10119850108</v>
      </c>
      <c r="H7" s="195">
        <v>44102.529962526904</v>
      </c>
      <c r="I7" s="195">
        <v>32.707453212114501</v>
      </c>
      <c r="J7" s="195">
        <v>9746.8210572101107</v>
      </c>
      <c r="K7" s="195">
        <v>775.28491926826405</v>
      </c>
      <c r="L7" s="195">
        <v>0.940421159470198</v>
      </c>
      <c r="M7" s="195">
        <v>1.0292845923781699</v>
      </c>
      <c r="N7" s="195">
        <v>0</v>
      </c>
      <c r="O7" s="195">
        <v>238763.748116292</v>
      </c>
    </row>
    <row r="8" spans="1:15" ht="17" thickTop="1">
      <c r="A8" s="251" t="s">
        <v>662</v>
      </c>
      <c r="B8" s="276"/>
      <c r="C8" s="276"/>
      <c r="F8" s="198">
        <v>174709.20304761999</v>
      </c>
      <c r="G8" s="198">
        <v>1192.80975567102</v>
      </c>
      <c r="H8" s="198">
        <v>29820.243891775499</v>
      </c>
      <c r="I8" s="198">
        <v>8.4717285419596706</v>
      </c>
      <c r="J8" s="198">
        <v>2524.57510550398</v>
      </c>
      <c r="K8" s="198">
        <v>0</v>
      </c>
      <c r="L8" s="198">
        <v>0</v>
      </c>
      <c r="M8" s="198">
        <v>0</v>
      </c>
      <c r="N8" s="198">
        <v>0</v>
      </c>
      <c r="O8" s="198">
        <v>207054.022044899</v>
      </c>
    </row>
    <row r="9" spans="1:15">
      <c r="A9" s="262" t="s">
        <v>663</v>
      </c>
      <c r="B9" s="261" t="s">
        <v>664</v>
      </c>
      <c r="C9" s="261"/>
      <c r="F9" s="199">
        <v>130403.856903914</v>
      </c>
      <c r="G9" s="199">
        <v>69.856522575581494</v>
      </c>
      <c r="H9" s="199">
        <v>1746.4130643895401</v>
      </c>
      <c r="I9" s="199">
        <v>2.7482313750794098</v>
      </c>
      <c r="J9" s="199">
        <v>818.97294977366505</v>
      </c>
      <c r="K9" s="199">
        <v>0</v>
      </c>
      <c r="L9" s="199">
        <v>0</v>
      </c>
      <c r="M9" s="199">
        <v>0</v>
      </c>
      <c r="N9" s="199">
        <v>0</v>
      </c>
      <c r="O9" s="199">
        <v>132969.24291807701</v>
      </c>
    </row>
    <row r="10" spans="1:15">
      <c r="A10" s="273"/>
      <c r="B10" s="201" t="s">
        <v>665</v>
      </c>
      <c r="C10" s="265"/>
      <c r="F10" s="202">
        <v>52188.734605928097</v>
      </c>
      <c r="G10" s="202">
        <v>2.0595201083898198</v>
      </c>
      <c r="H10" s="202">
        <v>51.488002709745402</v>
      </c>
      <c r="I10" s="202">
        <v>1.0029154142830199</v>
      </c>
      <c r="J10" s="202">
        <v>298.868793456341</v>
      </c>
      <c r="K10" s="202">
        <v>0</v>
      </c>
      <c r="L10" s="202">
        <v>0</v>
      </c>
      <c r="M10" s="202">
        <v>0</v>
      </c>
      <c r="N10" s="202">
        <v>0</v>
      </c>
      <c r="O10" s="202">
        <v>52539.0914020942</v>
      </c>
    </row>
    <row r="11" spans="1:15">
      <c r="A11" s="273"/>
      <c r="B11" s="203" t="s">
        <v>666</v>
      </c>
      <c r="C11" s="265"/>
      <c r="F11" s="202">
        <v>3647.8474521592698</v>
      </c>
      <c r="G11" s="202">
        <v>7.39815640680037E-2</v>
      </c>
      <c r="H11" s="202">
        <v>1.8495391017000899</v>
      </c>
      <c r="I11" s="202">
        <v>1.9851279836101202E-2</v>
      </c>
      <c r="J11" s="202">
        <v>5.9156813911581603</v>
      </c>
      <c r="K11" s="202">
        <v>0</v>
      </c>
      <c r="L11" s="202">
        <v>0</v>
      </c>
      <c r="M11" s="202">
        <v>0</v>
      </c>
      <c r="N11" s="202">
        <v>0</v>
      </c>
      <c r="O11" s="202">
        <v>3655.6126726521302</v>
      </c>
    </row>
    <row r="12" spans="1:15">
      <c r="A12" s="273"/>
      <c r="B12" s="203" t="s">
        <v>667</v>
      </c>
      <c r="C12" s="275"/>
      <c r="F12" s="202">
        <v>52004.478472003502</v>
      </c>
      <c r="G12" s="202">
        <v>63.805203138084401</v>
      </c>
      <c r="H12" s="202">
        <v>1595.13007845211</v>
      </c>
      <c r="I12" s="202">
        <v>1.0840177274116001</v>
      </c>
      <c r="J12" s="202">
        <v>323.03728276865701</v>
      </c>
      <c r="K12" s="202">
        <v>0</v>
      </c>
      <c r="L12" s="202">
        <v>0</v>
      </c>
      <c r="M12" s="202">
        <v>0</v>
      </c>
      <c r="N12" s="202">
        <v>0</v>
      </c>
      <c r="O12" s="202">
        <v>53922.645833224298</v>
      </c>
    </row>
    <row r="13" spans="1:15">
      <c r="A13" s="273"/>
      <c r="B13" s="203" t="s">
        <v>668</v>
      </c>
      <c r="C13" s="265"/>
      <c r="F13" s="202">
        <v>9261.3641385290703</v>
      </c>
      <c r="G13" s="202">
        <v>0.41593528983650901</v>
      </c>
      <c r="H13" s="202">
        <v>10.3983822459127</v>
      </c>
      <c r="I13" s="202">
        <v>0.335980693814455</v>
      </c>
      <c r="J13" s="202">
        <v>100.12224675670799</v>
      </c>
      <c r="K13" s="202">
        <v>0</v>
      </c>
      <c r="L13" s="202">
        <v>0</v>
      </c>
      <c r="M13" s="202">
        <v>0</v>
      </c>
      <c r="N13" s="202">
        <v>0</v>
      </c>
      <c r="O13" s="202">
        <v>9371.8847675316902</v>
      </c>
    </row>
    <row r="14" spans="1:15">
      <c r="A14" s="273"/>
      <c r="B14" s="203" t="s">
        <v>670</v>
      </c>
      <c r="C14" s="274"/>
      <c r="F14" s="202">
        <v>192.25727000000001</v>
      </c>
      <c r="G14" s="202">
        <v>3.4810000000000002E-3</v>
      </c>
      <c r="H14" s="202">
        <v>8.7025000000000005E-2</v>
      </c>
      <c r="I14" s="202">
        <v>6.7359999999999998E-3</v>
      </c>
      <c r="J14" s="202">
        <v>2.0073279999999998</v>
      </c>
      <c r="K14" s="202">
        <v>0</v>
      </c>
      <c r="L14" s="202">
        <v>0</v>
      </c>
      <c r="M14" s="202">
        <v>0</v>
      </c>
      <c r="N14" s="202">
        <v>0</v>
      </c>
      <c r="O14" s="202">
        <v>194.35162299999999</v>
      </c>
    </row>
    <row r="15" spans="1:15">
      <c r="A15" s="273"/>
      <c r="B15" s="203" t="s">
        <v>671</v>
      </c>
      <c r="C15" s="203"/>
      <c r="F15" s="202">
        <v>5342.2079252936001</v>
      </c>
      <c r="G15" s="202">
        <v>0.10174231412479701</v>
      </c>
      <c r="H15" s="202">
        <v>2.5435578531199301</v>
      </c>
      <c r="I15" s="202">
        <v>0.111850750567402</v>
      </c>
      <c r="J15" s="202">
        <v>33.331523669085698</v>
      </c>
      <c r="K15" s="202">
        <v>0</v>
      </c>
      <c r="L15" s="202">
        <v>0</v>
      </c>
      <c r="M15" s="202">
        <v>0</v>
      </c>
      <c r="N15" s="202">
        <v>0</v>
      </c>
      <c r="O15" s="202">
        <v>5378.0830068158102</v>
      </c>
    </row>
    <row r="16" spans="1:15">
      <c r="A16" s="273"/>
      <c r="B16" s="203" t="s">
        <v>175</v>
      </c>
      <c r="C16" s="203"/>
      <c r="F16" s="202">
        <v>7529.7089599999999</v>
      </c>
      <c r="G16" s="202">
        <v>3.3922578610779901</v>
      </c>
      <c r="H16" s="202">
        <v>84.8064465269496</v>
      </c>
      <c r="I16" s="202">
        <v>0.18192190916682899</v>
      </c>
      <c r="J16" s="202">
        <v>54.212728931715098</v>
      </c>
      <c r="K16" s="202">
        <v>0</v>
      </c>
      <c r="L16" s="202">
        <v>0</v>
      </c>
      <c r="M16" s="202">
        <v>0</v>
      </c>
      <c r="N16" s="202">
        <v>0</v>
      </c>
      <c r="O16" s="202">
        <v>7668.7281354586603</v>
      </c>
    </row>
    <row r="17" spans="1:15">
      <c r="A17" s="273"/>
      <c r="B17" s="203" t="s">
        <v>672</v>
      </c>
      <c r="C17" s="203"/>
      <c r="F17" s="202">
        <v>237.25808000000001</v>
      </c>
      <c r="G17" s="202">
        <v>4.4013000000000004E-3</v>
      </c>
      <c r="H17" s="202">
        <v>0.11003250000000001</v>
      </c>
      <c r="I17" s="202">
        <v>4.9576000000000004E-3</v>
      </c>
      <c r="J17" s="202">
        <v>1.4773647999999999</v>
      </c>
      <c r="K17" s="202">
        <v>0</v>
      </c>
      <c r="L17" s="202">
        <v>0</v>
      </c>
      <c r="M17" s="202">
        <v>0</v>
      </c>
      <c r="N17" s="202">
        <v>0</v>
      </c>
      <c r="O17" s="202">
        <v>238.8454773</v>
      </c>
    </row>
    <row r="18" spans="1:15">
      <c r="A18" s="262" t="s">
        <v>673</v>
      </c>
      <c r="B18" s="261" t="s">
        <v>825</v>
      </c>
      <c r="C18" s="261"/>
      <c r="F18" s="199">
        <v>35545.151718404297</v>
      </c>
      <c r="G18" s="199">
        <v>6.46720074325337</v>
      </c>
      <c r="H18" s="199">
        <v>161.680018581334</v>
      </c>
      <c r="I18" s="199">
        <v>5.6855430645247402</v>
      </c>
      <c r="J18" s="199">
        <v>1694.29183322837</v>
      </c>
      <c r="K18" s="199">
        <v>0</v>
      </c>
      <c r="L18" s="199">
        <v>0</v>
      </c>
      <c r="M18" s="199">
        <v>0</v>
      </c>
      <c r="N18" s="199">
        <v>0</v>
      </c>
      <c r="O18" s="199">
        <v>37401.123570213997</v>
      </c>
    </row>
    <row r="19" spans="1:15">
      <c r="A19" s="273"/>
      <c r="B19" s="203" t="s">
        <v>674</v>
      </c>
      <c r="C19" s="265"/>
      <c r="F19" s="202">
        <v>1360.96576242687</v>
      </c>
      <c r="G19" s="202">
        <v>3.99858250773545E-2</v>
      </c>
      <c r="H19" s="202">
        <v>0.99964562693386205</v>
      </c>
      <c r="I19" s="202">
        <v>3.9174830868869602E-2</v>
      </c>
      <c r="J19" s="202">
        <v>11.6740995989231</v>
      </c>
      <c r="K19" s="202">
        <v>0</v>
      </c>
      <c r="L19" s="202">
        <v>0</v>
      </c>
      <c r="M19" s="202">
        <v>0</v>
      </c>
      <c r="N19" s="202">
        <v>0</v>
      </c>
      <c r="O19" s="202">
        <v>1373.6395076527299</v>
      </c>
    </row>
    <row r="20" spans="1:15">
      <c r="A20" s="273"/>
      <c r="B20" s="203" t="s">
        <v>675</v>
      </c>
      <c r="C20" s="265"/>
      <c r="F20" s="202">
        <v>20708.926832622099</v>
      </c>
      <c r="G20" s="202">
        <v>1.5475961633278501</v>
      </c>
      <c r="H20" s="202">
        <v>38.689904083196303</v>
      </c>
      <c r="I20" s="202">
        <v>1.9914410950773</v>
      </c>
      <c r="J20" s="202">
        <v>593.44944633303396</v>
      </c>
      <c r="K20" s="202">
        <v>0</v>
      </c>
      <c r="L20" s="202">
        <v>0</v>
      </c>
      <c r="M20" s="202">
        <v>0</v>
      </c>
      <c r="N20" s="202">
        <v>0</v>
      </c>
      <c r="O20" s="202">
        <v>21341.0661830383</v>
      </c>
    </row>
    <row r="21" spans="1:15" s="205" customFormat="1" ht="12">
      <c r="A21" s="266"/>
      <c r="B21" s="265"/>
      <c r="C21" s="212" t="s">
        <v>676</v>
      </c>
      <c r="F21" s="206">
        <v>3632.2790264779501</v>
      </c>
      <c r="G21" s="206">
        <v>0.39849513916160201</v>
      </c>
      <c r="H21" s="206">
        <v>9.9623784790400496</v>
      </c>
      <c r="I21" s="206">
        <v>0.47792337281306002</v>
      </c>
      <c r="J21" s="206">
        <v>142.42116509829199</v>
      </c>
      <c r="K21" s="206">
        <v>0</v>
      </c>
      <c r="L21" s="206">
        <v>0</v>
      </c>
      <c r="M21" s="206">
        <v>0</v>
      </c>
      <c r="N21" s="206">
        <v>0</v>
      </c>
      <c r="O21" s="206">
        <v>3784.66257005529</v>
      </c>
    </row>
    <row r="22" spans="1:15" s="205" customFormat="1" ht="12">
      <c r="A22" s="266"/>
      <c r="B22" s="265"/>
      <c r="C22" s="212" t="s">
        <v>677</v>
      </c>
      <c r="F22" s="206">
        <v>5204.5416561217498</v>
      </c>
      <c r="G22" s="206">
        <v>0.55247300790812304</v>
      </c>
      <c r="H22" s="206">
        <v>13.811825197703101</v>
      </c>
      <c r="I22" s="206">
        <v>0.83221816620833899</v>
      </c>
      <c r="J22" s="206">
        <v>248.001013530085</v>
      </c>
      <c r="K22" s="206">
        <v>0</v>
      </c>
      <c r="L22" s="206">
        <v>0</v>
      </c>
      <c r="M22" s="206">
        <v>0</v>
      </c>
      <c r="N22" s="206">
        <v>0</v>
      </c>
      <c r="O22" s="206">
        <v>5466.3544948495401</v>
      </c>
    </row>
    <row r="23" spans="1:15" s="205" customFormat="1" ht="12">
      <c r="A23" s="266"/>
      <c r="B23" s="265"/>
      <c r="C23" s="212" t="s">
        <v>678</v>
      </c>
      <c r="F23" s="206">
        <v>3276.9127026291799</v>
      </c>
      <c r="G23" s="206">
        <v>0.18126320109536301</v>
      </c>
      <c r="H23" s="206">
        <v>4.5315800273840896</v>
      </c>
      <c r="I23" s="206">
        <v>0.232547282301893</v>
      </c>
      <c r="J23" s="206">
        <v>69.299090125964199</v>
      </c>
      <c r="K23" s="206">
        <v>0</v>
      </c>
      <c r="L23" s="206">
        <v>0</v>
      </c>
      <c r="M23" s="206">
        <v>0</v>
      </c>
      <c r="N23" s="206">
        <v>0</v>
      </c>
      <c r="O23" s="206">
        <v>3350.7433727825301</v>
      </c>
    </row>
    <row r="24" spans="1:15" s="205" customFormat="1" ht="12">
      <c r="A24" s="266"/>
      <c r="B24" s="265"/>
      <c r="C24" s="212" t="s">
        <v>679</v>
      </c>
      <c r="F24" s="206">
        <v>30.896395025271001</v>
      </c>
      <c r="G24" s="206">
        <v>1.4317462117725501E-2</v>
      </c>
      <c r="H24" s="206">
        <v>0.35793655294313698</v>
      </c>
      <c r="I24" s="206">
        <v>5.6892928902124501E-4</v>
      </c>
      <c r="J24" s="206">
        <v>0.16954092812833099</v>
      </c>
      <c r="K24" s="206">
        <v>0</v>
      </c>
      <c r="L24" s="206">
        <v>0</v>
      </c>
      <c r="M24" s="206">
        <v>0</v>
      </c>
      <c r="N24" s="206">
        <v>0</v>
      </c>
      <c r="O24" s="206">
        <v>31.423872506342502</v>
      </c>
    </row>
    <row r="25" spans="1:15" s="205" customFormat="1" ht="12">
      <c r="A25" s="266"/>
      <c r="B25" s="265"/>
      <c r="C25" s="212" t="s">
        <v>680</v>
      </c>
      <c r="F25" s="206">
        <v>64.464023530210596</v>
      </c>
      <c r="G25" s="206">
        <v>1.2980476360609501E-3</v>
      </c>
      <c r="H25" s="206">
        <v>3.2451190901523701E-2</v>
      </c>
      <c r="I25" s="206">
        <v>5.1631753736231098E-3</v>
      </c>
      <c r="J25" s="206">
        <v>1.5386262613396899</v>
      </c>
      <c r="K25" s="206">
        <v>0</v>
      </c>
      <c r="L25" s="206">
        <v>0</v>
      </c>
      <c r="M25" s="206">
        <v>0</v>
      </c>
      <c r="N25" s="206">
        <v>0</v>
      </c>
      <c r="O25" s="206">
        <v>66.035100982451794</v>
      </c>
    </row>
    <row r="26" spans="1:15" s="205" customFormat="1" ht="12">
      <c r="A26" s="266"/>
      <c r="B26" s="265"/>
      <c r="C26" s="212" t="s">
        <v>681</v>
      </c>
      <c r="F26" s="206">
        <v>49.655173916268197</v>
      </c>
      <c r="G26" s="206">
        <v>1.2608476080678999E-3</v>
      </c>
      <c r="H26" s="206">
        <v>3.1521190201697503E-2</v>
      </c>
      <c r="I26" s="206">
        <v>3.9104606111685699E-3</v>
      </c>
      <c r="J26" s="206">
        <v>1.1653172621282299</v>
      </c>
      <c r="K26" s="206">
        <v>0</v>
      </c>
      <c r="L26" s="206">
        <v>0</v>
      </c>
      <c r="M26" s="206">
        <v>0</v>
      </c>
      <c r="N26" s="206">
        <v>0</v>
      </c>
      <c r="O26" s="206">
        <v>50.852012368598103</v>
      </c>
    </row>
    <row r="27" spans="1:15" s="205" customFormat="1" ht="12">
      <c r="A27" s="266"/>
      <c r="B27" s="265"/>
      <c r="C27" s="212" t="s">
        <v>682</v>
      </c>
      <c r="F27" s="206">
        <v>8342.9652908332992</v>
      </c>
      <c r="G27" s="206">
        <v>0.35302017069879599</v>
      </c>
      <c r="H27" s="206">
        <v>8.8255042674698991</v>
      </c>
      <c r="I27" s="206">
        <v>0.43712822136123403</v>
      </c>
      <c r="J27" s="206">
        <v>130.26420996564801</v>
      </c>
      <c r="K27" s="206">
        <v>0</v>
      </c>
      <c r="L27" s="206">
        <v>0</v>
      </c>
      <c r="M27" s="206">
        <v>0</v>
      </c>
      <c r="N27" s="206">
        <v>0</v>
      </c>
      <c r="O27" s="206">
        <v>8482.0550050664206</v>
      </c>
    </row>
    <row r="28" spans="1:15" s="205" customFormat="1" ht="12">
      <c r="A28" s="266"/>
      <c r="B28" s="265"/>
      <c r="C28" s="212" t="s">
        <v>683</v>
      </c>
      <c r="F28" s="206">
        <v>107.21256408812501</v>
      </c>
      <c r="G28" s="206">
        <v>4.54682871021138E-2</v>
      </c>
      <c r="H28" s="206">
        <v>1.1367071775528499</v>
      </c>
      <c r="I28" s="206">
        <v>1.9814871189568601E-3</v>
      </c>
      <c r="J28" s="206">
        <v>0.59048316144914503</v>
      </c>
      <c r="K28" s="206">
        <v>0</v>
      </c>
      <c r="L28" s="206">
        <v>0</v>
      </c>
      <c r="M28" s="206">
        <v>0</v>
      </c>
      <c r="N28" s="206">
        <v>0</v>
      </c>
      <c r="O28" s="206">
        <v>108.939754427127</v>
      </c>
    </row>
    <row r="29" spans="1:15">
      <c r="A29" s="273"/>
      <c r="B29" s="203" t="s">
        <v>684</v>
      </c>
      <c r="C29" s="265"/>
      <c r="F29" s="202" t="s">
        <v>817</v>
      </c>
      <c r="G29" s="202" t="s">
        <v>817</v>
      </c>
      <c r="H29" s="202" t="s">
        <v>817</v>
      </c>
      <c r="I29" s="202" t="s">
        <v>817</v>
      </c>
      <c r="J29" s="202" t="s">
        <v>817</v>
      </c>
      <c r="K29" s="202" t="s">
        <v>817</v>
      </c>
      <c r="L29" s="202" t="s">
        <v>817</v>
      </c>
      <c r="M29" s="202" t="s">
        <v>817</v>
      </c>
      <c r="N29" s="202" t="s">
        <v>817</v>
      </c>
      <c r="O29" s="202" t="s">
        <v>817</v>
      </c>
    </row>
    <row r="30" spans="1:15">
      <c r="A30" s="273"/>
      <c r="B30" s="203" t="s">
        <v>685</v>
      </c>
      <c r="C30" s="265"/>
      <c r="F30" s="202" t="s">
        <v>817</v>
      </c>
      <c r="G30" s="202" t="s">
        <v>817</v>
      </c>
      <c r="H30" s="202" t="s">
        <v>817</v>
      </c>
      <c r="I30" s="202" t="s">
        <v>817</v>
      </c>
      <c r="J30" s="202" t="s">
        <v>817</v>
      </c>
      <c r="K30" s="202" t="s">
        <v>817</v>
      </c>
      <c r="L30" s="202" t="s">
        <v>817</v>
      </c>
      <c r="M30" s="202" t="s">
        <v>817</v>
      </c>
      <c r="N30" s="202" t="s">
        <v>817</v>
      </c>
      <c r="O30" s="202" t="s">
        <v>817</v>
      </c>
    </row>
    <row r="31" spans="1:15">
      <c r="A31" s="273"/>
      <c r="B31" s="203" t="s">
        <v>686</v>
      </c>
      <c r="C31" s="212"/>
      <c r="F31" s="202">
        <v>10624.934382578</v>
      </c>
      <c r="G31" s="202">
        <v>4.7196182505847704</v>
      </c>
      <c r="H31" s="202">
        <v>117.990456264619</v>
      </c>
      <c r="I31" s="202">
        <v>2.5518773045507901</v>
      </c>
      <c r="J31" s="202">
        <v>760.45943675613705</v>
      </c>
      <c r="K31" s="202">
        <v>0</v>
      </c>
      <c r="L31" s="202">
        <v>0</v>
      </c>
      <c r="M31" s="202">
        <v>0</v>
      </c>
      <c r="N31" s="202">
        <v>0</v>
      </c>
      <c r="O31" s="202">
        <v>11503.384275598701</v>
      </c>
    </row>
    <row r="32" spans="1:15" s="205" customFormat="1" ht="12">
      <c r="A32" s="266"/>
      <c r="B32" s="265"/>
      <c r="C32" s="212" t="s">
        <v>687</v>
      </c>
      <c r="F32" s="206">
        <v>3317.9139385981498</v>
      </c>
      <c r="G32" s="206">
        <v>0.20013263178243201</v>
      </c>
      <c r="H32" s="206">
        <v>5.0033157945608098</v>
      </c>
      <c r="I32" s="206">
        <v>1.2794589044220801</v>
      </c>
      <c r="J32" s="206">
        <v>381.27875351777999</v>
      </c>
      <c r="K32" s="206">
        <v>0</v>
      </c>
      <c r="L32" s="206">
        <v>0</v>
      </c>
      <c r="M32" s="206">
        <v>0</v>
      </c>
      <c r="N32" s="206">
        <v>0</v>
      </c>
      <c r="O32" s="206">
        <v>3704.1960079104902</v>
      </c>
    </row>
    <row r="33" spans="1:15" s="205" customFormat="1" ht="12">
      <c r="A33" s="266"/>
      <c r="B33" s="265"/>
      <c r="C33" s="212" t="s">
        <v>688</v>
      </c>
      <c r="F33" s="206">
        <v>270.66199162285898</v>
      </c>
      <c r="G33" s="206">
        <v>0.17745117054142201</v>
      </c>
      <c r="H33" s="206">
        <v>4.4362792635355497</v>
      </c>
      <c r="I33" s="206">
        <v>5.5743039639229899E-2</v>
      </c>
      <c r="J33" s="206">
        <v>16.611425812490499</v>
      </c>
      <c r="K33" s="206">
        <v>0</v>
      </c>
      <c r="L33" s="206">
        <v>0</v>
      </c>
      <c r="M33" s="206">
        <v>0</v>
      </c>
      <c r="N33" s="206">
        <v>0</v>
      </c>
      <c r="O33" s="206">
        <v>291.70969669888501</v>
      </c>
    </row>
    <row r="34" spans="1:15" s="205" customFormat="1" ht="12">
      <c r="A34" s="266"/>
      <c r="B34" s="265"/>
      <c r="C34" s="212" t="s">
        <v>689</v>
      </c>
      <c r="F34" s="206">
        <v>2826.5757707428502</v>
      </c>
      <c r="G34" s="206">
        <v>0.19377564447054199</v>
      </c>
      <c r="H34" s="206">
        <v>4.8443911117635601</v>
      </c>
      <c r="I34" s="206">
        <v>1.0733975972762</v>
      </c>
      <c r="J34" s="206">
        <v>319.87248398830701</v>
      </c>
      <c r="K34" s="206">
        <v>0</v>
      </c>
      <c r="L34" s="206">
        <v>0</v>
      </c>
      <c r="M34" s="206">
        <v>0</v>
      </c>
      <c r="N34" s="206">
        <v>0</v>
      </c>
      <c r="O34" s="206">
        <v>3151.2926458429201</v>
      </c>
    </row>
    <row r="35" spans="1:15" s="205" customFormat="1" ht="12">
      <c r="A35" s="266"/>
      <c r="B35" s="265"/>
      <c r="C35" s="212" t="s">
        <v>690</v>
      </c>
      <c r="F35" s="206">
        <v>121.764306518835</v>
      </c>
      <c r="G35" s="206">
        <v>0.124467841496371</v>
      </c>
      <c r="H35" s="206">
        <v>3.1116960374092799</v>
      </c>
      <c r="I35" s="206">
        <v>8.6851344271387694E-3</v>
      </c>
      <c r="J35" s="206">
        <v>2.58817005928735</v>
      </c>
      <c r="K35" s="206">
        <v>0</v>
      </c>
      <c r="L35" s="206">
        <v>0</v>
      </c>
      <c r="M35" s="206">
        <v>0</v>
      </c>
      <c r="N35" s="206">
        <v>0</v>
      </c>
      <c r="O35" s="206">
        <v>127.46417261553199</v>
      </c>
    </row>
    <row r="36" spans="1:15" s="205" customFormat="1" ht="12">
      <c r="A36" s="266"/>
      <c r="B36" s="265"/>
      <c r="C36" s="212" t="s">
        <v>691</v>
      </c>
      <c r="F36" s="206">
        <v>496.68417509525398</v>
      </c>
      <c r="G36" s="206">
        <v>0.492418662294003</v>
      </c>
      <c r="H36" s="206">
        <v>12.3104665573501</v>
      </c>
      <c r="I36" s="206">
        <v>4.0432628786149699E-2</v>
      </c>
      <c r="J36" s="206">
        <v>12.048923378272599</v>
      </c>
      <c r="K36" s="206">
        <v>0</v>
      </c>
      <c r="L36" s="206">
        <v>0</v>
      </c>
      <c r="M36" s="206">
        <v>0</v>
      </c>
      <c r="N36" s="206">
        <v>0</v>
      </c>
      <c r="O36" s="206">
        <v>521.04356503087695</v>
      </c>
    </row>
    <row r="37" spans="1:15" s="205" customFormat="1" ht="12">
      <c r="A37" s="266"/>
      <c r="B37" s="265"/>
      <c r="C37" s="212" t="s">
        <v>692</v>
      </c>
      <c r="D37" s="207"/>
      <c r="E37" s="207"/>
      <c r="F37" s="206">
        <v>3591.3341999999998</v>
      </c>
      <c r="G37" s="206">
        <v>3.5313723000000001</v>
      </c>
      <c r="H37" s="206">
        <v>88.284307499999997</v>
      </c>
      <c r="I37" s="206">
        <v>9.4159999999999994E-2</v>
      </c>
      <c r="J37" s="206">
        <v>28.05968</v>
      </c>
      <c r="K37" s="208">
        <v>0</v>
      </c>
      <c r="L37" s="208">
        <v>0</v>
      </c>
      <c r="M37" s="208">
        <v>0</v>
      </c>
      <c r="N37" s="208">
        <v>0</v>
      </c>
      <c r="O37" s="206">
        <v>3707.6781875000001</v>
      </c>
    </row>
    <row r="38" spans="1:15">
      <c r="A38" s="249" t="s">
        <v>693</v>
      </c>
      <c r="B38" s="248" t="s">
        <v>694</v>
      </c>
      <c r="C38" s="272"/>
      <c r="D38" s="225"/>
      <c r="E38" s="225"/>
      <c r="F38" s="218">
        <v>8760.1944253021302</v>
      </c>
      <c r="G38" s="218">
        <v>1116.48603235219</v>
      </c>
      <c r="H38" s="218">
        <v>27912.150808804599</v>
      </c>
      <c r="I38" s="218">
        <v>3.79541023555134E-2</v>
      </c>
      <c r="J38" s="218">
        <v>11.310322501943</v>
      </c>
      <c r="K38" s="218">
        <v>0</v>
      </c>
      <c r="L38" s="218">
        <v>0</v>
      </c>
      <c r="M38" s="218">
        <v>0</v>
      </c>
      <c r="N38" s="218">
        <v>0</v>
      </c>
      <c r="O38" s="218">
        <v>36683.655556608697</v>
      </c>
    </row>
    <row r="39" spans="1:15">
      <c r="A39" s="271"/>
      <c r="B39" s="201" t="s">
        <v>695</v>
      </c>
      <c r="C39" s="269"/>
      <c r="D39" s="225"/>
      <c r="E39" s="225"/>
      <c r="F39" s="211">
        <v>0</v>
      </c>
      <c r="G39" s="211">
        <v>13.4931983825286</v>
      </c>
      <c r="H39" s="211">
        <v>337.32995956321503</v>
      </c>
      <c r="I39" s="211">
        <v>0</v>
      </c>
      <c r="J39" s="211">
        <v>0</v>
      </c>
      <c r="K39" s="211">
        <v>0</v>
      </c>
      <c r="L39" s="211">
        <v>0</v>
      </c>
      <c r="M39" s="211">
        <v>0</v>
      </c>
      <c r="N39" s="211">
        <v>0</v>
      </c>
      <c r="O39" s="211">
        <v>337.32995956321503</v>
      </c>
    </row>
    <row r="40" spans="1:15">
      <c r="A40" s="271"/>
      <c r="B40" s="270" t="s">
        <v>696</v>
      </c>
      <c r="C40" s="269"/>
      <c r="D40" s="225"/>
      <c r="E40" s="225"/>
      <c r="F40" s="211">
        <v>8760.1944253021302</v>
      </c>
      <c r="G40" s="211">
        <v>1102.9928339696601</v>
      </c>
      <c r="H40" s="211">
        <v>27574.820849241401</v>
      </c>
      <c r="I40" s="211">
        <v>3.79541023555134E-2</v>
      </c>
      <c r="J40" s="211">
        <v>11.310322501943</v>
      </c>
      <c r="K40" s="211">
        <v>0</v>
      </c>
      <c r="L40" s="211">
        <v>0</v>
      </c>
      <c r="M40" s="211">
        <v>0</v>
      </c>
      <c r="N40" s="211">
        <v>0</v>
      </c>
      <c r="O40" s="211">
        <v>36346.325597045499</v>
      </c>
    </row>
    <row r="41" spans="1:15">
      <c r="A41" s="213" t="s">
        <v>697</v>
      </c>
      <c r="B41" s="214" t="s">
        <v>698</v>
      </c>
      <c r="C41" s="214"/>
      <c r="D41" s="215"/>
      <c r="E41" s="215"/>
      <c r="F41" s="216">
        <v>0</v>
      </c>
      <c r="G41" s="216">
        <v>0</v>
      </c>
      <c r="H41" s="216">
        <v>0</v>
      </c>
      <c r="I41" s="216">
        <v>0</v>
      </c>
      <c r="J41" s="216">
        <v>0</v>
      </c>
      <c r="K41" s="216">
        <v>0</v>
      </c>
      <c r="L41" s="216">
        <v>0</v>
      </c>
      <c r="M41" s="216">
        <v>0</v>
      </c>
      <c r="N41" s="216">
        <v>0</v>
      </c>
      <c r="O41" s="216">
        <v>0</v>
      </c>
    </row>
    <row r="42" spans="1:15">
      <c r="A42" s="217" t="s">
        <v>699</v>
      </c>
      <c r="B42" s="251"/>
      <c r="C42" s="250"/>
      <c r="F42" s="198">
        <v>9021.2681067978901</v>
      </c>
      <c r="G42" s="198">
        <v>1.80109393884894</v>
      </c>
      <c r="H42" s="198">
        <v>45.027348471223597</v>
      </c>
      <c r="I42" s="198">
        <v>3.6456191242117701</v>
      </c>
      <c r="J42" s="198">
        <v>1086.3944990151099</v>
      </c>
      <c r="K42" s="198">
        <v>775.28491926826405</v>
      </c>
      <c r="L42" s="198">
        <v>0.940421159470198</v>
      </c>
      <c r="M42" s="198">
        <v>1.0292845923781699</v>
      </c>
      <c r="N42" s="198">
        <v>0</v>
      </c>
      <c r="O42" s="198">
        <v>10929.9445793043</v>
      </c>
    </row>
    <row r="43" spans="1:15">
      <c r="A43" s="262" t="s">
        <v>663</v>
      </c>
      <c r="B43" s="261" t="s">
        <v>700</v>
      </c>
      <c r="C43" s="261"/>
      <c r="F43" s="199">
        <v>1414.1511115962501</v>
      </c>
      <c r="G43" s="199">
        <v>0</v>
      </c>
      <c r="H43" s="199">
        <v>0</v>
      </c>
      <c r="I43" s="199">
        <v>0</v>
      </c>
      <c r="J43" s="199">
        <v>0</v>
      </c>
      <c r="K43" s="199">
        <v>0</v>
      </c>
      <c r="L43" s="199">
        <v>0</v>
      </c>
      <c r="M43" s="199">
        <v>0</v>
      </c>
      <c r="N43" s="199">
        <v>0</v>
      </c>
      <c r="O43" s="199">
        <v>1414.1511115962501</v>
      </c>
    </row>
    <row r="44" spans="1:15" s="205" customFormat="1" ht="12">
      <c r="A44" s="266"/>
      <c r="B44" s="268"/>
      <c r="C44" s="212" t="s">
        <v>501</v>
      </c>
      <c r="F44" s="206">
        <v>1093.86290570748</v>
      </c>
      <c r="G44" s="206">
        <v>0</v>
      </c>
      <c r="H44" s="206">
        <v>0</v>
      </c>
      <c r="I44" s="206">
        <v>0</v>
      </c>
      <c r="J44" s="206">
        <v>0</v>
      </c>
      <c r="K44" s="206">
        <v>0</v>
      </c>
      <c r="L44" s="206">
        <v>0</v>
      </c>
      <c r="M44" s="206">
        <v>0</v>
      </c>
      <c r="N44" s="206">
        <v>0</v>
      </c>
      <c r="O44" s="206">
        <v>1093.86290570748</v>
      </c>
    </row>
    <row r="45" spans="1:15" s="205" customFormat="1" ht="12">
      <c r="A45" s="266"/>
      <c r="B45" s="268"/>
      <c r="C45" s="212" t="s">
        <v>183</v>
      </c>
      <c r="F45" s="206">
        <v>110.398013128578</v>
      </c>
      <c r="G45" s="206">
        <v>0</v>
      </c>
      <c r="H45" s="206">
        <v>0</v>
      </c>
      <c r="I45" s="206">
        <v>0</v>
      </c>
      <c r="J45" s="206">
        <v>0</v>
      </c>
      <c r="K45" s="206">
        <v>0</v>
      </c>
      <c r="L45" s="206">
        <v>0</v>
      </c>
      <c r="M45" s="206">
        <v>0</v>
      </c>
      <c r="N45" s="206">
        <v>0</v>
      </c>
      <c r="O45" s="206">
        <v>110.398013128578</v>
      </c>
    </row>
    <row r="46" spans="1:15" s="205" customFormat="1" ht="12">
      <c r="A46" s="266"/>
      <c r="B46" s="268"/>
      <c r="C46" s="212" t="s">
        <v>824</v>
      </c>
      <c r="F46" s="206">
        <v>209.89019276019599</v>
      </c>
      <c r="G46" s="206">
        <v>0</v>
      </c>
      <c r="H46" s="206">
        <v>0</v>
      </c>
      <c r="I46" s="206">
        <v>0</v>
      </c>
      <c r="J46" s="206">
        <v>0</v>
      </c>
      <c r="K46" s="206">
        <v>0</v>
      </c>
      <c r="L46" s="206">
        <v>0</v>
      </c>
      <c r="M46" s="206">
        <v>0</v>
      </c>
      <c r="N46" s="206">
        <v>0</v>
      </c>
      <c r="O46" s="206">
        <v>209.89019276019599</v>
      </c>
    </row>
    <row r="47" spans="1:15" s="267" customFormat="1">
      <c r="A47" s="262" t="s">
        <v>673</v>
      </c>
      <c r="B47" s="261" t="s">
        <v>823</v>
      </c>
      <c r="C47" s="261"/>
      <c r="F47" s="199">
        <v>0</v>
      </c>
      <c r="G47" s="199">
        <v>0</v>
      </c>
      <c r="H47" s="218">
        <v>0</v>
      </c>
      <c r="I47" s="199">
        <v>0</v>
      </c>
      <c r="J47" s="199">
        <v>0</v>
      </c>
      <c r="K47" s="199">
        <v>0</v>
      </c>
      <c r="L47" s="199">
        <v>0</v>
      </c>
      <c r="M47" s="199">
        <v>0</v>
      </c>
      <c r="N47" s="199">
        <v>0</v>
      </c>
      <c r="O47" s="199">
        <v>0</v>
      </c>
    </row>
    <row r="48" spans="1:15" s="205" customFormat="1" ht="12">
      <c r="A48" s="266"/>
      <c r="B48" s="268"/>
      <c r="C48" s="212" t="s">
        <v>702</v>
      </c>
      <c r="F48" s="206">
        <v>0</v>
      </c>
      <c r="G48" s="206">
        <v>0</v>
      </c>
      <c r="H48" s="206">
        <v>0</v>
      </c>
      <c r="I48" s="206">
        <v>0</v>
      </c>
      <c r="J48" s="206">
        <v>0</v>
      </c>
      <c r="K48" s="206">
        <v>0</v>
      </c>
      <c r="L48" s="206">
        <v>0</v>
      </c>
      <c r="M48" s="206">
        <v>0</v>
      </c>
      <c r="N48" s="206">
        <v>0</v>
      </c>
      <c r="O48" s="206">
        <v>0</v>
      </c>
    </row>
    <row r="49" spans="1:15" s="267" customFormat="1">
      <c r="A49" s="262" t="s">
        <v>693</v>
      </c>
      <c r="B49" s="261" t="s">
        <v>704</v>
      </c>
      <c r="C49" s="261"/>
      <c r="F49" s="199">
        <v>0</v>
      </c>
      <c r="G49" s="199">
        <v>0</v>
      </c>
      <c r="H49" s="199">
        <v>0</v>
      </c>
      <c r="I49" s="199">
        <v>0</v>
      </c>
      <c r="J49" s="199">
        <v>0</v>
      </c>
      <c r="K49" s="199">
        <v>0</v>
      </c>
      <c r="L49" s="218">
        <v>0</v>
      </c>
      <c r="M49" s="218">
        <v>0</v>
      </c>
      <c r="N49" s="199">
        <v>0</v>
      </c>
      <c r="O49" s="199">
        <v>0</v>
      </c>
    </row>
    <row r="50" spans="1:15" s="205" customFormat="1" ht="12">
      <c r="A50" s="266"/>
      <c r="B50" s="265"/>
      <c r="C50" s="265" t="s">
        <v>705</v>
      </c>
      <c r="F50" s="206">
        <v>0</v>
      </c>
      <c r="G50" s="206">
        <v>0</v>
      </c>
      <c r="H50" s="206">
        <v>0</v>
      </c>
      <c r="I50" s="206">
        <v>0</v>
      </c>
      <c r="J50" s="206">
        <v>0</v>
      </c>
      <c r="K50" s="206">
        <v>0</v>
      </c>
      <c r="L50" s="219">
        <v>0</v>
      </c>
      <c r="M50" s="219">
        <v>0</v>
      </c>
      <c r="N50" s="206">
        <v>0</v>
      </c>
      <c r="O50" s="206">
        <v>0</v>
      </c>
    </row>
    <row r="51" spans="1:15" s="205" customFormat="1" ht="12">
      <c r="A51" s="266"/>
      <c r="B51" s="265"/>
      <c r="C51" s="265" t="s">
        <v>244</v>
      </c>
      <c r="F51" s="206">
        <v>0</v>
      </c>
      <c r="G51" s="206">
        <v>0</v>
      </c>
      <c r="H51" s="206">
        <v>0</v>
      </c>
      <c r="I51" s="206">
        <v>0</v>
      </c>
      <c r="J51" s="206">
        <v>0</v>
      </c>
      <c r="K51" s="206">
        <v>0</v>
      </c>
      <c r="L51" s="219">
        <v>0</v>
      </c>
      <c r="M51" s="219">
        <v>0</v>
      </c>
      <c r="N51" s="206">
        <v>0</v>
      </c>
      <c r="O51" s="206">
        <v>0</v>
      </c>
    </row>
    <row r="52" spans="1:15" s="205" customFormat="1" ht="12">
      <c r="A52" s="258"/>
      <c r="B52" s="257"/>
      <c r="C52" s="257" t="s">
        <v>706</v>
      </c>
      <c r="D52" s="207"/>
      <c r="E52" s="207"/>
      <c r="F52" s="208">
        <v>0</v>
      </c>
      <c r="G52" s="208">
        <v>0</v>
      </c>
      <c r="H52" s="208">
        <v>0</v>
      </c>
      <c r="I52" s="208">
        <v>0</v>
      </c>
      <c r="J52" s="208">
        <v>0</v>
      </c>
      <c r="K52" s="208">
        <v>0</v>
      </c>
      <c r="L52" s="219">
        <v>0</v>
      </c>
      <c r="M52" s="219">
        <v>0</v>
      </c>
      <c r="N52" s="208">
        <v>0</v>
      </c>
      <c r="O52" s="208">
        <v>0</v>
      </c>
    </row>
    <row r="53" spans="1:15">
      <c r="A53" s="220" t="s">
        <v>697</v>
      </c>
      <c r="B53" s="221" t="s">
        <v>707</v>
      </c>
      <c r="C53" s="248"/>
      <c r="D53" s="225"/>
      <c r="E53" s="225"/>
      <c r="F53" s="211">
        <v>0</v>
      </c>
      <c r="G53" s="211">
        <v>0</v>
      </c>
      <c r="H53" s="211">
        <v>0</v>
      </c>
      <c r="I53" s="211">
        <v>0</v>
      </c>
      <c r="J53" s="211">
        <v>0</v>
      </c>
      <c r="K53" s="211">
        <v>775.28491926826405</v>
      </c>
      <c r="L53" s="211">
        <v>0.69463335309463003</v>
      </c>
      <c r="M53" s="211">
        <v>0.16288459237816799</v>
      </c>
      <c r="N53" s="211">
        <v>0</v>
      </c>
      <c r="O53" s="211">
        <v>776.14243721373703</v>
      </c>
    </row>
    <row r="54" spans="1:15">
      <c r="A54" s="220" t="s">
        <v>708</v>
      </c>
      <c r="B54" s="221" t="s">
        <v>709</v>
      </c>
      <c r="C54" s="248"/>
      <c r="D54" s="225"/>
      <c r="E54" s="225"/>
      <c r="F54" s="211">
        <v>7607.1169952016398</v>
      </c>
      <c r="G54" s="211">
        <v>1.80109393884894</v>
      </c>
      <c r="H54" s="211">
        <v>45.027348471223597</v>
      </c>
      <c r="I54" s="211">
        <v>3.5340150435612601</v>
      </c>
      <c r="J54" s="211">
        <v>1053.1364829812601</v>
      </c>
      <c r="K54" s="211">
        <v>0</v>
      </c>
      <c r="L54" s="211">
        <v>0</v>
      </c>
      <c r="M54" s="211">
        <v>0</v>
      </c>
      <c r="N54" s="211">
        <v>0</v>
      </c>
      <c r="O54" s="211">
        <v>8705.2808266541197</v>
      </c>
    </row>
    <row r="55" spans="1:15">
      <c r="A55" s="213" t="s">
        <v>710</v>
      </c>
      <c r="B55" s="214" t="s">
        <v>711</v>
      </c>
      <c r="C55" s="264"/>
      <c r="D55" s="253"/>
      <c r="E55" s="253"/>
      <c r="F55" s="252">
        <v>0</v>
      </c>
      <c r="G55" s="252">
        <v>0</v>
      </c>
      <c r="H55" s="252">
        <v>0</v>
      </c>
      <c r="I55" s="252">
        <v>0.111604080650506</v>
      </c>
      <c r="J55" s="252">
        <v>33.258016033850701</v>
      </c>
      <c r="K55" s="252">
        <v>0</v>
      </c>
      <c r="L55" s="252">
        <v>0.24578780637556799</v>
      </c>
      <c r="M55" s="252">
        <v>0.86639999999999995</v>
      </c>
      <c r="N55" s="252">
        <v>0</v>
      </c>
      <c r="O55" s="252">
        <v>34.370203840226203</v>
      </c>
    </row>
    <row r="56" spans="1:15">
      <c r="A56" s="251" t="s">
        <v>712</v>
      </c>
      <c r="B56" s="250"/>
      <c r="C56" s="250"/>
      <c r="F56" s="223">
        <v>389.79456266666699</v>
      </c>
      <c r="G56" s="223">
        <v>491.22049039120702</v>
      </c>
      <c r="H56" s="223">
        <v>12280.5122597802</v>
      </c>
      <c r="I56" s="388">
        <v>20.093963915943</v>
      </c>
      <c r="J56" s="223">
        <v>5988.0012469510202</v>
      </c>
      <c r="K56" s="198">
        <v>0</v>
      </c>
      <c r="L56" s="198">
        <v>0</v>
      </c>
      <c r="M56" s="198">
        <v>0</v>
      </c>
      <c r="N56" s="198">
        <v>0</v>
      </c>
      <c r="O56" s="198">
        <v>18658.308069397899</v>
      </c>
    </row>
    <row r="57" spans="1:15">
      <c r="A57" s="262" t="s">
        <v>663</v>
      </c>
      <c r="B57" s="261" t="s">
        <v>27</v>
      </c>
      <c r="C57" s="261"/>
      <c r="F57" s="211">
        <v>0</v>
      </c>
      <c r="G57" s="211">
        <v>456.51362651851298</v>
      </c>
      <c r="H57" s="211">
        <v>11412.840662962801</v>
      </c>
      <c r="I57" s="211">
        <v>0</v>
      </c>
      <c r="J57" s="211">
        <v>0</v>
      </c>
      <c r="K57" s="202">
        <v>0</v>
      </c>
      <c r="L57" s="202">
        <v>0</v>
      </c>
      <c r="M57" s="202">
        <v>0</v>
      </c>
      <c r="N57" s="202">
        <v>0</v>
      </c>
      <c r="O57" s="202">
        <v>11412.840662962801</v>
      </c>
    </row>
    <row r="58" spans="1:15">
      <c r="A58" s="262" t="s">
        <v>673</v>
      </c>
      <c r="B58" s="261" t="s">
        <v>28</v>
      </c>
      <c r="C58" s="261"/>
      <c r="F58" s="211">
        <v>0</v>
      </c>
      <c r="G58" s="211">
        <v>34.689496356141099</v>
      </c>
      <c r="H58" s="211">
        <v>867.23740890352803</v>
      </c>
      <c r="I58" s="211">
        <v>5.6680686238836797</v>
      </c>
      <c r="J58" s="211">
        <v>1689.08444991734</v>
      </c>
      <c r="K58" s="202">
        <v>0</v>
      </c>
      <c r="L58" s="202">
        <v>0</v>
      </c>
      <c r="M58" s="202">
        <v>0</v>
      </c>
      <c r="N58" s="202">
        <v>0</v>
      </c>
      <c r="O58" s="202">
        <v>2556.3218588208601</v>
      </c>
    </row>
    <row r="59" spans="1:15">
      <c r="A59" s="262" t="s">
        <v>693</v>
      </c>
      <c r="B59" s="261" t="s">
        <v>713</v>
      </c>
      <c r="C59" s="261"/>
      <c r="F59" s="202">
        <v>0</v>
      </c>
      <c r="G59" s="202">
        <v>0</v>
      </c>
      <c r="H59" s="202">
        <v>0</v>
      </c>
      <c r="I59" s="202">
        <v>14.4254450231116</v>
      </c>
      <c r="J59" s="202">
        <v>4298.7826168872698</v>
      </c>
      <c r="K59" s="199">
        <v>0</v>
      </c>
      <c r="L59" s="199">
        <v>0</v>
      </c>
      <c r="M59" s="199">
        <v>0</v>
      </c>
      <c r="N59" s="199">
        <v>0</v>
      </c>
      <c r="O59" s="199">
        <v>4298.7826168872698</v>
      </c>
    </row>
    <row r="60" spans="1:15" s="205" customFormat="1" ht="12">
      <c r="A60" s="260"/>
      <c r="B60" s="259"/>
      <c r="C60" s="257" t="s">
        <v>714</v>
      </c>
      <c r="F60" s="208">
        <v>0</v>
      </c>
      <c r="G60" s="208">
        <v>0</v>
      </c>
      <c r="H60" s="208">
        <v>0</v>
      </c>
      <c r="I60" s="208">
        <v>11.4980451345972</v>
      </c>
      <c r="J60" s="208">
        <v>3426.4174501099601</v>
      </c>
      <c r="K60" s="206">
        <v>0</v>
      </c>
      <c r="L60" s="206">
        <v>0</v>
      </c>
      <c r="M60" s="206">
        <v>0</v>
      </c>
      <c r="N60" s="206">
        <v>0</v>
      </c>
      <c r="O60" s="206">
        <v>3426.4174501099601</v>
      </c>
    </row>
    <row r="61" spans="1:15" s="205" customFormat="1" ht="12">
      <c r="A61" s="258"/>
      <c r="B61" s="257"/>
      <c r="C61" s="257" t="s">
        <v>715</v>
      </c>
      <c r="D61" s="207"/>
      <c r="E61" s="207"/>
      <c r="F61" s="208">
        <v>0</v>
      </c>
      <c r="G61" s="208">
        <v>0</v>
      </c>
      <c r="H61" s="208">
        <v>0</v>
      </c>
      <c r="I61" s="208">
        <v>2.9273998885144699</v>
      </c>
      <c r="J61" s="208">
        <v>872.36516677731197</v>
      </c>
      <c r="K61" s="208">
        <v>0</v>
      </c>
      <c r="L61" s="208">
        <v>0</v>
      </c>
      <c r="M61" s="208">
        <v>0</v>
      </c>
      <c r="N61" s="208">
        <v>0</v>
      </c>
      <c r="O61" s="208">
        <v>872.36516677731197</v>
      </c>
    </row>
    <row r="62" spans="1:15" s="204" customFormat="1" ht="13">
      <c r="A62" s="249" t="s">
        <v>697</v>
      </c>
      <c r="B62" s="248" t="s">
        <v>185</v>
      </c>
      <c r="C62" s="256"/>
      <c r="D62" s="210"/>
      <c r="E62" s="210"/>
      <c r="F62" s="211">
        <v>0</v>
      </c>
      <c r="G62" s="211">
        <v>1.7367516553846201E-2</v>
      </c>
      <c r="H62" s="211">
        <v>0.43418791384615402</v>
      </c>
      <c r="I62" s="211">
        <v>4.5026894769230802E-4</v>
      </c>
      <c r="J62" s="211">
        <v>0.13418014641230799</v>
      </c>
      <c r="K62" s="211">
        <v>0</v>
      </c>
      <c r="L62" s="211">
        <v>0</v>
      </c>
      <c r="M62" s="211">
        <v>0</v>
      </c>
      <c r="N62" s="211">
        <v>0</v>
      </c>
      <c r="O62" s="211">
        <v>0.56836806025846198</v>
      </c>
    </row>
    <row r="63" spans="1:15">
      <c r="A63" s="255" t="s">
        <v>708</v>
      </c>
      <c r="B63" s="214" t="s">
        <v>716</v>
      </c>
      <c r="C63" s="254"/>
      <c r="D63" s="253"/>
      <c r="E63" s="253"/>
      <c r="F63" s="222">
        <v>389.79456266666699</v>
      </c>
      <c r="G63" s="222">
        <v>0</v>
      </c>
      <c r="H63" s="222">
        <v>0</v>
      </c>
      <c r="I63" s="222">
        <v>0</v>
      </c>
      <c r="J63" s="222">
        <v>0</v>
      </c>
      <c r="K63" s="252">
        <v>0</v>
      </c>
      <c r="L63" s="252">
        <v>0</v>
      </c>
      <c r="M63" s="252">
        <v>0</v>
      </c>
      <c r="N63" s="252">
        <v>0</v>
      </c>
      <c r="O63" s="252">
        <v>389.79456266666699</v>
      </c>
    </row>
    <row r="64" spans="1:15">
      <c r="A64" s="251" t="s">
        <v>717</v>
      </c>
      <c r="B64" s="250"/>
      <c r="C64" s="250"/>
      <c r="F64" s="198">
        <v>16.87675445</v>
      </c>
      <c r="G64" s="198">
        <v>78.269858499999998</v>
      </c>
      <c r="H64" s="198">
        <v>1956.7464625</v>
      </c>
      <c r="I64" s="198">
        <v>0.49614163</v>
      </c>
      <c r="J64" s="198">
        <v>147.85020574000001</v>
      </c>
      <c r="K64" s="198">
        <v>0</v>
      </c>
      <c r="L64" s="198">
        <v>0</v>
      </c>
      <c r="M64" s="198">
        <v>0</v>
      </c>
      <c r="N64" s="198">
        <v>0</v>
      </c>
      <c r="O64" s="198">
        <v>2121.47342269</v>
      </c>
    </row>
    <row r="65" spans="1:31">
      <c r="A65" s="249" t="s">
        <v>663</v>
      </c>
      <c r="B65" s="248" t="s">
        <v>718</v>
      </c>
      <c r="C65" s="248"/>
      <c r="D65" s="225"/>
      <c r="E65" s="225"/>
      <c r="F65" s="211">
        <v>0</v>
      </c>
      <c r="G65" s="211">
        <v>72.921663469999999</v>
      </c>
      <c r="H65" s="211">
        <v>1823.0415867500001</v>
      </c>
      <c r="I65" s="211">
        <v>0</v>
      </c>
      <c r="J65" s="211">
        <v>0</v>
      </c>
      <c r="K65" s="211">
        <v>0</v>
      </c>
      <c r="L65" s="211">
        <v>0</v>
      </c>
      <c r="M65" s="211">
        <v>0</v>
      </c>
      <c r="N65" s="211">
        <v>0</v>
      </c>
      <c r="O65" s="211">
        <v>1823.0415867500001</v>
      </c>
    </row>
    <row r="66" spans="1:31">
      <c r="A66" s="249" t="s">
        <v>822</v>
      </c>
      <c r="B66" s="248" t="s">
        <v>719</v>
      </c>
      <c r="E66" s="225"/>
      <c r="F66" s="211">
        <v>0</v>
      </c>
      <c r="G66" s="211">
        <v>4.0888770699999997</v>
      </c>
      <c r="H66" s="211">
        <v>102.22192674999999</v>
      </c>
      <c r="I66" s="211">
        <v>0.24533262</v>
      </c>
      <c r="J66" s="211">
        <v>73.109120759999996</v>
      </c>
      <c r="K66" s="211">
        <v>0</v>
      </c>
      <c r="L66" s="211">
        <v>0</v>
      </c>
      <c r="M66" s="211">
        <v>0</v>
      </c>
      <c r="N66" s="211">
        <v>0</v>
      </c>
      <c r="O66" s="211">
        <v>175.33104750999999</v>
      </c>
    </row>
    <row r="67" spans="1:31">
      <c r="A67" s="249" t="s">
        <v>693</v>
      </c>
      <c r="B67" s="248" t="s">
        <v>720</v>
      </c>
      <c r="C67" s="248"/>
      <c r="D67" s="225"/>
      <c r="E67" s="225"/>
      <c r="F67" s="211">
        <v>0</v>
      </c>
      <c r="G67" s="211">
        <v>1.2578304600000001</v>
      </c>
      <c r="H67" s="211">
        <v>31.4457615</v>
      </c>
      <c r="I67" s="211">
        <v>0.22302226</v>
      </c>
      <c r="J67" s="211">
        <v>66.460633479999998</v>
      </c>
      <c r="K67" s="211">
        <v>0</v>
      </c>
      <c r="L67" s="211">
        <v>0</v>
      </c>
      <c r="M67" s="211">
        <v>0</v>
      </c>
      <c r="N67" s="211">
        <v>0</v>
      </c>
      <c r="O67" s="211">
        <v>97.906394980000002</v>
      </c>
    </row>
    <row r="68" spans="1:31">
      <c r="A68" s="247" t="s">
        <v>697</v>
      </c>
      <c r="B68" s="246" t="s">
        <v>721</v>
      </c>
      <c r="C68" s="246"/>
      <c r="D68" s="245"/>
      <c r="E68" s="245"/>
      <c r="F68" s="222">
        <v>16.87675445</v>
      </c>
      <c r="G68" s="222">
        <v>1.4875000000000001E-3</v>
      </c>
      <c r="H68" s="222">
        <v>3.7187499999999998E-2</v>
      </c>
      <c r="I68" s="222">
        <v>2.7786749999999999E-2</v>
      </c>
      <c r="J68" s="222">
        <v>8.2804514999999999</v>
      </c>
      <c r="K68" s="222">
        <v>0</v>
      </c>
      <c r="L68" s="222">
        <v>0</v>
      </c>
      <c r="M68" s="222">
        <v>0</v>
      </c>
      <c r="N68" s="222">
        <v>0</v>
      </c>
      <c r="O68" s="222">
        <v>25.19439345</v>
      </c>
    </row>
    <row r="69" spans="1:31" s="196" customFormat="1" ht="14"/>
    <row r="70" spans="1:31">
      <c r="A70" s="204" t="s">
        <v>248</v>
      </c>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row>
    <row r="71" spans="1:31" s="204" customFormat="1" ht="13">
      <c r="A71" s="204" t="s">
        <v>821</v>
      </c>
    </row>
    <row r="72" spans="1:31" s="204" customFormat="1" ht="15">
      <c r="A72" s="204" t="s">
        <v>918</v>
      </c>
    </row>
    <row r="73" spans="1:31" s="204" customFormat="1" ht="15">
      <c r="A73" s="204" t="s">
        <v>917</v>
      </c>
      <c r="F73" s="387"/>
      <c r="G73" s="387"/>
      <c r="H73" s="387"/>
      <c r="I73" s="387"/>
      <c r="J73" s="387"/>
      <c r="K73" s="387"/>
      <c r="L73" s="387"/>
      <c r="M73" s="387"/>
      <c r="N73" s="387"/>
      <c r="O73" s="387"/>
      <c r="P73" s="387"/>
      <c r="Q73" s="387"/>
      <c r="R73" s="387"/>
      <c r="S73" s="387"/>
      <c r="T73" s="387"/>
      <c r="U73" s="387"/>
      <c r="V73" s="387"/>
      <c r="W73" s="387"/>
      <c r="X73" s="387"/>
      <c r="Y73" s="387"/>
      <c r="Z73" s="387"/>
      <c r="AA73" s="387"/>
      <c r="AB73" s="387"/>
      <c r="AC73" s="387"/>
      <c r="AE73" s="386"/>
    </row>
    <row r="74" spans="1:31" s="204" customFormat="1" ht="13">
      <c r="A74" s="204" t="s">
        <v>722</v>
      </c>
    </row>
    <row r="75" spans="1:31" s="204" customFormat="1" ht="13">
      <c r="A75" s="204" t="s">
        <v>723</v>
      </c>
      <c r="B75" s="204" t="s">
        <v>724</v>
      </c>
    </row>
    <row r="76" spans="1:31" s="204" customFormat="1" ht="13">
      <c r="A76" s="385">
        <v>0</v>
      </c>
      <c r="B76" s="204" t="s">
        <v>725</v>
      </c>
    </row>
    <row r="77" spans="1:31" s="204" customFormat="1" ht="13">
      <c r="A77" s="204" t="s">
        <v>817</v>
      </c>
      <c r="B77" s="204" t="s">
        <v>816</v>
      </c>
    </row>
    <row r="78" spans="1:31" s="204" customFormat="1" ht="13">
      <c r="A78" s="204" t="s">
        <v>815</v>
      </c>
    </row>
    <row r="79" spans="1:31">
      <c r="A79" s="204" t="s">
        <v>916</v>
      </c>
      <c r="F79" s="383"/>
      <c r="G79" s="383"/>
      <c r="H79" s="383"/>
      <c r="I79" s="383"/>
      <c r="J79" s="383"/>
      <c r="K79" s="383"/>
      <c r="L79" s="383"/>
      <c r="M79" s="383"/>
      <c r="N79" s="383"/>
      <c r="O79" s="384"/>
      <c r="P79" s="383"/>
      <c r="R79" s="383"/>
      <c r="S79" s="383"/>
      <c r="T79" s="383"/>
      <c r="U79" s="383"/>
      <c r="V79" s="383"/>
      <c r="W79" s="383"/>
      <c r="X79" s="383"/>
      <c r="Y79" s="383"/>
      <c r="Z79" s="383"/>
      <c r="AA79" s="383"/>
      <c r="AB79" s="383"/>
      <c r="AC79" s="383"/>
      <c r="AE79" s="382"/>
    </row>
    <row r="80" spans="1:31">
      <c r="A80" s="381" t="s">
        <v>915</v>
      </c>
      <c r="B80" s="209"/>
      <c r="C80" s="209"/>
      <c r="D80" s="204"/>
      <c r="E80" s="380"/>
      <c r="F80" s="380"/>
      <c r="G80" s="224"/>
      <c r="H80" s="224"/>
      <c r="I80" s="224"/>
      <c r="J80" s="224"/>
      <c r="K80" s="224"/>
      <c r="L80" s="224"/>
      <c r="M80" s="224"/>
      <c r="N80" s="224"/>
      <c r="O80" s="224"/>
      <c r="P80" s="224"/>
      <c r="Q80" s="224"/>
      <c r="R80" s="224"/>
      <c r="S80" s="224"/>
      <c r="T80" s="224"/>
      <c r="U80" s="224"/>
      <c r="V80" s="224"/>
      <c r="W80" s="224"/>
      <c r="X80" s="224"/>
      <c r="Y80" s="224"/>
      <c r="Z80" s="224"/>
      <c r="AA80" s="224"/>
    </row>
    <row r="81" spans="1:27">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c r="AA81" s="224"/>
    </row>
  </sheetData>
  <hyperlinks>
    <hyperlink ref="A80" r:id="rId1" xr:uid="{00000000-0004-0000-2F00-000000000000}"/>
  </hyperlinks>
  <pageMargins left="0.70866141732283472" right="0.70866141732283472" top="0.74803149606299213" bottom="0.74803149606299213" header="0.31496062992125984" footer="0.31496062992125984"/>
  <pageSetup paperSize="5" scale="42"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48</vt:i4>
      </vt:variant>
      <vt:variant>
        <vt:lpstr>Named Ranges</vt:lpstr>
      </vt:variant>
      <vt:variant>
        <vt:i4>6</vt:i4>
      </vt:variant>
    </vt:vector>
  </HeadingPairs>
  <TitlesOfParts>
    <vt:vector size="54" baseType="lpstr">
      <vt:lpstr>About</vt:lpstr>
      <vt:lpstr>Cross-Page Data</vt:lpstr>
      <vt:lpstr>Cement CO2 Emissions</vt:lpstr>
      <vt:lpstr>Iron and Steel</vt:lpstr>
      <vt:lpstr>Coal Mining</vt:lpstr>
      <vt:lpstr>Natural Gas Systems</vt:lpstr>
      <vt:lpstr>Natural Gas Production</vt:lpstr>
      <vt:lpstr>Combined Data</vt:lpstr>
      <vt:lpstr>Petroleum Systems</vt:lpstr>
      <vt:lpstr>Oil&amp;Gas emissions</vt:lpstr>
      <vt:lpstr>Crude Oil Production</vt:lpstr>
      <vt:lpstr>AB Refining capacity</vt:lpstr>
      <vt:lpstr>Refinery Balances</vt:lpstr>
      <vt:lpstr>Chem - HCFC 22 Production</vt:lpstr>
      <vt:lpstr>Chem - ODS</vt:lpstr>
      <vt:lpstr>Other - Aluminum</vt:lpstr>
      <vt:lpstr>Other - Magnesium</vt:lpstr>
      <vt:lpstr>Other - Semiconductor Mfg</vt:lpstr>
      <vt:lpstr>Other Industrial Processes</vt:lpstr>
      <vt:lpstr>Other - Elec Trans and Dist</vt:lpstr>
      <vt:lpstr>Agriculture - EF &amp; Manure Mgmt</vt:lpstr>
      <vt:lpstr>Agriculture - Rice Cultivation</vt:lpstr>
      <vt:lpstr>Agriculture - Soil Mgmt</vt:lpstr>
      <vt:lpstr>Waste - Landfills</vt:lpstr>
      <vt:lpstr>Waste - Water Treatment</vt:lpstr>
      <vt:lpstr>BPEiC-CO2</vt:lpstr>
      <vt:lpstr>BPEiC-CH4</vt:lpstr>
      <vt:lpstr>BPEiC-N2O</vt:lpstr>
      <vt:lpstr>BPEiC-F-gases</vt:lpstr>
      <vt:lpstr>Macro Indicators</vt:lpstr>
      <vt:lpstr>Coal Supply and Demand</vt:lpstr>
      <vt:lpstr>CAPP Crude Oil production</vt:lpstr>
      <vt:lpstr>Table3s1</vt:lpstr>
      <vt:lpstr>IFPRI Results</vt:lpstr>
      <vt:lpstr>FAO Stats</vt:lpstr>
      <vt:lpstr>Table3.D</vt:lpstr>
      <vt:lpstr>Table 5</vt:lpstr>
      <vt:lpstr>FAPRI Projections</vt:lpstr>
      <vt:lpstr>15</vt:lpstr>
      <vt:lpstr>14</vt:lpstr>
      <vt:lpstr>13</vt:lpstr>
      <vt:lpstr>12</vt:lpstr>
      <vt:lpstr>11</vt:lpstr>
      <vt:lpstr>10</vt:lpstr>
      <vt:lpstr>09</vt:lpstr>
      <vt:lpstr>08</vt:lpstr>
      <vt:lpstr>07</vt:lpstr>
      <vt:lpstr>06</vt:lpstr>
      <vt:lpstr>CH4_to_CO2e</vt:lpstr>
      <vt:lpstr>CRF_Table3.D_Add</vt:lpstr>
      <vt:lpstr>CRF_Table3.D_Doc</vt:lpstr>
      <vt:lpstr>CRF_Table3.D_Main</vt:lpstr>
      <vt:lpstr>CRF_Table3s1_Main</vt:lpstr>
      <vt:lpstr>N2O_to_CO2e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Benjamin Israel</cp:lastModifiedBy>
  <dcterms:created xsi:type="dcterms:W3CDTF">2017-04-14T18:15:39Z</dcterms:created>
  <dcterms:modified xsi:type="dcterms:W3CDTF">2019-03-04T17:05:21Z</dcterms:modified>
</cp:coreProperties>
</file>