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8700" yWindow="-21600" windowWidth="32740" windowHeight="19000" activeTab="4"/>
  </bookViews>
  <sheets>
    <sheet name="About" sheetId="1" r:id="rId1"/>
    <sheet name="Aff Ref" sheetId="5" r:id="rId2"/>
    <sheet name="Set Asides" sheetId="6" r:id="rId3"/>
    <sheet name="Avoided Def" sheetId="7" r:id="rId4"/>
    <sheet name="Impr Forest Mgmt" sheetId="9" r:id="rId5"/>
    <sheet name="Peatland restoration" sheetId="10" r:id="rId6"/>
    <sheet name="Forest Restoration" sheetId="11" r:id="rId7"/>
    <sheet name="PLANAbPiaSY" sheetId="3" r:id="rId8"/>
  </sheets>
  <definedNames>
    <definedName name="acres_per_million_hectares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A3" i="11"/>
  <c r="A2" i="11"/>
  <c r="A15" i="5"/>
  <c r="A18" i="10"/>
  <c r="A15" i="10"/>
  <c r="A14" i="10"/>
  <c r="A33" i="9"/>
  <c r="A11" i="9"/>
  <c r="A10" i="9"/>
  <c r="A8" i="7"/>
  <c r="A7" i="7"/>
  <c r="A21" i="6"/>
  <c r="A3" i="6"/>
  <c r="A2" i="6"/>
  <c r="A2" i="5"/>
  <c r="B3" i="3"/>
  <c r="A19" i="5"/>
  <c r="A7" i="5"/>
  <c r="A8" i="5"/>
  <c r="D8" i="5"/>
  <c r="B10" i="5"/>
  <c r="A13" i="5"/>
  <c r="C32" i="1"/>
  <c r="D27" i="1"/>
  <c r="A24" i="5"/>
  <c r="A25" i="5"/>
  <c r="A8" i="9"/>
  <c r="A6" i="9"/>
  <c r="C33" i="1"/>
  <c r="C38" i="1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B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B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C3" i="3"/>
  <c r="C4" i="3"/>
  <c r="C5" i="3"/>
  <c r="C6" i="3"/>
  <c r="C7" i="3"/>
  <c r="C2" i="3"/>
</calcChain>
</file>

<file path=xl/sharedStrings.xml><?xml version="1.0" encoding="utf-8"?>
<sst xmlns="http://schemas.openxmlformats.org/spreadsheetml/2006/main" count="178" uniqueCount="141">
  <si>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</si>
  <si>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</si>
  <si>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</si>
  <si>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</si>
  <si>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</si>
  <si>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</si>
  <si>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</si>
  <si>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</si>
  <si>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</si>
  <si>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</si>
  <si>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</si>
  <si>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</si>
  <si>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</si>
  <si>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</si>
  <si>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</si>
  <si>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</si>
  <si>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be implemented in full strength throughout the entire model run,</t>
  </si>
  <si>
    <t>by the end.</t>
  </si>
  <si>
    <t>potential reduction in timber harvesting achievable per year</t>
  </si>
  <si>
    <t>acres potentially available for forest set-asides per year</t>
  </si>
  <si>
    <t>Notes</t>
  </si>
  <si>
    <t>present scale by 2% of its current level per year.  The model run</t>
  </si>
  <si>
    <t>Peatlands cover 113.6 million hectares in Canada, or around 13 % of the country’s surface area and are present in all provinces. </t>
  </si>
  <si>
    <t>From that, 29 744 hectares have been or are currently harvested, which represents only 0.03% of the natural capital</t>
  </si>
  <si>
    <t>http://peatmoss.com/peat-moss-industry-figures/</t>
  </si>
  <si>
    <t>http://www.nrcan.gc.ca/forests/climate-change/carbon-accounting/13111</t>
  </si>
  <si>
    <t>http://cfs.nrcan.gc.ca/pubwarehouse/pdfs/37265.pdf</t>
  </si>
  <si>
    <t>ha</t>
  </si>
  <si>
    <t>State of Canada's Forests 2016</t>
  </si>
  <si>
    <t>TOTAL</t>
  </si>
  <si>
    <t>million ha</t>
  </si>
  <si>
    <t xml:space="preserve">deforested </t>
  </si>
  <si>
    <t xml:space="preserve">sustainably managed </t>
  </si>
  <si>
    <t>regenerated</t>
  </si>
  <si>
    <t xml:space="preserve">harvested </t>
  </si>
  <si>
    <t>forest fire</t>
  </si>
  <si>
    <t xml:space="preserve">protected </t>
  </si>
  <si>
    <t>insects</t>
  </si>
  <si>
    <t xml:space="preserve">Units: </t>
  </si>
  <si>
    <t>1ha=</t>
  </si>
  <si>
    <t xml:space="preserve">ha to acre conversion: </t>
  </si>
  <si>
    <t>Harvested per year</t>
  </si>
  <si>
    <t>The definition of deforestation in Canada is:</t>
  </si>
  <si>
    <t>deforestation – The conversion of forest to another land use, such as clearing for agriculture or the permanent reduction of the tree canopy cover to less than 10% of the total land area.</t>
  </si>
  <si>
    <t xml:space="preserve">Therefore, the land area that could avoid being deforested is assumed to be the rate of deforestation currently occuring in Canada </t>
  </si>
  <si>
    <t>Deforested</t>
  </si>
  <si>
    <t>Area of managed forest</t>
  </si>
  <si>
    <t xml:space="preserve">million ha </t>
  </si>
  <si>
    <t>SOURCE:</t>
  </si>
  <si>
    <t xml:space="preserve">Area certified as sustainably managed </t>
  </si>
  <si>
    <t xml:space="preserve">Area that could be managed better </t>
  </si>
  <si>
    <t>http://tourbehorticole.com/wp-content/uploads/2016/11/Summary_2015_Indutry_Statistic_web.pdf</t>
  </si>
  <si>
    <t xml:space="preserve">Source: </t>
  </si>
  <si>
    <t>Out of 29744 ha</t>
  </si>
  <si>
    <t>Under production</t>
  </si>
  <si>
    <t>Restored or reclaimed already</t>
  </si>
  <si>
    <t xml:space="preserve">Still need to be restored </t>
  </si>
  <si>
    <t xml:space="preserve">Converted to other land use </t>
  </si>
  <si>
    <t xml:space="preserve">Still to be restored </t>
  </si>
  <si>
    <t xml:space="preserve">acres </t>
  </si>
  <si>
    <t xml:space="preserve">Wildfire and insect degraded forest </t>
  </si>
  <si>
    <t>NR Can</t>
  </si>
  <si>
    <t xml:space="preserve">The State of Canada's Forests </t>
  </si>
  <si>
    <t>Annual Report 2016</t>
  </si>
  <si>
    <t>Figure on pg 4</t>
  </si>
  <si>
    <t xml:space="preserve">Inventory and land-use change </t>
  </si>
  <si>
    <t xml:space="preserve">(for total area of managed forest) </t>
  </si>
  <si>
    <t>Peat and Peatlands</t>
  </si>
  <si>
    <t xml:space="preserve">Peat and Peatlands Statistics </t>
  </si>
  <si>
    <t>Canadian Sphagnum Peat Moss</t>
  </si>
  <si>
    <t xml:space="preserve">2015 Statistics about Peatland Areas Managed for Horticultural Peat Harvesting in Canada </t>
  </si>
  <si>
    <t xml:space="preserve">(for peatland restoration) </t>
  </si>
  <si>
    <t>NR Can Data:</t>
  </si>
  <si>
    <t xml:space="preserve">km2 </t>
  </si>
  <si>
    <t xml:space="preserve">Rationale: </t>
  </si>
  <si>
    <t xml:space="preserve">Reforestation rate is: </t>
  </si>
  <si>
    <t>An addition 1.5x ha of reforestation/year is equivalent to</t>
  </si>
  <si>
    <t xml:space="preserve">This is equivalent to </t>
  </si>
  <si>
    <t>(for peatland restoration)</t>
  </si>
  <si>
    <t>management or regeneration</t>
  </si>
  <si>
    <t>Federal accounting doesn't include a "restoration" category so we choose not to include it in this model either.</t>
  </si>
  <si>
    <t>period (2017-2050) is 34 years long, so if the policy were to</t>
  </si>
  <si>
    <t>there would be a total 68% reduction in timber harvesting per year</t>
  </si>
  <si>
    <t>Assume 1.5 x current reforestation rate could be done in addition to current rate of regeneration</t>
  </si>
  <si>
    <t xml:space="preserve">Current total forest land: </t>
  </si>
  <si>
    <t>Unit</t>
  </si>
  <si>
    <t>acres per year for 2017-2050</t>
  </si>
  <si>
    <t>We assume all of this peatland could be restored by the end of the model run (in 2050).</t>
  </si>
  <si>
    <t>This could probably get done faster, but the model would then cause more peatland to</t>
  </si>
  <si>
    <t>be restored than is available to be restored (unless the user set the Policy Implementation</t>
  </si>
  <si>
    <t>Schedule to go to zero in the year the peatland finished being restored, which we cannot</t>
  </si>
  <si>
    <t>rely on the user to do), so it is safest to assume it happens over the course of the whole</t>
  </si>
  <si>
    <t>model run.</t>
  </si>
  <si>
    <t>In line with assumptions that guide the, U.S. model, we assume that only a share</t>
  </si>
  <si>
    <t>share of forest that is suitable for improved management</t>
  </si>
  <si>
    <t>Forests that are privately-owned, affected by unfavorable environmental conditions,</t>
  </si>
  <si>
    <t>techniques.</t>
  </si>
  <si>
    <t>We also must account for limited manpower, equipment, and the accessibility of</t>
  </si>
  <si>
    <t>forest to be managed.  Canada has more forest land than the U.S., but much of it</t>
  </si>
  <si>
    <t>Accounting for the two factors above, the area that could be managed for</t>
  </si>
  <si>
    <t>aggressive carbon sequestration techniques is:</t>
  </si>
  <si>
    <t>or other factors may not be suitable for aggressive carbon-sequestering management</t>
  </si>
  <si>
    <t>is difficult to access, particularly in the far north.  Nonetheless, we assume sufficient</t>
  </si>
  <si>
    <t>access to forest, such thatt the limiting factor on forest management is availability of</t>
  </si>
  <si>
    <t>equipment and manpower.  We estimate availability of equipment and manpower</t>
  </si>
  <si>
    <t>by population, using the using the Canada-to-U.S. population ratio to further adjust</t>
  </si>
  <si>
    <t>the 50% figure taken from the U.S. model above.</t>
  </si>
  <si>
    <t>As noted in EPS directions, this value must be the total area of forest that may</t>
  </si>
  <si>
    <t>be subject to improved management specifically for carbon sequestration purposes,</t>
  </si>
  <si>
    <t>not an area to be incrementally added to managed areas each year.</t>
  </si>
  <si>
    <t>hec-&gt;acr</t>
  </si>
  <si>
    <t>acr-&gt;hec</t>
  </si>
  <si>
    <t>&lt;-AB</t>
  </si>
  <si>
    <t>&lt;-CAN</t>
  </si>
  <si>
    <t>% of the land area of the prairies in Alberta</t>
  </si>
  <si>
    <t>Data</t>
  </si>
  <si>
    <t>See BLACE.xlsx</t>
  </si>
  <si>
    <t>Land area of the prairies (AB)</t>
  </si>
  <si>
    <t>https://cfs.nrcan.gc.ca/statsprofile/overview/ab</t>
  </si>
  <si>
    <t>https://www.cbc.ca/news/canada/edmonton/alberta-wildland-parks-boreal-forest-1.4663633</t>
  </si>
  <si>
    <t>Note:</t>
  </si>
  <si>
    <t>The protected forest area does not include the new additions, since they occur after 2015</t>
  </si>
  <si>
    <t>Source:</t>
  </si>
  <si>
    <t>http://abmi.ca/home/reports/2018/human-footprint/details.html?id=4</t>
  </si>
  <si>
    <t>http://www.wri.org/blog/2014/07/tar-sands-threaten-world%E2%80%99s-largest-boreal-forest</t>
  </si>
  <si>
    <t>The value for deforested came out higher than the Canada wide one, but since it's such an insignificant amount</t>
  </si>
  <si>
    <t>(0.5% of total) it's reasonable to leave it.</t>
  </si>
  <si>
    <t>9% of this is located in AB, leaving 2679.66 hecates</t>
  </si>
  <si>
    <t>see BLACE.xlsx</t>
  </si>
  <si>
    <t>Alberta-to-US population ratio</t>
  </si>
  <si>
    <t xml:space="preserve">Scaling factor: </t>
  </si>
  <si>
    <t>Alberta</t>
  </si>
  <si>
    <t>Canada</t>
  </si>
  <si>
    <t xml:space="preserve">Note: Used Canada data to scale Alberta reforestation rate </t>
  </si>
  <si>
    <t>in total in 2050</t>
  </si>
  <si>
    <t xml:space="preserve">Check that this makes sense: </t>
  </si>
  <si>
    <t xml:space="preserve">Note: Assume reforesting 16% of the prairies in Alberta by 2050 is reasonable, so assume a reforestation rate x1.5 the current rate is reasonable </t>
  </si>
  <si>
    <t>of the forest not already under sustainable management is suitable for accelerated carbon sequestration.</t>
  </si>
  <si>
    <t>Note: 34 years from 2016-2050</t>
  </si>
  <si>
    <t>due to forest fire or insects, some restoration of this land may be included in federal accounting under</t>
  </si>
  <si>
    <t>This value was left at 0 in the Canada and Alberta model, because although this amount of land is degraded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</si>
</sst>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71717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9" fontId="0" fillId="2" borderId="0" xfId="0" applyNumberFormat="1" applyFill="1"/>
    <xf numFmtId="0" fontId="0" fillId="0" borderId="0" xfId="0" applyFill="1"/>
    <xf numFmtId="0" fontId="3" fillId="0" borderId="0" xfId="0" applyFont="1"/>
    <xf numFmtId="1" fontId="0" fillId="0" borderId="0" xfId="0" applyNumberFormat="1" applyFont="1"/>
    <xf numFmtId="0" fontId="1" fillId="4" borderId="0" xfId="0" applyFont="1" applyFill="1"/>
    <xf numFmtId="0" fontId="0" fillId="4" borderId="0" xfId="0" applyFont="1" applyFill="1"/>
    <xf numFmtId="1" fontId="0" fillId="3" borderId="0" xfId="0" applyNumberFormat="1" applyFont="1" applyFill="1"/>
    <xf numFmtId="1" fontId="1" fillId="3" borderId="0" xfId="0" applyNumberFormat="1" applyFont="1" applyFill="1"/>
    <xf numFmtId="0" fontId="0" fillId="4" borderId="0" xfId="0" applyFill="1"/>
    <xf numFmtId="1" fontId="0" fillId="0" borderId="0" xfId="0" applyNumberFormat="1" applyFill="1"/>
    <xf numFmtId="1" fontId="0" fillId="0" borderId="0" xfId="0" applyNumberFormat="1"/>
    <xf numFmtId="9" fontId="0" fillId="5" borderId="0" xfId="0" applyNumberFormat="1" applyFill="1"/>
    <xf numFmtId="0" fontId="1" fillId="0" borderId="0" xfId="0" applyFont="1" applyAlignment="1">
      <alignment horizontal="left"/>
    </xf>
    <xf numFmtId="164" fontId="0" fillId="6" borderId="0" xfId="0" applyNumberFormat="1" applyFont="1" applyFill="1"/>
    <xf numFmtId="0" fontId="5" fillId="0" borderId="0" xfId="0" applyFont="1"/>
    <xf numFmtId="0" fontId="0" fillId="6" borderId="0" xfId="0" applyFont="1" applyFill="1"/>
    <xf numFmtId="0" fontId="1" fillId="6" borderId="0" xfId="0" applyFont="1" applyFill="1"/>
    <xf numFmtId="0" fontId="4" fillId="6" borderId="0" xfId="0" applyFont="1" applyFill="1"/>
    <xf numFmtId="0" fontId="6" fillId="0" borderId="0" xfId="11"/>
    <xf numFmtId="0" fontId="0" fillId="6" borderId="0" xfId="0" applyFill="1"/>
    <xf numFmtId="1" fontId="1" fillId="6" borderId="0" xfId="0" applyNumberFormat="1" applyFont="1" applyFill="1"/>
    <xf numFmtId="9" fontId="0" fillId="6" borderId="0" xfId="0" applyNumberFormat="1" applyFont="1" applyFill="1"/>
    <xf numFmtId="1" fontId="0" fillId="6" borderId="0" xfId="0" applyNumberFormat="1" applyFont="1" applyFill="1"/>
    <xf numFmtId="0" fontId="1" fillId="0" borderId="0" xfId="0" applyFont="1" applyFill="1"/>
    <xf numFmtId="0" fontId="5" fillId="0" borderId="0" xfId="0" applyFont="1" applyFill="1"/>
  </cellXfs>
  <cellStyles count="1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can.gc.ca/forests/climate-change/carbon-accounting/13111" TargetMode="External"/><Relationship Id="rId2" Type="http://schemas.openxmlformats.org/officeDocument/2006/relationships/hyperlink" Target="https://cfs.nrcan.gc.ca/statsprofile/overview/a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can.gc.ca/forests/climate-change/carbon-accounting/131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eatmoss.com/peat-moss-industry-figur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5" zoomScale="125" zoomScaleNormal="125" zoomScalePageLayoutView="125" workbookViewId="0">
      <selection activeCell="C33" sqref="C33"/>
    </sheetView>
  </sheetViews>
  <sheetFormatPr baseColWidth="10" defaultColWidth="8.83203125" defaultRowHeight="14" x14ac:dyDescent="0"/>
  <cols>
    <col min="2" max="2" width="57.5" customWidth="1"/>
  </cols>
  <sheetData>
    <row r="1" spans="1:2">
      <c r="A1" s="1" t="s">
        <v>0</v>
      </c>
    </row>
    <row r="3" spans="1:2">
      <c r="A3" s="1" t="s">
        <v>1</v>
      </c>
      <c r="B3" s="10" t="s">
        <v>61</v>
      </c>
    </row>
    <row r="4" spans="1:2">
      <c r="B4" t="s">
        <v>62</v>
      </c>
    </row>
    <row r="5" spans="1:2">
      <c r="B5" t="s">
        <v>63</v>
      </c>
    </row>
    <row r="6" spans="1:2">
      <c r="B6" t="s">
        <v>26</v>
      </c>
    </row>
    <row r="7" spans="1:2">
      <c r="B7" t="s">
        <v>64</v>
      </c>
    </row>
    <row r="9" spans="1:2">
      <c r="B9" s="10" t="s">
        <v>61</v>
      </c>
    </row>
    <row r="10" spans="1:2">
      <c r="B10" t="s">
        <v>65</v>
      </c>
    </row>
    <row r="11" spans="1:2">
      <c r="B11" s="24" t="s">
        <v>25</v>
      </c>
    </row>
    <row r="12" spans="1:2">
      <c r="B12" t="s">
        <v>66</v>
      </c>
    </row>
    <row r="14" spans="1:2">
      <c r="B14" s="10" t="s">
        <v>67</v>
      </c>
    </row>
    <row r="15" spans="1:2">
      <c r="B15" t="s">
        <v>68</v>
      </c>
    </row>
    <row r="16" spans="1:2">
      <c r="B16" s="5" t="s">
        <v>24</v>
      </c>
    </row>
    <row r="17" spans="1:7">
      <c r="B17" t="s">
        <v>78</v>
      </c>
    </row>
    <row r="19" spans="1:7">
      <c r="B19" s="10" t="s">
        <v>69</v>
      </c>
    </row>
    <row r="20" spans="1:7">
      <c r="B20" t="s">
        <v>70</v>
      </c>
    </row>
    <row r="21" spans="1:7">
      <c r="B21" t="s">
        <v>51</v>
      </c>
    </row>
    <row r="22" spans="1:7">
      <c r="B22" t="s">
        <v>71</v>
      </c>
    </row>
    <row r="25" spans="1:7">
      <c r="A25" s="1" t="s">
        <v>20</v>
      </c>
    </row>
    <row r="26" spans="1:7">
      <c r="A26" t="s">
        <v>38</v>
      </c>
      <c r="B26" t="s">
        <v>40</v>
      </c>
      <c r="C26" t="s">
        <v>110</v>
      </c>
      <c r="D26" t="s">
        <v>111</v>
      </c>
    </row>
    <row r="27" spans="1:7">
      <c r="B27" t="s">
        <v>39</v>
      </c>
      <c r="C27">
        <v>2.47105</v>
      </c>
      <c r="D27">
        <f>1/C27</f>
        <v>0.40468626697153032</v>
      </c>
    </row>
    <row r="29" spans="1:7">
      <c r="A29" s="10" t="s">
        <v>72</v>
      </c>
      <c r="B29" s="14"/>
      <c r="C29" s="14"/>
      <c r="D29" s="14"/>
      <c r="E29" s="14"/>
    </row>
    <row r="30" spans="1:7">
      <c r="B30" t="s">
        <v>28</v>
      </c>
    </row>
    <row r="31" spans="1:7">
      <c r="B31" s="1" t="s">
        <v>131</v>
      </c>
      <c r="C31" s="1" t="s">
        <v>30</v>
      </c>
      <c r="G31" s="1" t="s">
        <v>122</v>
      </c>
    </row>
    <row r="32" spans="1:7">
      <c r="B32" s="1" t="s">
        <v>29</v>
      </c>
      <c r="C32" s="21">
        <f>381000*100/10^6</f>
        <v>38.1</v>
      </c>
      <c r="G32" s="20" t="s">
        <v>128</v>
      </c>
    </row>
    <row r="33" spans="2:15">
      <c r="B33" t="s">
        <v>31</v>
      </c>
      <c r="C33" s="25">
        <f>14*0.055/12</f>
        <v>6.4166666666666664E-2</v>
      </c>
      <c r="E33">
        <v>2014</v>
      </c>
      <c r="G33" t="s">
        <v>124</v>
      </c>
    </row>
    <row r="34" spans="2:15">
      <c r="B34" t="s">
        <v>32</v>
      </c>
      <c r="C34" s="25">
        <v>21.658000000000001</v>
      </c>
      <c r="E34">
        <v>2015</v>
      </c>
      <c r="G34" t="s">
        <v>26</v>
      </c>
      <c r="H34" t="s">
        <v>123</v>
      </c>
      <c r="O34" s="1"/>
    </row>
    <row r="35" spans="2:15">
      <c r="B35" t="s">
        <v>33</v>
      </c>
      <c r="C35" s="25">
        <v>6.3E-2</v>
      </c>
      <c r="E35">
        <v>2014</v>
      </c>
      <c r="G35" t="s">
        <v>118</v>
      </c>
    </row>
    <row r="36" spans="2:15">
      <c r="B36" t="s">
        <v>34</v>
      </c>
      <c r="C36" s="25">
        <v>9.6500000000000002E-2</v>
      </c>
      <c r="E36">
        <v>2014</v>
      </c>
      <c r="G36" t="s">
        <v>118</v>
      </c>
    </row>
    <row r="37" spans="2:15">
      <c r="B37" t="s">
        <v>35</v>
      </c>
      <c r="C37" s="25">
        <v>0.61099999999999999</v>
      </c>
      <c r="E37">
        <v>2015</v>
      </c>
      <c r="G37" t="s">
        <v>118</v>
      </c>
    </row>
    <row r="38" spans="2:15">
      <c r="B38" t="s">
        <v>36</v>
      </c>
      <c r="C38" s="25">
        <f>(67735-13600)*100/(10^6)</f>
        <v>5.4135</v>
      </c>
      <c r="E38">
        <v>2018</v>
      </c>
      <c r="G38" t="s">
        <v>119</v>
      </c>
    </row>
    <row r="39" spans="2:15">
      <c r="B39" t="s">
        <v>37</v>
      </c>
      <c r="C39" s="25">
        <v>3.2370000000000001</v>
      </c>
      <c r="E39">
        <v>2014</v>
      </c>
      <c r="G39" s="24" t="s">
        <v>118</v>
      </c>
    </row>
    <row r="40" spans="2:15">
      <c r="C40" s="7"/>
      <c r="G40" s="24"/>
    </row>
    <row r="41" spans="2:15">
      <c r="B41" s="1" t="s">
        <v>132</v>
      </c>
      <c r="C41" s="7"/>
      <c r="G41" s="24"/>
    </row>
    <row r="42" spans="2:15">
      <c r="C42" s="1" t="s">
        <v>30</v>
      </c>
      <c r="G42" s="24"/>
    </row>
    <row r="43" spans="2:15">
      <c r="B43" s="1" t="s">
        <v>29</v>
      </c>
      <c r="C43" s="5">
        <v>347</v>
      </c>
      <c r="G43" s="24"/>
    </row>
    <row r="44" spans="2:15">
      <c r="B44" t="s">
        <v>31</v>
      </c>
      <c r="C44">
        <v>0.03</v>
      </c>
      <c r="E44">
        <v>2014</v>
      </c>
      <c r="G44" s="24"/>
    </row>
    <row r="45" spans="2:15">
      <c r="B45" t="s">
        <v>32</v>
      </c>
      <c r="C45">
        <v>166</v>
      </c>
      <c r="E45">
        <v>2015</v>
      </c>
      <c r="G45" s="24"/>
    </row>
    <row r="46" spans="2:15">
      <c r="B46" t="s">
        <v>33</v>
      </c>
      <c r="C46">
        <v>0.41</v>
      </c>
      <c r="E46">
        <v>2014</v>
      </c>
      <c r="G46" s="24"/>
    </row>
    <row r="47" spans="2:15">
      <c r="B47" t="s">
        <v>34</v>
      </c>
      <c r="C47">
        <v>0.72</v>
      </c>
      <c r="E47">
        <v>2014</v>
      </c>
      <c r="G47" s="24"/>
    </row>
    <row r="48" spans="2:15">
      <c r="B48" t="s">
        <v>35</v>
      </c>
      <c r="C48">
        <v>3.9</v>
      </c>
      <c r="E48">
        <v>2015</v>
      </c>
      <c r="G48" s="24"/>
    </row>
    <row r="49" spans="1:7">
      <c r="B49" t="s">
        <v>36</v>
      </c>
      <c r="C49">
        <v>24</v>
      </c>
      <c r="G49" s="24"/>
    </row>
    <row r="50" spans="1:7">
      <c r="B50" t="s">
        <v>37</v>
      </c>
      <c r="C50">
        <v>20.3</v>
      </c>
      <c r="E50">
        <v>2014</v>
      </c>
    </row>
    <row r="52" spans="1:7">
      <c r="A52" s="1" t="s">
        <v>120</v>
      </c>
    </row>
    <row r="53" spans="1:7">
      <c r="A53" t="s">
        <v>121</v>
      </c>
    </row>
    <row r="54" spans="1:7">
      <c r="A54" t="s">
        <v>125</v>
      </c>
    </row>
    <row r="55" spans="1:7">
      <c r="A55" t="s">
        <v>126</v>
      </c>
    </row>
  </sheetData>
  <hyperlinks>
    <hyperlink ref="B11" r:id="rId1"/>
    <hyperlink ref="G39" r:id="rId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25" zoomScaleNormal="125" zoomScalePageLayoutView="125" workbookViewId="0">
      <selection activeCell="B38" sqref="B38"/>
    </sheetView>
  </sheetViews>
  <sheetFormatPr baseColWidth="10" defaultColWidth="8.83203125" defaultRowHeight="14" x14ac:dyDescent="0"/>
  <cols>
    <col min="1" max="1" width="22.5" style="5" customWidth="1"/>
    <col min="2" max="2" width="42" style="5" bestFit="1" customWidth="1"/>
    <col min="3" max="3" width="8.83203125" style="5"/>
    <col min="4" max="4" width="12" style="5" bestFit="1" customWidth="1"/>
    <col min="5" max="16384" width="8.83203125" style="5"/>
  </cols>
  <sheetData>
    <row r="1" spans="1:6">
      <c r="A1" s="5" t="s">
        <v>83</v>
      </c>
    </row>
    <row r="2" spans="1:6">
      <c r="A2" s="12">
        <f>A13*1.25*About!C27</f>
        <v>139049.97136167149</v>
      </c>
      <c r="B2" s="5" t="s">
        <v>8</v>
      </c>
    </row>
    <row r="5" spans="1:6">
      <c r="A5" s="10" t="s">
        <v>74</v>
      </c>
      <c r="B5" s="11"/>
    </row>
    <row r="6" spans="1:6">
      <c r="A6" s="5" t="s">
        <v>84</v>
      </c>
    </row>
    <row r="7" spans="1:6">
      <c r="A7" s="21">
        <f>About!C32</f>
        <v>38.1</v>
      </c>
      <c r="B7" s="5" t="s">
        <v>30</v>
      </c>
    </row>
    <row r="8" spans="1:6">
      <c r="A8" s="22">
        <f>A7*10^6*About!C27</f>
        <v>94147005</v>
      </c>
      <c r="B8" s="5" t="s">
        <v>8</v>
      </c>
      <c r="C8" s="5" t="s">
        <v>112</v>
      </c>
      <c r="D8" s="5">
        <f>About!C43*10^6*About!C27</f>
        <v>857454350</v>
      </c>
      <c r="E8" s="5" t="s">
        <v>8</v>
      </c>
      <c r="F8" s="5" t="s">
        <v>113</v>
      </c>
    </row>
    <row r="9" spans="1:6">
      <c r="A9" s="29"/>
    </row>
    <row r="10" spans="1:6">
      <c r="A10" s="5" t="s">
        <v>130</v>
      </c>
      <c r="B10" s="5">
        <f>A8/D8</f>
        <v>0.10979827089337175</v>
      </c>
      <c r="D10" s="5" t="s">
        <v>133</v>
      </c>
    </row>
    <row r="12" spans="1:6">
      <c r="A12" s="5" t="s">
        <v>75</v>
      </c>
    </row>
    <row r="13" spans="1:6">
      <c r="A13" s="21">
        <f>About!C46*10^6*B10</f>
        <v>45017.291066282422</v>
      </c>
      <c r="B13" s="5" t="s">
        <v>27</v>
      </c>
    </row>
    <row r="14" spans="1:6">
      <c r="A14" s="5" t="s">
        <v>76</v>
      </c>
    </row>
    <row r="15" spans="1:6">
      <c r="A15" s="21">
        <f>A13*34*1.25</f>
        <v>1913234.870317003</v>
      </c>
      <c r="B15" s="5" t="s">
        <v>134</v>
      </c>
      <c r="C15" s="5" t="s">
        <v>138</v>
      </c>
    </row>
    <row r="16" spans="1:6">
      <c r="A16" s="3"/>
    </row>
    <row r="17" spans="1:3">
      <c r="A17" s="30" t="s">
        <v>135</v>
      </c>
    </row>
    <row r="18" spans="1:3">
      <c r="A18" s="5" t="s">
        <v>77</v>
      </c>
    </row>
    <row r="19" spans="1:3">
      <c r="A19" s="19">
        <f>A15/A25*100</f>
        <v>15.758996754322768</v>
      </c>
      <c r="B19" s="5" t="s">
        <v>114</v>
      </c>
    </row>
    <row r="21" spans="1:3">
      <c r="A21" s="5" t="s">
        <v>52</v>
      </c>
      <c r="B21" s="20" t="s">
        <v>116</v>
      </c>
    </row>
    <row r="22" spans="1:3">
      <c r="B22" s="20" t="s">
        <v>115</v>
      </c>
    </row>
    <row r="23" spans="1:3">
      <c r="A23" s="11" t="s">
        <v>117</v>
      </c>
      <c r="B23" s="11" t="s">
        <v>85</v>
      </c>
    </row>
    <row r="24" spans="1:3">
      <c r="A24" s="23">
        <f>30000000*About!D27/100</f>
        <v>121405.8800914591</v>
      </c>
      <c r="B24" s="5" t="s">
        <v>73</v>
      </c>
      <c r="C24" s="3"/>
    </row>
    <row r="25" spans="1:3">
      <c r="A25" s="21">
        <f>A24*100</f>
        <v>12140588.00914591</v>
      </c>
      <c r="B25" s="5" t="s">
        <v>27</v>
      </c>
    </row>
    <row r="27" spans="1:3">
      <c r="A27" s="5" t="s">
        <v>136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125" zoomScaleNormal="125" zoomScalePageLayoutView="125" workbookViewId="0">
      <selection activeCell="A22" sqref="A22"/>
    </sheetView>
  </sheetViews>
  <sheetFormatPr baseColWidth="10" defaultColWidth="8.83203125" defaultRowHeight="14" x14ac:dyDescent="0"/>
  <cols>
    <col min="1" max="1" width="15.83203125" customWidth="1"/>
  </cols>
  <sheetData>
    <row r="1" spans="1:2" ht="13" customHeight="1">
      <c r="A1" s="1" t="s">
        <v>41</v>
      </c>
    </row>
    <row r="2" spans="1:2">
      <c r="A2" s="25">
        <f>About!C36</f>
        <v>9.6500000000000002E-2</v>
      </c>
      <c r="B2" t="s">
        <v>30</v>
      </c>
    </row>
    <row r="3" spans="1:2">
      <c r="A3" s="25">
        <f>A2*10^6*About!C27</f>
        <v>238456.32499999998</v>
      </c>
      <c r="B3" t="s">
        <v>8</v>
      </c>
    </row>
    <row r="6" spans="1:2">
      <c r="A6" s="1" t="s">
        <v>9</v>
      </c>
    </row>
    <row r="7" spans="1:2">
      <c r="A7" t="s">
        <v>10</v>
      </c>
    </row>
    <row r="8" spans="1:2">
      <c r="A8" t="s">
        <v>11</v>
      </c>
    </row>
    <row r="9" spans="1:2">
      <c r="A9" t="s">
        <v>12</v>
      </c>
    </row>
    <row r="10" spans="1:2">
      <c r="A10" t="s">
        <v>13</v>
      </c>
    </row>
    <row r="11" spans="1:2">
      <c r="A11" t="s">
        <v>14</v>
      </c>
    </row>
    <row r="12" spans="1:2">
      <c r="A12" t="s">
        <v>15</v>
      </c>
    </row>
    <row r="13" spans="1:2">
      <c r="A13" t="s">
        <v>21</v>
      </c>
    </row>
    <row r="14" spans="1:2">
      <c r="A14" t="s">
        <v>81</v>
      </c>
    </row>
    <row r="15" spans="1:2">
      <c r="A15" t="s">
        <v>16</v>
      </c>
    </row>
    <row r="16" spans="1:2">
      <c r="A16" t="s">
        <v>82</v>
      </c>
    </row>
    <row r="17" spans="1:2">
      <c r="A17" t="s">
        <v>17</v>
      </c>
    </row>
    <row r="19" spans="1:2">
      <c r="A19" s="6">
        <v>0.02</v>
      </c>
      <c r="B19" t="s">
        <v>18</v>
      </c>
    </row>
    <row r="21" spans="1:2">
      <c r="A21" s="26">
        <f>A3*A19</f>
        <v>4769.1264999999994</v>
      </c>
      <c r="B21" t="s">
        <v>19</v>
      </c>
    </row>
    <row r="22" spans="1:2">
      <c r="A2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25" zoomScaleNormal="125" zoomScalePageLayoutView="125" workbookViewId="0">
      <selection activeCell="A8" sqref="A8"/>
    </sheetView>
  </sheetViews>
  <sheetFormatPr baseColWidth="10" defaultColWidth="8.83203125" defaultRowHeight="14" x14ac:dyDescent="0"/>
  <cols>
    <col min="1" max="1" width="9.1640625" customWidth="1"/>
    <col min="2" max="2" width="15.83203125" customWidth="1"/>
  </cols>
  <sheetData>
    <row r="1" spans="1:2">
      <c r="A1" t="s">
        <v>42</v>
      </c>
    </row>
    <row r="2" spans="1:2">
      <c r="A2" t="s">
        <v>43</v>
      </c>
    </row>
    <row r="4" spans="1:2">
      <c r="A4" t="s">
        <v>44</v>
      </c>
    </row>
    <row r="6" spans="1:2">
      <c r="A6" s="1" t="s">
        <v>45</v>
      </c>
    </row>
    <row r="7" spans="1:2">
      <c r="A7" s="25">
        <f>About!C33</f>
        <v>6.4166666666666664E-2</v>
      </c>
      <c r="B7" t="s">
        <v>30</v>
      </c>
    </row>
    <row r="8" spans="1:2">
      <c r="A8" s="22">
        <f>A7*10^6*About!C27</f>
        <v>158559.04166666666</v>
      </c>
      <c r="B8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zoomScale="125" zoomScaleNormal="125" zoomScalePageLayoutView="125" workbookViewId="0">
      <selection activeCell="G31" sqref="G31"/>
    </sheetView>
  </sheetViews>
  <sheetFormatPr baseColWidth="10" defaultColWidth="8.83203125" defaultRowHeight="14" x14ac:dyDescent="0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8.83203125" style="4"/>
  </cols>
  <sheetData>
    <row r="1" spans="1:10">
      <c r="A1" t="s">
        <v>107</v>
      </c>
    </row>
    <row r="2" spans="1:10">
      <c r="A2" t="s">
        <v>108</v>
      </c>
    </row>
    <row r="3" spans="1:10">
      <c r="A3" t="s">
        <v>109</v>
      </c>
    </row>
    <row r="5" spans="1:10">
      <c r="A5" s="1" t="s">
        <v>46</v>
      </c>
      <c r="D5" s="18" t="s">
        <v>120</v>
      </c>
      <c r="J5" s="1"/>
    </row>
    <row r="6" spans="1:10">
      <c r="A6" s="25">
        <f>381000/10^4</f>
        <v>38.1</v>
      </c>
      <c r="B6" s="4" t="s">
        <v>47</v>
      </c>
      <c r="C6" t="s">
        <v>48</v>
      </c>
      <c r="D6" s="24" t="s">
        <v>25</v>
      </c>
    </row>
    <row r="7" spans="1:10">
      <c r="A7" t="s">
        <v>49</v>
      </c>
    </row>
    <row r="8" spans="1:10">
      <c r="A8" s="25">
        <f>About!C34</f>
        <v>21.658000000000001</v>
      </c>
      <c r="B8" s="4" t="s">
        <v>30</v>
      </c>
      <c r="C8" t="s">
        <v>48</v>
      </c>
      <c r="D8" t="s">
        <v>26</v>
      </c>
    </row>
    <row r="9" spans="1:10">
      <c r="A9" t="s">
        <v>50</v>
      </c>
      <c r="D9" s="18"/>
    </row>
    <row r="10" spans="1:10">
      <c r="A10" s="25">
        <f>A6-A8</f>
        <v>16.442</v>
      </c>
      <c r="B10" s="4" t="s">
        <v>30</v>
      </c>
    </row>
    <row r="11" spans="1:10">
      <c r="A11" s="21">
        <f>A10*10^6*About!C27</f>
        <v>40629004.100000001</v>
      </c>
      <c r="B11" s="4" t="s">
        <v>8</v>
      </c>
    </row>
    <row r="13" spans="1:10">
      <c r="A13" t="s">
        <v>95</v>
      </c>
    </row>
    <row r="14" spans="1:10">
      <c r="A14" t="s">
        <v>101</v>
      </c>
    </row>
    <row r="15" spans="1:10">
      <c r="A15" t="s">
        <v>96</v>
      </c>
    </row>
    <row r="17" spans="1:2">
      <c r="A17" s="5" t="s">
        <v>93</v>
      </c>
    </row>
    <row r="18" spans="1:2">
      <c r="A18" t="s">
        <v>137</v>
      </c>
    </row>
    <row r="19" spans="1:2">
      <c r="A19" s="17">
        <v>0.5</v>
      </c>
      <c r="B19" s="4" t="s">
        <v>94</v>
      </c>
    </row>
    <row r="21" spans="1:2">
      <c r="A21" t="s">
        <v>97</v>
      </c>
    </row>
    <row r="22" spans="1:2">
      <c r="A22" t="s">
        <v>98</v>
      </c>
    </row>
    <row r="23" spans="1:2">
      <c r="A23" t="s">
        <v>102</v>
      </c>
    </row>
    <row r="24" spans="1:2">
      <c r="A24" t="s">
        <v>103</v>
      </c>
    </row>
    <row r="25" spans="1:2">
      <c r="A25" t="s">
        <v>104</v>
      </c>
    </row>
    <row r="26" spans="1:2">
      <c r="A26" t="s">
        <v>105</v>
      </c>
    </row>
    <row r="27" spans="1:2">
      <c r="A27" t="s">
        <v>106</v>
      </c>
    </row>
    <row r="28" spans="1:2">
      <c r="A28" s="17">
        <v>1.24E-2</v>
      </c>
      <c r="B28" s="4" t="s">
        <v>129</v>
      </c>
    </row>
    <row r="30" spans="1:2">
      <c r="A30" t="s">
        <v>99</v>
      </c>
    </row>
    <row r="31" spans="1:2">
      <c r="A31" t="s">
        <v>100</v>
      </c>
    </row>
    <row r="33" spans="1:2">
      <c r="A33" s="26">
        <f>A11*A19*A28</f>
        <v>251899.82542000001</v>
      </c>
      <c r="B33" s="18" t="s">
        <v>8</v>
      </c>
    </row>
  </sheetData>
  <hyperlinks>
    <hyperlink ref="D6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19" sqref="A19"/>
    </sheetView>
  </sheetViews>
  <sheetFormatPr baseColWidth="10" defaultColWidth="10.83203125" defaultRowHeight="14" x14ac:dyDescent="0"/>
  <cols>
    <col min="1" max="1" width="27.6640625" style="5" customWidth="1"/>
    <col min="2" max="16384" width="10.83203125" style="5"/>
  </cols>
  <sheetData>
    <row r="1" spans="1:2">
      <c r="A1" s="5" t="s">
        <v>52</v>
      </c>
      <c r="B1" s="24" t="s">
        <v>24</v>
      </c>
    </row>
    <row r="2" spans="1:2">
      <c r="A2" s="8" t="s">
        <v>22</v>
      </c>
    </row>
    <row r="3" spans="1:2">
      <c r="A3" s="8" t="s">
        <v>23</v>
      </c>
    </row>
    <row r="4" spans="1:2">
      <c r="A4" s="8" t="s">
        <v>127</v>
      </c>
    </row>
    <row r="6" spans="1:2">
      <c r="A6" s="5" t="s">
        <v>52</v>
      </c>
      <c r="B6" s="5" t="s">
        <v>51</v>
      </c>
    </row>
    <row r="7" spans="1:2">
      <c r="A7" s="5" t="s">
        <v>53</v>
      </c>
    </row>
    <row r="8" spans="1:2">
      <c r="A8" s="5" t="s">
        <v>54</v>
      </c>
      <c r="B8" s="27">
        <v>0.57999999999999996</v>
      </c>
    </row>
    <row r="9" spans="1:2">
      <c r="A9" s="3" t="s">
        <v>55</v>
      </c>
      <c r="B9" s="27">
        <v>0.25</v>
      </c>
    </row>
    <row r="10" spans="1:2">
      <c r="A10" s="3" t="s">
        <v>56</v>
      </c>
      <c r="B10" s="27">
        <v>0.15</v>
      </c>
    </row>
    <row r="11" spans="1:2">
      <c r="A11" s="3" t="s">
        <v>57</v>
      </c>
      <c r="B11" s="27">
        <v>0.02</v>
      </c>
    </row>
    <row r="13" spans="1:2">
      <c r="A13" s="5" t="s">
        <v>58</v>
      </c>
    </row>
    <row r="14" spans="1:2">
      <c r="A14" s="21">
        <f>2679.66*B10</f>
        <v>401.94899999999996</v>
      </c>
      <c r="B14" s="5" t="s">
        <v>27</v>
      </c>
    </row>
    <row r="15" spans="1:2">
      <c r="A15" s="28">
        <f>A14*About!C27</f>
        <v>993.23607644999993</v>
      </c>
      <c r="B15" s="5" t="s">
        <v>8</v>
      </c>
    </row>
    <row r="16" spans="1:2">
      <c r="A16" s="9"/>
    </row>
    <row r="17" spans="1:2">
      <c r="A17" s="9" t="s">
        <v>87</v>
      </c>
    </row>
    <row r="18" spans="1:2">
      <c r="A18" s="13">
        <f>A15/34</f>
        <v>29.212825777941173</v>
      </c>
      <c r="B18" s="5" t="s">
        <v>86</v>
      </c>
    </row>
    <row r="20" spans="1:2">
      <c r="A20" s="5" t="s">
        <v>88</v>
      </c>
    </row>
    <row r="21" spans="1:2">
      <c r="A21" s="5" t="s">
        <v>89</v>
      </c>
    </row>
    <row r="22" spans="1:2">
      <c r="A22" s="5" t="s">
        <v>90</v>
      </c>
    </row>
    <row r="23" spans="1:2">
      <c r="A23" s="5" t="s">
        <v>91</v>
      </c>
    </row>
    <row r="24" spans="1:2">
      <c r="A24" s="5" t="s">
        <v>92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5" zoomScaleNormal="125" zoomScalePageLayoutView="125" workbookViewId="0">
      <selection activeCell="A6" sqref="A6"/>
    </sheetView>
  </sheetViews>
  <sheetFormatPr baseColWidth="10" defaultColWidth="10.83203125" defaultRowHeight="14" x14ac:dyDescent="0"/>
  <sheetData>
    <row r="1" spans="1:2">
      <c r="A1" t="s">
        <v>60</v>
      </c>
    </row>
    <row r="2" spans="1:2">
      <c r="A2" s="25">
        <f>About!C37+About!C39</f>
        <v>3.8479999999999999</v>
      </c>
      <c r="B2" t="s">
        <v>30</v>
      </c>
    </row>
    <row r="3" spans="1:2">
      <c r="A3" s="25">
        <f>A2*10^6*About!C27</f>
        <v>9508600.4000000004</v>
      </c>
      <c r="B3" t="s">
        <v>59</v>
      </c>
    </row>
    <row r="5" spans="1:2">
      <c r="A5" s="7" t="s">
        <v>140</v>
      </c>
    </row>
    <row r="6" spans="1:2">
      <c r="A6" t="s">
        <v>139</v>
      </c>
    </row>
    <row r="7" spans="1:2">
      <c r="A7" t="s">
        <v>79</v>
      </c>
    </row>
    <row r="9" spans="1:2">
      <c r="A9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J7"/>
  <sheetViews>
    <sheetView workbookViewId="0">
      <selection activeCell="B5" sqref="B5"/>
    </sheetView>
  </sheetViews>
  <sheetFormatPr baseColWidth="10" defaultColWidth="8.83203125" defaultRowHeight="14" x14ac:dyDescent="0"/>
  <cols>
    <col min="1" max="1" width="29.5" customWidth="1"/>
    <col min="2" max="36" width="13.5" customWidth="1"/>
  </cols>
  <sheetData>
    <row r="1" spans="1:36">
      <c r="B1" s="2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>
      <c r="A2" t="s">
        <v>2</v>
      </c>
      <c r="B2" s="15">
        <f>'Set Asides'!$A$21</f>
        <v>4769.1264999999994</v>
      </c>
      <c r="C2" s="16">
        <f>$B2</f>
        <v>4769.1264999999994</v>
      </c>
      <c r="D2" s="16">
        <f t="shared" ref="D2:AJ7" si="0">$B2</f>
        <v>4769.1264999999994</v>
      </c>
      <c r="E2" s="16">
        <f t="shared" si="0"/>
        <v>4769.1264999999994</v>
      </c>
      <c r="F2" s="16">
        <f t="shared" si="0"/>
        <v>4769.1264999999994</v>
      </c>
      <c r="G2" s="16">
        <f t="shared" si="0"/>
        <v>4769.1264999999994</v>
      </c>
      <c r="H2" s="16">
        <f t="shared" si="0"/>
        <v>4769.1264999999994</v>
      </c>
      <c r="I2" s="16">
        <f t="shared" si="0"/>
        <v>4769.1264999999994</v>
      </c>
      <c r="J2" s="16">
        <f t="shared" si="0"/>
        <v>4769.1264999999994</v>
      </c>
      <c r="K2" s="16">
        <f t="shared" si="0"/>
        <v>4769.1264999999994</v>
      </c>
      <c r="L2" s="16">
        <f t="shared" si="0"/>
        <v>4769.1264999999994</v>
      </c>
      <c r="M2" s="16">
        <f t="shared" si="0"/>
        <v>4769.1264999999994</v>
      </c>
      <c r="N2" s="16">
        <f t="shared" si="0"/>
        <v>4769.1264999999994</v>
      </c>
      <c r="O2" s="16">
        <f t="shared" si="0"/>
        <v>4769.1264999999994</v>
      </c>
      <c r="P2" s="16">
        <f t="shared" si="0"/>
        <v>4769.1264999999994</v>
      </c>
      <c r="Q2" s="16">
        <f t="shared" si="0"/>
        <v>4769.1264999999994</v>
      </c>
      <c r="R2" s="16">
        <f t="shared" si="0"/>
        <v>4769.1264999999994</v>
      </c>
      <c r="S2" s="16">
        <f t="shared" si="0"/>
        <v>4769.1264999999994</v>
      </c>
      <c r="T2" s="16">
        <f t="shared" si="0"/>
        <v>4769.1264999999994</v>
      </c>
      <c r="U2" s="16">
        <f t="shared" si="0"/>
        <v>4769.1264999999994</v>
      </c>
      <c r="V2" s="16">
        <f t="shared" si="0"/>
        <v>4769.1264999999994</v>
      </c>
      <c r="W2" s="16">
        <f t="shared" si="0"/>
        <v>4769.1264999999994</v>
      </c>
      <c r="X2" s="16">
        <f t="shared" si="0"/>
        <v>4769.1264999999994</v>
      </c>
      <c r="Y2" s="16">
        <f t="shared" si="0"/>
        <v>4769.1264999999994</v>
      </c>
      <c r="Z2" s="16">
        <f t="shared" si="0"/>
        <v>4769.1264999999994</v>
      </c>
      <c r="AA2" s="16">
        <f t="shared" si="0"/>
        <v>4769.1264999999994</v>
      </c>
      <c r="AB2" s="16">
        <f t="shared" si="0"/>
        <v>4769.1264999999994</v>
      </c>
      <c r="AC2" s="16">
        <f t="shared" si="0"/>
        <v>4769.1264999999994</v>
      </c>
      <c r="AD2" s="16">
        <f t="shared" si="0"/>
        <v>4769.1264999999994</v>
      </c>
      <c r="AE2" s="16">
        <f t="shared" si="0"/>
        <v>4769.1264999999994</v>
      </c>
      <c r="AF2" s="16">
        <f t="shared" si="0"/>
        <v>4769.1264999999994</v>
      </c>
      <c r="AG2" s="16">
        <f t="shared" si="0"/>
        <v>4769.1264999999994</v>
      </c>
      <c r="AH2" s="16">
        <f t="shared" si="0"/>
        <v>4769.1264999999994</v>
      </c>
      <c r="AI2" s="16">
        <f t="shared" si="0"/>
        <v>4769.1264999999994</v>
      </c>
      <c r="AJ2" s="16">
        <f t="shared" si="0"/>
        <v>4769.1264999999994</v>
      </c>
    </row>
    <row r="3" spans="1:36">
      <c r="A3" t="s">
        <v>3</v>
      </c>
      <c r="B3" s="15">
        <f>'Aff Ref'!A2</f>
        <v>139049.97136167149</v>
      </c>
      <c r="C3" s="16">
        <f t="shared" ref="C3:R7" si="1">$B3</f>
        <v>139049.97136167149</v>
      </c>
      <c r="D3" s="16">
        <f t="shared" si="1"/>
        <v>139049.97136167149</v>
      </c>
      <c r="E3" s="16">
        <f t="shared" si="1"/>
        <v>139049.97136167149</v>
      </c>
      <c r="F3" s="16">
        <f t="shared" si="1"/>
        <v>139049.97136167149</v>
      </c>
      <c r="G3" s="16">
        <f t="shared" si="1"/>
        <v>139049.97136167149</v>
      </c>
      <c r="H3" s="16">
        <f t="shared" si="1"/>
        <v>139049.97136167149</v>
      </c>
      <c r="I3" s="16">
        <f t="shared" si="1"/>
        <v>139049.97136167149</v>
      </c>
      <c r="J3" s="16">
        <f t="shared" si="1"/>
        <v>139049.97136167149</v>
      </c>
      <c r="K3" s="16">
        <f t="shared" si="1"/>
        <v>139049.97136167149</v>
      </c>
      <c r="L3" s="16">
        <f t="shared" si="1"/>
        <v>139049.97136167149</v>
      </c>
      <c r="M3" s="16">
        <f t="shared" si="1"/>
        <v>139049.97136167149</v>
      </c>
      <c r="N3" s="16">
        <f t="shared" si="1"/>
        <v>139049.97136167149</v>
      </c>
      <c r="O3" s="16">
        <f t="shared" si="1"/>
        <v>139049.97136167149</v>
      </c>
      <c r="P3" s="16">
        <f t="shared" si="1"/>
        <v>139049.97136167149</v>
      </c>
      <c r="Q3" s="16">
        <f t="shared" si="1"/>
        <v>139049.97136167149</v>
      </c>
      <c r="R3" s="16">
        <f t="shared" si="1"/>
        <v>139049.97136167149</v>
      </c>
      <c r="S3" s="16">
        <f t="shared" si="0"/>
        <v>139049.97136167149</v>
      </c>
      <c r="T3" s="16">
        <f t="shared" si="0"/>
        <v>139049.97136167149</v>
      </c>
      <c r="U3" s="16">
        <f t="shared" si="0"/>
        <v>139049.97136167149</v>
      </c>
      <c r="V3" s="16">
        <f t="shared" si="0"/>
        <v>139049.97136167149</v>
      </c>
      <c r="W3" s="16">
        <f t="shared" si="0"/>
        <v>139049.97136167149</v>
      </c>
      <c r="X3" s="16">
        <f t="shared" si="0"/>
        <v>139049.97136167149</v>
      </c>
      <c r="Y3" s="16">
        <f t="shared" si="0"/>
        <v>139049.97136167149</v>
      </c>
      <c r="Z3" s="16">
        <f t="shared" si="0"/>
        <v>139049.97136167149</v>
      </c>
      <c r="AA3" s="16">
        <f t="shared" si="0"/>
        <v>139049.97136167149</v>
      </c>
      <c r="AB3" s="16">
        <f t="shared" si="0"/>
        <v>139049.97136167149</v>
      </c>
      <c r="AC3" s="16">
        <f t="shared" si="0"/>
        <v>139049.97136167149</v>
      </c>
      <c r="AD3" s="16">
        <f t="shared" si="0"/>
        <v>139049.97136167149</v>
      </c>
      <c r="AE3" s="16">
        <f t="shared" si="0"/>
        <v>139049.97136167149</v>
      </c>
      <c r="AF3" s="16">
        <f t="shared" si="0"/>
        <v>139049.97136167149</v>
      </c>
      <c r="AG3" s="16">
        <f t="shared" si="0"/>
        <v>139049.97136167149</v>
      </c>
      <c r="AH3" s="16">
        <f t="shared" si="0"/>
        <v>139049.97136167149</v>
      </c>
      <c r="AI3" s="16">
        <f t="shared" si="0"/>
        <v>139049.97136167149</v>
      </c>
      <c r="AJ3" s="16">
        <f t="shared" si="0"/>
        <v>139049.97136167149</v>
      </c>
    </row>
    <row r="4" spans="1:36">
      <c r="A4" t="s">
        <v>4</v>
      </c>
      <c r="B4" s="15">
        <f>'Impr Forest Mgmt'!A33</f>
        <v>251899.82542000001</v>
      </c>
      <c r="C4" s="16">
        <f t="shared" si="1"/>
        <v>251899.82542000001</v>
      </c>
      <c r="D4" s="16">
        <f t="shared" si="0"/>
        <v>251899.82542000001</v>
      </c>
      <c r="E4" s="16">
        <f t="shared" si="0"/>
        <v>251899.82542000001</v>
      </c>
      <c r="F4" s="16">
        <f t="shared" si="0"/>
        <v>251899.82542000001</v>
      </c>
      <c r="G4" s="16">
        <f t="shared" si="0"/>
        <v>251899.82542000001</v>
      </c>
      <c r="H4" s="16">
        <f t="shared" si="0"/>
        <v>251899.82542000001</v>
      </c>
      <c r="I4" s="16">
        <f t="shared" si="0"/>
        <v>251899.82542000001</v>
      </c>
      <c r="J4" s="16">
        <f t="shared" si="0"/>
        <v>251899.82542000001</v>
      </c>
      <c r="K4" s="16">
        <f t="shared" si="0"/>
        <v>251899.82542000001</v>
      </c>
      <c r="L4" s="16">
        <f t="shared" si="0"/>
        <v>251899.82542000001</v>
      </c>
      <c r="M4" s="16">
        <f t="shared" si="0"/>
        <v>251899.82542000001</v>
      </c>
      <c r="N4" s="16">
        <f t="shared" si="0"/>
        <v>251899.82542000001</v>
      </c>
      <c r="O4" s="16">
        <f t="shared" si="0"/>
        <v>251899.82542000001</v>
      </c>
      <c r="P4" s="16">
        <f t="shared" si="0"/>
        <v>251899.82542000001</v>
      </c>
      <c r="Q4" s="16">
        <f t="shared" si="0"/>
        <v>251899.82542000001</v>
      </c>
      <c r="R4" s="16">
        <f t="shared" si="0"/>
        <v>251899.82542000001</v>
      </c>
      <c r="S4" s="16">
        <f t="shared" si="0"/>
        <v>251899.82542000001</v>
      </c>
      <c r="T4" s="16">
        <f t="shared" si="0"/>
        <v>251899.82542000001</v>
      </c>
      <c r="U4" s="16">
        <f t="shared" si="0"/>
        <v>251899.82542000001</v>
      </c>
      <c r="V4" s="16">
        <f t="shared" si="0"/>
        <v>251899.82542000001</v>
      </c>
      <c r="W4" s="16">
        <f t="shared" si="0"/>
        <v>251899.82542000001</v>
      </c>
      <c r="X4" s="16">
        <f t="shared" si="0"/>
        <v>251899.82542000001</v>
      </c>
      <c r="Y4" s="16">
        <f t="shared" si="0"/>
        <v>251899.82542000001</v>
      </c>
      <c r="Z4" s="16">
        <f t="shared" si="0"/>
        <v>251899.82542000001</v>
      </c>
      <c r="AA4" s="16">
        <f t="shared" si="0"/>
        <v>251899.82542000001</v>
      </c>
      <c r="AB4" s="16">
        <f t="shared" si="0"/>
        <v>251899.82542000001</v>
      </c>
      <c r="AC4" s="16">
        <f t="shared" si="0"/>
        <v>251899.82542000001</v>
      </c>
      <c r="AD4" s="16">
        <f t="shared" si="0"/>
        <v>251899.82542000001</v>
      </c>
      <c r="AE4" s="16">
        <f t="shared" si="0"/>
        <v>251899.82542000001</v>
      </c>
      <c r="AF4" s="16">
        <f t="shared" si="0"/>
        <v>251899.82542000001</v>
      </c>
      <c r="AG4" s="16">
        <f t="shared" si="0"/>
        <v>251899.82542000001</v>
      </c>
      <c r="AH4" s="16">
        <f t="shared" si="0"/>
        <v>251899.82542000001</v>
      </c>
      <c r="AI4" s="16">
        <f t="shared" si="0"/>
        <v>251899.82542000001</v>
      </c>
      <c r="AJ4" s="16">
        <f t="shared" si="0"/>
        <v>251899.82542000001</v>
      </c>
    </row>
    <row r="5" spans="1:36">
      <c r="A5" t="s">
        <v>5</v>
      </c>
      <c r="B5" s="15">
        <f>'Avoided Def'!$A$8</f>
        <v>158559.04166666666</v>
      </c>
      <c r="C5" s="16">
        <f t="shared" si="1"/>
        <v>158559.04166666666</v>
      </c>
      <c r="D5" s="16">
        <f t="shared" si="0"/>
        <v>158559.04166666666</v>
      </c>
      <c r="E5" s="16">
        <f t="shared" si="0"/>
        <v>158559.04166666666</v>
      </c>
      <c r="F5" s="16">
        <f t="shared" si="0"/>
        <v>158559.04166666666</v>
      </c>
      <c r="G5" s="16">
        <f t="shared" si="0"/>
        <v>158559.04166666666</v>
      </c>
      <c r="H5" s="16">
        <f t="shared" si="0"/>
        <v>158559.04166666666</v>
      </c>
      <c r="I5" s="16">
        <f t="shared" si="0"/>
        <v>158559.04166666666</v>
      </c>
      <c r="J5" s="16">
        <f t="shared" si="0"/>
        <v>158559.04166666666</v>
      </c>
      <c r="K5" s="16">
        <f t="shared" si="0"/>
        <v>158559.04166666666</v>
      </c>
      <c r="L5" s="16">
        <f t="shared" si="0"/>
        <v>158559.04166666666</v>
      </c>
      <c r="M5" s="16">
        <f t="shared" si="0"/>
        <v>158559.04166666666</v>
      </c>
      <c r="N5" s="16">
        <f t="shared" si="0"/>
        <v>158559.04166666666</v>
      </c>
      <c r="O5" s="16">
        <f t="shared" si="0"/>
        <v>158559.04166666666</v>
      </c>
      <c r="P5" s="16">
        <f t="shared" si="0"/>
        <v>158559.04166666666</v>
      </c>
      <c r="Q5" s="16">
        <f t="shared" si="0"/>
        <v>158559.04166666666</v>
      </c>
      <c r="R5" s="16">
        <f t="shared" si="0"/>
        <v>158559.04166666666</v>
      </c>
      <c r="S5" s="16">
        <f t="shared" si="0"/>
        <v>158559.04166666666</v>
      </c>
      <c r="T5" s="16">
        <f t="shared" si="0"/>
        <v>158559.04166666666</v>
      </c>
      <c r="U5" s="16">
        <f t="shared" si="0"/>
        <v>158559.04166666666</v>
      </c>
      <c r="V5" s="16">
        <f t="shared" si="0"/>
        <v>158559.04166666666</v>
      </c>
      <c r="W5" s="16">
        <f t="shared" si="0"/>
        <v>158559.04166666666</v>
      </c>
      <c r="X5" s="16">
        <f t="shared" si="0"/>
        <v>158559.04166666666</v>
      </c>
      <c r="Y5" s="16">
        <f t="shared" si="0"/>
        <v>158559.04166666666</v>
      </c>
      <c r="Z5" s="16">
        <f t="shared" si="0"/>
        <v>158559.04166666666</v>
      </c>
      <c r="AA5" s="16">
        <f t="shared" si="0"/>
        <v>158559.04166666666</v>
      </c>
      <c r="AB5" s="16">
        <f t="shared" si="0"/>
        <v>158559.04166666666</v>
      </c>
      <c r="AC5" s="16">
        <f t="shared" si="0"/>
        <v>158559.04166666666</v>
      </c>
      <c r="AD5" s="16">
        <f t="shared" si="0"/>
        <v>158559.04166666666</v>
      </c>
      <c r="AE5" s="16">
        <f t="shared" si="0"/>
        <v>158559.04166666666</v>
      </c>
      <c r="AF5" s="16">
        <f t="shared" si="0"/>
        <v>158559.04166666666</v>
      </c>
      <c r="AG5" s="16">
        <f t="shared" si="0"/>
        <v>158559.04166666666</v>
      </c>
      <c r="AH5" s="16">
        <f t="shared" si="0"/>
        <v>158559.04166666666</v>
      </c>
      <c r="AI5" s="16">
        <f t="shared" si="0"/>
        <v>158559.04166666666</v>
      </c>
      <c r="AJ5" s="16">
        <f t="shared" si="0"/>
        <v>158559.04166666666</v>
      </c>
    </row>
    <row r="6" spans="1:36">
      <c r="A6" t="s">
        <v>6</v>
      </c>
      <c r="B6" s="15">
        <f>'Peatland restoration'!A18</f>
        <v>29.212825777941173</v>
      </c>
      <c r="C6" s="16">
        <f t="shared" si="1"/>
        <v>29.212825777941173</v>
      </c>
      <c r="D6" s="16">
        <f t="shared" si="0"/>
        <v>29.212825777941173</v>
      </c>
      <c r="E6" s="16">
        <f t="shared" si="0"/>
        <v>29.212825777941173</v>
      </c>
      <c r="F6" s="16">
        <f t="shared" si="0"/>
        <v>29.212825777941173</v>
      </c>
      <c r="G6" s="16">
        <f t="shared" si="0"/>
        <v>29.212825777941173</v>
      </c>
      <c r="H6" s="16">
        <f t="shared" si="0"/>
        <v>29.212825777941173</v>
      </c>
      <c r="I6" s="16">
        <f t="shared" si="0"/>
        <v>29.212825777941173</v>
      </c>
      <c r="J6" s="16">
        <f t="shared" si="0"/>
        <v>29.212825777941173</v>
      </c>
      <c r="K6" s="16">
        <f t="shared" si="0"/>
        <v>29.212825777941173</v>
      </c>
      <c r="L6" s="16">
        <f t="shared" si="0"/>
        <v>29.212825777941173</v>
      </c>
      <c r="M6" s="16">
        <f t="shared" si="0"/>
        <v>29.212825777941173</v>
      </c>
      <c r="N6" s="16">
        <f t="shared" si="0"/>
        <v>29.212825777941173</v>
      </c>
      <c r="O6" s="16">
        <f t="shared" si="0"/>
        <v>29.212825777941173</v>
      </c>
      <c r="P6" s="16">
        <f t="shared" si="0"/>
        <v>29.212825777941173</v>
      </c>
      <c r="Q6" s="16">
        <f t="shared" si="0"/>
        <v>29.212825777941173</v>
      </c>
      <c r="R6" s="16">
        <f t="shared" si="0"/>
        <v>29.212825777941173</v>
      </c>
      <c r="S6" s="16">
        <f t="shared" si="0"/>
        <v>29.212825777941173</v>
      </c>
      <c r="T6" s="16">
        <f t="shared" si="0"/>
        <v>29.212825777941173</v>
      </c>
      <c r="U6" s="16">
        <f t="shared" si="0"/>
        <v>29.212825777941173</v>
      </c>
      <c r="V6" s="16">
        <f t="shared" si="0"/>
        <v>29.212825777941173</v>
      </c>
      <c r="W6" s="16">
        <f t="shared" si="0"/>
        <v>29.212825777941173</v>
      </c>
      <c r="X6" s="16">
        <f t="shared" si="0"/>
        <v>29.212825777941173</v>
      </c>
      <c r="Y6" s="16">
        <f t="shared" si="0"/>
        <v>29.212825777941173</v>
      </c>
      <c r="Z6" s="16">
        <f t="shared" si="0"/>
        <v>29.212825777941173</v>
      </c>
      <c r="AA6" s="16">
        <f t="shared" si="0"/>
        <v>29.212825777941173</v>
      </c>
      <c r="AB6" s="16">
        <f t="shared" si="0"/>
        <v>29.212825777941173</v>
      </c>
      <c r="AC6" s="16">
        <f t="shared" si="0"/>
        <v>29.212825777941173</v>
      </c>
      <c r="AD6" s="16">
        <f t="shared" si="0"/>
        <v>29.212825777941173</v>
      </c>
      <c r="AE6" s="16">
        <f t="shared" si="0"/>
        <v>29.212825777941173</v>
      </c>
      <c r="AF6" s="16">
        <f t="shared" si="0"/>
        <v>29.212825777941173</v>
      </c>
      <c r="AG6" s="16">
        <f t="shared" si="0"/>
        <v>29.212825777941173</v>
      </c>
      <c r="AH6" s="16">
        <f t="shared" si="0"/>
        <v>29.212825777941173</v>
      </c>
      <c r="AI6" s="16">
        <f t="shared" si="0"/>
        <v>29.212825777941173</v>
      </c>
      <c r="AJ6" s="16">
        <f t="shared" si="0"/>
        <v>29.212825777941173</v>
      </c>
    </row>
    <row r="7" spans="1:36">
      <c r="A7" t="s">
        <v>7</v>
      </c>
      <c r="B7" s="16">
        <v>0</v>
      </c>
      <c r="C7" s="16">
        <f t="shared" si="1"/>
        <v>0</v>
      </c>
      <c r="D7" s="16">
        <f t="shared" si="0"/>
        <v>0</v>
      </c>
      <c r="E7" s="16">
        <f t="shared" si="0"/>
        <v>0</v>
      </c>
      <c r="F7" s="16">
        <f t="shared" si="0"/>
        <v>0</v>
      </c>
      <c r="G7" s="16">
        <f t="shared" si="0"/>
        <v>0</v>
      </c>
      <c r="H7" s="16">
        <f t="shared" si="0"/>
        <v>0</v>
      </c>
      <c r="I7" s="16">
        <f t="shared" si="0"/>
        <v>0</v>
      </c>
      <c r="J7" s="16">
        <f t="shared" si="0"/>
        <v>0</v>
      </c>
      <c r="K7" s="16">
        <f t="shared" si="0"/>
        <v>0</v>
      </c>
      <c r="L7" s="16">
        <f t="shared" si="0"/>
        <v>0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f t="shared" si="0"/>
        <v>0</v>
      </c>
      <c r="X7" s="16">
        <f t="shared" si="0"/>
        <v>0</v>
      </c>
      <c r="Y7" s="16">
        <f t="shared" si="0"/>
        <v>0</v>
      </c>
      <c r="Z7" s="16">
        <f t="shared" si="0"/>
        <v>0</v>
      </c>
      <c r="AA7" s="16">
        <f t="shared" si="0"/>
        <v>0</v>
      </c>
      <c r="AB7" s="16">
        <f t="shared" si="0"/>
        <v>0</v>
      </c>
      <c r="AC7" s="16">
        <f t="shared" si="0"/>
        <v>0</v>
      </c>
      <c r="AD7" s="16">
        <f t="shared" si="0"/>
        <v>0</v>
      </c>
      <c r="AE7" s="16">
        <f t="shared" si="0"/>
        <v>0</v>
      </c>
      <c r="AF7" s="16">
        <f t="shared" si="0"/>
        <v>0</v>
      </c>
      <c r="AG7" s="16">
        <f t="shared" si="0"/>
        <v>0</v>
      </c>
      <c r="AH7" s="16">
        <f t="shared" si="0"/>
        <v>0</v>
      </c>
      <c r="AI7" s="16">
        <f t="shared" si="0"/>
        <v>0</v>
      </c>
      <c r="AJ7" s="16">
        <f t="shared" si="0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Impr Forest Mgmt</vt:lpstr>
      <vt:lpstr>Peatland restoration</vt:lpstr>
      <vt:lpstr>Forest Restoration</vt:lpstr>
      <vt:lpstr>PLANAbPiaSY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Brianne Riehl</cp:lastModifiedBy>
  <dcterms:created xsi:type="dcterms:W3CDTF">2017-01-27T05:17:42Z</dcterms:created>
  <dcterms:modified xsi:type="dcterms:W3CDTF">2018-08-29T23:08:22Z</dcterms:modified>
</cp:coreProperties>
</file>