
<file path=[Content_Types].xml><?xml version="1.0" encoding="utf-8"?>
<Types xmlns="http://schemas.openxmlformats.org/package/2006/content-types">
  <Default Extension="xml" ContentType="application/vnd.openxmlformats-officedocument.extended-properties+xml"/>
  <Default Extension="rels" ContentType="application/vnd.openxmlformats-package.relationships+xml"/>
  <Default Extension="bin" ContentType="application/vnd.openxmlformats-officedocument.spreadsheetml.printerSettings"/>
  <Default Extension="vml" ContentType="application/vnd.openxmlformats-officedocument.vmlDrawing"/>
  <Default Extension="psmdcp"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media/image.bin" ContentType="image/jpeg"/>
  <Override PartName="/xl/media/image2.bin" ContentType="image/jpeg"/>
  <Override PartName="/xl/worksheets/sheet2.xml" ContentType="application/vnd.openxmlformats-officedocument.spreadsheetml.worksheet+xml"/>
  <Override PartName="/xl/media/image3.bin" ContentType="image/jpeg"/>
  <Override PartName="/xl/media/image4.bin" ContentType="image/jpeg"/>
  <Override PartName="/xl/theme/theme1.xml" ContentType="application/vnd.openxmlformats-officedocument.them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alcChain.xml" ContentType="application/vnd.openxmlformats-officedocument.spreadsheetml.calcChain+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officeDocument/2006/relationships/officeDocument" Target="/xl/workbook.xml" Id="R687c837504494737" /><Relationship Type="http://schemas.openxmlformats.org/package/2006/relationships/metadata/core-properties" Target="/package/services/metadata/core-properties/649cd003e2034fd6aed2f3da83df1cdd.psmdcp" Id="R5273c0036b5a43c6" /></Relationships>
</file>

<file path=xl/workbook.xml><?xml version="1.0" encoding="utf-8"?>
<x:workbook xmlns:r="http://schemas.openxmlformats.org/officeDocument/2006/relationships" xmlns:x="http://schemas.openxmlformats.org/spreadsheetml/2006/main">
  <x:fileVersion appName="xl" lastEdited="5" lowestEdited="5" rupBuild="9303"/>
  <x:workbookPr codeName="ThisWorkbook" hidePivotFieldList="1" defaultThemeVersion="124226"/>
  <x:bookViews>
    <x:workbookView xWindow="480" yWindow="315" windowWidth="18720" windowHeight="7530" tabRatio="890" activeTab="0"/>
  </x:bookViews>
  <x:sheets>
    <x:sheet name="SETUP" sheetId="12" r:id="rId1"/>
    <x:sheet name="Executive Summary" sheetId="22" r:id="rId2"/>
    <x:sheet name="Model Matrix" sheetId="18" r:id="rId22"/>
    <x:sheet name="Revision Summary" sheetId="20" r:id="rId23"/>
    <x:sheet name="Revision History" sheetId="21" r:id="rId24"/>
    <x:sheet name="Quarterly History" sheetId="16" r:id="rId20"/>
    <x:sheet name="Rollover History" sheetId="17" r:id="rId21"/>
    <x:sheet name="Volume Trend" sheetId="2" r:id="rId18"/>
    <x:sheet name="Service History" sheetId="15" r:id="rId19"/>
    <x:sheet name="Replacements" sheetId="5" r:id="rId101"/>
    <x:sheet name="Cost Avoidance" sheetId="7" r:id="rId11"/>
    <x:sheet name="Easylink" sheetId="9" r:id="rId4"/>
    <x:sheet name="Surveys" sheetId="10" r:id="rId5"/>
    <x:sheet name="New Survey" sheetId="14" r:id="rId6"/>
  </x:sheets>
  <x:definedNames>
    <x:definedName name="_xlnm.Print_Titles" localSheetId="7">'Volume Trend'!$5:$5</x:definedName>
    <x:definedName name="_xlnm.Print_Area" localSheetId="7">'Volume Trend'!$A$1:$X$230</x:definedName>
    <x:definedName name="_xlnm.Print_Titles" localSheetId="8">'Service History'!$11:$11</x:definedName>
    <x:definedName name="_xlnm.Print_Titles" localSheetId="2">'Model Matrix'!$5:$5</x:definedName>
    <x:definedName name="_xlnm.Print_Titles">'Model Matrix'!$5:$5</x:definedName>
    <x:definedName name="_xlnm.Print_Titles" localSheetId="11">Replacements!$7:$7</x:definedName>
    <x:definedName name="_xlnm.Print_Titles" localSheetId="11">Easylink!$8:$8</x:definedName>
    <x:definedName name="_xlnm.Print_Titles">Easylink!$8:$8</x:definedName>
    <x:definedName name="_xlnm.Print_Area" localSheetId="11">'Rollover History'!$A$1:$F$32</x:definedName>
  </x:definedNames>
  <x:calcPr calcId="145621"/>
  <x:fileRecoveryPr repairLoad="1"/>
</x:workbook>
</file>

<file path=xl/calcChain.xml><?xml version="1.0" encoding="utf-8"?>
<x:calcChain xmlns:x="http://schemas.openxmlformats.org/spreadsheetml/2006/main">
  <x:c r="B4" i="5" l="1"/>
  <x:c r="I27" i="7" l="1"/>
  <x:c r="I26" i="7"/>
  <x:c r="I25" i="7"/>
  <x:c r="I24" i="7"/>
  <x:c r="I23" i="7"/>
  <x:c r="I22" i="7"/>
  <x:c r="I21" i="7"/>
  <x:c r="I20" i="7"/>
  <x:c r="I19" i="7"/>
  <x:c r="I18" i="7"/>
  <x:c r="I17" i="7"/>
  <x:c r="I16" i="7"/>
  <x:c r="I15" i="7"/>
  <x:c r="I14" i="7"/>
  <x:c r="I13" i="7"/>
  <x:c r="I12" i="7"/>
  <x:c r="I11" i="7"/>
  <x:c r="I10" i="7"/>
  <x:c r="I9" i="7"/>
  <x:c r="I8" i="7"/>
  <x:c r="I7" i="7"/>
  <x:c r="A29" i="9" l="1"/>
  <x:c r="A28" i="9"/>
  <x:c r="A27" i="9"/>
  <x:c r="A26" i="9"/>
  <x:c r="A25" i="9"/>
  <x:c r="A24" i="9"/>
  <x:c r="A23" i="9"/>
  <x:c r="G30" i="5"/>
  <x:c r="G29" i="5"/>
  <x:c r="G28" i="5"/>
  <x:c r="G27" i="5"/>
  <x:c r="G26" i="5"/>
  <x:c r="A22" i="9" l="1"/>
  <x:c r="A21" i="9"/>
  <x:c r="A20" i="9"/>
  <x:c r="A19" i="9"/>
  <x:c r="A18" i="9"/>
  <x:c r="A17" i="9"/>
  <x:c r="A16" i="9"/>
  <x:c r="A15" i="9"/>
  <x:c r="A14" i="9"/>
  <x:c r="A13" i="9" l="1"/>
  <x:c r="C6" i="9" l="1"/>
  <x:c r="G25" i="5" l="1"/>
  <x:c r="G24" i="5"/>
  <x:c r="G23" i="5"/>
  <x:c r="G22" i="5"/>
  <x:c r="G21" i="5"/>
  <x:c r="G20" i="5"/>
  <x:c r="G19" i="5"/>
  <x:c r="G18" i="5"/>
  <x:c r="G17" i="5"/>
  <x:c r="G16" i="5"/>
  <x:c r="G15" i="5"/>
  <x:c r="G14" i="5"/>
  <x:c r="G13" i="5"/>
  <x:c r="G12" i="5"/>
  <x:c r="G11" i="5"/>
  <x:c r="G10" i="5"/>
  <x:c r="G9" i="5"/>
  <x:c r="G8" i="5"/>
  <x:c r="C9" i="12" l="1"/>
  <x:c r="I28" i="7" l="1"/>
  <x:c r="A2" i="10" l="1"/>
  <x:c r="A2" i="5"/>
  <x:c r="A2" i="7" l="1"/>
  <x:c r="C7" i="9" l="1"/>
  <x:c r="A12" i="9"/>
  <x:c r="A11" i="9"/>
  <x:c r="A10" i="9"/>
  <x:c r="A9" i="9"/>
  <x:c r="A1" i="14" l="1"/>
  <x:c r="A2" i="14" l="1"/>
  <x:c r="G6" i="5" l="1"/>
  <x:c r="F27" i="7" l="1"/>
  <x:c r="F26" i="7"/>
  <x:c r="F25" i="7"/>
  <x:c r="F24" i="7"/>
  <x:c r="F23" i="7"/>
  <x:c r="F22" i="7"/>
  <x:c r="F21" i="7"/>
  <x:c r="F20" i="7"/>
  <x:c r="F19" i="7"/>
  <x:c r="F18" i="7"/>
  <x:c r="F17" i="7"/>
  <x:c r="F16" i="7"/>
  <x:c r="F15" i="7"/>
  <x:c r="F14" i="7"/>
  <x:c r="F13" i="7"/>
  <x:c r="F12" i="7"/>
  <x:c r="F11" i="7"/>
  <x:c r="F10" i="7"/>
  <x:c r="F9" i="7"/>
  <x:c r="F8" i="7"/>
  <x:c r="A2" i="9"/>
  <x:c r="A1" i="9" l="1"/>
  <x:c r="A1" i="10"/>
  <x:c r="I5" i="7" l="1"/>
  <x:c r="A1" i="7"/>
  <x:c r="A1" i="5"/>
</x:calcChain>
</file>

<file path=xl/comments1.xml><?xml version="1.0" encoding="utf-8"?>
<x:comments xmlns:x="http://schemas.openxmlformats.org/spreadsheetml/2006/main">
  <x:authors>
    <x:author>Brent</x:author>
  </x:authors>
</x:comments>
</file>

<file path=xl/sharedStrings.xml><?xml version="1.0" encoding="utf-8"?>
<x:sst xmlns:x="http://schemas.openxmlformats.org/spreadsheetml/2006/main" count="58" uniqueCount="47">
  <x:si>
    <x:t>Meter Group</x:t>
  </x:si>
  <x:si>
    <x:t>Start Date</x:t>
  </x:si>
  <x:si>
    <x:t>End Date</x:t>
  </x:si>
  <x:si>
    <x:t>Date</x:t>
  </x:si>
  <x:si>
    <x:t>Asset Cost If Purchased</x:t>
  </x:si>
  <x:si>
    <x:t>Comments</x:t>
  </x:si>
  <x:si>
    <x:t>Client Name:</x:t>
  </x:si>
  <x:si>
    <x:t>Period Ending:</x:t>
  </x:si>
  <x:si>
    <x:t>Enter Data Below:</x:t>
  </x:si>
  <x:si>
    <x:t>Contract Start Date:</x:t>
  </x:si>
  <x:si>
    <x:t>Savings Term</x:t>
  </x:si>
  <x:si>
    <x:t>Savings Type</x:t>
  </x:si>
  <x:si>
    <x:t>Total Savings</x:t>
  </x:si>
  <x:si>
    <x:t>Service Call Experience</x:t>
  </x:si>
  <x:si>
    <x:t>Account Management Needs</x:t>
  </x:si>
  <x:si>
    <x:t>Professionalism</x:t>
  </x:si>
  <x:si>
    <x:t>Par Level Management</x:t>
  </x:si>
  <x:si>
    <x:t>Servicing Companies Performance</x:t>
  </x:si>
  <x:si>
    <x:t>Submitted by</x:t>
  </x:si>
  <x:si>
    <x:t>E-Mail Address</x:t>
  </x:si>
  <x:si>
    <x:t>Fax Number</x:t>
  </x:si>
  <x:si>
    <x:t>Pages By User</x:t>
  </x:si>
  <x:si>
    <x:t>Total Users:</x:t>
  </x:si>
  <x:si>
    <x:t>Total Pages:</x:t>
  </x:si>
  <x:si>
    <x:t>Amount</x:t>
  </x:si>
  <x:si>
    <x:t>?</x:t>
  </x:si>
  <x:si>
    <x:t xml:space="preserve">Below, you will find a summary of your Internet Faxing service usage for the current billing period.  </x:t>
  </x:si>
  <x:si>
    <x:t>Rollover Savings Calculator</x:t>
  </x:si>
  <x:si>
    <x:t>Pre-FPR CPP</x:t>
  </x:si>
  <x:si>
    <x:t>Date Submitted</x:t>
  </x:si>
  <x:si>
    <x:t>Survey Completed by:</x:t>
  </x:si>
  <x:si>
    <x:t>E-Mail:</x:t>
  </x:si>
  <x:si>
    <x:t>Date:</x:t>
  </x:si>
  <x:si>
    <x:t>Criteria</x:t>
  </x:si>
  <x:si>
    <x:t>FPR Professionalism</x:t>
  </x:si>
  <x:si>
    <x:t>Par-Level Management</x:t>
  </x:si>
  <x:si>
    <x:t>Comments:</x:t>
  </x:si>
  <x:si>
    <x:t>Below, you will find a summary of the different areas where FPR was able to deliver solutions resulting in cost-avoidance.  Some examples of cost-avoidance solutions include color reduction/elimination strategies, vendor re-negotiation opportunities, and many others.</x:t>
  </x:si>
  <x:si>
    <x:t>Total Cost Avoidance:</x:t>
  </x:si>
  <x:si>
    <x:t>New Model</x:t>
  </x:si>
  <x:si>
    <x:t>Removed Model</x:t>
  </x:si>
  <x:si>
    <x:t>New Serial Number</x:t>
  </x:si>
  <x:si>
    <x:t>There are currently no cost-avoidance details to report.</x:t>
  </x:si>
  <x:si>
    <x:t>There is currently no Easylink usage.</x:t>
  </x:si>
  <x:si>
    <x:t>*This document is to be completed by FPR personnel in front of client.</x:t>
  </x:si>
  <x:si>
    <x:t>Additional Comments:</x:t>
  </x:si>
  <x:si>
    <x:t>Each period, FPR petitions your feedback regarding our overall delivery of service.  The historical results provided to us are detailed below.  On a scale from 1 (worst) to 10 (best), the results below indicate how you have rated us in the past, for the respective categories.</x:t>
  </x:si>
</x:sst>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numFmts count="9">
    <x:numFmt numFmtId="164" formatCode="[$-409]mmmm\ d\,\ yyyy;@"/>
    <x:numFmt numFmtId="165" formatCode="$#,##0;[Red]($#,##0)"/>
    <x:numFmt numFmtId="166" formatCode="$#,##0;[Red]($#,##0)"/>
    <x:numFmt numFmtId="167" formatCode="0%;[Red](0%)"/>
    <x:numFmt numFmtId="168" formatCode="#,##0;[Red](#,##0)"/>
    <x:numFmt numFmtId="169" formatCode="0%;[Red](0%)"/>
    <x:numFmt numFmtId="170" formatCode="###&quot;-&quot;###&quot;-&quot;####"/>
    <x:numFmt numFmtId="171" formatCode="#,##0;[Red](#,##0)"/>
    <x:numFmt numFmtId="172" formatCode="$0.00000;[Red]($0.00000)"/>
    <x:numFmt numFmtId="173" formatCode="&quot;$&quot; #,##0.00;[Red](&quot;$&quot; #,##0.00)"/>
    <x:numFmt numFmtId="174" formatCode="##0.00%;[Red](##0.00%)"/>
    <x:numFmt numFmtId="175" formatCode="##0.0%;[Red](##0.0%)"/>
  </x:numFmts>
  <x:fonts count="26" x14ac:knownFonts="1">
    <x:font>
      <x:sz val="11"/>
      <x:color theme="1"/>
      <x:name val="Arial"/>
      <x:family val="2"/>
      <x:scheme val="minor"/>
    </x:font>
    <x:font>
      <x:sz val="11"/>
      <x:color theme="1"/>
      <x:name val="Arial"/>
      <x:family val="2"/>
    </x:font>
    <x:font>
      <x:sz val="8"/>
      <x:color indexed="8"/>
      <x:name val="Arial"/>
      <x:family val="2"/>
    </x:font>
    <x:font>
      <x:sz val="8"/>
      <x:color theme="1"/>
      <x:name val="Arial"/>
      <x:family val="2"/>
    </x:font>
    <x:font>
      <x:b/>
      <x:sz val="8"/>
      <x:color indexed="8"/>
      <x:name val="Arial"/>
      <x:family val="2"/>
    </x:font>
    <x:font>
      <x:b/>
      <x:u/>
      <x:sz val="8"/>
      <x:color indexed="8"/>
      <x:name val="Arial"/>
      <x:family val="2"/>
    </x:font>
    <x:font>
      <x:b/>
      <x:sz val="12"/>
      <x:color theme="1"/>
      <x:name val="Arial"/>
      <x:family val="2"/>
    </x:font>
    <x:font>
      <x:b/>
      <x:i/>
      <x:sz val="11"/>
      <x:color theme="1"/>
      <x:name val="Arial"/>
      <x:family val="2"/>
    </x:font>
    <x:font>
      <x:sz val="11"/>
      <x:color theme="0"/>
      <x:name val="Arial"/>
      <x:family val="2"/>
      <x:scheme val="minor"/>
    </x:font>
    <x:font>
      <x:b/>
      <x:sz val="11"/>
      <x:color theme="1"/>
      <x:name val="Arial"/>
      <x:family val="2"/>
    </x:font>
    <x:font>
      <x:b/>
      <x:sz val="14"/>
      <x:color theme="1"/>
      <x:name val="Arial"/>
      <x:family val="2"/>
    </x:font>
    <x:font>
      <x:b/>
      <x:sz val="12"/>
      <x:color theme="1"/>
      <x:name val="Arial"/>
      <x:family val="2"/>
      <x:scheme val="minor"/>
    </x:font>
    <x:font>
      <x:sz val="10"/>
      <x:color theme="1"/>
      <x:name val="Arial"/>
      <x:family val="2"/>
    </x:font>
    <x:font>
      <x:b/>
      <x:sz val="9"/>
      <x:name val="Arial"/>
      <x:family val="2"/>
    </x:font>
    <x:font>
      <x:b/>
      <x:i/>
      <x:sz val="10"/>
      <x:color theme="0" tint="-0.34998626667073579"/>
      <x:name val="Arial"/>
      <x:family val="2"/>
    </x:font>
    <x:font>
      <x:b/>
      <x:sz val="9"/>
      <x:color indexed="81"/>
      <x:name val="Arial"/>
      <x:family val="2"/>
    </x:font>
    <x:font>
      <x:sz val="11"/>
      <x:color rgb="FFFF0000"/>
      <x:name val="Arial"/>
      <x:family val="2"/>
      <x:scheme val="minor"/>
    </x:font>
    <x:font>
      <x:b/>
      <x:sz val="10"/>
      <x:name val="Arial"/>
      <x:family val="2"/>
    </x:font>
    <x:font>
      <x:b/>
      <x:sz val="10"/>
      <x:color theme="1"/>
      <x:name val="Arial"/>
      <x:family val="2"/>
    </x:font>
    <x:font>
      <x:sz val="8"/>
      <x:color rgb="FFFF0000"/>
      <x:name val="Arial"/>
      <x:family val="2"/>
    </x:font>
    <x:font>
      <x:i/>
      <x:sz val="8"/>
      <x:color theme="1"/>
      <x:name val="Arial"/>
      <x:family val="2"/>
    </x:font>
    <x:font>
      <x:sz val="10"/>
      <x:color theme="0"/>
      <x:name val="Arial"/>
      <x:family val="2"/>
    </x:font>
    <x:font>
      <x:b/>
      <x:sz val="9"/>
      <x:color rgb="FFFF0000"/>
      <x:name val="Arial"/>
      <x:family val="2"/>
    </x:font>
    <x:font>
      <x:b/>
      <x:sz val="7"/>
      <x:color rgb="FFC00000"/>
      <x:name val="Arial"/>
      <x:family val="2"/>
    </x:font>
    <x:font/>
    <x:font/>
    <x:font>
      <x:sz val="11"/>
      <x:color rgb="FFCC0000"/>
      <x:name val="Arial"/>
      <x:family val="2"/>
    </x:font>
    <x:font>
      <x:sz val="9"/>
      <x:name val="Arial"/>
      <x:family val="2"/>
    </x:font>
  </x:fonts>
  <x:fills count="5">
    <x:fill>
      <x:patternFill patternType="none"/>
    </x:fill>
    <x:fill>
      <x:patternFill patternType="gray125"/>
    </x:fill>
    <x:fill>
      <x:patternFill patternType="solid">
        <x:fgColor theme="0"/>
        <x:bgColor indexed="64"/>
      </x:patternFill>
    </x:fill>
    <x:fill>
      <x:gradientFill degree="90">
        <x:stop position="0">
          <x:color theme="4" tint="0.80001220740379042"/>
        </x:stop>
        <x:stop position="1">
          <x:color theme="4" tint="0.40000610370189521"/>
        </x:stop>
      </x:gradientFill>
    </x:fill>
    <x:fill>
      <x:patternFill patternType="solid">
        <x:fgColor theme="4" tint="0.79998168889431442"/>
        <x:bgColor indexed="64"/>
      </x:patternFill>
    </x:fill>
  </x:fills>
  <x:borders count="3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style="thin">
        <x:color indexed="64"/>
      </x:right>
      <x:top/>
      <x:bottom style="thin">
        <x:color indexed="64"/>
      </x:bottom>
      <x:diagonal/>
    </x:border>
    <x:border>
      <x:left/>
      <x:right/>
      <x:top/>
      <x:bottom style="thin">
        <x:color indexed="64"/>
      </x:bottom>
      <x:diagonal/>
    </x:border>
    <x:border>
      <x:left style="medium">
        <x:color indexed="64"/>
      </x:left>
      <x:right/>
      <x:top/>
      <x:bottom/>
      <x:diagonal/>
    </x:border>
    <x:border>
      <x:left/>
      <x:right style="medium">
        <x:color indexed="64"/>
      </x:right>
      <x:top/>
      <x:bottom/>
      <x:diagonal/>
    </x:border>
    <x:border>
      <x:left style="medium">
        <x:color indexed="64"/>
      </x:left>
      <x:right/>
      <x:top/>
      <x:bottom style="medium">
        <x:color indexed="64"/>
      </x:bottom>
      <x:diagonal/>
    </x:border>
    <x:border>
      <x:left/>
      <x:right/>
      <x:top/>
      <x:bottom style="medium">
        <x:color indexed="64"/>
      </x:bottom>
      <x:diagonal/>
    </x:border>
    <x:border>
      <x:left/>
      <x:right style="medium">
        <x:color indexed="64"/>
      </x:right>
      <x:top/>
      <x:bottom style="medium">
        <x:color indexed="64"/>
      </x:bottom>
      <x:diagonal/>
    </x:border>
    <x:border>
      <x:left style="medium">
        <x:color indexed="64"/>
      </x:left>
      <x:right/>
      <x:top style="medium">
        <x:color indexed="64"/>
      </x:top>
      <x:bottom/>
      <x:diagonal/>
    </x:border>
    <x:border>
      <x:left/>
      <x:right style="medium">
        <x:color indexed="64"/>
      </x:right>
      <x:top style="medium">
        <x:color indexed="64"/>
      </x:top>
      <x:bottom/>
      <x:diagonal/>
    </x:border>
    <x:border>
      <x:left style="thin">
        <x:color indexed="64"/>
      </x:left>
      <x:right/>
      <x:top style="thin">
        <x:color indexed="64"/>
      </x:top>
      <x:bottom/>
      <x:diagonal/>
    </x:border>
    <x:border>
      <x:left/>
      <x:right style="thin">
        <x:color indexed="64"/>
      </x:right>
      <x:top style="thin">
        <x:color indexed="64"/>
      </x:top>
      <x:bottom/>
      <x:diagonal/>
    </x:border>
    <x:border>
      <x:left style="medium">
        <x:color indexed="64"/>
      </x:left>
      <x:right/>
      <x:top style="medium">
        <x:color indexed="64"/>
      </x:top>
      <x:bottom style="thin">
        <x:color indexed="64"/>
      </x:bottom>
      <x:diagonal/>
    </x:border>
    <x:border>
      <x:left/>
      <x:right/>
      <x:top style="medium">
        <x:color indexed="64"/>
      </x:top>
      <x:bottom style="thin">
        <x:color indexed="64"/>
      </x:bottom>
      <x:diagonal/>
    </x:border>
    <x:border>
      <x:left/>
      <x:right style="thin">
        <x:color indexed="64"/>
      </x:right>
      <x:top style="medium">
        <x:color indexed="64"/>
      </x:top>
      <x:bottom style="thin">
        <x:color indexed="64"/>
      </x:bottom>
      <x:diagonal/>
    </x:border>
    <x:border>
      <x:left style="medium">
        <x:color indexed="64"/>
      </x:left>
      <x:right/>
      <x:top style="thin">
        <x:color indexed="64"/>
      </x:top>
      <x:bottom style="thin">
        <x:color indexed="64"/>
      </x:bottom>
      <x:diagonal/>
    </x:border>
    <x:border>
      <x:left style="thin">
        <x:color indexed="64"/>
      </x:left>
      <x:right style="medium">
        <x:color indexed="64"/>
      </x:right>
      <x:top style="thin">
        <x:color indexed="64"/>
      </x:top>
      <x:bottom style="thin">
        <x:color indexed="64"/>
      </x:bottom>
      <x:diagonal/>
    </x:border>
    <x:border>
      <x:left/>
      <x:right/>
      <x:top style="thin">
        <x:color indexed="64"/>
      </x:top>
      <x:bottom style="medium">
        <x:color indexed="64"/>
      </x:bottom>
      <x:diagonal/>
    </x:border>
    <x:border>
      <x:left style="medium">
        <x:color indexed="64"/>
      </x:left>
      <x:right/>
      <x:top/>
      <x:bottom style="thin">
        <x:color indexed="64"/>
      </x:bottom>
      <x:diagonal/>
    </x:border>
    <x:border>
      <x:left style="thin">
        <x:color indexed="64"/>
      </x:left>
      <x:right style="medium">
        <x:color indexed="64"/>
      </x:right>
      <x:top/>
      <x:bottom style="thin">
        <x:color indexed="64"/>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thin">
        <x:color indexed="64"/>
      </x:right>
      <x:top style="medium">
        <x:color indexed="64"/>
      </x:top>
      <x:bottom style="medium">
        <x:color indexed="64"/>
      </x:bottom>
      <x:diagonal/>
    </x:border>
    <x:border>
      <x:left style="thin">
        <x:color indexed="64"/>
      </x:left>
      <x:right style="thin">
        <x:color indexed="64"/>
      </x:right>
      <x:top style="medium">
        <x:color indexed="64"/>
      </x:top>
      <x:bottom style="medium">
        <x:color indexed="64"/>
      </x:bottom>
      <x:diagonal/>
    </x:border>
    <x:border>
      <x:left style="thin">
        <x:color indexed="64"/>
      </x:left>
      <x:right style="medium">
        <x:color indexed="64"/>
      </x:right>
      <x:top style="medium">
        <x:color indexed="64"/>
      </x:top>
      <x:bottom style="medium">
        <x:color indexed="64"/>
      </x:bottom>
      <x:diagonal/>
    </x:border>
    <x:border>
      <x:left style="thin">
        <x:color indexed="64"/>
      </x:left>
      <x:right style="thin">
        <x:color indexed="64"/>
      </x:right>
      <x:top/>
      <x:bottom/>
      <x:diagonal/>
    </x:border>
    <x:border>
      <x:left style="thin">
        <x:color indexed="64"/>
      </x:left>
      <x:right style="medium">
        <x:color indexed="64"/>
      </x:right>
      <x:top/>
      <x:bottom/>
      <x:diagonal/>
    </x:border>
    <x:border>
      <x:left/>
      <x:right style="medium">
        <x:color indexed="64"/>
      </x:right>
      <x:top style="thin">
        <x:color indexed="64"/>
      </x:top>
      <x:bottom style="thin">
        <x:color indexed="64"/>
      </x:bottom>
      <x:diagonal/>
    </x:border>
    <x:border>
      <x:left style="thin">
        <x:color indexed="64"/>
      </x:left>
      <x:right/>
      <x:top style="thin">
        <x:color indexed="64"/>
      </x:top>
      <x:bottom style="medium">
        <x:color indexed="64"/>
      </x:bottom>
      <x:diagonal/>
    </x:border>
    <x:border>
      <x:left/>
      <x:right style="medium">
        <x:color indexed="64"/>
      </x:right>
      <x:top style="thin">
        <x:color indexed="64"/>
      </x:top>
      <x:bottom style="medium">
        <x:color indexed="64"/>
      </x:bottom>
      <x:diagonal/>
    </x:border>
    <x:border>
      <x:left/>
      <x:right/>
      <x:top style="thin">
        <x:color indexed="64"/>
      </x:top>
      <x:bottom/>
      <x:diagonal/>
    </x:border>
    <x:border>
      <x:left style="thin">
        <x:color indexed="64"/>
      </x:left>
      <x:right/>
      <x:top/>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x:top style="thin">
        <x:color indexed="64"/>
      </x:top>
      <x:bottom/>
      <x:diagonal/>
    </x:border>
  </x:borders>
  <x:cellStyleXfs count="2">
    <x:xf numFmtId="0" fontId="3" fillId="0" borderId="0"/>
    <x:xf numFmtId="0" fontId="1" fillId="0" borderId="0"/>
  </x:cellStyleXfs>
  <x:cellXfs count="169">
    <x:xf numFmtId="0" fontId="3" fillId="0" borderId="0" xfId="0"/>
    <x:xf numFmtId="0" fontId="3" fillId="2" borderId="0" xfId="0" applyFont="1" applyFill="1"/>
    <x:xf numFmtId="0" fontId="3" fillId="2" borderId="0" xfId="0" applyFont="1" applyFill="1" applyBorder="1"/>
    <x:xf numFmtId="0" fontId="3" fillId="2" borderId="0" xfId="0" applyFont="1" applyFill="1" applyAlignment="1">
      <x:alignment horizontal="right"/>
    </x:xf>
    <x:xf numFmtId="0" fontId="9" fillId="2" borderId="0" xfId="0" applyFont="1" applyFill="1" applyAlignment="1">
      <x:alignment horizontal="right"/>
    </x:xf>
    <x:xf numFmtId="0" fontId="3" fillId="2" borderId="0" xfId="0" applyFont="1" applyFill="1" applyAlignment="1">
      <x:alignment horizontal="left"/>
    </x:xf>
    <x:xf numFmtId="3"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center" vertical="bottom"/>
    </x:xf>
    <x:xf numFmtId="38" fontId="2" fillId="2" borderId="0" xfId="1" applyNumberFormat="1" applyFont="1" applyFill="1" applyBorder="1" applyAlignment="1">
      <x:alignment horizontal="left" vertical="bottom" wrapText="1"/>
    </x:xf>
    <x:xf numFmtId="14" fontId="2" fillId="2" borderId="0" xfId="1" applyNumberFormat="1" applyFont="1" applyFill="1" applyBorder="1" applyAlignment="1">
      <x:alignment horizontal="center" vertical="bottom"/>
    </x:xf>
    <x:xf numFmtId="166" fontId="8" fillId="2" borderId="0" xfId="0" applyNumberFormat="1" applyFont="1" applyFill="1"/>
    <x:xf numFmtId="0" fontId="11" fillId="2" borderId="0" xfId="0" applyFont="1" applyFill="1" applyAlignment="1">
      <x:alignment horizontal="left"/>
    </x:xf>
    <x:xf numFmtId="0" fontId="3" fillId="2" borderId="0" xfId="0" applyFont="1" applyFill="1" applyAlignment="1">
      <x:alignment horizontal="center"/>
    </x:xf>
    <x:xf numFmtId="0" fontId="13" fillId="2" borderId="0" xfId="0" applyFont="1" applyFill="1" applyBorder="1" applyAlignment="1">
      <x:alignment horizontal="right"/>
    </x:xf>
    <x:xf numFmtId="0" fontId="13" fillId="2" borderId="0" xfId="0" applyFont="1" applyFill="1" applyAlignment="1">
      <x:alignment horizontal="left"/>
    </x:xf>
    <x:xf numFmtId="0" fontId="2" fillId="2" borderId="0" xfId="1" applyNumberFormat="1" applyFont="1" applyFill="1" applyBorder="1" applyAlignment="1">
      <x:alignment horizontal="center" vertical="bottom" wrapText="1"/>
    </x:xf>
    <x:xf numFmtId="166" fontId="3" fillId="2" borderId="0" xfId="0" applyNumberFormat="1" applyFont="1" applyFill="1" applyAlignment="1">
      <x:alignment horizontal="center" vertical="bottom"/>
    </x:xf>
    <x:xf numFmtId="166" fontId="2" fillId="2" borderId="0" xfId="1" applyNumberFormat="1" applyFont="1" applyFill="1" applyBorder="1" applyAlignment="1">
      <x:alignment horizontal="center" vertical="bottom" wrapText="1"/>
    </x:xf>
    <x:xf numFmtId="0" fontId="16" fillId="2" borderId="0" xfId="0" applyFont="1" applyFill="1"/>
    <x:xf numFmtId="0" fontId="7" fillId="2" borderId="0" xfId="0" applyFont="1" applyFill="1" applyAlignment="1">
      <x:alignment horizontal="center"/>
    </x:xf>
    <x:xf numFmtId="0" fontId="12" fillId="2" borderId="0" xfId="0" applyFont="1" applyFill="1"/>
    <x:xf numFmtId="3" fontId="2" fillId="2" borderId="0" xfId="1" applyNumberFormat="1" applyFont="1" applyFill="1" applyBorder="1" applyAlignment="1">
      <x:alignment horizontal="center" vertical="bottom" shrinkToFit="1"/>
    </x:xf>
    <x:xf numFmtId="0" fontId="18" fillId="2" borderId="0" xfId="0" applyFont="1" applyFill="1" applyAlignment="1">
      <x:alignment horizontal="left"/>
    </x:xf>
    <x:xf numFmtId="165" fontId="2" fillId="2" borderId="8" xfId="1" applyNumberFormat="1" applyFont="1" applyFill="1" applyBorder="1" applyAlignment="1">
      <x:alignment horizontal="center"/>
    </x:xf>
    <x:xf numFmtId="0" fontId="3" fillId="2" borderId="8" xfId="0" applyFont="1" applyFill="1" applyBorder="1" applyAlignment="1">
      <x:alignment horizontal="left"/>
    </x:xf>
    <x:xf numFmtId="3" fontId="3" fillId="2" borderId="0" xfId="1" applyNumberFormat="1" applyFont="1" applyFill="1" applyBorder="1" applyAlignment="1">
      <x:alignment horizontal="center" vertical="bottom" wrapText="1"/>
    </x:xf>
    <x:xf numFmtId="3" fontId="2" fillId="2" borderId="0" xfId="1" applyNumberFormat="1" applyFont="1" applyFill="1" applyBorder="1" applyAlignment="1">
      <x:alignment horizontal="center" vertical="top" wrapText="1"/>
    </x:xf>
    <x:xf numFmtId="0" fontId="1" fillId="2" borderId="6" xfId="0" applyFont="1" applyFill="1" applyBorder="1" applyAlignment="1">
      <x:alignment horizontal="right"/>
    </x:xf>
    <x:xf numFmtId="0" fontId="3" fillId="2" borderId="6" xfId="0" applyFont="1" applyFill="1" applyBorder="1"/>
    <x:xf numFmtId="0" fontId="18" fillId="2" borderId="0" xfId="0" applyFont="1" applyFill="1" applyAlignment="1">
      <x:alignment horizontal="right"/>
    </x:xf>
    <x:xf numFmtId="0" fontId="3" fillId="2" borderId="22" xfId="0" applyFont="1" applyFill="1" applyBorder="1"/>
    <x:xf numFmtId="0" fontId="3" fillId="2" borderId="2" xfId="0" applyFont="1" applyFill="1" applyBorder="1" applyAlignment="1">
      <x:alignment horizontal="center"/>
    </x:xf>
    <x:xf numFmtId="0" fontId="3" fillId="2" borderId="3" xfId="0" applyFont="1" applyFill="1" applyBorder="1" applyAlignment="1">
      <x:alignment horizontal="center"/>
    </x:xf>
    <x:xf numFmtId="0" fontId="3" fillId="2" borderId="31" xfId="0" applyFont="1" applyFill="1" applyBorder="1" applyAlignment="1">
      <x:alignment horizontal="center"/>
    </x:xf>
    <x:xf numFmtId="0" fontId="3" fillId="2" borderId="32" xfId="0" applyFont="1" applyFill="1" applyBorder="1" applyAlignment="1">
      <x:alignment horizontal="center"/>
    </x:xf>
    <x:xf numFmtId="0" fontId="3" fillId="2" borderId="21" xfId="0" applyFont="1" applyFill="1" applyBorder="1" applyAlignment="1">
      <x:alignment horizontal="center"/>
    </x:xf>
    <x:xf numFmtId="0" fontId="3" fillId="2" borderId="33" xfId="0" applyFont="1" applyFill="1" applyBorder="1" applyAlignment="1">
      <x:alignment horizontal="center"/>
    </x:xf>
    <x:xf numFmtId="0" fontId="20" fillId="2" borderId="6" xfId="0" applyFont="1" applyFill="1" applyBorder="1" applyAlignment="1">
      <x:alignment horizontal="right" vertical="bottom"/>
    </x:xf>
    <x:xf numFmtId="3" fontId="13" fillId="2" borderId="0" xfId="0" applyNumberFormat="1" applyFont="1" applyFill="1" applyBorder="1" applyAlignment="1">
      <x:alignment horizontal="left"/>
    </x:xf>
    <x:xf numFmtId="166" fontId="14" fillId="2" borderId="0" xfId="0" applyNumberFormat="1" applyFont="1" applyFill="1"/>
    <x:xf numFmtId="0" fontId="14" fillId="2" borderId="0" xfId="0" applyFont="1" applyFill="1" applyAlignment="1">
      <x:alignment horizontal="right"/>
    </x:xf>
    <x:xf numFmtId="0" fontId="21" fillId="2" borderId="0" xfId="0" applyFont="1" applyFill="1"/>
    <x:xf numFmtId="0" fontId="8" fillId="2" borderId="0" xfId="0" applyFont="1" applyFill="1"/>
    <x:xf numFmtId="0" fontId="2" fillId="2" borderId="7" xfId="1" applyFont="1" applyFill="1" applyBorder="1" applyAlignment="1">
      <x:alignment horizontal="left"/>
    </x:xf>
    <x:xf numFmtId="0" fontId="3" fillId="2" borderId="7" xfId="0" applyFont="1" applyFill="1" applyBorder="1" applyAlignment="1">
      <x:alignment horizontal="left"/>
    </x:xf>
    <x:xf numFmtId="0" fontId="5" fillId="3" borderId="3" xfId="1" applyFont="1" applyFill="1" applyBorder="1" applyAlignment="1">
      <x:alignment horizontal="center" wrapText="1"/>
    </x:xf>
    <x:xf numFmtId="0" fontId="5" fillId="3" borderId="4" xfId="1" applyFont="1" applyFill="1" applyBorder="1" applyAlignment="1">
      <x:alignment horizontal="center" wrapText="1"/>
    </x:xf>
    <x:xf numFmtId="0" fontId="5" fillId="3" borderId="2" xfId="1" applyFont="1" applyFill="1" applyBorder="1" applyAlignment="1">
      <x:alignment horizontal="center" wrapText="1"/>
    </x:xf>
    <x:xf numFmtId="0" fontId="5" fillId="3" borderId="3" xfId="1" applyFont="1" applyFill="1" applyBorder="1" applyAlignment="1">
      <x:alignment horizontal="left" wrapText="1"/>
    </x:xf>
    <x:xf numFmtId="38" fontId="2" fillId="4" borderId="34" xfId="1" applyNumberFormat="1" applyFont="1" applyFill="1" applyBorder="1" applyAlignment="1">
      <x:alignment horizontal="left" vertical="bottom" wrapText="1"/>
    </x:xf>
    <x:xf numFmtId="3" fontId="2" fillId="4" borderId="34" xfId="1" applyNumberFormat="1" applyFont="1" applyFill="1" applyBorder="1" applyAlignment="1">
      <x:alignment horizontal="center" vertical="bottom" wrapText="1"/>
    </x:xf>
    <x:xf numFmtId="38" fontId="2" fillId="4" borderId="0"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wrapText="1"/>
    </x:xf>
    <x:xf numFmtId="38" fontId="2" fillId="4" borderId="6" xfId="1" applyNumberFormat="1" applyFont="1" applyFill="1" applyBorder="1" applyAlignment="1">
      <x:alignment horizontal="left" vertical="bottom" wrapText="1"/>
    </x:xf>
    <x:xf numFmtId="3" fontId="2" fillId="4" borderId="0" xfId="1" applyNumberFormat="1" applyFont="1" applyFill="1" applyBorder="1" applyAlignment="1">
      <x:alignment horizontal="center" vertical="bottom" shrinkToFit="1"/>
    </x:xf>
    <x:xf numFmtId="14" fontId="2" fillId="4" borderId="14" xfId="1" applyNumberFormat="1" applyFont="1" applyFill="1" applyBorder="1" applyAlignment="1">
      <x:alignment horizontal="center" vertical="bottom"/>
    </x:xf>
    <x:xf numFmtId="3" fontId="2" fillId="4" borderId="34" xfId="1" applyNumberFormat="1" applyFont="1" applyFill="1" applyBorder="1" applyAlignment="1">
      <x:alignment horizontal="center" vertical="bottom" shrinkToFit="1"/>
    </x:xf>
    <x:xf numFmtId="166" fontId="4" fillId="4" borderId="15" xfId="1" applyNumberFormat="1" applyFont="1" applyFill="1" applyBorder="1" applyAlignment="1">
      <x:alignment horizontal="center" vertical="bottom"/>
    </x:xf>
    <x:xf numFmtId="173" fontId="2" fillId="2" borderId="35" xfId="1" applyNumberFormat="1" applyFont="1" applyFill="1" applyBorder="1" applyAlignment="1">
      <x:alignment horizontal="center" vertical="bottom"/>
    </x:xf>
    <x:xf numFmtId="166" fontId="4" fillId="2" borderId="36" xfId="1" applyNumberFormat="1" applyFont="1" applyFill="1" applyBorder="1" applyAlignment="1">
      <x:alignment horizontal="center" vertical="bottom"/>
    </x:xf>
    <x:xf numFmtId="173" fontId="2" fillId="4" borderId="35" xfId="1" applyNumberFormat="1" applyFont="1" applyFill="1" applyBorder="1" applyAlignment="1">
      <x:alignment horizontal="center" vertical="bottom"/>
    </x:xf>
    <x:xf numFmtId="166" fontId="4" fillId="4" borderId="36" xfId="1" applyNumberFormat="1" applyFont="1" applyFill="1" applyBorder="1" applyAlignment="1">
      <x:alignment horizontal="center" vertical="bottom"/>
    </x:xf>
    <x:xf numFmtId="14" fontId="2" fillId="2" borderId="37" xfId="1" applyNumberFormat="1" applyFont="1" applyFill="1" applyBorder="1" applyAlignment="1">
      <x:alignment horizontal="center" vertical="bottom"/>
    </x:xf>
    <x:xf numFmtId="3" fontId="2" fillId="2" borderId="6" xfId="1" applyNumberFormat="1" applyFont="1" applyFill="1" applyBorder="1" applyAlignment="1">
      <x:alignment horizontal="center" vertical="bottom" wrapText="1"/>
    </x:xf>
    <x:xf numFmtId="3" fontId="2" fillId="2" borderId="6" xfId="1" applyNumberFormat="1" applyFont="1" applyFill="1" applyBorder="1" applyAlignment="1">
      <x:alignment horizontal="center" vertical="bottom" shrinkToFit="1"/>
    </x:xf>
    <x:xf numFmtId="38" fontId="2" fillId="2" borderId="6" xfId="1" applyNumberFormat="1" applyFont="1" applyFill="1" applyBorder="1" applyAlignment="1">
      <x:alignment horizontal="left" vertical="bottom" wrapText="1"/>
    </x:xf>
    <x:xf numFmtId="166" fontId="4" fillId="2" borderId="38" xfId="1" applyNumberFormat="1" applyFont="1" applyFill="1" applyBorder="1" applyAlignment="1">
      <x:alignment horizontal="center" vertical="bottom"/>
    </x:xf>
    <x:xf numFmtId="166" fontId="5" fillId="3" borderId="3" xfId="1" applyNumberFormat="1" applyFont="1" applyFill="1" applyBorder="1" applyAlignment="1">
      <x:alignment horizontal="center" wrapText="1"/>
    </x:xf>
    <x:xf numFmtId="14" fontId="2" fillId="4" borderId="37" xfId="1" applyNumberFormat="1" applyFont="1" applyFill="1" applyBorder="1" applyAlignment="1">
      <x:alignment horizontal="center" vertical="bottom"/>
    </x:xf>
    <x:xf numFmtId="3" fontId="2" fillId="4" borderId="6" xfId="1" applyNumberFormat="1" applyFont="1" applyFill="1" applyBorder="1" applyAlignment="1">
      <x:alignment horizontal="center" vertical="bottom"/>
    </x:xf>
    <x:xf numFmtId="14" fontId="2" fillId="4" borderId="6" xfId="1" applyNumberFormat="1" applyFont="1" applyFill="1" applyBorder="1" applyAlignment="1">
      <x:alignment horizontal="center" vertical="bottom"/>
    </x:xf>
    <x:xf numFmtId="166" fontId="2" fillId="4" borderId="6" xfId="1" applyNumberFormat="1" applyFont="1" applyFill="1" applyBorder="1" applyAlignment="1">
      <x:alignment horizontal="center" vertical="bottom" wrapText="1"/>
    </x:xf>
    <x:xf numFmtId="166" fontId="4" fillId="4" borderId="38" xfId="1" applyNumberFormat="1" applyFont="1" applyFill="1" applyBorder="1" applyAlignment="1">
      <x:alignment horizontal="center" vertical="bottom"/>
    </x:xf>
    <x:xf numFmtId="3" fontId="2" fillId="4" borderId="0" xfId="1" applyNumberFormat="1" applyFont="1" applyFill="1" applyBorder="1" applyAlignment="1">
      <x:alignment horizontal="center" vertical="bottom"/>
    </x:xf>
    <x:xf numFmtId="14" fontId="2" fillId="4" borderId="0" xfId="1" applyNumberFormat="1" applyFont="1" applyFill="1" applyBorder="1" applyAlignment="1">
      <x:alignment horizontal="center" vertical="bottom"/>
    </x:xf>
    <x:xf numFmtId="166" fontId="2" fillId="4" borderId="0" xfId="1" applyNumberFormat="1" applyFont="1" applyFill="1" applyBorder="1" applyAlignment="1">
      <x:alignment horizontal="center" vertical="bottom" wrapText="1"/>
    </x:xf>
    <x:xf numFmtId="14" fontId="2" fillId="4" borderId="14" xfId="1" applyNumberFormat="1" applyFont="1" applyFill="1" applyBorder="1" applyAlignment="1">
      <x:alignment horizontal="left" vertical="bottom"/>
    </x:xf>
    <x:xf numFmtId="3" fontId="2" fillId="4" borderId="34" xfId="1" applyNumberFormat="1" applyFont="1" applyFill="1" applyBorder="1" applyAlignment="1">
      <x:alignment horizontal="center" vertical="bottom"/>
    </x:xf>
    <x:xf numFmtId="14" fontId="2" fillId="4" borderId="34" xfId="1" applyNumberFormat="1" applyFont="1" applyFill="1" applyBorder="1" applyAlignment="1">
      <x:alignment horizontal="center" vertical="bottom"/>
    </x:xf>
    <x:xf numFmtId="166" fontId="2" fillId="4" borderId="34" xfId="1" applyNumberFormat="1" applyFont="1" applyFill="1" applyBorder="1" applyAlignment="1">
      <x:alignment horizontal="center" vertical="bottom" wrapText="1"/>
    </x:xf>
    <x:xf numFmtId="3" fontId="4" fillId="2" borderId="36" xfId="1" applyNumberFormat="1" applyFont="1" applyFill="1" applyBorder="1" applyAlignment="1">
      <x:alignment horizontal="center" vertical="bottom"/>
    </x:xf>
    <x:xf numFmtId="38" fontId="2" fillId="4" borderId="34" xfId="1" applyNumberFormat="1" applyFont="1" applyFill="1" applyBorder="1" applyAlignment="1">
      <x:alignment horizontal="center" vertical="bottom"/>
    </x:xf>
    <x:xf numFmtId="0" fontId="2"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x:xf>
    <x:xf numFmtId="38" fontId="2" fillId="4" borderId="0" xfId="1" applyNumberFormat="1" applyFont="1" applyFill="1" applyBorder="1" applyAlignment="1">
      <x:alignment horizontal="center" vertical="bottom"/>
    </x:xf>
    <x:xf numFmtId="0" fontId="2" fillId="4" borderId="0" xfId="1" applyNumberFormat="1" applyFont="1" applyFill="1" applyBorder="1" applyAlignment="1">
      <x:alignment horizontal="center" vertical="bottom" wrapText="1"/>
    </x:xf>
    <x:xf numFmtId="3" fontId="4" fillId="4" borderId="36" xfId="1" applyNumberFormat="1" applyFont="1" applyFill="1" applyBorder="1" applyAlignment="1">
      <x:alignment horizontal="center" vertical="bottom"/>
    </x:xf>
    <x:xf numFmtId="38" fontId="2" fillId="4" borderId="6" xfId="1" applyNumberFormat="1" applyFont="1" applyFill="1" applyBorder="1" applyAlignment="1">
      <x:alignment horizontal="center" vertical="bottom"/>
    </x:xf>
    <x:xf numFmtId="0" fontId="2" fillId="4" borderId="6" xfId="1" applyNumberFormat="1" applyFont="1" applyFill="1" applyBorder="1" applyAlignment="1">
      <x:alignment horizontal="center" vertical="bottom" wrapText="1"/>
    </x:xf>
    <x:xf numFmtId="3" fontId="4" fillId="4" borderId="38" xfId="1" applyNumberFormat="1" applyFont="1" applyFill="1" applyBorder="1" applyAlignment="1">
      <x:alignment horizontal="center" vertical="bottom"/>
    </x:xf>
    <x:xf numFmtId="164" fontId="3" fillId="2" borderId="35" xfId="1" applyNumberFormat="1" applyFont="1" applyFill="1" applyBorder="1" applyAlignment="1">
      <x:alignment horizontal="center" vertical="top"/>
    </x:xf>
    <x:xf numFmtId="3" fontId="3" fillId="2" borderId="36" xfId="1" applyNumberFormat="1" applyFont="1" applyFill="1" applyBorder="1" applyAlignment="1">
      <x:alignment horizontal="center" vertical="top" wrapText="1"/>
    </x:xf>
    <x:xf numFmtId="164" fontId="2" fillId="2" borderId="37" xfId="1" applyNumberFormat="1" applyFont="1" applyFill="1" applyBorder="1" applyAlignment="1">
      <x:alignment horizontal="center" vertical="bottom"/>
    </x:xf>
    <x:xf numFmtId="164" fontId="2" fillId="4" borderId="14" xfId="1" applyNumberFormat="1" applyFont="1" applyFill="1" applyBorder="1" applyAlignment="1">
      <x:alignment horizontal="center" vertical="bottom"/>
    </x:xf>
    <x:xf numFmtId="3" fontId="4" fillId="4" borderId="34" xfId="1" applyNumberFormat="1" applyFont="1" applyFill="1" applyBorder="1" applyAlignment="1">
      <x:alignment horizontal="center" vertical="bottom" wrapText="1"/>
    </x:xf>
    <x:xf numFmtId="3" fontId="4" fillId="4" borderId="15" xfId="1" applyNumberFormat="1" applyFont="1" applyFill="1" applyBorder="1" applyAlignment="1">
      <x:alignment horizontal="center" vertical="bottom" wrapText="1"/>
    </x:xf>
    <x:xf numFmtId="171" fontId="2" fillId="4" borderId="35" xfId="1" applyNumberFormat="1" applyFont="1" applyFill="1" applyBorder="1" applyAlignment="1">
      <x:alignment horizontal="center" vertical="top"/>
    </x:xf>
    <x:xf numFmtId="0" fontId="3" fillId="4" borderId="0" xfId="1" applyNumberFormat="1" applyFont="1" applyFill="1" applyBorder="1" applyAlignment="1">
      <x:alignment horizontal="center" vertical="top" wrapText="1"/>
    </x:xf>
    <x:xf numFmtId="3" fontId="3" fillId="4" borderId="36" xfId="1" applyNumberFormat="1" applyFont="1" applyFill="1" applyBorder="1" applyAlignment="1">
      <x:alignment horizontal="center" vertical="top" wrapText="1"/>
    </x:xf>
    <x:xf numFmtId="0" fontId="3" fillId="3" borderId="27" xfId="0" applyFont="1" applyFill="1" applyBorder="1" applyAlignment="1">
      <x:alignment horizontal="center"/>
    </x:xf>
    <x:xf numFmtId="0" fontId="3" fillId="3" borderId="28" xfId="0" applyFont="1" applyFill="1" applyBorder="1" applyAlignment="1">
      <x:alignment horizontal="center"/>
    </x:xf>
    <x:xf numFmtId="0" fontId="5" fillId="3" borderId="12" xfId="1" applyFont="1" applyFill="1" applyBorder="1" applyAlignment="1">
      <x:alignment horizontal="left" wrapText="1"/>
    </x:xf>
    <x:xf numFmtId="0" fontId="5" fillId="3" borderId="13" xfId="1" applyFont="1" applyFill="1" applyBorder="1" applyAlignment="1">
      <x:alignment horizontal="center" wrapText="1"/>
    </x:xf>
    <x:xf numFmtId="164" fontId="17" fillId="4" borderId="1" xfId="0" applyNumberFormat="1" applyFont="1" applyFill="1" applyBorder="1" applyAlignment="1">
      <x:alignment horizontal="left"/>
    </x:xf>
    <x:xf numFmtId="0" fontId="2" fillId="4" borderId="12" xfId="1" applyFont="1" applyFill="1" applyBorder="1" applyAlignment="1">
      <x:alignment horizontal="left"/>
    </x:xf>
    <x:xf numFmtId="165" fontId="2" fillId="4" borderId="13" xfId="1" applyNumberFormat="1" applyFont="1" applyFill="1" applyBorder="1" applyAlignment="1">
      <x:alignment horizontal="center"/>
    </x:xf>
    <x:xf numFmtId="0" fontId="2" fillId="4" borderId="35" xfId="1" applyFont="1" applyFill="1" applyBorder="1" applyAlignment="1">
      <x:alignment horizontal="left"/>
    </x:xf>
    <x:xf numFmtId="165" fontId="2" fillId="4" borderId="8" xfId="1" applyNumberFormat="1" applyFont="1" applyFill="1" applyBorder="1" applyAlignment="1">
      <x:alignment horizontal="center"/>
    </x:xf>
    <x:xf numFmtId="0" fontId="2" fillId="2" borderId="9" xfId="1" applyFont="1" applyFill="1" applyBorder="1" applyAlignment="1">
      <x:alignment horizontal="left"/>
    </x:xf>
    <x:xf numFmtId="165" fontId="2" fillId="2" borderId="11" xfId="1" applyNumberFormat="1" applyFont="1" applyFill="1" applyBorder="1" applyAlignment="1">
      <x:alignment horizontal="center"/>
    </x:xf>
    <x:xf numFmtId="0" fontId="3" fillId="4" borderId="1" xfId="0" applyFont="1" applyFill="1" applyBorder="1" applyAlignment="1">
      <x:alignment horizontal="center" vertical="bottom"/>
    </x:xf>
    <x:xf numFmtId="0" fontId="3" fillId="4" borderId="20" xfId="0" applyFont="1" applyFill="1" applyBorder="1" applyAlignment="1">
      <x:alignment horizontal="center" vertical="bottom"/>
    </x:xf>
    <x:xf numFmtId="0" fontId="3" fillId="4" borderId="5" xfId="0" applyFont="1" applyFill="1" applyBorder="1" applyAlignment="1">
      <x:alignment horizontal="center" vertical="bottom"/>
    </x:xf>
    <x:xf numFmtId="0" fontId="3" fillId="4" borderId="23" xfId="0" applyFont="1" applyFill="1" applyBorder="1" applyAlignment="1">
      <x:alignment horizontal="center" vertical="bottom"/>
    </x:xf>
    <x:xf numFmtId="0" fontId="3" fillId="4" borderId="29" xfId="0" applyFont="1" applyFill="1" applyBorder="1" applyAlignment="1">
      <x:alignment horizontal="center" vertical="bottom"/>
    </x:xf>
    <x:xf numFmtId="0" fontId="3" fillId="4" borderId="30" xfId="0" applyFont="1" applyFill="1" applyBorder="1" applyAlignment="1">
      <x:alignment horizontal="center" vertical="bottom"/>
    </x:xf>
    <x:xf numFmtId="164" fontId="2" fillId="4" borderId="34" xfId="1" applyNumberFormat="1" applyFont="1" applyFill="1" applyBorder="1" applyAlignment="1">
      <x:alignment horizontal="center" vertical="bottom" shrinkToFit="1"/>
    </x:xf>
    <x:xf numFmtId="0" fontId="2" fillId="4" borderId="0" xfId="1" applyFont="1" applyFill="1" applyBorder="1" applyAlignment="1">
      <x:alignment horizontal="center" vertical="bottom" shrinkToFit="1"/>
    </x:xf>
    <x:xf numFmtId="14" fontId="2" fillId="2" borderId="0" xfId="1" applyNumberFormat="1" applyFont="1" applyFill="1" applyBorder="1" applyAlignment="1">
      <x:alignment horizontal="center" vertical="bottom" shrinkToFit="1"/>
    </x:xf>
    <x:xf numFmtId="0" fontId="2" fillId="2" borderId="6" xfId="1" applyFont="1" applyFill="1" applyBorder="1" applyAlignment="1">
      <x:alignment horizontal="center" vertical="bottom" shrinkToFit="1"/>
    </x:xf>
    <x:xf numFmtId="3" fontId="4" fillId="2" borderId="6" xfId="1" applyNumberFormat="1" applyFont="1" applyFill="1" applyBorder="1" applyAlignment="1">
      <x:alignment horizontal="center" vertical="bottom" wrapText="1"/>
    </x:xf>
    <x:xf numFmtId="3" fontId="4" fillId="2" borderId="38" xfId="1" applyNumberFormat="1" applyFont="1" applyFill="1" applyBorder="1" applyAlignment="1">
      <x:alignment horizontal="center" vertical="bottom" wrapText="1"/>
    </x:xf>
    <x:xf numFmtId="0" fontId="23" fillId="2" borderId="0" xfId="0" applyFont="1" applyFill="1"/>
    <x:xf numFmtId="0" fontId="7" fillId="2" borderId="0" xfId="0" applyFont="1" applyFill="1" applyAlignment="1">
      <x:alignment horizontal="center"/>
    </x:xf>
    <x:xf numFmtId="0" fontId="7" fillId="0" borderId="0" xfId="0" applyFont="1" applyAlignment="1">
      <x:alignment horizontal="center"/>
    </x:xf>
    <x:xf numFmtId="0" fontId="6" fillId="2" borderId="0" xfId="0" applyFont="1" applyFill="1" applyAlignment="1">
      <x:alignment horizontal="center"/>
    </x:xf>
    <x:xf numFmtId="0" fontId="6" fillId="0" borderId="0" xfId="0" applyFont="1" applyAlignment="1">
      <x:alignment horizontal="center"/>
    </x:xf>
    <x:xf numFmtId="0" fontId="12" fillId="2" borderId="0" xfId="0" applyFont="1" applyFill="1" applyAlignment="1">
      <x:alignment vertical="bottom" wrapText="1"/>
    </x:xf>
    <x:xf numFmtId="0" fontId="3" fillId="0" borderId="0" xfId="0" applyFont="1" applyAlignment="1">
      <x:alignment vertical="bottom" wrapText="1"/>
    </x:xf>
    <x:xf numFmtId="0" fontId="3" fillId="0" borderId="0" xfId="0" applyAlignment="1"/>
    <x:xf numFmtId="0" fontId="12" fillId="2" borderId="0" xfId="0" applyFont="1" applyFill="1" applyAlignment="1">
      <x:alignment horizontal="center" wrapText="1"/>
    </x:xf>
    <x:xf numFmtId="0" fontId="3" fillId="0" borderId="0" xfId="0" applyFont="1" applyBorder="1" applyAlignment="1">
      <x:alignment wrapText="1"/>
    </x:xf>
    <x:xf numFmtId="0" fontId="3" fillId="0" borderId="0" xfId="0" applyAlignment="1">
      <x:alignment horizontal="center"/>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18" fillId="4" borderId="19" xfId="0" applyFont="1" applyFill="1" applyBorder="1" applyAlignment="1">
      <x:alignment horizontal="right" vertical="bottom"/>
    </x:xf>
    <x:xf numFmtId="0" fontId="3" fillId="4" borderId="3" xfId="0" applyFont="1" applyFill="1" applyBorder="1" applyAlignment="1">
      <x:alignment vertical="bottom"/>
    </x:xf>
    <x:xf numFmtId="0" fontId="3" fillId="4" borderId="4" xfId="0" applyFont="1" applyFill="1" applyBorder="1" applyAlignment="1">
      <x:alignment vertical="bottom"/>
    </x:xf>
    <x:xf numFmtId="0" fontId="22" fillId="2" borderId="0" xfId="0" applyFont="1" applyFill="1" applyAlignment="1">
      <x:alignment horizontal="center"/>
    </x:xf>
    <x:xf numFmtId="0" fontId="22" fillId="0" borderId="0" xfId="0" applyFont="1" applyAlignment="1">
      <x:alignment horizontal="center"/>
    </x:xf>
    <x:xf numFmtId="0" fontId="10" fillId="2" borderId="0" xfId="0" applyFont="1" applyFill="1" applyAlignment="1">
      <x:alignment horizontal="center"/>
    </x:xf>
    <x:xf numFmtId="0" fontId="10" fillId="0" borderId="0" xfId="0" applyFont="1" applyAlignment="1">
      <x:alignment horizontal="center"/>
    </x:xf>
    <x:xf numFmtId="0" fontId="9" fillId="2" borderId="0" xfId="0" applyFont="1" applyFill="1" applyAlignment="1">
      <x:alignment horizontal="center"/>
    </x:xf>
    <x:xf numFmtId="0" fontId="9" fillId="0" borderId="0" xfId="0" applyFont="1" applyAlignment="1">
      <x:alignment horizontal="center"/>
    </x:xf>
    <x:xf numFmtId="0" fontId="18" fillId="3" borderId="24" xfId="0" applyFont="1" applyFill="1" applyBorder="1" applyAlignment="1">
      <x:alignment horizontal="center"/>
    </x:xf>
    <x:xf numFmtId="0" fontId="3" fillId="3" borderId="25" xfId="0" applyFont="1" applyFill="1" applyBorder="1" applyAlignment="1"/>
    <x:xf numFmtId="0" fontId="3" fillId="3" borderId="26" xfId="0" applyFont="1" applyFill="1" applyBorder="1" applyAlignment="1"/>
    <x:xf numFmtId="0" fontId="18" fillId="4" borderId="16" xfId="0" applyFont="1" applyFill="1" applyBorder="1" applyAlignment="1">
      <x:alignment horizontal="right" vertical="bottom"/>
    </x:xf>
    <x:xf numFmtId="0" fontId="3" fillId="4" borderId="17" xfId="0" applyFont="1" applyFill="1" applyBorder="1" applyAlignment="1">
      <x:alignment vertical="bottom"/>
    </x:xf>
    <x:xf numFmtId="0" fontId="3" fillId="4" borderId="18" xfId="0" applyFont="1" applyFill="1" applyBorder="1" applyAlignment="1">
      <x:alignment vertical="bottom"/>
    </x:xf>
    <x:xf numFmtId="0" fontId="19" fillId="2" borderId="10" xfId="0" applyFont="1" applyFill="1" applyBorder="1" applyAlignment="1">
      <x:alignment horizontal="center"/>
    </x:xf>
    <x:xf numFmtId="0" fontId="3" fillId="0" borderId="10" xfId="0" applyFont="1" applyBorder="1" applyAlignment="1">
      <x:alignment horizontal="center"/>
    </x:xf>
    <x:xf numFmtId="0" fontId="6" fillId="2" borderId="0" xfId="0" applyFont="1" applyFill="1" applyAlignment="1">
      <x:alignment horizontal="left"/>
    </x:xf>
    <x:xf numFmtId="167" fontId="24" fillId="0" borderId="1" xfId="0" applyFont="1" applyFill="0" applyBorder="1" applyAlignment="1">
      <x:alignment horizontal="center" shrinkToFit="1"/>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7" fontId="3" fillId="0" borderId="0" xfId="0" applyFont="1" applyFill="1" applyBorder="0" applyAlignment="1">
      <x:alignment horizontal="center"/>
    </x:xf>
    <x:xf numFmtId="168" fontId="3" fillId="4" borderId="0" xfId="0" applyFont="1" applyFill="1" applyBorder="0" applyAlignment="1">
      <x:alignment horizontal="center"/>
    </x:xf>
    <x:xf numFmtId="0" fontId="13" fillId="2" borderId="4" xfId="0" applyFont="1" applyFill="1" applyAlignment="1">
      <x:alignment horizontal="left"/>
    </x:xf>
    <x:xf numFmtId="167" fontId="13" fillId="2" borderId="3" xfId="0" applyFont="1" applyFill="1" applyBorder="1" applyAlignment="1">
      <x:alignment horizontal="left"/>
    </x:xf>
    <x:xf numFmtId="169" fontId="3" fillId="0" borderId="0" xfId="0" applyFont="1" applyFill="0" applyBorder="0" applyAlignment="1">
      <x:alignment horizontal="center"/>
    </x:xf>
    <x:xf numFmtId="0" fontId="13" fillId="0" borderId="0" xfId="0" applyFont="1" applyFill="0" applyBorder="0" applyAlignment="1">
      <x:alignment horizontal="right"/>
    </x:xf>
    <x:xf numFmtId="169" fontId="3" fillId="4" borderId="0" xfId="0" applyFont="1" applyFill="1" applyBorder="0" applyAlignment="1">
      <x:alignment horizontal="center"/>
    </x:xf>
    <x:xf numFmtId="169" fontId="13" fillId="0" borderId="0" xfId="0" applyFont="1" applyFill="0" applyBorder="0" applyAlignment="1">
      <x:alignment horizontal="center"/>
    </x:xf>
    <x:xf numFmtId="166" fontId="13" fillId="0" borderId="0" xfId="0" applyFont="1" applyFill="0" applyBorder="0" applyAlignment="1">
      <x:alignment horizontal="center"/>
    </x:xf>
    <x:xf numFmtId="169" fontId="3" fillId="4" borderId="36" xfId="0" applyFont="1" applyFill="1" applyBorder="1" applyAlignment="1">
      <x:alignment horizontal="center" vertical="bottom"/>
    </x:xf>
    <x:xf numFmtId="0" fontId="3" fillId="4" borderId="35" xfId="0" applyFont="1" applyFill="1" applyBorder="1" applyAlignment="1">
      <x:alignment horizontal="center" vertical="bottom"/>
    </x:xf>
    <x:xf numFmtId="169" fontId="3" fillId="0" borderId="36" xfId="0" applyFont="1" applyFill="0" applyBorder="1" applyAlignment="1">
      <x:alignment horizontal="center" vertical="bottom"/>
    </x:xf>
    <x:xf numFmtId="0" fontId="3" fillId="0" borderId="35" xfId="0" applyFont="1" applyFill="0" applyBorder="1" applyAlignment="1">
      <x:alignment horizontal="center" vertical="bottom"/>
    </x:xf>
    <x:xf numFmtId="170" fontId="3" fillId="0" borderId="0" xfId="0" applyFont="1" applyFill="0" applyBorder="0" applyAlignment="1">
      <x:alignment horizontal="center"/>
    </x:xf>
    <x:xf numFmtId="170" fontId="3" fillId="4" borderId="0" xfId="0" applyFont="1" applyFill="1" applyBorder="0" applyAlignment="1">
      <x:alignment horizontal="center"/>
    </x:xf>
    <x:xf numFmtId="165" fontId="4" fillId="0" borderId="39" xfId="0" applyFont="1" applyFill="1" applyBorder="1" applyAlignment="1">
      <x:alignment horizontal="center"/>
    </x:xf>
    <x:xf numFmtId="166" fontId="13" fillId="0" borderId="39" xfId="0" applyFont="1" applyFill="0" applyBorder="1" applyAlignment="1">
      <x:alignment horizontal="center"/>
    </x:xf>
    <x:xf numFmtId="171" fontId="3" fillId="0" borderId="0" xfId="0" applyFont="1" applyFill="0" applyBorder="0" applyAlignment="1">
      <x:alignment horizontal="center"/>
    </x:xf>
    <x:xf numFmtId="171" fontId="3" fillId="4" borderId="0" xfId="0" applyFont="1" applyFill="1" applyBorder="0" applyAlignment="1">
      <x:alignment horizontal="center"/>
    </x:xf>
    <x:xf numFmtId="0" fontId="5" fillId="3" borderId="3" xfId="1" applyFont="1" applyFill="1" applyBorder="1" applyAlignment="1">
      <x:alignment horizontal="left" wrapText="0"/>
    </x:xf>
    <x:xf numFmtId="167" fontId="3" fillId="4" borderId="0" xfId="0" applyFont="1" applyFill="1" applyBorder="1" applyAlignment="1">
      <x:alignment horizontal="center" shrinkToFit="1"/>
    </x:xf>
    <x:xf numFmtId="168" fontId="3" fillId="4" borderId="0" xfId="0" applyFont="1" applyFill="1" applyBorder="0" applyAlignment="1">
      <x:alignment horizontal="center" shrinkToFit="1"/>
    </x:xf>
    <x:xf numFmtId="167" fontId="3" fillId="4" borderId="0" xfId="0" applyFont="1" applyFill="1" applyBorder="0" applyAlignment="1">
      <x:alignment horizontal="center" shrinkToFit="1"/>
    </x:xf>
    <x:xf numFmtId="169" fontId="3" fillId="4" borderId="0" xfId="0" applyFont="1" applyFill="1" applyBorder="0" applyAlignment="1">
      <x:alignment horizontal="center" shrinkToFit="1"/>
    </x:xf>
    <x:xf numFmtId="171" fontId="3" fillId="4" borderId="0" xfId="0" applyFont="1" applyFill="1" applyBorder="0" applyAlignment="1">
      <x:alignment horizontal="center"/>
    </x:xf>
    <x:xf numFmtId="168" fontId="3" fillId="4" borderId="0" xfId="0" applyFont="1" applyFill="1" applyBorder="0" applyAlignment="1">
      <x:alignment horizontal="center"/>
    </x:xf>
    <x:xf numFmtId="167" fontId="3" fillId="0" borderId="0" xfId="0" applyFont="1" applyFill="1" applyBorder="1" applyAlignment="1">
      <x:alignment horizontal="center" shrinkToFit="1"/>
    </x:xf>
    <x:xf numFmtId="168" fontId="3" fillId="0" borderId="0" xfId="0" applyFont="1" applyFill="1" applyBorder="0" applyAlignment="1">
      <x:alignment horizontal="center" shrinkToFit="1"/>
    </x:xf>
    <x:xf numFmtId="169" fontId="3" fillId="0" borderId="0" xfId="0" applyFont="1" applyFill="1" applyBorder="0" applyAlignment="1">
      <x:alignment horizontal="center" shrinkToFit="1"/>
    </x:xf>
    <x:xf numFmtId="167" fontId="3" fillId="0" borderId="0" xfId="0" applyFont="1" applyFill="1" applyBorder="0" applyAlignment="1">
      <x:alignment horizontal="center" shrinkToFit="1"/>
    </x:xf>
    <x:xf numFmtId="171" fontId="3" fillId="0" borderId="0" xfId="0" applyFont="1" applyFill="1" applyBorder="0" applyAlignment="1">
      <x:alignment horizontal="center" shrinkToFit="1"/>
    </x:xf>
    <x:xf numFmtId="168" fontId="3" fillId="0" borderId="0" xfId="0" applyFont="1" applyFill="1" applyBorder="0" applyAlignment="1">
      <x:alignment horizontal="center" shrinkToFit="1"/>
    </x:xf>
    <x:xf numFmtId="0" fontId="3" fillId="0" borderId="0" xfId="0" applyFont="1" applyFill="1" applyBorder="0" applyAlignment="1">
      <x:alignment horizontal="center" shrinkToFit="1"/>
    </x:xf>
    <x:xf numFmtId="0" fontId="3" fillId="4" borderId="0" xfId="0" applyFont="1" applyFill="1" applyBorder="0" applyAlignment="1">
      <x:alignment horizontal="center" shrinkToFit="1"/>
    </x:xf>
    <x:xf numFmtId="0" fontId="6" fillId="0" borderId="39" xfId="0" applyFont="1" applyFill="1" applyBorder="1" applyAlignment="1">
      <x:alignment horizontal="left" wrapText="0"/>
    </x:xf>
    <x:xf numFmtId="0" fontId="13" fillId="0" borderId="0" xfId="0" applyFont="1" applyFill="1" applyBorder="1" applyAlignment="1">
      <x:alignment horizontal="left" wrapText="0"/>
    </x:xf>
    <x:xf numFmtId="0" fontId="22" fillId="0" borderId="0" xfId="0" applyFont="1" applyFill="1" applyBorder="1" applyAlignment="1">
      <x:alignment horizontal="left" wrapText="0"/>
    </x:xf>
    <x:xf numFmtId="0" fontId="22" fillId="4" borderId="0" xfId="0" applyFont="1" applyFill="1" applyBorder="1" applyAlignment="1">
      <x:alignment horizontal="left" wrapText="0"/>
    </x:xf>
    <x:xf numFmtId="172" fontId="3" fillId="4" borderId="8" xfId="0" applyFont="1" applyFill="1" applyBorder="1" applyAlignment="1">
      <x:alignment horizontal="center" wrapText="0"/>
    </x:xf>
    <x:xf numFmtId="172" fontId="3" fillId="0" borderId="8" xfId="0" applyFont="1" applyFill="1" applyBorder="1" applyAlignment="1">
      <x:alignment horizontal="center" wrapText="0"/>
    </x:xf>
    <x:xf numFmtId="0" fontId="27" fillId="0" borderId="0" xfId="0" applyFont="1" applyFill="1" applyBorder="1" applyAlignment="1">
      <x:alignment horizontal="left" wrapText="1"/>
    </x:xf>
    <x:xf numFmtId="172" fontId="3" fillId="4" borderId="0" xfId="0" applyFont="1" applyFill="1" applyBorder="1" applyAlignment="1">
      <x:alignment horizontal="center" wrapText="0"/>
    </x:xf>
    <x:xf numFmtId="172" fontId="3" fillId="0" borderId="0" xfId="0" applyFont="1" applyFill="1" applyBorder="1" applyAlignment="1">
      <x:alignment horizontal="center" wrapText="0"/>
    </x:xf>
    <x:xf numFmtId="173" fontId="2" fillId="2" borderId="36" xfId="1" applyNumberFormat="1" applyFont="1" applyFill="1" applyBorder="1" applyAlignment="1">
      <x:alignment horizontal="center" vertical="bottom"/>
    </x:xf>
    <x:xf numFmtId="173" fontId="2" fillId="4" borderId="36" xfId="1" applyNumberFormat="1" applyFont="1" applyFill="1" applyBorder="1" applyAlignment="1">
      <x:alignment horizontal="center" vertical="bottom"/>
    </x:xf>
    <x:xf numFmtId="173" fontId="13" fillId="2" borderId="0" xfId="1" applyNumberFormat="1" applyFont="1" applyFill="1" applyBorder="1" applyAlignment="1">
      <x:alignment horizontal="center" vertical="bottom"/>
    </x:xf>
    <x:xf numFmtId="171" fontId="4" fillId="0" borderId="39" xfId="0" applyFont="1" applyFill="1" applyBorder="1" applyAlignment="1">
      <x:alignment horizontal="center"/>
    </x:xf>
    <x:xf numFmtId="174" fontId="3" fillId="0" borderId="0" xfId="0" applyFont="1" applyFill="1" applyBorder="0" applyAlignment="1">
      <x:alignment horizontal="center"/>
    </x:xf>
    <x:xf numFmtId="174" fontId="3" fillId="4" borderId="0" xfId="0" applyFont="1" applyFill="1" applyBorder="0" applyAlignment="1">
      <x:alignment horizontal="center"/>
    </x:xf>
    <x:xf numFmtId="175" fontId="14" fillId="0" borderId="0" xfId="0" applyFont="1" applyFill="0" applyBorder="0" applyAlignment="1">
      <x:alignment horizontal="right"/>
    </x:xf>
    <x:xf numFmtId="173" fontId="13" fillId="0" borderId="39" xfId="0" applyFont="1" applyFill="1" applyBorder="1" applyAlignment="1">
      <x:alignment horizontal="right" vertical="top"/>
    </x:xf>
    <x:xf numFmtId="173" fontId="13" fillId="0" borderId="0" xfId="0" applyFont="1" applyFill="1" applyBorder="0" applyAlignment="1">
      <x:alignment horizontal="right" vertical="top"/>
    </x:xf>
    <x:xf numFmtId="0" fontId="3" fillId="0" borderId="39" xfId="0" applyFont="1" applyFill="1" applyBorder="0" applyAlignment="1">
      <x:alignment horizontal="left"/>
    </x:xf>
    <x:xf numFmtId="173" fontId="4" fillId="2" borderId="36" xfId="0" applyFont="1" applyFill="1" applyBorder="1" applyAlignment="1">
      <x:alignment horizontal="right"/>
    </x:xf>
    <x:xf numFmtId="173" fontId="4" fillId="4" borderId="36" xfId="0" applyFont="1" applyFill="1" applyBorder="0" applyAlignment="1">
      <x:alignment horizontal="right"/>
    </x:xf>
    <x:xf numFmtId="173" fontId="2" fillId="4" borderId="35" xfId="1" applyNumberFormat="1" applyFont="1" applyFill="1" applyBorder="1" applyAlignment="1">
      <x:alignment horizontal="left" vertical="bottom"/>
    </x:xf>
    <x:xf numFmtId="164" fontId="4" fillId="2" borderId="20" xfId="1" applyNumberFormat="1" applyFont="1" applyFill="1" applyBorder="1" applyAlignment="1">
      <x:alignment horizontal="center" vertical="bottom"/>
    </x:xf>
    <x:xf numFmtId="173" fontId="2" fillId="4" borderId="35" xfId="0" applyFont="1" applyFill="1" applyBorder="0" applyAlignment="1">
      <x:alignment horizontal="left"/>
    </x:xf>
    <x:xf numFmtId="173" fontId="2" fillId="0" borderId="0" xfId="0" applyFont="1" applyFill="1" applyBorder="0" applyAlignment="1">
      <x:alignment horizontal="center"/>
    </x:xf>
    <x:xf numFmtId="173" fontId="2" fillId="4" borderId="0" xfId="0" applyFont="1" applyFill="1" applyBorder="0" applyAlignment="1">
      <x:alignment horizontal="center"/>
    </x:xf>
  </x:cellXfs>
  <x:cellStyles count="2">
    <x:cellStyle name="Normal" xfId="0" builtinId="0"/>
    <x:cellStyle name="Normal 2" xfId="1"/>
  </x:cellStyles>
  <x:dxfs count="20">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
      <x:font>
        <x:b/>
        <x:i val="0"/>
        <x:color rgb="FF009900"/>
      </x:font>
    </x:dxf>
    <x:dxf>
      <x:font>
        <x:color rgb="FFFF9900"/>
      </x:font>
    </x:dxf>
    <x:dxf>
      <x:font>
        <x:b/>
        <x:i val="0"/>
        <x:color rgb="FFFF0000"/>
      </x:font>
    </x:dxf>
    <x:dxf>
      <x:font>
        <x:b/>
        <x:i val="0"/>
        <x:color rgb="FFFF0000"/>
      </x:font>
    </x:dxf>
    <x:dxf>
      <x:font>
        <x:b/>
        <x:i val="0"/>
        <x:color rgb="FFC00000"/>
      </x:font>
    </x:dxf>
  </x:dxfs>
  <x:tableStyles count="0" defaultTableStyle="TableStyleMedium2" defaultPivotStyle="PivotStyleLight16"/>
  <x:extLst>
    <x:ext xmlns:x14="http://schemas.microsoft.com/office/spreadsheetml/2009/9/main" uri="{EB79DEF2-80B8-43e5-95BD-54CBDDF9020C}"/>
  </x:extLst>
</x:styleSheet>
</file>

<file path=xl/_rels/workbook.xml.rels>&#65279;<?xml version="1.0" encoding="utf-8"?><Relationships xmlns="http://schemas.openxmlformats.org/package/2006/relationships"><Relationship Type="http://schemas.openxmlformats.org/officeDocument/2006/relationships/styles" Target="/xl/styles.xml" Id="rId8" /><Relationship Type="http://schemas.openxmlformats.org/officeDocument/2006/relationships/worksheet" Target="/xl/worksheets/sheet1.xml" Id="rId18" /><Relationship Type="http://schemas.openxmlformats.org/officeDocument/2006/relationships/worksheet" Target="/xl/worksheets/sheet2.xml" Id="rId11" /><Relationship Type="http://schemas.openxmlformats.org/officeDocument/2006/relationships/theme" Target="/xl/theme/theme1.xml" Id="rId7" /><Relationship Type="http://schemas.openxmlformats.org/officeDocument/2006/relationships/worksheet" Target="/xl/worksheets/sheet3.xml" Id="rId101" /><Relationship Type="http://schemas.openxmlformats.org/officeDocument/2006/relationships/worksheet" Target="/xl/worksheets/sheet4.xml" Id="rId1" /><Relationship Type="http://schemas.openxmlformats.org/officeDocument/2006/relationships/worksheet" Target="/xl/worksheets/sheet5.xml" Id="rId6" /><Relationship Type="http://schemas.openxmlformats.org/officeDocument/2006/relationships/worksheet" Target="/xl/worksheets/sheet6.xml" Id="rId5" /><Relationship Type="http://schemas.openxmlformats.org/officeDocument/2006/relationships/calcChain" Target="/xl/calcChain.xml" Id="rId10" /><Relationship Type="http://schemas.openxmlformats.org/officeDocument/2006/relationships/worksheet" Target="/xl/worksheets/sheet7.xml" Id="rId4" /><Relationship Type="http://schemas.openxmlformats.org/officeDocument/2006/relationships/sharedStrings" Target="/xl/sharedStrings.xml" Id="rId9" /><Relationship Type="http://schemas.openxmlformats.org/officeDocument/2006/relationships/worksheet" Target="/xl/worksheets/sheet8.xml" Id="rId19" /><Relationship Type="http://schemas.openxmlformats.org/officeDocument/2006/relationships/worksheet" Target="/xl/worksheets/sheet9.xml" Id="rId20" /><Relationship Type="http://schemas.openxmlformats.org/officeDocument/2006/relationships/worksheet" Target="/xl/worksheets/sheet10.xml" Id="rId21" /><Relationship Type="http://schemas.openxmlformats.org/officeDocument/2006/relationships/worksheet" Target="/xl/worksheets/sheet11.xml" Id="rId22" /><Relationship Type="http://schemas.openxmlformats.org/officeDocument/2006/relationships/worksheet" Target="/xl/worksheets/sheet12.xml" Id="rId23" /><Relationship Type="http://schemas.openxmlformats.org/officeDocument/2006/relationships/worksheet" Target="/xl/worksheets/sheet13.xml" Id="rId24" /><Relationship Type="http://schemas.openxmlformats.org/officeDocument/2006/relationships/worksheet" Target="/xl/worksheets/sheet14.xml" Id="rId2" /></Relationships>
</file>

<file path=xl/drawings/_rels/vmldrawing.vml.rels>&#65279;<?xml version="1.0" encoding="utf-8"?><Relationships xmlns="http://schemas.openxmlformats.org/package/2006/relationships"><Relationship Type="http://schemas.openxmlformats.org/officeDocument/2006/relationships/image" Target="/xl/media/image.bin" Id="rId2" /><Relationship Type="http://schemas.openxmlformats.org/officeDocument/2006/relationships/image" Target="/xl/media/image2.bin" Id="rId1" /></Relationships>
</file>

<file path=xl/drawings/_rels/vmldrawing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7.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8.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9.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0.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1.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2.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3.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4.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5.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drawings/_rels/vmldrawing16.vml.rels>&#65279;<?xml version="1.0" encoding="utf-8"?><Relationships xmlns="http://schemas.openxmlformats.org/package/2006/relationships"><Relationship Type="http://schemas.openxmlformats.org/officeDocument/2006/relationships/image" Target="/xl/media/image3.bin" Id="rId2" /><Relationship Type="http://schemas.openxmlformats.org/officeDocument/2006/relationships/image" Target="/xl/media/image4.bin" Id="rId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printerSettings" Target="/xl/printerSettings/printerSettings1.bin" Id="rId1" /><Relationship Type="http://schemas.openxmlformats.org/officeDocument/2006/relationships/comments" Target="/xl/comments1.xml" Id="rId4" /><Relationship Type="http://schemas.openxmlformats.org/officeDocument/2006/relationships/vmlDrawing" Target="/xl/drawings/vmldrawing.vml" Id="rId3" /><Relationship Type="http://schemas.openxmlformats.org/officeDocument/2006/relationships/vmlDrawing" Target="/xl/drawings/vmldrawing2.vml" Id="rId2" /><Relationship Type="http://schemas.openxmlformats.org/officeDocument/2006/relationships/printerSettings" Target="/xl/printerSettings/printerSettings2.bin" Id="rId18" /></Relationships>
</file>

<file path=xl/worksheets/_rels/sheet2.xml.rels>&#65279;<?xml version="1.0" encoding="utf-8"?><Relationships xmlns="http://schemas.openxmlformats.org/package/2006/relationships"><Relationship Type="http://schemas.openxmlformats.org/officeDocument/2006/relationships/vmlDrawing" Target="/xl/drawings/vmldrawing3.vml" Id="rId3" /><Relationship Type="http://schemas.openxmlformats.org/officeDocument/2006/relationships/vmlDrawing" Target="/xl/drawings/vmldrawing4.vml" Id="rId2" /></Relationships>
</file>

<file path=xl/worksheets/_rels/sheet3.xml.rels>&#65279;<?xml version="1.0" encoding="utf-8"?><Relationships xmlns="http://schemas.openxmlformats.org/package/2006/relationships"><Relationship Type="http://schemas.openxmlformats.org/officeDocument/2006/relationships/vmlDrawing" Target="/xl/drawings/vmldrawing5.vml" Id="rId2" /><Relationship Type="http://schemas.openxmlformats.org/officeDocument/2006/relationships/printerSettings" Target="/xl/printerSettings/printerSettings3.bin" Id="rId1" /></Relationships>
</file>

<file path=xl/worksheets/_rels/sheet4.xml.rels>&#65279;<?xml version="1.0" encoding="utf-8"?><Relationships xmlns="http://schemas.openxmlformats.org/package/2006/relationships"><Relationship Type="http://schemas.openxmlformats.org/officeDocument/2006/relationships/vmlDrawing" Target="/xl/drawings/vmldrawing6.vml" Id="rId2" /><Relationship Type="http://schemas.openxmlformats.org/officeDocument/2006/relationships/printerSettings" Target="/xl/printerSettings/printerSettings4.bin" Id="rId1" /></Relationships>
</file>

<file path=xl/worksheets/_rels/sheet5.xml.rels>&#65279;<?xml version="1.0" encoding="utf-8"?><Relationships xmlns="http://schemas.openxmlformats.org/package/2006/relationships"><Relationship Type="http://schemas.openxmlformats.org/officeDocument/2006/relationships/vmlDrawing" Target="/xl/drawings/vmldrawing7.vml" Id="rId2" /><Relationship Type="http://schemas.openxmlformats.org/officeDocument/2006/relationships/printerSettings" Target="/xl/printerSettings/printerSettings5.bin" Id="rId1" /></Relationships>
</file>

<file path=xl/worksheets/_rels/sheet6.xml.rels>&#65279;<?xml version="1.0" encoding="utf-8"?><Relationships xmlns="http://schemas.openxmlformats.org/package/2006/relationships"><Relationship Type="http://schemas.openxmlformats.org/officeDocument/2006/relationships/vmlDrawing" Target="/xl/drawings/vmldrawing8.vml" Id="rId2" /><Relationship Type="http://schemas.openxmlformats.org/officeDocument/2006/relationships/printerSettings" Target="/xl/printerSettings/printerSettings6.bin" Id="rId1" /></Relationships>
</file>

<file path=xl/worksheets/_rels/sheet7.xml.rels>&#65279;<?xml version="1.0" encoding="utf-8"?><Relationships xmlns="http://schemas.openxmlformats.org/package/2006/relationships"><Relationship Type="http://schemas.openxmlformats.org/officeDocument/2006/relationships/vmlDrawing" Target="/xl/drawings/vmldrawing9.vml" Id="rId2" /><Relationship Type="http://schemas.openxmlformats.org/officeDocument/2006/relationships/printerSettings" Target="/xl/printerSettings/printerSettings7.bin" Id="rId1" /></Relationships>
</file>

<file path=xl/worksheets/_rels/sheet8.xml.rels>&#65279;<?xml version="1.0" encoding="utf-8"?><Relationships xmlns="http://schemas.openxmlformats.org/package/2006/relationships"><Relationship Type="http://schemas.openxmlformats.org/officeDocument/2006/relationships/vmlDrawing" Target="/xl/drawings/vmldrawing10.vml" Id="rId2" /></Relationships>
</file>

<file path=xl/worksheets/_rels/sheet9.xml.rels>&#65279;<?xml version="1.0" encoding="utf-8"?><Relationships xmlns="http://schemas.openxmlformats.org/package/2006/relationships"><Relationship Type="http://schemas.openxmlformats.org/officeDocument/2006/relationships/vmlDrawing" Target="/xl/drawings/vmldrawing11.vml" Id="rId2" /><Relationship Type="http://schemas.openxmlformats.org/officeDocument/2006/relationships/printerSettings" Target="/xl/printerSettings/printerSettings8.bin" Id="rId1" /></Relationships>
</file>

<file path=xl/worksheets/_rels/sheet10.xml.rels>&#65279;<?xml version="1.0" encoding="utf-8"?><Relationships xmlns="http://schemas.openxmlformats.org/package/2006/relationships"><Relationship Type="http://schemas.openxmlformats.org/officeDocument/2006/relationships/vmlDrawing" Target="/xl/drawings/vmldrawing12.vml" Id="rId2" /><Relationship Type="http://schemas.openxmlformats.org/officeDocument/2006/relationships/printerSettings" Target="/xl/printerSettings/printerSettings9.bin" Id="rId1" /></Relationships>
</file>

<file path=xl/worksheets/_rels/sheet11.xml.rels>&#65279;<?xml version="1.0" encoding="utf-8"?><Relationships xmlns="http://schemas.openxmlformats.org/package/2006/relationships"><Relationship Type="http://schemas.openxmlformats.org/officeDocument/2006/relationships/vmlDrawing" Target="/xl/drawings/vmldrawing13.vml" Id="rId2" /></Relationships>
</file>

<file path=xl/worksheets/_rels/sheet12.xml.rels>&#65279;<?xml version="1.0" encoding="utf-8"?><Relationships xmlns="http://schemas.openxmlformats.org/package/2006/relationships"><Relationship Type="http://schemas.openxmlformats.org/officeDocument/2006/relationships/vmlDrawing" Target="/xl/drawings/vmldrawing14.vml" Id="rId2" /><Relationship Type="http://schemas.openxmlformats.org/officeDocument/2006/relationships/printerSettings" Target="/xl/printerSettings/printerSettings10.bin" Id="rId1" /></Relationships>
</file>

<file path=xl/worksheets/_rels/sheet13.xml.rels>&#65279;<?xml version="1.0" encoding="utf-8"?><Relationships xmlns="http://schemas.openxmlformats.org/package/2006/relationships"><Relationship Type="http://schemas.openxmlformats.org/officeDocument/2006/relationships/vmlDrawing" Target="/xl/drawings/vmldrawing15.vml" Id="rId2" /><Relationship Type="http://schemas.openxmlformats.org/officeDocument/2006/relationships/printerSettings" Target="/xl/printerSettings/printerSettings11.bin" Id="rId1" /></Relationships>
</file>

<file path=xl/worksheets/_rels/sheet14.xml.rels>&#65279;<?xml version="1.0" encoding="utf-8"?><Relationships xmlns="http://schemas.openxmlformats.org/package/2006/relationships"><Relationship Type="http://schemas.openxmlformats.org/officeDocument/2006/relationships/vmlDrawing" Target="/xl/drawings/vmldrawing16.vml" Id="rId2" /><Relationship Type="http://schemas.openxmlformats.org/officeDocument/2006/relationships/printerSettings" Target="/xl/printerSettings/printerSettings12.bin" Id="rId1" /></Relationships>
</file>

<file path=xl/worksheets/sheet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X30"/>
  <x:sheetViews>
    <x:sheetView showGridLines="0" view="pageLayout" zoomScaleNormal="66" workbookViewId="0">
      <x:selection activeCell="A4" sqref="A4"/>
    </x:sheetView>
  </x:sheetViews>
  <x:sheetFormatPr defaultRowHeight="15" x14ac:dyDescent="0.25"/>
  <x:cols>
    <x:col min="1" max="1" width="5.422223" style="1" customWidth="1"/>
    <x:col min="2" max="2" width="7.140625" style="1" customWidth="1"/>
    <x:col min="3" max="3" width="11.140625" style="1" customWidth="1"/>
    <x:col min="4" max="4" width="7.5703125" style="1" customWidth="1"/>
    <x:col min="5" max="5" width="8.28515625" style="1" customWidth="1"/>
    <x:col min="6" max="6" width="14.42578125" style="1" customWidth="1"/>
    <x:col min="7" max="7" width="9" style="1" customWidth="1"/>
    <x:col min="8" max="8" width="6.42578125" style="1" customWidth="1"/>
    <x:col min="9" max="9" width="7.5703125" style="1" customWidth="1"/>
    <x:col min="10" max="10" width="6.42578125" style="1" customWidth="1"/>
    <x:col min="11" max="11" width="5.42578125" style="1" customWidth="1"/>
    <x:col min="12" max="12" width="6.140625" style="1" customWidth="1"/>
    <x:col min="13" max="13" width="8.42578125" style="1" customWidth="1"/>
    <x:col min="14" max="14" width="6.28515625" style="1" customWidth="1"/>
    <x:col min="15" max="15" width="8.42578125" style="1" customWidth="1"/>
    <x:col min="16" max="16" width="6.42578125" style="1" customWidth="1"/>
    <x:col min="17" max="17" width="8.28515625" style="1" customWidth="1"/>
    <x:col min="18" max="18" width="7.85546875" style="1" customWidth="1"/>
    <x:col min="19" max="19" width="7.85546875" style="1" customWidth="1"/>
    <x:col min="20" max="20" width="6.7109375" style="1" customWidth="1"/>
    <x:col min="21" max="21" width="8.42578125" style="1" customWidth="1"/>
    <x:col min="22" max="22" width="15.5703125" style="1" customWidth="1"/>
    <x:col min="23" max="23" width="1.7109375" style="1" customWidth="1"/>
    <x:col min="24" max="24" width="27.5703125" style="1" customWidth="1"/>
    <x:col min="25" max="25" width="0.11" style="1" customWidth="1"/>
    <x:col min="26" max="26" width="0.11" customWidth="1"/>
  </x:cols>
  <x:sheetData>
    <x:row r="1" spans="1:25" s="1" ht="15.75" x14ac:dyDescent="0.25">
      <x:c r="A1" s="125" t="str">
        <x:f ca="1">SETUP!$B$2</x:f>
        <x:v>?</x:v>
      </x:c>
      <x:c r="B1" s="126"/>
      <x:c r="C1" s="126"/>
      <x:c r="D1" s="126"/>
      <x:c r="E1" s="126"/>
      <x:c r="F1" s="126"/>
      <x:c r="G1" s="126"/>
      <x:c r="H1" s="126"/>
      <x:c r="I1" s="126"/>
      <x:c r="J1" s="126"/>
      <x:c r="K1" s="126"/>
      <x:c r="L1" s="126"/>
      <x:c r="M1" s="126"/>
      <x:c r="N1" s="126"/>
      <x:c r="O1" s="126"/>
      <x:c r="P1" s="126"/>
      <x:c r="Q1" s="126"/>
      <x:c r="R1" s="126"/>
      <x:c r="S1" s="126"/>
      <x:c r="T1" s="126"/>
      <x:c r="U1" s="126"/>
      <x:c r="V1" s="126"/>
      <x:c r="W1" s="126"/>
      <x:c r="X1" s="129"/>
    </x:row>
    <x:row r="2" spans="1:25" s="1" x14ac:dyDescent="0.25">
      <x:c r="A2" s="123" t="str">
        <x:f ca="1">"Volume Trend Summary for Period Ending "&amp;TEXT(SETUP!B4,"MMMMMMMMM DD, YYYY")&amp;""</x:f>
        <x:v>Volume Trend Summary for Period Ending ?</x:v>
      </x:c>
      <x:c r="B2" s="124"/>
      <x:c r="C2" s="124"/>
      <x:c r="D2" s="124"/>
      <x:c r="E2" s="124"/>
      <x:c r="F2" s="124"/>
      <x:c r="G2" s="124"/>
      <x:c r="H2" s="124"/>
      <x:c r="I2" s="124"/>
      <x:c r="J2" s="124"/>
      <x:c r="K2" s="124"/>
      <x:c r="L2" s="124"/>
      <x:c r="M2" s="124"/>
      <x:c r="N2" s="124"/>
      <x:c r="O2" s="124"/>
      <x:c r="P2" s="124"/>
      <x:c r="Q2" s="124"/>
      <x:c r="R2" s="124"/>
      <x:c r="S2" s="124"/>
      <x:c r="T2" s="124"/>
      <x:c r="U2" s="124"/>
      <x:c r="V2" s="124"/>
      <x:c r="W2" s="124"/>
      <x:c r="X2" s="129"/>
    </x:row>
    <x:row r="4" spans="1:25" x14ac:dyDescent="0.25">
      <x:c r="A4" s="124"/>
      <x:c r="C4" s="124"/>
      <x:c r="D4" s="124"/>
      <x:c r="E4" s="124"/>
      <x:c r="F4" s="124"/>
      <x:c r="G4" s="124"/>
      <x:c r="H4" s="124"/>
      <x:c r="I4" s="124"/>
      <x:c r="J4" s="124"/>
      <x:c r="K4" s="124"/>
      <x:c r="L4" s="124"/>
      <x:c r="M4" s="124"/>
      <x:c r="N4" s="124"/>
      <x:c r="O4" s="124"/>
      <x:c r="P4" s="124"/>
      <x:c r="Q4" s="124"/>
      <x:c r="R4" s="124"/>
      <x:c r="S4" s="124"/>
      <x:c r="T4" s="124"/>
      <x:c r="U4" s="124"/>
      <x:c r="V4" s="124"/>
      <x:c r="W4" s="124"/>
      <x:c r="AA4" s="187" t="n">
        <x:v>.35</x:v>
      </x:c>
    </x:row>
    <x:row r="3" spans="1:10" ht="15.5" customHeight="1" x14ac:dyDescent="0.25">
      <x:c r="A3" s="19"/>
      <x:c r="B3" s="19"/>
      <x:c r="C3" s="19"/>
      <x:c r="D3" s="19"/>
      <x:c r="E3" s="19"/>
      <x:c r="F3" s="19"/>
      <x:c r="G3" s="19"/>
      <x:c r="H3" s="19"/>
      <x:c r="I3" s="19"/>
      <x:c r="J3" s="19"/>
      <x:c r="K3" s="19"/>
      <x:c r="L3" s="19"/>
      <x:c r="M3" s="19"/>
      <x:c r="N3" s="19"/>
      <x:c r="O3" s="19"/>
      <x:c r="P3" s="19"/>
      <x:c r="Q3" s="19"/>
      <x:c r="R3" s="19"/>
      <x:c r="S3" s="19" t="n">
        <x:f ca="1"/>
      </x:c>
      <x:c r="T3" s="19"/>
      <x:c r="U3" s="19" t="n">
        <x:f ca="1"/>
      </x:c>
      <x:c r="V3" s="19" t="n">
        <x:f ca="1"/>
      </x:c>
      <x:c r="W3" s="19"/>
      <x:c r="X3" s="19"/>
    </x:row>
    <x:row r="4" spans="1:25" ht="15.5" customHeight="1" x14ac:dyDescent="0.25">
      <x:c r="A4" s="194">
        <x:v>B/W Copies</x:v>
      </x:c>
    </x:row>
    <x:row r="5" spans="1:25" s="12" customFormat="1" ht="37.35" customHeight="1" x14ac:dyDescent="0.25">
      <x:c r="A5" s="47" t="str">
        <x:v>Line #</x:v>
      </x:c>
      <x:c r="B5" s="45" t="str">
        <x:v>Device ID</x:v>
      </x:c>
      <x:c r="C5" s="45" t="str">
        <x:v>Model </x:v>
      </x:c>
      <x:c r="D5" s="45" t="str">
        <x:v>Meter Type</x:v>
      </x:c>
      <x:c r="E5" s="45" t="str">
        <x:v>Serial Number</x:v>
      </x:c>
      <x:c r="F5" s="45" t="str">
        <x:v>Device Status</x:v>
      </x:c>
      <x:c r="G5" s="45" t="str">
        <x:v>Location</x:v>
      </x:c>
      <x:c r="H5" s="45" t="str">
        <x:v>Bldg</x:v>
      </x:c>
      <x:c r="I5" s="45" t="str">
        <x:v>Dept.</x:v>
      </x:c>
      <x:c r="J5" s="45" t="str">
        <x:v>Floor</x:v>
      </x:c>
      <x:c r="K5" s="45" t="str">
        <x:v>User</x:v>
      </x:c>
      <x:c r="L5" s="45" t="str">
        <x:v>Cost Center</x:v>
      </x:c>
      <x:c r="M5" s="45" t="str">
        <x:v>Start Date</x:v>
      </x:c>
      <x:c r="N5" s="45" t="str">
        <x:v>Start Meter</x:v>
      </x:c>
      <x:c r="O5" s="45" t="str">
        <x:v>End Date</x:v>
      </x:c>
      <x:c r="P5" s="45" t="str">
        <x:v>End Meter</x:v>
      </x:c>
      <x:c r="Q5" s="45" t="str">
        <x:v>% of Total Usage</x:v>
      </x:c>
      <x:c r="R5" s="45" t="str">
        <x:v>% Usage By Meter Group</x:v>
      </x:c>
      <x:c r="S5" s="45" t="str">
        <x:v>Volume Last Period</x:v>
      </x:c>
      <x:c r="T5" s="45" t="str">
        <x:v>% Change</x:v>
      </x:c>
      <x:c r="U5" s="45" t="str">
        <x:v>Volume Current Period</x:v>
      </x:c>
      <x:c r="V5" s="45" t="str">
        <x:v>Avg. Monthly Vol.</x:v>
      </x:c>
      <x:c r="W5" s="45"/>
      <x:c r="X5" s="46" t="str">
        <x:v>Comments</x:v>
      </x:c>
    </x:row>
    <x:row r="6" spans="1:25" s="12" x14ac:dyDescent="0.25">
      <x:c r="A6" s="90" t="str">
        <x:v>1</x:v>
      </x:c>
      <x:c r="B6" s="191" t="str">
        <x:v>13313782</x:v>
      </x:c>
      <x:c r="C6" s="191" t="str">
        <x:v>Ricoh MP 2851</x:v>
      </x:c>
      <x:c r="D6" s="191" t="str">
        <x:v>B/W Copies</x:v>
      </x:c>
      <x:c r="E6" s="191" t="str">
        <x:v>V8215102862</x:v>
      </x:c>
      <x:c r="F6" s="191" t="str">
        <x:v>Active</x:v>
      </x:c>
      <x:c r="G6" s="191" t="str">
        <x:v>New Orleans Westbank Treatment Center</x:v>
      </x:c>
      <x:c r="H6" s="191" t="str">
        <x:v/>
      </x:c>
      <x:c r="I6" s="191" t="str">
        <x:v/>
      </x:c>
      <x:c r="J6" s="191" t="str">
        <x:v/>
      </x:c>
      <x:c r="K6" s="191" t="str">
        <x:v/>
      </x:c>
      <x:c r="L6" s="191" t="str">
        <x:v/>
      </x:c>
      <x:c r="M6" s="191" t="str">
        <x:v>12/1/2018</x:v>
      </x:c>
      <x:c r="N6" s="189" t="n">
        <x:v>530752.00</x:v>
      </x:c>
      <x:c r="O6" s="191" t="str">
        <x:v>12/31/2018</x:v>
      </x:c>
      <x:c r="P6" s="189" t="n">
        <x:v>540708.00</x:v>
      </x:c>
      <x:c r="Q6" s="206" t="n">
        <x:v>0.0268</x:v>
      </x:c>
      <x:c r="R6" s="206" t="n">
        <x:v>0.1598</x:v>
      </x:c>
      <x:c r="S6" s="189" t="n">
        <x:v>2642.00</x:v>
      </x:c>
      <x:c r="T6" s="187" t="n">
        <x:f ca="1">=IF(AND(U6=0,S6&gt;0),-100%,IF(OR(S6=0,S6="-"),"-",IF(AND(S6=0,U6=0),0%,IF(S6&lt;U6,SUM(U6-S6)/S6,IF(S6&gt;U6,SUM(-1*(S6-U6)/S6),"")))))</x:f>
        <x:v/>
      </x:c>
      <x:c r="U6" s="189" t="n">
        <x:v>9956.00</x:v>
      </x:c>
      <x:c r="V6" s="189" t="n">
        <x:f ca="1">=SUM(U6/ ((O6- M6)/30.42))</x:f>
        <x:v/>
      </x:c>
      <x:c r="W6" s="195">
        <x:f ca="1">=IF(T6="","",IF(T6="-","",IF(U6=0,"",IF(OR(T6&gt; AA4 ,T6&lt;-AA4),"*",""))))</x:f>
        <x:v/>
      </x:c>
      <x:c r="X6" s="91" t="str">
        <x:v/>
      </x:c>
    </x:row>
    <x:row r="7" spans="1:25" s="12" x14ac:dyDescent="0.25">
      <x:c r="A7" s="96" t="str">
        <x:v>2</x:v>
      </x:c>
      <x:c r="B7" s="192" t="str">
        <x:v>13765361</x:v>
      </x:c>
      <x:c r="C7" s="192" t="str">
        <x:v>Ricoh MP2554</x:v>
      </x:c>
      <x:c r="D7" s="192" t="str">
        <x:v>B/W Copies</x:v>
      </x:c>
      <x:c r="E7" s="192" t="str">
        <x:v>G145R700542</x:v>
      </x:c>
      <x:c r="F7" s="192" t="str">
        <x:v>Active</x:v>
      </x:c>
      <x:c r="G7" s="192" t="str">
        <x:v>Denver Treatment Center</x:v>
      </x:c>
      <x:c r="H7" s="192" t="str">
        <x:v/>
      </x:c>
      <x:c r="I7" s="192" t="str">
        <x:v/>
      </x:c>
      <x:c r="J7" s="192" t="str">
        <x:v>1</x:v>
      </x:c>
      <x:c r="K7" s="192" t="str">
        <x:v>Aspen Toledo</x:v>
      </x:c>
      <x:c r="L7" s="192" t="str">
        <x:v/>
      </x:c>
      <x:c r="M7" s="192" t="str">
        <x:v>12/1/2018</x:v>
      </x:c>
      <x:c r="N7" s="183" t="n">
        <x:v>303397.00</x:v>
      </x:c>
      <x:c r="O7" s="192" t="str">
        <x:v>12/31/2018</x:v>
      </x:c>
      <x:c r="P7" s="183" t="n">
        <x:v>309517.00</x:v>
      </x:c>
      <x:c r="Q7" s="207" t="n">
        <x:v>0.0165</x:v>
      </x:c>
      <x:c r="R7" s="207" t="n">
        <x:v>0.0982</x:v>
      </x:c>
      <x:c r="S7" s="183" t="n">
        <x:v>3807.00</x:v>
      </x:c>
      <x:c r="T7" s="182" t="n">
        <x:f ca="1">=IF(AND(U7=0,S7&gt;0),-100%,IF(OR(S7=0,S7="-"),"-",IF(AND(S7=0,U7=0),0%,IF(S7&lt;U7,SUM(U7-S7)/S7,IF(S7&gt;U7,SUM(-1*(S7-U7)/S7),"")))))</x:f>
        <x:v/>
      </x:c>
      <x:c r="U7" s="183" t="n">
        <x:v>6120.00</x:v>
      </x:c>
      <x:c r="V7" s="183" t="n">
        <x:f ca="1">=SUM(U7/ ((O7- M7)/30.42))</x:f>
        <x:v/>
      </x:c>
      <x:c r="W7" s="196">
        <x:f ca="1">=IF(T7="","",IF(T7="-","",IF(U7=0,"",IF(OR(T7&gt;AA4,T7&lt;-AA4),"*",""))))</x:f>
        <x:v/>
      </x:c>
      <x:c r="X7" s="98" t="str">
        <x:v/>
      </x:c>
    </x:row>
    <x:row r="8" spans="1:25" s="12" x14ac:dyDescent="0.25">
      <x:c r="A8" s="90" t="str">
        <x:v>3</x:v>
      </x:c>
      <x:c r="B8" s="191" t="str">
        <x:v>20373383</x:v>
      </x:c>
      <x:c r="C8" s="191" t="str">
        <x:v>Ricoh MP 2851</x:v>
      </x:c>
      <x:c r="D8" s="191" t="str">
        <x:v>B/W Copies</x:v>
      </x:c>
      <x:c r="E8" s="191" t="str">
        <x:v>V8215101296</x:v>
      </x:c>
      <x:c r="F8" s="191" t="str">
        <x:v>Active</x:v>
      </x:c>
      <x:c r="G8" s="191" t="str">
        <x:v>Knoxville Bernard Treatment Center</x:v>
      </x:c>
      <x:c r="H8" s="191" t="str">
        <x:v/>
      </x:c>
      <x:c r="I8" s="191" t="str">
        <x:v/>
      </x:c>
      <x:c r="J8" s="191" t="str">
        <x:v/>
      </x:c>
      <x:c r="K8" s="191" t="str">
        <x:v/>
      </x:c>
      <x:c r="L8" s="191" t="str">
        <x:v/>
      </x:c>
      <x:c r="M8" s="191" t="str">
        <x:v>12/1/2018</x:v>
      </x:c>
      <x:c r="N8" s="189" t="n">
        <x:v>480830.00</x:v>
      </x:c>
      <x:c r="O8" s="191" t="str">
        <x:v>12/31/2018</x:v>
      </x:c>
      <x:c r="P8" s="189" t="n">
        <x:v>485591.00</x:v>
      </x:c>
      <x:c r="Q8" s="206" t="n">
        <x:v>0.0128</x:v>
      </x:c>
      <x:c r="R8" s="206" t="n">
        <x:v>0.0764</x:v>
      </x:c>
      <x:c r="S8" s="189" t="n">
        <x:v>3319.00</x:v>
      </x:c>
      <x:c r="T8" s="187" t="n">
        <x:f ca="1">=IF(AND(U8=0,S8&gt;0),-100%,IF(OR(S8=0,S8="-"),"-",IF(AND(S8=0,U8=0),0%,IF(S8&lt;U8,SUM(U8-S8)/S8,IF(S8&gt;U8,SUM(-1*(S8-U8)/S8),"")))))</x:f>
        <x:v/>
      </x:c>
      <x:c r="U8" s="189" t="n">
        <x:v>4761.00</x:v>
      </x:c>
      <x:c r="V8" s="189" t="n">
        <x:f ca="1">=SUM(U8/ ((O8- M8)/30.42))</x:f>
        <x:v/>
      </x:c>
      <x:c r="W8" s="195">
        <x:f ca="1">=IF(T8="","",IF(T8="-","",IF(U8=0,"",IF(OR(T8&gt;AA4,T8&lt;-AA4),"*",""))))</x:f>
        <x:v/>
      </x:c>
      <x:c r="X8" s="91" t="str">
        <x:v/>
      </x:c>
    </x:row>
    <x:row r="9" spans="1:25" s="12" x14ac:dyDescent="0.25">
      <x:c r="A9" s="96" t="str">
        <x:v>4</x:v>
      </x:c>
      <x:c r="B9" s="192" t="str">
        <x:v>20358652</x:v>
      </x:c>
      <x:c r="C9" s="192" t="str">
        <x:v>Ricoh 4001</x:v>
      </x:c>
      <x:c r="D9" s="192" t="str">
        <x:v>B/W Copies</x:v>
      </x:c>
      <x:c r="E9" s="192" t="str">
        <x:v>V7914901635</x:v>
      </x:c>
      <x:c r="F9" s="192" t="str">
        <x:v>Active</x:v>
      </x:c>
      <x:c r="G9" s="192" t="str">
        <x:v>Memphis Mid-Town Treatment Center</x:v>
      </x:c>
      <x:c r="H9" s="192" t="str">
        <x:v/>
      </x:c>
      <x:c r="I9" s="192" t="str">
        <x:v/>
      </x:c>
      <x:c r="J9" s="192" t="str">
        <x:v>2</x:v>
      </x:c>
      <x:c r="K9" s="192" t="str">
        <x:v/>
      </x:c>
      <x:c r="L9" s="192" t="str">
        <x:v/>
      </x:c>
      <x:c r="M9" s="192" t="str">
        <x:v>12/1/2018</x:v>
      </x:c>
      <x:c r="N9" s="183" t="n">
        <x:v>478522.00</x:v>
      </x:c>
      <x:c r="O9" s="192" t="str">
        <x:v>12/31/2018</x:v>
      </x:c>
      <x:c r="P9" s="183" t="n">
        <x:v>483223.00</x:v>
      </x:c>
      <x:c r="Q9" s="207" t="n">
        <x:v>0.0126</x:v>
      </x:c>
      <x:c r="R9" s="207" t="n">
        <x:v>0.0755</x:v>
      </x:c>
      <x:c r="S9" s="183" t="n">
        <x:v>1501.00</x:v>
      </x:c>
      <x:c r="T9" s="182" t="n">
        <x:f ca="1">=IF(AND(U9=0,S9&gt;0),-100%,IF(OR(S9=0,S9="-"),"-",IF(AND(S9=0,U9=0),0%,IF(S9&lt;U9,SUM(U9-S9)/S9,IF(S9&gt;U9,SUM(-1*(S9-U9)/S9),"")))))</x:f>
        <x:v/>
      </x:c>
      <x:c r="U9" s="183" t="n">
        <x:v>4701.00</x:v>
      </x:c>
      <x:c r="V9" s="183" t="n">
        <x:f ca="1">=SUM(U9/ ((O9- M9)/30.42))</x:f>
        <x:v/>
      </x:c>
      <x:c r="W9" s="196">
        <x:f ca="1">=IF(T9="","",IF(T9="-","",IF(U9=0,"",IF(OR(T9&gt;AA4,T9&lt;-AA4),"*",""))))</x:f>
        <x:v/>
      </x:c>
      <x:c r="X9" s="98" t="str">
        <x:v/>
      </x:c>
    </x:row>
    <x:row r="10" spans="1:25" s="12" x14ac:dyDescent="0.25">
      <x:c r="A10" s="90" t="str">
        <x:v>5</x:v>
      </x:c>
      <x:c r="B10" s="191" t="str">
        <x:v>20187231</x:v>
      </x:c>
      <x:c r="C10" s="191" t="str">
        <x:v>Ricoh MP 2851</x:v>
      </x:c>
      <x:c r="D10" s="191" t="str">
        <x:v>B/W Copies</x:v>
      </x:c>
      <x:c r="E10" s="191" t="str">
        <x:v>V8215102492</x:v>
      </x:c>
      <x:c r="F10" s="191" t="str">
        <x:v>Active</x:v>
      </x:c>
      <x:c r="G10" s="191" t="str">
        <x:v>Knoxville Citico Treatment Center</x:v>
      </x:c>
      <x:c r="H10" s="191" t="str">
        <x:v/>
      </x:c>
      <x:c r="I10" s="191" t="str">
        <x:v/>
      </x:c>
      <x:c r="J10" s="191" t="str">
        <x:v/>
      </x:c>
      <x:c r="K10" s="191" t="str">
        <x:v/>
      </x:c>
      <x:c r="L10" s="191" t="str">
        <x:v/>
      </x:c>
      <x:c r="M10" s="191" t="str">
        <x:v>12/1/2018</x:v>
      </x:c>
      <x:c r="N10" s="189" t="n">
        <x:v>646178.00</x:v>
      </x:c>
      <x:c r="O10" s="191" t="str">
        <x:v>12/31/2018</x:v>
      </x:c>
      <x:c r="P10" s="189" t="n">
        <x:v>650691.00</x:v>
      </x:c>
      <x:c r="Q10" s="206" t="n">
        <x:v>0.0121</x:v>
      </x:c>
      <x:c r="R10" s="206" t="n">
        <x:v>0.0724</x:v>
      </x:c>
      <x:c r="S10" s="189" t="n">
        <x:v>2431.00</x:v>
      </x:c>
      <x:c r="T10" s="187" t="n">
        <x:f ca="1">=IF(AND(U10=0,S10&gt;0),-100%,IF(OR(S10=0,S10="-"),"-",IF(AND(S10=0,U10=0),0%,IF(S10&lt;U10,SUM(U10-S10)/S10,IF(S10&gt;U10,SUM(-1*(S10-U10)/S10),"")))))</x:f>
        <x:v/>
      </x:c>
      <x:c r="U10" s="189" t="n">
        <x:v>4513.00</x:v>
      </x:c>
      <x:c r="V10" s="189" t="n">
        <x:f ca="1">=SUM(U10/ ((O10- M10)/30.42))</x:f>
        <x:v/>
      </x:c>
      <x:c r="W10" s="195">
        <x:f ca="1">=IF(T10="","",IF(T10="-","",IF(U10=0,"",IF(OR(T10&gt;AA4,T10&lt;-AA4),"*",""))))</x:f>
        <x:v/>
      </x:c>
      <x:c r="X10" s="91" t="str">
        <x:v/>
      </x:c>
    </x:row>
    <x:row r="11" spans="1:25" s="12" x14ac:dyDescent="0.25">
      <x:c r="A11" s="96" t="str">
        <x:v>6</x:v>
      </x:c>
      <x:c r="B11" s="192" t="str">
        <x:v>12788292</x:v>
      </x:c>
      <x:c r="C11" s="192" t="str">
        <x:v>Ricoh 4001</x:v>
      </x:c>
      <x:c r="D11" s="192" t="str">
        <x:v>B/W Copies</x:v>
      </x:c>
      <x:c r="E11" s="192" t="str">
        <x:v>V7915101788</x:v>
      </x:c>
      <x:c r="F11" s="192" t="str">
        <x:v>Active</x:v>
      </x:c>
      <x:c r="G11" s="192" t="str">
        <x:v>Nashville Treatment Center</x:v>
      </x:c>
      <x:c r="H11" s="192" t="str">
        <x:v/>
      </x:c>
      <x:c r="I11" s="192" t="str">
        <x:v/>
      </x:c>
      <x:c r="J11" s="192" t="str">
        <x:v/>
      </x:c>
      <x:c r="K11" s="192" t="str">
        <x:v/>
      </x:c>
      <x:c r="L11" s="192" t="str">
        <x:v/>
      </x:c>
      <x:c r="M11" s="192" t="str">
        <x:v>12/1/2018</x:v>
      </x:c>
      <x:c r="N11" s="183" t="n">
        <x:v>509278.00</x:v>
      </x:c>
      <x:c r="O11" s="192" t="str">
        <x:v>12/31/2018</x:v>
      </x:c>
      <x:c r="P11" s="183" t="n">
        <x:v>513553.00</x:v>
      </x:c>
      <x:c r="Q11" s="207" t="n">
        <x:v>0.0115</x:v>
      </x:c>
      <x:c r="R11" s="207" t="n">
        <x:v>0.0686</x:v>
      </x:c>
      <x:c r="S11" s="183" t="n">
        <x:v>2156.00</x:v>
      </x:c>
      <x:c r="T11" s="182" t="n">
        <x:f ca="1">=IF(AND(U11=0,S11&gt;0),-100%,IF(OR(S11=0,S11="-"),"-",IF(AND(S11=0,U11=0),0%,IF(S11&lt;U11,SUM(U11-S11)/S11,IF(S11&gt;U11,SUM(-1*(S11-U11)/S11),"")))))</x:f>
        <x:v/>
      </x:c>
      <x:c r="U11" s="183" t="n">
        <x:v>4275.00</x:v>
      </x:c>
      <x:c r="V11" s="183" t="n">
        <x:f ca="1">=SUM(U11/ ((O11- M11)/30.42))</x:f>
        <x:v/>
      </x:c>
      <x:c r="W11" s="196">
        <x:f ca="1">=IF(T11="","",IF(T11="-","",IF(U11=0,"",IF(OR(T11&gt;AA4,T11&lt;-AA4),"*",""))))</x:f>
        <x:v/>
      </x:c>
      <x:c r="X11" s="98" t="str">
        <x:v/>
      </x:c>
    </x:row>
    <x:row r="12" spans="1:25" s="12" x14ac:dyDescent="0.25">
      <x:c r="A12" s="90" t="str">
        <x:v>7</x:v>
      </x:c>
      <x:c r="B12" s="191" t="str">
        <x:v>13314006</x:v>
      </x:c>
      <x:c r="C12" s="191" t="str">
        <x:v>Ricoh 4001</x:v>
      </x:c>
      <x:c r="D12" s="191" t="str">
        <x:v>B/W Copies</x:v>
      </x:c>
      <x:c r="E12" s="191" t="str">
        <x:v>V7914901685</x:v>
      </x:c>
      <x:c r="F12" s="191" t="str">
        <x:v>Active</x:v>
      </x:c>
      <x:c r="G12" s="191" t="str">
        <x:v>New Orleans Downtown Treatment Center</x:v>
      </x:c>
      <x:c r="H12" s="191" t="str">
        <x:v/>
      </x:c>
      <x:c r="I12" s="191" t="str">
        <x:v/>
      </x:c>
      <x:c r="J12" s="191" t="str">
        <x:v>1</x:v>
      </x:c>
      <x:c r="K12" s="191" t="str">
        <x:v/>
      </x:c>
      <x:c r="L12" s="191" t="str">
        <x:v/>
      </x:c>
      <x:c r="M12" s="191" t="str">
        <x:v>12/1/2018</x:v>
      </x:c>
      <x:c r="N12" s="189" t="n">
        <x:v>360227.00</x:v>
      </x:c>
      <x:c r="O12" s="191" t="str">
        <x:v>12/31/2018</x:v>
      </x:c>
      <x:c r="P12" s="189" t="n">
        <x:v>363784.00</x:v>
      </x:c>
      <x:c r="Q12" s="206" t="n">
        <x:v>0.0096</x:v>
      </x:c>
      <x:c r="R12" s="206" t="n">
        <x:v>0.0571</x:v>
      </x:c>
      <x:c r="S12" s="189" t="n">
        <x:v>2450.00</x:v>
      </x:c>
      <x:c r="T12" s="187" t="n">
        <x:f ca="1">=IF(AND(U12=0,S12&gt;0),-100%,IF(OR(S12=0,S12="-"),"-",IF(AND(S12=0,U12=0),0%,IF(S12&lt;U12,SUM(U12-S12)/S12,IF(S12&gt;U12,SUM(-1*(S12-U12)/S12),"")))))</x:f>
        <x:v/>
      </x:c>
      <x:c r="U12" s="189" t="n">
        <x:v>3557.00</x:v>
      </x:c>
      <x:c r="V12" s="189" t="n">
        <x:f ca="1">=SUM(U12/ ((O12- M12)/30.42))</x:f>
        <x:v/>
      </x:c>
      <x:c r="W12" s="195">
        <x:f ca="1">=IF(T12="","",IF(T12="-","",IF(U12=0,"",IF(OR(T12&gt;AA4,T12&lt;-AA4),"*",""))))</x:f>
        <x:v/>
      </x:c>
      <x:c r="X12" s="91" t="str">
        <x:v/>
      </x:c>
    </x:row>
    <x:row r="13" spans="1:25" s="12" x14ac:dyDescent="0.25">
      <x:c r="A13" s="96" t="str">
        <x:v>8</x:v>
      </x:c>
      <x:c r="B13" s="192" t="str">
        <x:v>20314949</x:v>
      </x:c>
      <x:c r="C13" s="192" t="str">
        <x:v>Ricoh MP 2851</x:v>
      </x:c>
      <x:c r="D13" s="192" t="str">
        <x:v>B/W Copies</x:v>
      </x:c>
      <x:c r="E13" s="192" t="str">
        <x:v>V8215101903</x:v>
      </x:c>
      <x:c r="F13" s="192" t="str">
        <x:v>Active</x:v>
      </x:c>
      <x:c r="G13" s="192" t="str">
        <x:v>Memphis South Treatment Center</x:v>
      </x:c>
      <x:c r="H13" s="192" t="str">
        <x:v/>
      </x:c>
      <x:c r="I13" s="192" t="str">
        <x:v/>
      </x:c>
      <x:c r="J13" s="192" t="str">
        <x:v/>
      </x:c>
      <x:c r="K13" s="192" t="str">
        <x:v/>
      </x:c>
      <x:c r="L13" s="192" t="str">
        <x:v/>
      </x:c>
      <x:c r="M13" s="192" t="str">
        <x:v>12/1/2018</x:v>
      </x:c>
      <x:c r="N13" s="183" t="n">
        <x:v>393735.00</x:v>
      </x:c>
      <x:c r="O13" s="192" t="str">
        <x:v>12/31/2018</x:v>
      </x:c>
      <x:c r="P13" s="183" t="n">
        <x:v>397150.00</x:v>
      </x:c>
      <x:c r="Q13" s="207" t="n">
        <x:v>0.0092</x:v>
      </x:c>
      <x:c r="R13" s="207" t="n">
        <x:v>0.0548</x:v>
      </x:c>
      <x:c r="S13" s="183" t="n">
        <x:v>2914.00</x:v>
      </x:c>
      <x:c r="T13" s="182" t="n">
        <x:f ca="1">=IF(AND(U13=0,S13&gt;0),-100%,IF(OR(S13=0,S13="-"),"-",IF(AND(S13=0,U13=0),0%,IF(S13&lt;U13,SUM(U13-S13)/S13,IF(S13&gt;U13,SUM(-1*(S13-U13)/S13),"")))))</x:f>
        <x:v/>
      </x:c>
      <x:c r="U13" s="183" t="n">
        <x:v>3415.00</x:v>
      </x:c>
      <x:c r="V13" s="183" t="n">
        <x:f ca="1">=SUM(U13/ ((O13- M13)/30.42))</x:f>
        <x:v/>
      </x:c>
      <x:c r="W13" s="196">
        <x:f ca="1">=IF(T13="","",IF(T13="-","",IF(U13=0,"",IF(OR(T13&gt;AA4,T13&lt;-AA4),"*",""))))</x:f>
        <x:v/>
      </x:c>
      <x:c r="X13" s="98" t="str">
        <x:v/>
      </x:c>
    </x:row>
    <x:row r="14" spans="1:25" s="12" x14ac:dyDescent="0.25">
      <x:c r="A14" s="90" t="str">
        <x:v>9</x:v>
      </x:c>
      <x:c r="B14" s="191" t="str">
        <x:v>20187228</x:v>
      </x:c>
      <x:c r="C14" s="191" t="str">
        <x:v>Ricoh MP 2851</x:v>
      </x:c>
      <x:c r="D14" s="191" t="str">
        <x:v>B/W Copies</x:v>
      </x:c>
      <x:c r="E14" s="191" t="str">
        <x:v>V8215102494</x:v>
      </x:c>
      <x:c r="F14" s="191" t="str">
        <x:v>Active</x:v>
      </x:c>
      <x:c r="G14" s="191" t="str">
        <x:v>Knoxville Citico Treatment Center</x:v>
      </x:c>
      <x:c r="H14" s="191" t="str">
        <x:v/>
      </x:c>
      <x:c r="I14" s="191" t="str">
        <x:v/>
      </x:c>
      <x:c r="J14" s="191" t="str">
        <x:v/>
      </x:c>
      <x:c r="K14" s="191" t="str">
        <x:v/>
      </x:c>
      <x:c r="L14" s="191" t="str">
        <x:v/>
      </x:c>
      <x:c r="M14" s="191" t="str">
        <x:v>12/1/2018</x:v>
      </x:c>
      <x:c r="N14" s="189" t="n">
        <x:v>573402.00</x:v>
      </x:c>
      <x:c r="O14" s="191" t="str">
        <x:v>12/31/2018</x:v>
      </x:c>
      <x:c r="P14" s="189" t="n">
        <x:v>576793.00</x:v>
      </x:c>
      <x:c r="Q14" s="206" t="n">
        <x:v>0.0091</x:v>
      </x:c>
      <x:c r="R14" s="206" t="n">
        <x:v>0.0544</x:v>
      </x:c>
      <x:c r="S14" s="189" t="n">
        <x:v>2550.00</x:v>
      </x:c>
      <x:c r="T14" s="187" t="n">
        <x:f ca="1">=IF(AND(U14=0,S14&gt;0),-100%,IF(OR(S14=0,S14="-"),"-",IF(AND(S14=0,U14=0),0%,IF(S14&lt;U14,SUM(U14-S14)/S14,IF(S14&gt;U14,SUM(-1*(S14-U14)/S14),"")))))</x:f>
        <x:v/>
      </x:c>
      <x:c r="U14" s="189" t="n">
        <x:v>3391.00</x:v>
      </x:c>
      <x:c r="V14" s="189" t="n">
        <x:f ca="1">=SUM(U14/ ((O14- M14)/30.42))</x:f>
        <x:v/>
      </x:c>
      <x:c r="W14" s="195">
        <x:f ca="1">=IF(T14="","",IF(T14="-","",IF(U14=0,"",IF(OR(T14&gt;AA4,T14&lt;-AA4),"*",""))))</x:f>
        <x:v/>
      </x:c>
      <x:c r="X14" s="91" t="str">
        <x:v/>
      </x:c>
    </x:row>
    <x:row r="15" spans="1:25" s="12" x14ac:dyDescent="0.25">
      <x:c r="A15" s="96" t="str">
        <x:v>10</x:v>
      </x:c>
      <x:c r="B15" s="192" t="str">
        <x:v>FPR60979</x:v>
      </x:c>
      <x:c r="C15" s="192" t="str">
        <x:v>Ricoh 4001</x:v>
      </x:c>
      <x:c r="D15" s="192" t="str">
        <x:v>B/W Copies</x:v>
      </x:c>
      <x:c r="E15" s="192" t="str">
        <x:v>V7915002033</x:v>
      </x:c>
      <x:c r="F15" s="192" t="str">
        <x:v>Active</x:v>
      </x:c>
      <x:c r="G15" s="192" t="str">
        <x:v>Knoxville Bernard Treatment Center</x:v>
      </x:c>
      <x:c r="H15" s="192" t="str">
        <x:v/>
      </x:c>
      <x:c r="I15" s="192" t="str">
        <x:v/>
      </x:c>
      <x:c r="J15" s="192" t="str">
        <x:v/>
      </x:c>
      <x:c r="K15" s="192" t="str">
        <x:v/>
      </x:c>
      <x:c r="L15" s="192" t="str">
        <x:v/>
      </x:c>
      <x:c r="M15" s="192" t="str">
        <x:v>12/1/2018</x:v>
      </x:c>
      <x:c r="N15" s="183" t="n">
        <x:v>854928.00</x:v>
      </x:c>
      <x:c r="O15" s="192" t="str">
        <x:v>12/31/2018</x:v>
      </x:c>
      <x:c r="P15" s="183" t="n">
        <x:v>857958.00</x:v>
      </x:c>
      <x:c r="Q15" s="207" t="n">
        <x:v>0.0082</x:v>
      </x:c>
      <x:c r="R15" s="207" t="n">
        <x:v>0.0486</x:v>
      </x:c>
      <x:c r="S15" s="183" t="n">
        <x:v>2107.00</x:v>
      </x:c>
      <x:c r="T15" s="182" t="n">
        <x:f ca="1">=IF(AND(U15=0,S15&gt;0),-100%,IF(OR(S15=0,S15="-"),"-",IF(AND(S15=0,U15=0),0%,IF(S15&lt;U15,SUM(U15-S15)/S15,IF(S15&gt;U15,SUM(-1*(S15-U15)/S15),"")))))</x:f>
        <x:v/>
      </x:c>
      <x:c r="U15" s="183" t="n">
        <x:v>3030.00</x:v>
      </x:c>
      <x:c r="V15" s="183" t="n">
        <x:f ca="1">=SUM(U15/ ((O15- M15)/30.42))</x:f>
        <x:v/>
      </x:c>
      <x:c r="W15" s="196">
        <x:f ca="1">=IF(T15="","",IF(T15="-","",IF(U15=0,"",IF(OR(T15&gt;AA4,T15&lt;-AA4),"*",""))))</x:f>
        <x:v/>
      </x:c>
      <x:c r="X15" s="98" t="str">
        <x:v/>
      </x:c>
    </x:row>
    <x:row r="16" spans="1:25" s="12" x14ac:dyDescent="0.25">
      <x:c r="A16" s="90" t="str">
        <x:v>11</x:v>
      </x:c>
      <x:c r="B16" s="191" t="str">
        <x:v>12672104</x:v>
      </x:c>
      <x:c r="C16" s="191" t="str">
        <x:v>Ricoh MP 2851</x:v>
      </x:c>
      <x:c r="D16" s="191" t="str">
        <x:v>B/W Copies</x:v>
      </x:c>
      <x:c r="E16" s="191" t="str">
        <x:v>V8215102857</x:v>
      </x:c>
      <x:c r="F16" s="191" t="str">
        <x:v>Active</x:v>
      </x:c>
      <x:c r="G16" s="191" t="str">
        <x:v>New Orleans Downtown Treatment Center</x:v>
      </x:c>
      <x:c r="H16" s="191" t="str">
        <x:v/>
      </x:c>
      <x:c r="I16" s="191" t="str">
        <x:v/>
      </x:c>
      <x:c r="J16" s="191" t="str">
        <x:v/>
      </x:c>
      <x:c r="K16" s="191" t="str">
        <x:v/>
      </x:c>
      <x:c r="L16" s="191" t="str">
        <x:v/>
      </x:c>
      <x:c r="M16" s="191" t="str">
        <x:v>12/1/2018</x:v>
      </x:c>
      <x:c r="N16" s="189" t="n">
        <x:v>481964.00</x:v>
      </x:c>
      <x:c r="O16" s="191" t="str">
        <x:v>12/31/2018</x:v>
      </x:c>
      <x:c r="P16" s="189" t="n">
        <x:v>484727.00</x:v>
      </x:c>
      <x:c r="Q16" s="206" t="n">
        <x:v>0.0074</x:v>
      </x:c>
      <x:c r="R16" s="206" t="n">
        <x:v>0.0444</x:v>
      </x:c>
      <x:c r="S16" s="189" t="n">
        <x:v>2106.00</x:v>
      </x:c>
      <x:c r="T16" s="187" t="n">
        <x:f ca="1">=IF(AND(U16=0,S16&gt;0),-100%,IF(OR(S16=0,S16="-"),"-",IF(AND(S16=0,U16=0),0%,IF(S16&lt;U16,SUM(U16-S16)/S16,IF(S16&gt;U16,SUM(-1*(S16-U16)/S16),"")))))</x:f>
        <x:v/>
      </x:c>
      <x:c r="U16" s="189" t="n">
        <x:v>2763.00</x:v>
      </x:c>
      <x:c r="V16" s="189" t="n">
        <x:f ca="1">=SUM(U16/ ((O16- M16)/30.42))</x:f>
        <x:v/>
      </x:c>
      <x:c r="W16" s="195">
        <x:f ca="1">=IF(T16="","",IF(T16="-","",IF(U16=0,"",IF(OR(T16&gt;AA4,T16&lt;-AA4),"*",""))))</x:f>
        <x:v/>
      </x:c>
      <x:c r="X16" s="91" t="str">
        <x:v/>
      </x:c>
    </x:row>
    <x:row r="17" spans="1:25" s="12" x14ac:dyDescent="0.25">
      <x:c r="A17" s="96" t="str">
        <x:v>12</x:v>
      </x:c>
      <x:c r="B17" s="192" t="str">
        <x:v>20187230</x:v>
      </x:c>
      <x:c r="C17" s="192" t="str">
        <x:v>Ricoh MP 2851</x:v>
      </x:c>
      <x:c r="D17" s="192" t="str">
        <x:v>B/W Copies</x:v>
      </x:c>
      <x:c r="E17" s="192" t="str">
        <x:v>V8215101541</x:v>
      </x:c>
      <x:c r="F17" s="192" t="str">
        <x:v>Active</x:v>
      </x:c>
      <x:c r="G17" s="192" t="str">
        <x:v>Knoxville Citico Treatment Center</x:v>
      </x:c>
      <x:c r="H17" s="192" t="str">
        <x:v/>
      </x:c>
      <x:c r="I17" s="192" t="str">
        <x:v/>
      </x:c>
      <x:c r="J17" s="192" t="str">
        <x:v/>
      </x:c>
      <x:c r="K17" s="192" t="str">
        <x:v/>
      </x:c>
      <x:c r="L17" s="192" t="str">
        <x:v/>
      </x:c>
      <x:c r="M17" s="192" t="str">
        <x:v>12/1/2018</x:v>
      </x:c>
      <x:c r="N17" s="183" t="n">
        <x:v>546160.00</x:v>
      </x:c>
      <x:c r="O17" s="192" t="str">
        <x:v>12/31/2018</x:v>
      </x:c>
      <x:c r="P17" s="183" t="n">
        <x:v>548906.00</x:v>
      </x:c>
      <x:c r="Q17" s="207" t="n">
        <x:v>0.0074</x:v>
      </x:c>
      <x:c r="R17" s="207" t="n">
        <x:v>0.0441</x:v>
      </x:c>
      <x:c r="S17" s="183" t="n">
        <x:v>2836.00</x:v>
      </x:c>
      <x:c r="T17" s="182" t="n">
        <x:f ca="1">=IF(AND(U17=0,S17&gt;0),-100%,IF(OR(S17=0,S17="-"),"-",IF(AND(S17=0,U17=0),0%,IF(S17&lt;U17,SUM(U17-S17)/S17,IF(S17&gt;U17,SUM(-1*(S17-U17)/S17),"")))))</x:f>
        <x:v/>
      </x:c>
      <x:c r="U17" s="183" t="n">
        <x:v>2746.00</x:v>
      </x:c>
      <x:c r="V17" s="183" t="n">
        <x:f ca="1">=SUM(U17/ ((O17- M17)/30.42))</x:f>
        <x:v/>
      </x:c>
      <x:c r="W17" s="196">
        <x:f ca="1">=IF(T17="","",IF(T17="-","",IF(U17=0,"",IF(OR(T17&gt;AA4,T17&lt;-AA4),"*",""))))</x:f>
        <x:v/>
      </x:c>
      <x:c r="X17" s="98" t="str">
        <x:v/>
      </x:c>
    </x:row>
    <x:row r="18" spans="1:25" s="12" x14ac:dyDescent="0.25">
      <x:c r="A18" s="90" t="str">
        <x:v>13</x:v>
      </x:c>
      <x:c r="B18" s="191" t="str">
        <x:v>13079217</x:v>
      </x:c>
      <x:c r="C18" s="191" t="str">
        <x:v>Ricoh MP 2851</x:v>
      </x:c>
      <x:c r="D18" s="191" t="str">
        <x:v>B/W Copies</x:v>
      </x:c>
      <x:c r="E18" s="191" t="str">
        <x:v>V8215102184</x:v>
      </x:c>
      <x:c r="F18" s="191" t="str">
        <x:v>Active</x:v>
      </x:c>
      <x:c r="G18" s="191" t="str">
        <x:v>Lake Charles Treatment Center</x:v>
      </x:c>
      <x:c r="H18" s="191" t="str">
        <x:v/>
      </x:c>
      <x:c r="I18" s="191" t="str">
        <x:v/>
      </x:c>
      <x:c r="J18" s="191" t="str">
        <x:v>8</x:v>
      </x:c>
      <x:c r="K18" s="191" t="str">
        <x:v/>
      </x:c>
      <x:c r="L18" s="191" t="str">
        <x:v/>
      </x:c>
      <x:c r="M18" s="191" t="str">
        <x:v>12/1/2018</x:v>
      </x:c>
      <x:c r="N18" s="189" t="n">
        <x:v>276829.00</x:v>
      </x:c>
      <x:c r="O18" s="191" t="str">
        <x:v>12/31/2018</x:v>
      </x:c>
      <x:c r="P18" s="189" t="n">
        <x:v>278930.00</x:v>
      </x:c>
      <x:c r="Q18" s="206" t="n">
        <x:v>0.0057</x:v>
      </x:c>
      <x:c r="R18" s="206" t="n">
        <x:v>0.0337</x:v>
      </x:c>
      <x:c r="S18" s="189" t="n">
        <x:v>1739.00</x:v>
      </x:c>
      <x:c r="T18" s="187" t="n">
        <x:f ca="1">=IF(AND(U18=0,S18&gt;0),-100%,IF(OR(S18=0,S18="-"),"-",IF(AND(S18=0,U18=0),0%,IF(S18&lt;U18,SUM(U18-S18)/S18,IF(S18&gt;U18,SUM(-1*(S18-U18)/S18),"")))))</x:f>
        <x:v/>
      </x:c>
      <x:c r="U18" s="189" t="n">
        <x:v>2101.00</x:v>
      </x:c>
      <x:c r="V18" s="189" t="n">
        <x:f ca="1">=SUM(U18/ ((O18- M18)/30.42))</x:f>
        <x:v/>
      </x:c>
      <x:c r="W18" s="195">
        <x:f ca="1">=IF(T18="","",IF(T18="-","",IF(U18=0,"",IF(OR(T18&gt;AA4,T18&lt;-AA4),"*",""))))</x:f>
        <x:v/>
      </x:c>
      <x:c r="X18" s="91" t="str">
        <x:v/>
      </x:c>
    </x:row>
    <x:row r="19" spans="1:25" s="12" x14ac:dyDescent="0.25">
      <x:c r="A19" s="96" t="str">
        <x:v>14</x:v>
      </x:c>
      <x:c r="B19" s="192" t="str">
        <x:v>12883780</x:v>
      </x:c>
      <x:c r="C19" s="192" t="str">
        <x:v>Ricoh MP2852SP</x:v>
      </x:c>
      <x:c r="D19" s="192" t="str">
        <x:v>B/W Copies</x:v>
      </x:c>
      <x:c r="E19" s="192" t="str">
        <x:v>W423L101448</x:v>
      </x:c>
      <x:c r="F19" s="192" t="str">
        <x:v>Active</x:v>
      </x:c>
      <x:c r="G19" s="192" t="str">
        <x:v>Hazard Treatment Center</x:v>
      </x:c>
      <x:c r="H19" s="192" t="str">
        <x:v/>
      </x:c>
      <x:c r="I19" s="192" t="str">
        <x:v/>
      </x:c>
      <x:c r="J19" s="192" t="str">
        <x:v/>
      </x:c>
      <x:c r="K19" s="192" t="str">
        <x:v/>
      </x:c>
      <x:c r="L19" s="192" t="str">
        <x:v/>
      </x:c>
      <x:c r="M19" s="192" t="str">
        <x:v>12/1/2018</x:v>
      </x:c>
      <x:c r="N19" s="183" t="n">
        <x:v>198121.00</x:v>
      </x:c>
      <x:c r="O19" s="192" t="str">
        <x:v>12/31/2018</x:v>
      </x:c>
      <x:c r="P19" s="183" t="n">
        <x:v>199920.00</x:v>
      </x:c>
      <x:c r="Q19" s="207" t="n">
        <x:v>0.0048</x:v>
      </x:c>
      <x:c r="R19" s="207" t="n">
        <x:v>0.0289</x:v>
      </x:c>
      <x:c r="S19" s="183" t="n">
        <x:v>1983.00</x:v>
      </x:c>
      <x:c r="T19" s="182" t="n">
        <x:f ca="1">=IF(AND(U19=0,S19&gt;0),-100%,IF(OR(S19=0,S19="-"),"-",IF(AND(S19=0,U19=0),0%,IF(S19&lt;U19,SUM(U19-S19)/S19,IF(S19&gt;U19,SUM(-1*(S19-U19)/S19),"")))))</x:f>
        <x:v/>
      </x:c>
      <x:c r="U19" s="183" t="n">
        <x:v>1799.00</x:v>
      </x:c>
      <x:c r="V19" s="183" t="n">
        <x:f ca="1">=SUM(U19/ ((O19- M19)/30.42))</x:f>
        <x:v/>
      </x:c>
      <x:c r="W19" s="196">
        <x:f ca="1">=IF(T19="","",IF(T19="-","",IF(U19=0,"",IF(OR(T19&gt;AA4,T19&lt;-AA4),"*",""))))</x:f>
        <x:v/>
      </x:c>
      <x:c r="X19" s="98" t="str">
        <x:v/>
      </x:c>
    </x:row>
    <x:row r="20" spans="1:25" s="12" x14ac:dyDescent="0.25">
      <x:c r="A20" s="90" t="str">
        <x:v>15</x:v>
      </x:c>
      <x:c r="B20" s="191" t="str">
        <x:v>13795592</x:v>
      </x:c>
      <x:c r="C20" s="191" t="str">
        <x:v>Ricoh MP3054</x:v>
      </x:c>
      <x:c r="D20" s="191" t="str">
        <x:v>B/W Copies</x:v>
      </x:c>
      <x:c r="E20" s="191" t="str">
        <x:v>G156R430448</x:v>
      </x:c>
      <x:c r="F20" s="191" t="str">
        <x:v>Active</x:v>
      </x:c>
      <x:c r="G20" s="191" t="str">
        <x:v>Westminster Treament Center</x:v>
      </x:c>
      <x:c r="H20" s="191" t="str">
        <x:v/>
      </x:c>
      <x:c r="I20" s="191" t="str">
        <x:v/>
      </x:c>
      <x:c r="J20" s="191" t="str">
        <x:v>7</x:v>
      </x:c>
      <x:c r="K20" s="191" t="str">
        <x:v/>
      </x:c>
      <x:c r="L20" s="191" t="str">
        <x:v/>
      </x:c>
      <x:c r="M20" s="191" t="str">
        <x:v>12/1/2018</x:v>
      </x:c>
      <x:c r="N20" s="189" t="n">
        <x:v>84950.00</x:v>
      </x:c>
      <x:c r="O20" s="191" t="str">
        <x:v>12/31/2018</x:v>
      </x:c>
      <x:c r="P20" s="189" t="n">
        <x:v>86636.00</x:v>
      </x:c>
      <x:c r="Q20" s="206" t="n">
        <x:v>0.0045</x:v>
      </x:c>
      <x:c r="R20" s="206" t="n">
        <x:v>0.0271</x:v>
      </x:c>
      <x:c r="S20" s="189" t="n">
        <x:v>2807.00</x:v>
      </x:c>
      <x:c r="T20" s="187" t="n">
        <x:f ca="1">=IF(AND(U20=0,S20&gt;0),-100%,IF(OR(S20=0,S20="-"),"-",IF(AND(S20=0,U20=0),0%,IF(S20&lt;U20,SUM(U20-S20)/S20,IF(S20&gt;U20,SUM(-1*(S20-U20)/S20),"")))))</x:f>
        <x:v/>
      </x:c>
      <x:c r="U20" s="189" t="n">
        <x:v>1686.00</x:v>
      </x:c>
      <x:c r="V20" s="189" t="n">
        <x:f ca="1">=SUM(U20/ ((O20- M20)/30.42))</x:f>
        <x:v/>
      </x:c>
      <x:c r="W20" s="195">
        <x:f ca="1">=IF(T20="","",IF(T20="-","",IF(U20=0,"",IF(OR(T20&gt;AA4,T20&lt;-AA4),"*",""))))</x:f>
        <x:v/>
      </x:c>
      <x:c r="X20" s="91" t="str">
        <x:v/>
      </x:c>
    </x:row>
    <x:row r="21" spans="1:25" s="12" x14ac:dyDescent="0.25">
      <x:c r="A21" s="96" t="str">
        <x:v>16</x:v>
      </x:c>
      <x:c r="B21" s="192" t="str">
        <x:v>12884031</x:v>
      </x:c>
      <x:c r="C21" s="192" t="str">
        <x:v>Ricoh MP2852SP</x:v>
      </x:c>
      <x:c r="D21" s="192" t="str">
        <x:v>B/W Copies</x:v>
      </x:c>
      <x:c r="E21" s="192" t="str">
        <x:v>W422LC00471</x:v>
      </x:c>
      <x:c r="F21" s="192" t="str">
        <x:v>Active</x:v>
      </x:c>
      <x:c r="G21" s="192" t="str">
        <x:v>Pikeville Treatment Center</x:v>
      </x:c>
      <x:c r="H21" s="192" t="str">
        <x:v/>
      </x:c>
      <x:c r="I21" s="192" t="str">
        <x:v/>
      </x:c>
      <x:c r="J21" s="192" t="str">
        <x:v>1</x:v>
      </x:c>
      <x:c r="K21" s="192" t="str">
        <x:v/>
      </x:c>
      <x:c r="L21" s="192" t="str">
        <x:v/>
      </x:c>
      <x:c r="M21" s="192" t="str">
        <x:v>12/1/2018</x:v>
      </x:c>
      <x:c r="N21" s="183" t="n">
        <x:v>36053.00</x:v>
      </x:c>
      <x:c r="O21" s="192" t="str">
        <x:v>12/31/2018</x:v>
      </x:c>
      <x:c r="P21" s="183" t="n">
        <x:v>37322.00</x:v>
      </x:c>
      <x:c r="Q21" s="207" t="n">
        <x:v>0.0034</x:v>
      </x:c>
      <x:c r="R21" s="207" t="n">
        <x:v>0.0204</x:v>
      </x:c>
      <x:c r="S21" s="183" t="n">
        <x:v>1241.00</x:v>
      </x:c>
      <x:c r="T21" s="182" t="n">
        <x:f ca="1">=IF(AND(U21=0,S21&gt;0),-100%,IF(OR(S21=0,S21="-"),"-",IF(AND(S21=0,U21=0),0%,IF(S21&lt;U21,SUM(U21-S21)/S21,IF(S21&gt;U21,SUM(-1*(S21-U21)/S21),"")))))</x:f>
        <x:v/>
      </x:c>
      <x:c r="U21" s="183" t="n">
        <x:v>1269.00</x:v>
      </x:c>
      <x:c r="V21" s="183" t="n">
        <x:f ca="1">=SUM(U21/ ((O21- M21)/30.42))</x:f>
        <x:v/>
      </x:c>
      <x:c r="W21" s="196">
        <x:f ca="1">=IF(T21="","",IF(T21="-","",IF(U21=0,"",IF(OR(T21&gt;AA4,T21&lt;-AA4),"*",""))))</x:f>
        <x:v/>
      </x:c>
      <x:c r="X21" s="98" t="str">
        <x:v/>
      </x:c>
    </x:row>
    <x:row r="22" spans="1:25" s="12" x14ac:dyDescent="0.25">
      <x:c r="A22" s="90" t="str">
        <x:v>17</x:v>
      </x:c>
      <x:c r="B22" s="191" t="str">
        <x:v>13492573</x:v>
      </x:c>
      <x:c r="C22" s="191" t="str">
        <x:v>Ricoh MP 2851</x:v>
      </x:c>
      <x:c r="D22" s="191" t="str">
        <x:v>B/W Copies</x:v>
      </x:c>
      <x:c r="E22" s="191" t="str">
        <x:v>V8215102189</x:v>
      </x:c>
      <x:c r="F22" s="191" t="str">
        <x:v>Active</x:v>
      </x:c>
      <x:c r="G22" s="191" t="str">
        <x:v>Lexington Treatment Center</x:v>
      </x:c>
      <x:c r="H22" s="191" t="str">
        <x:v/>
      </x:c>
      <x:c r="I22" s="191" t="str">
        <x:v/>
      </x:c>
      <x:c r="J22" s="191" t="str">
        <x:v/>
      </x:c>
      <x:c r="K22" s="191" t="str">
        <x:v/>
      </x:c>
      <x:c r="L22" s="191" t="str">
        <x:v/>
      </x:c>
      <x:c r="M22" s="191" t="str">
        <x:v>12/1/2018</x:v>
      </x:c>
      <x:c r="N22" s="189" t="n">
        <x:v>164571.00</x:v>
      </x:c>
      <x:c r="O22" s="191" t="str">
        <x:v>12/31/2018</x:v>
      </x:c>
      <x:c r="P22" s="189" t="n">
        <x:v>165638.00</x:v>
      </x:c>
      <x:c r="Q22" s="206" t="n">
        <x:v>0.0029</x:v>
      </x:c>
      <x:c r="R22" s="206" t="n">
        <x:v>0.0171</x:v>
      </x:c>
      <x:c r="S22" s="189" t="n">
        <x:v>1216.00</x:v>
      </x:c>
      <x:c r="T22" s="187" t="n">
        <x:f ca="1">=IF(AND(U22=0,S22&gt;0),-100%,IF(OR(S22=0,S22="-"),"-",IF(AND(S22=0,U22=0),0%,IF(S22&lt;U22,SUM(U22-S22)/S22,IF(S22&gt;U22,SUM(-1*(S22-U22)/S22),"")))))</x:f>
        <x:v/>
      </x:c>
      <x:c r="U22" s="189" t="n">
        <x:v>1067.00</x:v>
      </x:c>
      <x:c r="V22" s="189" t="n">
        <x:f ca="1">=SUM(U22/ ((O22- M22)/30.42))</x:f>
        <x:v/>
      </x:c>
      <x:c r="W22" s="195">
        <x:f ca="1">=IF(T22="","",IF(T22="-","",IF(U22=0,"",IF(OR(T22&gt;AA4,T22&lt;-AA4),"*",""))))</x:f>
        <x:v/>
      </x:c>
      <x:c r="X22" s="91" t="str">
        <x:v/>
      </x:c>
    </x:row>
    <x:row r="23" spans="1:25" s="12" x14ac:dyDescent="0.25">
      <x:c r="A23" s="96" t="str">
        <x:v>18</x:v>
      </x:c>
      <x:c r="B23" s="192" t="str">
        <x:v>12864335</x:v>
      </x:c>
      <x:c r="C23" s="192" t="str">
        <x:v>Ricoh MP2852SP</x:v>
      </x:c>
      <x:c r="D23" s="192" t="str">
        <x:v>B/W Copies</x:v>
      </x:c>
      <x:c r="E23" s="192" t="str">
        <x:v>W423L101450</x:v>
      </x:c>
      <x:c r="F23" s="192" t="str">
        <x:v>Active</x:v>
      </x:c>
      <x:c r="G23" s="192" t="str">
        <x:v>Paintsville Treatment Center</x:v>
      </x:c>
      <x:c r="H23" s="192" t="str">
        <x:v/>
      </x:c>
      <x:c r="I23" s="192" t="str">
        <x:v/>
      </x:c>
      <x:c r="J23" s="192" t="str">
        <x:v/>
      </x:c>
      <x:c r="K23" s="192" t="str">
        <x:v/>
      </x:c>
      <x:c r="L23" s="192" t="str">
        <x:v/>
      </x:c>
      <x:c r="M23" s="192" t="str">
        <x:v>12/1/2018</x:v>
      </x:c>
      <x:c r="N23" s="183" t="n">
        <x:v>84298.00</x:v>
      </x:c>
      <x:c r="O23" s="192" t="str">
        <x:v>12/31/2018</x:v>
      </x:c>
      <x:c r="P23" s="183" t="n">
        <x:v>85340.00</x:v>
      </x:c>
      <x:c r="Q23" s="207" t="n">
        <x:v>0.0028</x:v>
      </x:c>
      <x:c r="R23" s="207" t="n">
        <x:v>0.0167</x:v>
      </x:c>
      <x:c r="S23" s="183" t="n">
        <x:v>915.00</x:v>
      </x:c>
      <x:c r="T23" s="182" t="n">
        <x:f ca="1">=IF(AND(U23=0,S23&gt;0),-100%,IF(OR(S23=0,S23="-"),"-",IF(AND(S23=0,U23=0),0%,IF(S23&lt;U23,SUM(U23-S23)/S23,IF(S23&gt;U23,SUM(-1*(S23-U23)/S23),"")))))</x:f>
        <x:v/>
      </x:c>
      <x:c r="U23" s="183" t="n">
        <x:v>1042.00</x:v>
      </x:c>
      <x:c r="V23" s="183" t="n">
        <x:f ca="1">=SUM(U23/ ((O23- M23)/30.42))</x:f>
        <x:v/>
      </x:c>
      <x:c r="W23" s="196">
        <x:f ca="1">=IF(T23="","",IF(T23="-","",IF(U23=0,"",IF(OR(T23&gt;AA4,T23&lt;-AA4),"*",""))))</x:f>
        <x:v/>
      </x:c>
      <x:c r="X23" s="98" t="str">
        <x:v/>
      </x:c>
    </x:row>
    <x:row r="24" spans="1:25" s="12" x14ac:dyDescent="0.25">
      <x:c r="A24" s="90" t="str">
        <x:v>19</x:v>
      </x:c>
      <x:c r="B24" s="191" t="str">
        <x:v>13795590</x:v>
      </x:c>
      <x:c r="C24" s="191" t="str">
        <x:v>Ricoh MP3054</x:v>
      </x:c>
      <x:c r="D24" s="191" t="str">
        <x:v>B/W Copies</x:v>
      </x:c>
      <x:c r="E24" s="191" t="str">
        <x:v>G156R330170</x:v>
      </x:c>
      <x:c r="F24" s="191" t="str">
        <x:v>Active</x:v>
      </x:c>
      <x:c r="G24" s="191" t="str">
        <x:v>Memphis Mid-Town Treatment Center</x:v>
      </x:c>
      <x:c r="H24" s="191" t="str">
        <x:v/>
      </x:c>
      <x:c r="I24" s="191" t="str">
        <x:v/>
      </x:c>
      <x:c r="J24" s="191" t="str">
        <x:v>1</x:v>
      </x:c>
      <x:c r="K24" s="191" t="str">
        <x:v/>
      </x:c>
      <x:c r="L24" s="191" t="str">
        <x:v/>
      </x:c>
      <x:c r="M24" s="191" t="str">
        <x:v>12/1/2018</x:v>
      </x:c>
      <x:c r="N24" s="189" t="n">
        <x:v>12288.00</x:v>
      </x:c>
      <x:c r="O24" s="191" t="str">
        <x:v>12/31/2018</x:v>
      </x:c>
      <x:c r="P24" s="189" t="n">
        <x:v>12354.00</x:v>
      </x:c>
      <x:c r="Q24" s="206" t="n">
        <x:v>0.0002</x:v>
      </x:c>
      <x:c r="R24" s="206" t="n">
        <x:v>0.0011</x:v>
      </x:c>
      <x:c r="S24" s="189" t="n">
        <x:v>16.00</x:v>
      </x:c>
      <x:c r="T24" s="187" t="n">
        <x:f ca="1">=IF(AND(U24=0,S24&gt;0),-100%,IF(OR(S24=0,S24="-"),"-",IF(AND(S24=0,U24=0),0%,IF(S24&lt;U24,SUM(U24-S24)/S24,IF(S24&gt;U24,SUM(-1*(S24-U24)/S24),"")))))</x:f>
        <x:v/>
      </x:c>
      <x:c r="U24" s="189" t="n">
        <x:v>66.00</x:v>
      </x:c>
      <x:c r="V24" s="189" t="n">
        <x:f ca="1">=SUM(U24/ ((O24- M24)/30.42))</x:f>
        <x:v/>
      </x:c>
      <x:c r="W24" s="195">
        <x:f ca="1">=IF(T24="","",IF(T24="-","",IF(U24=0,"",IF(OR(T24&gt;AA4,T24&lt;-AA4),"*",""))))</x:f>
        <x:v/>
      </x:c>
      <x:c r="X24" s="91" t="str">
        <x:v/>
      </x:c>
    </x:row>
    <x:row r="25" spans="1:25" s="12" x14ac:dyDescent="0.25">
      <x:c r="A25" s="96" t="str">
        <x:v>20</x:v>
      </x:c>
      <x:c r="B25" s="192" t="str">
        <x:v>W3018505533</x:v>
      </x:c>
      <x:c r="C25" s="192" t="str">
        <x:v>Ricoh MP201 SPF</x:v>
      </x:c>
      <x:c r="D25" s="192" t="str">
        <x:v>B/W Copies</x:v>
      </x:c>
      <x:c r="E25" s="192" t="str">
        <x:v>W3018505533</x:v>
      </x:c>
      <x:c r="F25" s="192" t="str">
        <x:v>Active</x:v>
      </x:c>
      <x:c r="G25" s="192" t="str">
        <x:v>Knoxville Bernard Treatment Center</x:v>
      </x:c>
      <x:c r="H25" s="192" t="str">
        <x:v/>
      </x:c>
      <x:c r="I25" s="192" t="str">
        <x:v/>
      </x:c>
      <x:c r="J25" s="192" t="str">
        <x:v/>
      </x:c>
      <x:c r="K25" s="192" t="str">
        <x:v/>
      </x:c>
      <x:c r="L25" s="192" t="str">
        <x:v/>
      </x:c>
      <x:c r="M25" s="192" t="str">
        <x:v>12/1/2018</x:v>
      </x:c>
      <x:c r="N25" s="183" t="n">
        <x:v>136571.00</x:v>
      </x:c>
      <x:c r="O25" s="192" t="str">
        <x:v>12/31/2018</x:v>
      </x:c>
      <x:c r="P25" s="183" t="n">
        <x:v>136609.00</x:v>
      </x:c>
      <x:c r="Q25" s="207" t="n">
        <x:v>0.0001</x:v>
      </x:c>
      <x:c r="R25" s="207" t="n">
        <x:v>0.0006</x:v>
      </x:c>
      <x:c r="S25" s="183" t="n">
        <x:v>65.00</x:v>
      </x:c>
      <x:c r="T25" s="182" t="n">
        <x:f ca="1">=IF(AND(U25=0,S25&gt;0),-100%,IF(OR(S25=0,S25="-"),"-",IF(AND(S25=0,U25=0),0%,IF(S25&lt;U25,SUM(U25-S25)/S25,IF(S25&gt;U25,SUM(-1*(S25-U25)/S25),"")))))</x:f>
        <x:v/>
      </x:c>
      <x:c r="U25" s="183" t="n">
        <x:v>38.00</x:v>
      </x:c>
      <x:c r="V25" s="183" t="n">
        <x:f ca="1">=SUM(U25/ ((O25- M25)/30.42))</x:f>
        <x:v/>
      </x:c>
      <x:c r="W25" s="196">
        <x:f ca="1">=IF(T25="","",IF(T25="-","",IF(U25=0,"",IF(OR(T25&gt;AA4,T25&lt;-AA4),"*",""))))</x:f>
        <x:v/>
      </x:c>
      <x:c r="X25" s="98" t="str">
        <x:v/>
      </x:c>
    </x:row>
    <x:row r="26" spans="1:10" ht="15.5" customHeight="1" x14ac:dyDescent="0.25">
      <x:c r="A26" s="174"/>
      <x:c r="B26" s="174"/>
      <x:c r="C26" s="174"/>
      <x:c r="D26" s="174"/>
      <x:c r="E26" s="174"/>
      <x:c r="F26" s="174"/>
      <x:c r="G26" s="174"/>
      <x:c r="H26" s="174"/>
      <x:c r="I26" s="174"/>
      <x:c r="J26" s="174"/>
      <x:c r="K26" s="174"/>
      <x:c r="L26" s="174"/>
      <x:c r="M26" s="174"/>
      <x:c r="N26" s="174"/>
      <x:c r="O26" s="174"/>
      <x:c r="P26" s="174"/>
      <x:c r="Q26" s="174"/>
      <x:c r="R26" s="174"/>
      <x:c r="S26" s="205" t="n">
        <x:f ca="1">SUM(S6:S25)</x:f>
      </x:c>
      <x:c r="T26" s="174"/>
      <x:c r="U26" s="205" t="n">
        <x:f ca="1">SUM(U6:U25)</x:f>
      </x:c>
      <x:c r="V26" s="205" t="n">
        <x:f ca="1">SUM(V6:V25)</x:f>
      </x:c>
      <x:c r="W26" s="174"/>
      <x:c r="X26" s="174"/>
    </x:row>
    <x:row r="27" spans="1:25" ht="38.5" customHeight="1" x14ac:dyDescent="0.25">
      <x:c r="A27" s="194">
        <x:v>B/W Laser Prints</x:v>
      </x:c>
    </x:row>
    <x:row r="28" spans="1:25" s="12" customFormat="1" ht="37.35" customHeight="1" x14ac:dyDescent="0.25">
      <x:c r="A28" s="47" t="str">
        <x:v>Line #</x:v>
      </x:c>
      <x:c r="B28" s="45" t="str">
        <x:v>Device ID</x:v>
      </x:c>
      <x:c r="C28" s="45" t="str">
        <x:v>Model </x:v>
      </x:c>
      <x:c r="D28" s="45" t="str">
        <x:v>Meter Type</x:v>
      </x:c>
      <x:c r="E28" s="45" t="str">
        <x:v>Serial Number</x:v>
      </x:c>
      <x:c r="F28" s="45" t="str">
        <x:v>Device Status</x:v>
      </x:c>
      <x:c r="G28" s="45" t="str">
        <x:v>Location</x:v>
      </x:c>
      <x:c r="H28" s="45" t="str">
        <x:v>Bldg</x:v>
      </x:c>
      <x:c r="I28" s="45" t="str">
        <x:v>Dept.</x:v>
      </x:c>
      <x:c r="J28" s="45" t="str">
        <x:v>Floor</x:v>
      </x:c>
      <x:c r="K28" s="45" t="str">
        <x:v>User</x:v>
      </x:c>
      <x:c r="L28" s="45" t="str">
        <x:v>Cost Center</x:v>
      </x:c>
      <x:c r="M28" s="45" t="str">
        <x:v>Start Date</x:v>
      </x:c>
      <x:c r="N28" s="45" t="str">
        <x:v>Start Meter</x:v>
      </x:c>
      <x:c r="O28" s="45" t="str">
        <x:v>End Date</x:v>
      </x:c>
      <x:c r="P28" s="45" t="str">
        <x:v>End Meter</x:v>
      </x:c>
      <x:c r="Q28" s="45" t="str">
        <x:v>% of Total Usage</x:v>
      </x:c>
      <x:c r="R28" s="45" t="str">
        <x:v>% Usage By Meter Group</x:v>
      </x:c>
      <x:c r="S28" s="45" t="str">
        <x:v>Volume Last Period</x:v>
      </x:c>
      <x:c r="T28" s="45" t="str">
        <x:v>% Change</x:v>
      </x:c>
      <x:c r="U28" s="45" t="str">
        <x:v>Volume Current Period</x:v>
      </x:c>
      <x:c r="V28" s="45" t="str">
        <x:v>Avg. Monthly Vol.</x:v>
      </x:c>
      <x:c r="W28" s="45"/>
      <x:c r="X28" s="46" t="str">
        <x:v>Comments</x:v>
      </x:c>
    </x:row>
    <x:row r="29" spans="1:25" s="12" x14ac:dyDescent="0.25">
      <x:c r="A29" s="90" t="str">
        <x:v>21</x:v>
      </x:c>
      <x:c r="B29" s="191" t="str">
        <x:v>20047265</x:v>
      </x:c>
      <x:c r="C29" s="191" t="str">
        <x:v>Ricoh SP 4210N</x:v>
      </x:c>
      <x:c r="D29" s="191" t="str">
        <x:v>B/W Laser Prints</x:v>
      </x:c>
      <x:c r="E29" s="191" t="str">
        <x:v>S5209502366</x:v>
      </x:c>
      <x:c r="F29" s="191" t="str">
        <x:v>Active</x:v>
      </x:c>
      <x:c r="G29" s="191" t="str">
        <x:v>Dallas Corporate Office</x:v>
      </x:c>
      <x:c r="H29" s="191" t="str">
        <x:v/>
      </x:c>
      <x:c r="I29" s="191" t="str">
        <x:v/>
      </x:c>
      <x:c r="J29" s="191" t="str">
        <x:v/>
      </x:c>
      <x:c r="K29" s="191" t="str">
        <x:v/>
      </x:c>
      <x:c r="L29" s="191" t="str">
        <x:v/>
      </x:c>
      <x:c r="M29" s="191" t="str">
        <x:v>12/1/2018</x:v>
      </x:c>
      <x:c r="N29" s="189" t="n">
        <x:v>78680.00</x:v>
      </x:c>
      <x:c r="O29" s="191" t="str">
        <x:v>12/31/2018</x:v>
      </x:c>
      <x:c r="P29" s="189" t="n">
        <x:v>82031.00</x:v>
      </x:c>
      <x:c r="Q29" s="206" t="n">
        <x:v>0.009</x:v>
      </x:c>
      <x:c r="R29" s="206" t="n">
        <x:v>0.065</x:v>
      </x:c>
      <x:c r="S29" s="189" t="n">
        <x:v>3088.00</x:v>
      </x:c>
      <x:c r="T29" s="187" t="n">
        <x:f ca="1">=IF(AND(U29=0,S29&gt;0),-100%,IF(OR(S29=0,S29="-"),"-",IF(AND(S29=0,U29=0),0%,IF(S29&lt;U29,SUM(U29-S29)/S29,IF(S29&gt;U29,SUM(-1*(S29-U29)/S29),"")))))</x:f>
        <x:v/>
      </x:c>
      <x:c r="U29" s="189" t="n">
        <x:v>3351.00</x:v>
      </x:c>
      <x:c r="V29" s="189" t="n">
        <x:f ca="1">=SUM(U29/ ((O29- M29)/30.42))</x:f>
        <x:v/>
      </x:c>
      <x:c r="W29" s="195">
        <x:f ca="1">=IF(T29="","",IF(T29="-","",IF(U29=0,"",IF(OR(T29&gt; AA4 ,T29&lt;-AA4),"*",""))))</x:f>
        <x:v/>
      </x:c>
      <x:c r="X29" s="91" t="str">
        <x:v/>
      </x:c>
    </x:row>
    <x:row r="30" spans="1:25" s="12" x14ac:dyDescent="0.25">
      <x:c r="A30" s="90" t="str">
        <x:v>22</x:v>
      </x:c>
      <x:c r="B30" s="191" t="str">
        <x:v>14075133</x:v>
      </x:c>
      <x:c r="C30" s="191" t="str">
        <x:v>Ricoh MP 501spf</x:v>
      </x:c>
      <x:c r="D30" s="191" t="str">
        <x:v>B/W Laser Prints</x:v>
      </x:c>
      <x:c r="E30" s="191" t="str">
        <x:v>G987X844204</x:v>
      </x:c>
      <x:c r="F30" s="191" t="str">
        <x:v>Active</x:v>
      </x:c>
      <x:c r="G30" s="191" t="str">
        <x:v>Asheville</x:v>
      </x:c>
      <x:c r="H30" s="191" t="str">
        <x:v/>
      </x:c>
      <x:c r="I30" s="191" t="str">
        <x:v/>
      </x:c>
      <x:c r="J30" s="191" t="str">
        <x:v/>
      </x:c>
      <x:c r="K30" s="191" t="str">
        <x:v>Rhonda Ingle</x:v>
      </x:c>
      <x:c r="L30" s="191" t="str">
        <x:v/>
      </x:c>
      <x:c r="M30" s="191" t="str">
        <x:v>12/1/2018</x:v>
      </x:c>
      <x:c r="N30" s="189" t="n">
        <x:v>40176.00</x:v>
      </x:c>
      <x:c r="O30" s="191" t="str">
        <x:v>12/31/2018</x:v>
      </x:c>
      <x:c r="P30" s="189" t="n">
        <x:v>42991.00</x:v>
      </x:c>
      <x:c r="Q30" s="206" t="n">
        <x:v>0.0076</x:v>
      </x:c>
      <x:c r="R30" s="206" t="n">
        <x:v>0.0546</x:v>
      </x:c>
      <x:c r="S30" s="189" t="n">
        <x:v>3536.00</x:v>
      </x:c>
      <x:c r="T30" s="187" t="n">
        <x:f ca="1">=IF(AND(U30=0,S30&gt;0),-100%,IF(OR(S30=0,S30="-"),"-",IF(AND(S30=0,U30=0),0%,IF(S30&lt;U30,SUM(U30-S30)/S30,IF(S30&gt;U30,SUM(-1*(S30-U30)/S30),"")))))</x:f>
        <x:v/>
      </x:c>
      <x:c r="U30" s="189" t="n">
        <x:v>2815.00</x:v>
      </x:c>
      <x:c r="V30" s="189" t="n">
        <x:f ca="1">=SUM(U30/ ((O30- M30)/30.42))</x:f>
        <x:v/>
      </x:c>
      <x:c r="W30" s="195">
        <x:f ca="1">=IF(T30="","",IF(T30="-","",IF(U30=0,"",IF(OR(T30&gt;AA4,T30&lt;-AA4),"*",""))))</x:f>
        <x:v/>
      </x:c>
      <x:c r="X30" s="91" t="str">
        <x:v/>
      </x:c>
    </x:row>
    <x:row r="31" spans="1:25" s="12" x14ac:dyDescent="0.25">
      <x:c r="A31" s="96" t="str">
        <x:v>23</x:v>
      </x:c>
      <x:c r="B31" s="192" t="str">
        <x:v>FPR59961</x:v>
      </x:c>
      <x:c r="C31" s="192" t="str">
        <x:v>Ricoh SP 4510DN</x:v>
      </x:c>
      <x:c r="D31" s="192" t="str">
        <x:v>B/W Laser Prints</x:v>
      </x:c>
      <x:c r="E31" s="192" t="str">
        <x:v>T577H202256</x:v>
      </x:c>
      <x:c r="F31" s="192" t="str">
        <x:v>Active</x:v>
      </x:c>
      <x:c r="G31" s="192" t="str">
        <x:v>Tifton Treatment Center</x:v>
      </x:c>
      <x:c r="H31" s="192" t="str">
        <x:v/>
      </x:c>
      <x:c r="I31" s="192" t="str">
        <x:v/>
      </x:c>
      <x:c r="J31" s="192" t="str">
        <x:v/>
      </x:c>
      <x:c r="K31" s="192" t="str">
        <x:v>Travis Hall</x:v>
      </x:c>
      <x:c r="L31" s="192" t="str">
        <x:v/>
      </x:c>
      <x:c r="M31" s="192" t="str">
        <x:v>12/1/2018</x:v>
      </x:c>
      <x:c r="N31" s="183" t="n">
        <x:v>39412.00</x:v>
      </x:c>
      <x:c r="O31" s="192" t="str">
        <x:v>12/31/2018</x:v>
      </x:c>
      <x:c r="P31" s="183" t="n">
        <x:v>41584.00</x:v>
      </x:c>
      <x:c r="Q31" s="207" t="n">
        <x:v>0.0058</x:v>
      </x:c>
      <x:c r="R31" s="207" t="n">
        <x:v>0.0422</x:v>
      </x:c>
      <x:c r="S31" s="183" t="n">
        <x:v>1528.00</x:v>
      </x:c>
      <x:c r="T31" s="182" t="n">
        <x:f ca="1">=IF(AND(U31=0,S31&gt;0),-100%,IF(OR(S31=0,S31="-"),"-",IF(AND(S31=0,U31=0),0%,IF(S31&lt;U31,SUM(U31-S31)/S31,IF(S31&gt;U31,SUM(-1*(S31-U31)/S31),"")))))</x:f>
        <x:v/>
      </x:c>
      <x:c r="U31" s="183" t="n">
        <x:v>2172.00</x:v>
      </x:c>
      <x:c r="V31" s="183" t="n">
        <x:f ca="1">=SUM(U31/ ((O31- M31)/30.42))</x:f>
        <x:v/>
      </x:c>
      <x:c r="W31" s="196">
        <x:f ca="1">=IF(T31="","",IF(T31="-","",IF(U31=0,"",IF(OR(T31&gt;AA4,T31&lt;-AA4),"*",""))))</x:f>
        <x:v/>
      </x:c>
      <x:c r="X31" s="98" t="str">
        <x:v/>
      </x:c>
    </x:row>
    <x:row r="32" spans="1:25" s="12" x14ac:dyDescent="0.25">
      <x:c r="A32" s="90" t="str">
        <x:v>24</x:v>
      </x:c>
      <x:c r="B32" s="191" t="str">
        <x:v>FPR58281</x:v>
      </x:c>
      <x:c r="C32" s="191" t="str">
        <x:v>Ricoh SP 4510DN</x:v>
      </x:c>
      <x:c r="D32" s="191" t="str">
        <x:v>B/W Laser Prints</x:v>
      </x:c>
      <x:c r="E32" s="191" t="str">
        <x:v>T578H102411</x:v>
      </x:c>
      <x:c r="F32" s="191" t="str">
        <x:v>Active</x:v>
      </x:c>
      <x:c r="G32" s="191" t="str">
        <x:v>Sheffield Treatment Center</x:v>
      </x:c>
      <x:c r="H32" s="191" t="str">
        <x:v/>
      </x:c>
      <x:c r="I32" s="191" t="str">
        <x:v/>
      </x:c>
      <x:c r="J32" s="191" t="str">
        <x:v/>
      </x:c>
      <x:c r="K32" s="191" t="str">
        <x:v/>
      </x:c>
      <x:c r="L32" s="191" t="str">
        <x:v/>
      </x:c>
      <x:c r="M32" s="191" t="str">
        <x:v>12/1/2018</x:v>
      </x:c>
      <x:c r="N32" s="189" t="n">
        <x:v>9581.00</x:v>
      </x:c>
      <x:c r="O32" s="191" t="str">
        <x:v>12/31/2018</x:v>
      </x:c>
      <x:c r="P32" s="189" t="n">
        <x:v>11617.00</x:v>
      </x:c>
      <x:c r="Q32" s="206" t="n">
        <x:v>0.0055</x:v>
      </x:c>
      <x:c r="R32" s="206" t="n">
        <x:v>0.0395</x:v>
      </x:c>
      <x:c r="S32" s="189" t="n">
        <x:v>1202.00</x:v>
      </x:c>
      <x:c r="T32" s="187" t="n">
        <x:f ca="1">=IF(AND(U32=0,S32&gt;0),-100%,IF(OR(S32=0,S32="-"),"-",IF(AND(S32=0,U32=0),0%,IF(S32&lt;U32,SUM(U32-S32)/S32,IF(S32&gt;U32,SUM(-1*(S32-U32)/S32),"")))))</x:f>
        <x:v/>
      </x:c>
      <x:c r="U32" s="189" t="n">
        <x:v>2036.00</x:v>
      </x:c>
      <x:c r="V32" s="189" t="n">
        <x:f ca="1">=SUM(U32/ ((O32- M32)/30.42))</x:f>
        <x:v/>
      </x:c>
      <x:c r="W32" s="195">
        <x:f ca="1">=IF(T32="","",IF(T32="-","",IF(U32=0,"",IF(OR(T32&gt;AA4,T32&lt;-AA4),"*",""))))</x:f>
        <x:v/>
      </x:c>
      <x:c r="X32" s="91" t="str">
        <x:v/>
      </x:c>
    </x:row>
    <x:row r="33" spans="1:25" s="12" x14ac:dyDescent="0.25">
      <x:c r="A33" s="96" t="str">
        <x:v>25</x:v>
      </x:c>
      <x:c r="B33" s="192" t="str">
        <x:v>13107327</x:v>
      </x:c>
      <x:c r="C33" s="192" t="str">
        <x:v>Ricoh SP 4310</x:v>
      </x:c>
      <x:c r="D33" s="192" t="str">
        <x:v>B/W Laser Prints</x:v>
      </x:c>
      <x:c r="E33" s="192" t="str">
        <x:v>T1139210132</x:v>
      </x:c>
      <x:c r="F33" s="192" t="str">
        <x:v>Active</x:v>
      </x:c>
      <x:c r="G33" s="192" t="str">
        <x:v>Dyersburg Treatment Center</x:v>
      </x:c>
      <x:c r="H33" s="192" t="str">
        <x:v/>
      </x:c>
      <x:c r="I33" s="192" t="str">
        <x:v/>
      </x:c>
      <x:c r="J33" s="192" t="str">
        <x:v/>
      </x:c>
      <x:c r="K33" s="192" t="str">
        <x:v/>
      </x:c>
      <x:c r="L33" s="192" t="str">
        <x:v/>
      </x:c>
      <x:c r="M33" s="192" t="str">
        <x:v>12/1/2018</x:v>
      </x:c>
      <x:c r="N33" s="183" t="n">
        <x:v>38337.00</x:v>
      </x:c>
      <x:c r="O33" s="192" t="str">
        <x:v>12/31/2018</x:v>
      </x:c>
      <x:c r="P33" s="183" t="n">
        <x:v>40186.00</x:v>
      </x:c>
      <x:c r="Q33" s="207" t="n">
        <x:v>0.005</x:v>
      </x:c>
      <x:c r="R33" s="207" t="n">
        <x:v>0.0359</x:v>
      </x:c>
      <x:c r="S33" s="183" t="n">
        <x:v>1780.00</x:v>
      </x:c>
      <x:c r="T33" s="182" t="n">
        <x:f ca="1">=IF(AND(U33=0,S33&gt;0),-100%,IF(OR(S33=0,S33="-"),"-",IF(AND(S33=0,U33=0),0%,IF(S33&lt;U33,SUM(U33-S33)/S33,IF(S33&gt;U33,SUM(-1*(S33-U33)/S33),"")))))</x:f>
        <x:v/>
      </x:c>
      <x:c r="U33" s="183" t="n">
        <x:v>1849.00</x:v>
      </x:c>
      <x:c r="V33" s="183" t="n">
        <x:f ca="1">=SUM(U33/ ((O33- M33)/30.42))</x:f>
        <x:v/>
      </x:c>
      <x:c r="W33" s="196">
        <x:f ca="1">=IF(T33="","",IF(T33="-","",IF(U33=0,"",IF(OR(T33&gt;AA4,T33&lt;-AA4),"*",""))))</x:f>
        <x:v/>
      </x:c>
      <x:c r="X33" s="98" t="str">
        <x:v/>
      </x:c>
    </x:row>
    <x:row r="34" spans="1:25" s="12" x14ac:dyDescent="0.25">
      <x:c r="A34" s="90" t="str">
        <x:v>26</x:v>
      </x:c>
      <x:c r="B34" s="191" t="str">
        <x:v>13759460</x:v>
      </x:c>
      <x:c r="C34" s="191" t="str">
        <x:v>Ricoh SP 5210SF</x:v>
      </x:c>
      <x:c r="D34" s="191" t="str">
        <x:v>B/W Laser Prints</x:v>
      </x:c>
      <x:c r="E34" s="191" t="str">
        <x:v>S8251400078</x:v>
      </x:c>
      <x:c r="F34" s="191" t="str">
        <x:v>Active</x:v>
      </x:c>
      <x:c r="G34" s="191" t="str">
        <x:v>Kansas City North Treatment Center</x:v>
      </x:c>
      <x:c r="H34" s="191" t="str">
        <x:v/>
      </x:c>
      <x:c r="I34" s="191" t="str">
        <x:v/>
      </x:c>
      <x:c r="J34" s="191" t="str">
        <x:v/>
      </x:c>
      <x:c r="K34" s="191" t="str">
        <x:v>Front Office</x:v>
      </x:c>
      <x:c r="L34" s="191" t="str">
        <x:v/>
      </x:c>
      <x:c r="M34" s="191" t="str">
        <x:v>12/1/2018</x:v>
      </x:c>
      <x:c r="N34" s="189" t="n">
        <x:v>53621.00</x:v>
      </x:c>
      <x:c r="O34" s="191" t="str">
        <x:v>12/31/2018</x:v>
      </x:c>
      <x:c r="P34" s="189" t="n">
        <x:v>55438.00</x:v>
      </x:c>
      <x:c r="Q34" s="206" t="n">
        <x:v>0.0049</x:v>
      </x:c>
      <x:c r="R34" s="206" t="n">
        <x:v>0.0353</x:v>
      </x:c>
      <x:c r="S34" s="189" t="n">
        <x:v>985.00</x:v>
      </x:c>
      <x:c r="T34" s="187" t="n">
        <x:f ca="1">=IF(AND(U34=0,S34&gt;0),-100%,IF(OR(S34=0,S34="-"),"-",IF(AND(S34=0,U34=0),0%,IF(S34&lt;U34,SUM(U34-S34)/S34,IF(S34&gt;U34,SUM(-1*(S34-U34)/S34),"")))))</x:f>
        <x:v/>
      </x:c>
      <x:c r="U34" s="189" t="n">
        <x:v>1817.00</x:v>
      </x:c>
      <x:c r="V34" s="189" t="n">
        <x:f ca="1">=SUM(U34/ ((O34- M34)/30.42))</x:f>
        <x:v/>
      </x:c>
      <x:c r="W34" s="195">
        <x:f ca="1">=IF(T34="","",IF(T34="-","",IF(U34=0,"",IF(OR(T34&gt;AA4,T34&lt;-AA4),"*",""))))</x:f>
        <x:v/>
      </x:c>
      <x:c r="X34" s="91" t="str">
        <x:v/>
      </x:c>
    </x:row>
    <x:row r="35" spans="1:25" s="12" x14ac:dyDescent="0.25">
      <x:c r="A35" s="96" t="str">
        <x:v>27</x:v>
      </x:c>
      <x:c r="B35" s="192" t="str">
        <x:v>20012031</x:v>
      </x:c>
      <x:c r="C35" s="192" t="str">
        <x:v>Ricoh SP 4310</x:v>
      </x:c>
      <x:c r="D35" s="192" t="str">
        <x:v>B/W Laser Prints</x:v>
      </x:c>
      <x:c r="E35" s="192" t="str">
        <x:v>T1129411165</x:v>
      </x:c>
      <x:c r="F35" s="192" t="str">
        <x:v>Active</x:v>
      </x:c>
      <x:c r="G35" s="192" t="str">
        <x:v>Columbia, TN Treatment Center</x:v>
      </x:c>
      <x:c r="H35" s="192" t="str">
        <x:v/>
      </x:c>
      <x:c r="I35" s="192" t="str">
        <x:v/>
      </x:c>
      <x:c r="J35" s="192" t="str">
        <x:v/>
      </x:c>
      <x:c r="K35" s="192" t="str">
        <x:v/>
      </x:c>
      <x:c r="L35" s="192" t="str">
        <x:v/>
      </x:c>
      <x:c r="M35" s="192" t="str">
        <x:v>12/1/2018</x:v>
      </x:c>
      <x:c r="N35" s="183" t="n">
        <x:v>146584.00</x:v>
      </x:c>
      <x:c r="O35" s="192" t="str">
        <x:v>12/31/2018</x:v>
      </x:c>
      <x:c r="P35" s="183" t="n">
        <x:v>148361.00</x:v>
      </x:c>
      <x:c r="Q35" s="207" t="n">
        <x:v>0.0048</x:v>
      </x:c>
      <x:c r="R35" s="207" t="n">
        <x:v>0.0345</x:v>
      </x:c>
      <x:c r="S35" s="183" t="n">
        <x:v>626.00</x:v>
      </x:c>
      <x:c r="T35" s="182" t="n">
        <x:f ca="1">=IF(AND(U35=0,S35&gt;0),-100%,IF(OR(S35=0,S35="-"),"-",IF(AND(S35=0,U35=0),0%,IF(S35&lt;U35,SUM(U35-S35)/S35,IF(S35&gt;U35,SUM(-1*(S35-U35)/S35),"")))))</x:f>
        <x:v/>
      </x:c>
      <x:c r="U35" s="183" t="n">
        <x:v>1777.00</x:v>
      </x:c>
      <x:c r="V35" s="183" t="n">
        <x:f ca="1">=SUM(U35/ ((O35- M35)/30.42))</x:f>
        <x:v/>
      </x:c>
      <x:c r="W35" s="196">
        <x:f ca="1">=IF(T35="","",IF(T35="-","",IF(U35=0,"",IF(OR(T35&gt;AA4,T35&lt;-AA4),"*",""))))</x:f>
        <x:v/>
      </x:c>
      <x:c r="X35" s="98" t="str">
        <x:v/>
      </x:c>
    </x:row>
    <x:row r="36" spans="1:25" s="12" x14ac:dyDescent="0.25">
      <x:c r="A36" s="90" t="str">
        <x:v>28</x:v>
      </x:c>
      <x:c r="B36" s="191" t="str">
        <x:v>13165926</x:v>
      </x:c>
      <x:c r="C36" s="191" t="str">
        <x:v>Ricoh SP 4510DN</x:v>
      </x:c>
      <x:c r="D36" s="191" t="str">
        <x:v>B/W Laser Prints</x:v>
      </x:c>
      <x:c r="E36" s="191" t="str">
        <x:v>T576H303492</x:v>
      </x:c>
      <x:c r="F36" s="191" t="str">
        <x:v>Active</x:v>
      </x:c>
      <x:c r="G36" s="191" t="str">
        <x:v>Spartanburg Treatment Center</x:v>
      </x:c>
      <x:c r="H36" s="191" t="str">
        <x:v/>
      </x:c>
      <x:c r="I36" s="191" t="str">
        <x:v/>
      </x:c>
      <x:c r="J36" s="191" t="str">
        <x:v/>
      </x:c>
      <x:c r="K36" s="191" t="str">
        <x:v/>
      </x:c>
      <x:c r="L36" s="191" t="str">
        <x:v/>
      </x:c>
      <x:c r="M36" s="191" t="str">
        <x:v>12/1/2018</x:v>
      </x:c>
      <x:c r="N36" s="189" t="n">
        <x:v>42818.00</x:v>
      </x:c>
      <x:c r="O36" s="191" t="str">
        <x:v>12/31/2018</x:v>
      </x:c>
      <x:c r="P36" s="189" t="n">
        <x:v>44593.00</x:v>
      </x:c>
      <x:c r="Q36" s="206" t="n">
        <x:v>0.0048</x:v>
      </x:c>
      <x:c r="R36" s="206" t="n">
        <x:v>0.0344</x:v>
      </x:c>
      <x:c r="S36" s="189" t="n">
        <x:v>1049.00</x:v>
      </x:c>
      <x:c r="T36" s="187" t="n">
        <x:f ca="1">=IF(AND(U36=0,S36&gt;0),-100%,IF(OR(S36=0,S36="-"),"-",IF(AND(S36=0,U36=0),0%,IF(S36&lt;U36,SUM(U36-S36)/S36,IF(S36&gt;U36,SUM(-1*(S36-U36)/S36),"")))))</x:f>
        <x:v/>
      </x:c>
      <x:c r="U36" s="189" t="n">
        <x:v>1775.00</x:v>
      </x:c>
      <x:c r="V36" s="189" t="n">
        <x:f ca="1">=SUM(U36/ ((O36- M36)/30.42))</x:f>
        <x:v/>
      </x:c>
      <x:c r="W36" s="195">
        <x:f ca="1">=IF(T36="","",IF(T36="-","",IF(U36=0,"",IF(OR(T36&gt;AA4,T36&lt;-AA4),"*",""))))</x:f>
        <x:v/>
      </x:c>
      <x:c r="X36" s="91" t="str">
        <x:v/>
      </x:c>
    </x:row>
    <x:row r="37" spans="1:25" s="12" x14ac:dyDescent="0.25">
      <x:c r="A37" s="96" t="str">
        <x:v>29</x:v>
      </x:c>
      <x:c r="B37" s="192" t="str">
        <x:v>20331670</x:v>
      </x:c>
      <x:c r="C37" s="192" t="str">
        <x:v>Ricoh SP 4310</x:v>
      </x:c>
      <x:c r="D37" s="192" t="str">
        <x:v>B/W Laser Prints</x:v>
      </x:c>
      <x:c r="E37" s="192" t="str">
        <x:v>T1118900599</x:v>
      </x:c>
      <x:c r="F37" s="192" t="str">
        <x:v>Active</x:v>
      </x:c>
      <x:c r="G37" s="192" t="str">
        <x:v>Memphis North Treatment Center</x:v>
      </x:c>
      <x:c r="H37" s="192" t="str">
        <x:v/>
      </x:c>
      <x:c r="I37" s="192" t="str">
        <x:v/>
      </x:c>
      <x:c r="J37" s="192" t="str">
        <x:v/>
      </x:c>
      <x:c r="K37" s="192" t="str">
        <x:v/>
      </x:c>
      <x:c r="L37" s="192" t="str">
        <x:v/>
      </x:c>
      <x:c r="M37" s="192" t="str">
        <x:v>12/1/2018</x:v>
      </x:c>
      <x:c r="N37" s="183" t="n">
        <x:v>214214.00</x:v>
      </x:c>
      <x:c r="O37" s="192" t="str">
        <x:v>12/31/2018</x:v>
      </x:c>
      <x:c r="P37" s="183" t="n">
        <x:v>215852.00</x:v>
      </x:c>
      <x:c r="Q37" s="207" t="n">
        <x:v>0.0044</x:v>
      </x:c>
      <x:c r="R37" s="207" t="n">
        <x:v>0.0318</x:v>
      </x:c>
      <x:c r="S37" s="183" t="n">
        <x:v>1063.00</x:v>
      </x:c>
      <x:c r="T37" s="182" t="n">
        <x:f ca="1">=IF(AND(U37=0,S37&gt;0),-100%,IF(OR(S37=0,S37="-"),"-",IF(AND(S37=0,U37=0),0%,IF(S37&lt;U37,SUM(U37-S37)/S37,IF(S37&gt;U37,SUM(-1*(S37-U37)/S37),"")))))</x:f>
        <x:v/>
      </x:c>
      <x:c r="U37" s="183" t="n">
        <x:v>1638.00</x:v>
      </x:c>
      <x:c r="V37" s="183" t="n">
        <x:f ca="1">=SUM(U37/ ((O37- M37)/30.42))</x:f>
        <x:v/>
      </x:c>
      <x:c r="W37" s="196">
        <x:f ca="1">=IF(T37="","",IF(T37="-","",IF(U37=0,"",IF(OR(T37&gt;AA4,T37&lt;-AA4),"*",""))))</x:f>
        <x:v/>
      </x:c>
      <x:c r="X37" s="98" t="str">
        <x:v/>
      </x:c>
    </x:row>
    <x:row r="38" spans="1:25" s="12" x14ac:dyDescent="0.25">
      <x:c r="A38" s="90" t="str">
        <x:v>30</x:v>
      </x:c>
      <x:c r="B38" s="191" t="str">
        <x:v>20331669</x:v>
      </x:c>
      <x:c r="C38" s="191" t="str">
        <x:v>Ricoh SP 4310</x:v>
      </x:c>
      <x:c r="D38" s="191" t="str">
        <x:v>B/W Laser Prints</x:v>
      </x:c>
      <x:c r="E38" s="191" t="str">
        <x:v>T1119300116</x:v>
      </x:c>
      <x:c r="F38" s="191" t="str">
        <x:v>Active</x:v>
      </x:c>
      <x:c r="G38" s="191" t="str">
        <x:v>Memphis North Treatment Center</x:v>
      </x:c>
      <x:c r="H38" s="191" t="str">
        <x:v/>
      </x:c>
      <x:c r="I38" s="191" t="str">
        <x:v/>
      </x:c>
      <x:c r="J38" s="191" t="str">
        <x:v/>
      </x:c>
      <x:c r="K38" s="191" t="str">
        <x:v/>
      </x:c>
      <x:c r="L38" s="191" t="str">
        <x:v/>
      </x:c>
      <x:c r="M38" s="191" t="str">
        <x:v>12/1/2018</x:v>
      </x:c>
      <x:c r="N38" s="189" t="n">
        <x:v>106390.00</x:v>
      </x:c>
      <x:c r="O38" s="191" t="str">
        <x:v>12/31/2018</x:v>
      </x:c>
      <x:c r="P38" s="189" t="n">
        <x:v>108008.00</x:v>
      </x:c>
      <x:c r="Q38" s="206" t="n">
        <x:v>0.0044</x:v>
      </x:c>
      <x:c r="R38" s="206" t="n">
        <x:v>0.0314</x:v>
      </x:c>
      <x:c r="S38" s="189" t="n">
        <x:v>1006.00</x:v>
      </x:c>
      <x:c r="T38" s="187" t="n">
        <x:f ca="1">=IF(AND(U38=0,S38&gt;0),-100%,IF(OR(S38=0,S38="-"),"-",IF(AND(S38=0,U38=0),0%,IF(S38&lt;U38,SUM(U38-S38)/S38,IF(S38&gt;U38,SUM(-1*(S38-U38)/S38),"")))))</x:f>
        <x:v/>
      </x:c>
      <x:c r="U38" s="189" t="n">
        <x:v>1618.00</x:v>
      </x:c>
      <x:c r="V38" s="189" t="n">
        <x:f ca="1">=SUM(U38/ ((O38- M38)/30.42))</x:f>
        <x:v/>
      </x:c>
      <x:c r="W38" s="195">
        <x:f ca="1">=IF(T38="","",IF(T38="-","",IF(U38=0,"",IF(OR(T38&gt;AA4,T38&lt;-AA4),"*",""))))</x:f>
        <x:v/>
      </x:c>
      <x:c r="X38" s="91" t="str">
        <x:v/>
      </x:c>
    </x:row>
    <x:row r="39" spans="1:25" s="12" x14ac:dyDescent="0.25">
      <x:c r="A39" s="96" t="str">
        <x:v>31</x:v>
      </x:c>
      <x:c r="B39" s="192" t="str">
        <x:v>13165925</x:v>
      </x:c>
      <x:c r="C39" s="192" t="str">
        <x:v>Ricoh SP 4510DN</x:v>
      </x:c>
      <x:c r="D39" s="192" t="str">
        <x:v>B/W Laser Prints</x:v>
      </x:c>
      <x:c r="E39" s="192" t="str">
        <x:v>T576H303397</x:v>
      </x:c>
      <x:c r="F39" s="192" t="str">
        <x:v>Active</x:v>
      </x:c>
      <x:c r="G39" s="192" t="str">
        <x:v>Spartanburg Treatment Center</x:v>
      </x:c>
      <x:c r="H39" s="192" t="str">
        <x:v/>
      </x:c>
      <x:c r="I39" s="192" t="str">
        <x:v/>
      </x:c>
      <x:c r="J39" s="192" t="str">
        <x:v>1</x:v>
      </x:c>
      <x:c r="K39" s="192" t="str">
        <x:v/>
      </x:c>
      <x:c r="L39" s="192" t="str">
        <x:v/>
      </x:c>
      <x:c r="M39" s="192" t="str">
        <x:v>12/1/2018</x:v>
      </x:c>
      <x:c r="N39" s="183" t="n">
        <x:v>50653.00</x:v>
      </x:c>
      <x:c r="O39" s="192" t="str">
        <x:v>12/31/2018</x:v>
      </x:c>
      <x:c r="P39" s="183" t="n">
        <x:v>52227.00</x:v>
      </x:c>
      <x:c r="Q39" s="207" t="n">
        <x:v>0.0042</x:v>
      </x:c>
      <x:c r="R39" s="207" t="n">
        <x:v>0.0305</x:v>
      </x:c>
      <x:c r="S39" s="183" t="n">
        <x:v>1304.00</x:v>
      </x:c>
      <x:c r="T39" s="182" t="n">
        <x:f ca="1">=IF(AND(U39=0,S39&gt;0),-100%,IF(OR(S39=0,S39="-"),"-",IF(AND(S39=0,U39=0),0%,IF(S39&lt;U39,SUM(U39-S39)/S39,IF(S39&gt;U39,SUM(-1*(S39-U39)/S39),"")))))</x:f>
        <x:v/>
      </x:c>
      <x:c r="U39" s="183" t="n">
        <x:v>1574.00</x:v>
      </x:c>
      <x:c r="V39" s="183" t="n">
        <x:f ca="1">=SUM(U39/ ((O39- M39)/30.42))</x:f>
        <x:v/>
      </x:c>
      <x:c r="W39" s="196">
        <x:f ca="1">=IF(T39="","",IF(T39="-","",IF(U39=0,"",IF(OR(T39&gt;AA4,T39&lt;-AA4),"*",""))))</x:f>
        <x:v/>
      </x:c>
      <x:c r="X39" s="98" t="str">
        <x:v/>
      </x:c>
    </x:row>
    <x:row r="40" spans="1:25" s="12" x14ac:dyDescent="0.25">
      <x:c r="A40" s="90" t="str">
        <x:v>32</x:v>
      </x:c>
      <x:c r="B40" s="191" t="str">
        <x:v>20166273</x:v>
      </x:c>
      <x:c r="C40" s="191" t="str">
        <x:v>Ricoh SP 4210N</x:v>
      </x:c>
      <x:c r="D40" s="191" t="str">
        <x:v>B/W Laser Prints</x:v>
      </x:c>
      <x:c r="E40" s="191" t="str">
        <x:v>S5209502201</x:v>
      </x:c>
      <x:c r="F40" s="191" t="str">
        <x:v>Active</x:v>
      </x:c>
      <x:c r="G40" s="191" t="str">
        <x:v>Memphis Mid-Town Treatment Center</x:v>
      </x:c>
      <x:c r="H40" s="191" t="str">
        <x:v/>
      </x:c>
      <x:c r="I40" s="191" t="str">
        <x:v/>
      </x:c>
      <x:c r="J40" s="191" t="str">
        <x:v/>
      </x:c>
      <x:c r="K40" s="191" t="str">
        <x:v/>
      </x:c>
      <x:c r="L40" s="191" t="str">
        <x:v/>
      </x:c>
      <x:c r="M40" s="191" t="str">
        <x:v>12/1/2018</x:v>
      </x:c>
      <x:c r="N40" s="189" t="n">
        <x:v>171234.00</x:v>
      </x:c>
      <x:c r="O40" s="191" t="str">
        <x:v>12/31/2018</x:v>
      </x:c>
      <x:c r="P40" s="189" t="n">
        <x:v>172779.00</x:v>
      </x:c>
      <x:c r="Q40" s="206" t="n">
        <x:v>0.0042</x:v>
      </x:c>
      <x:c r="R40" s="206" t="n">
        <x:v>0.03</x:v>
      </x:c>
      <x:c r="S40" s="189" t="n">
        <x:v>1336.00</x:v>
      </x:c>
      <x:c r="T40" s="187" t="n">
        <x:f ca="1">=IF(AND(U40=0,S40&gt;0),-100%,IF(OR(S40=0,S40="-"),"-",IF(AND(S40=0,U40=0),0%,IF(S40&lt;U40,SUM(U40-S40)/S40,IF(S40&gt;U40,SUM(-1*(S40-U40)/S40),"")))))</x:f>
        <x:v/>
      </x:c>
      <x:c r="U40" s="189" t="n">
        <x:v>1545.00</x:v>
      </x:c>
      <x:c r="V40" s="189" t="n">
        <x:f ca="1">=SUM(U40/ ((O40- M40)/30.42))</x:f>
        <x:v/>
      </x:c>
      <x:c r="W40" s="195">
        <x:f ca="1">=IF(T40="","",IF(T40="-","",IF(U40=0,"",IF(OR(T40&gt;AA4,T40&lt;-AA4),"*",""))))</x:f>
        <x:v/>
      </x:c>
      <x:c r="X40" s="91" t="str">
        <x:v/>
      </x:c>
    </x:row>
    <x:row r="41" spans="1:25" s="12" x14ac:dyDescent="0.25">
      <x:c r="A41" s="96" t="str">
        <x:v>33</x:v>
      </x:c>
      <x:c r="B41" s="192" t="str">
        <x:v>13741762</x:v>
      </x:c>
      <x:c r="C41" s="192" t="str">
        <x:v>Ricoh SP 4310</x:v>
      </x:c>
      <x:c r="D41" s="192" t="str">
        <x:v>B/W Laser Prints</x:v>
      </x:c>
      <x:c r="E41" s="192" t="str">
        <x:v>T1149211319</x:v>
      </x:c>
      <x:c r="F41" s="192" t="str">
        <x:v>Active</x:v>
      </x:c>
      <x:c r="G41" s="192" t="str">
        <x:v>Dallas Corporate Office</x:v>
      </x:c>
      <x:c r="H41" s="192" t="str">
        <x:v/>
      </x:c>
      <x:c r="I41" s="192" t="str">
        <x:v/>
      </x:c>
      <x:c r="J41" s="192" t="str">
        <x:v>3</x:v>
      </x:c>
      <x:c r="K41" s="192" t="str">
        <x:v/>
      </x:c>
      <x:c r="L41" s="192" t="str">
        <x:v/>
      </x:c>
      <x:c r="M41" s="192" t="str">
        <x:v>12/1/2018</x:v>
      </x:c>
      <x:c r="N41" s="183" t="n">
        <x:v>77060.00</x:v>
      </x:c>
      <x:c r="O41" s="192" t="str">
        <x:v>12/31/2018</x:v>
      </x:c>
      <x:c r="P41" s="183" t="n">
        <x:v>78510.00</x:v>
      </x:c>
      <x:c r="Q41" s="207" t="n">
        <x:v>0.0039</x:v>
      </x:c>
      <x:c r="R41" s="207" t="n">
        <x:v>0.0281</x:v>
      </x:c>
      <x:c r="S41" s="183" t="n">
        <x:v>1312.00</x:v>
      </x:c>
      <x:c r="T41" s="182" t="n">
        <x:f ca="1">=IF(AND(U41=0,S41&gt;0),-100%,IF(OR(S41=0,S41="-"),"-",IF(AND(S41=0,U41=0),0%,IF(S41&lt;U41,SUM(U41-S41)/S41,IF(S41&gt;U41,SUM(-1*(S41-U41)/S41),"")))))</x:f>
        <x:v/>
      </x:c>
      <x:c r="U41" s="183" t="n">
        <x:v>1450.00</x:v>
      </x:c>
      <x:c r="V41" s="183" t="n">
        <x:f ca="1">=SUM(U41/ ((O41- M41)/30.42))</x:f>
        <x:v/>
      </x:c>
      <x:c r="W41" s="196">
        <x:f ca="1">=IF(T41="","",IF(T41="-","",IF(U41=0,"",IF(OR(T41&gt;AA4,T41&lt;-AA4),"*",""))))</x:f>
        <x:v/>
      </x:c>
      <x:c r="X41" s="98" t="str">
        <x:v/>
      </x:c>
    </x:row>
    <x:row r="42" spans="1:25" s="12" x14ac:dyDescent="0.25">
      <x:c r="A42" s="90" t="str">
        <x:v>34</x:v>
      </x:c>
      <x:c r="B42" s="191" t="str">
        <x:v>T1119300114</x:v>
      </x:c>
      <x:c r="C42" s="191" t="str">
        <x:v>Ricoh SP 4310</x:v>
      </x:c>
      <x:c r="D42" s="191" t="str">
        <x:v>B/W Laser Prints</x:v>
      </x:c>
      <x:c r="E42" s="191" t="str">
        <x:v>T1119300114</x:v>
      </x:c>
      <x:c r="F42" s="191" t="str">
        <x:v>Active</x:v>
      </x:c>
      <x:c r="G42" s="191" t="str">
        <x:v>Paris Treatment Center</x:v>
      </x:c>
      <x:c r="H42" s="191" t="str">
        <x:v/>
      </x:c>
      <x:c r="I42" s="191" t="str">
        <x:v/>
      </x:c>
      <x:c r="J42" s="191" t="str">
        <x:v>1</x:v>
      </x:c>
      <x:c r="K42" s="191" t="str">
        <x:v/>
      </x:c>
      <x:c r="L42" s="191" t="str">
        <x:v/>
      </x:c>
      <x:c r="M42" s="191" t="str">
        <x:v>12/1/2018</x:v>
      </x:c>
      <x:c r="N42" s="189" t="n">
        <x:v>139846.00</x:v>
      </x:c>
      <x:c r="O42" s="191" t="str">
        <x:v>12/31/2018</x:v>
      </x:c>
      <x:c r="P42" s="189" t="n">
        <x:v>141251.00</x:v>
      </x:c>
      <x:c r="Q42" s="206" t="n">
        <x:v>0.0038</x:v>
      </x:c>
      <x:c r="R42" s="206" t="n">
        <x:v>0.0273</x:v>
      </x:c>
      <x:c r="S42" s="189" t="n">
        <x:v>1104.00</x:v>
      </x:c>
      <x:c r="T42" s="187" t="n">
        <x:f ca="1">=IF(AND(U42=0,S42&gt;0),-100%,IF(OR(S42=0,S42="-"),"-",IF(AND(S42=0,U42=0),0%,IF(S42&lt;U42,SUM(U42-S42)/S42,IF(S42&gt;U42,SUM(-1*(S42-U42)/S42),"")))))</x:f>
        <x:v/>
      </x:c>
      <x:c r="U42" s="189" t="n">
        <x:v>1405.00</x:v>
      </x:c>
      <x:c r="V42" s="189" t="n">
        <x:f ca="1">=SUM(U42/ ((O42- M42)/30.42))</x:f>
        <x:v/>
      </x:c>
      <x:c r="W42" s="195">
        <x:f ca="1">=IF(T42="","",IF(T42="-","",IF(U42=0,"",IF(OR(T42&gt;AA4,T42&lt;-AA4),"*",""))))</x:f>
        <x:v/>
      </x:c>
      <x:c r="X42" s="91" t="str">
        <x:v/>
      </x:c>
    </x:row>
    <x:row r="43" spans="1:25" s="12" x14ac:dyDescent="0.25">
      <x:c r="A43" s="96" t="str">
        <x:v>35</x:v>
      </x:c>
      <x:c r="B43" s="192" t="str">
        <x:v>FPR59960</x:v>
      </x:c>
      <x:c r="C43" s="192" t="str">
        <x:v>Ricoh SP 4510DN</x:v>
      </x:c>
      <x:c r="D43" s="192" t="str">
        <x:v>B/W Laser Prints</x:v>
      </x:c>
      <x:c r="E43" s="192" t="str">
        <x:v>T577H202245</x:v>
      </x:c>
      <x:c r="F43" s="192" t="str">
        <x:v>Active</x:v>
      </x:c>
      <x:c r="G43" s="192" t="str">
        <x:v>Albany Treatment Center</x:v>
      </x:c>
      <x:c r="H43" s="192" t="str">
        <x:v/>
      </x:c>
      <x:c r="I43" s="192" t="str">
        <x:v/>
      </x:c>
      <x:c r="J43" s="192" t="str">
        <x:v/>
      </x:c>
      <x:c r="K43" s="192" t="str">
        <x:v>Tametrice Jones</x:v>
      </x:c>
      <x:c r="L43" s="192" t="str">
        <x:v/>
      </x:c>
      <x:c r="M43" s="192" t="str">
        <x:v>12/1/2018</x:v>
      </x:c>
      <x:c r="N43" s="183" t="n">
        <x:v>31062.00</x:v>
      </x:c>
      <x:c r="O43" s="192" t="str">
        <x:v>12/31/2018</x:v>
      </x:c>
      <x:c r="P43" s="183" t="n">
        <x:v>32397.00</x:v>
      </x:c>
      <x:c r="Q43" s="207" t="n">
        <x:v>0.0036</x:v>
      </x:c>
      <x:c r="R43" s="207" t="n">
        <x:v>0.0259</x:v>
      </x:c>
      <x:c r="S43" s="183" t="n">
        <x:v>911.00</x:v>
      </x:c>
      <x:c r="T43" s="182" t="n">
        <x:f ca="1">=IF(AND(U43=0,S43&gt;0),-100%,IF(OR(S43=0,S43="-"),"-",IF(AND(S43=0,U43=0),0%,IF(S43&lt;U43,SUM(U43-S43)/S43,IF(S43&gt;U43,SUM(-1*(S43-U43)/S43),"")))))</x:f>
        <x:v/>
      </x:c>
      <x:c r="U43" s="183" t="n">
        <x:v>1335.00</x:v>
      </x:c>
      <x:c r="V43" s="183" t="n">
        <x:f ca="1">=SUM(U43/ ((O43- M43)/30.42))</x:f>
        <x:v/>
      </x:c>
      <x:c r="W43" s="196">
        <x:f ca="1">=IF(T43="","",IF(T43="-","",IF(U43=0,"",IF(OR(T43&gt;AA4,T43&lt;-AA4),"*",""))))</x:f>
        <x:v/>
      </x:c>
      <x:c r="X43" s="98" t="str">
        <x:v/>
      </x:c>
    </x:row>
    <x:row r="44" spans="1:25" s="12" x14ac:dyDescent="0.25">
      <x:c r="A44" s="90" t="str">
        <x:v>36</x:v>
      </x:c>
      <x:c r="B44" s="191" t="str">
        <x:v>FPR58126</x:v>
      </x:c>
      <x:c r="C44" s="191" t="str">
        <x:v>Ricoh SP 4510DN</x:v>
      </x:c>
      <x:c r="D44" s="191" t="str">
        <x:v>B/W Laser Prints</x:v>
      </x:c>
      <x:c r="E44" s="191" t="str">
        <x:v>T577H500297</x:v>
      </x:c>
      <x:c r="F44" s="191" t="str">
        <x:v>Active</x:v>
      </x:c>
      <x:c r="G44" s="191" t="str">
        <x:v>Tuscaloosa Treatment Center</x:v>
      </x:c>
      <x:c r="H44" s="191" t="str">
        <x:v/>
      </x:c>
      <x:c r="I44" s="191" t="str">
        <x:v/>
      </x:c>
      <x:c r="J44" s="191" t="str">
        <x:v/>
      </x:c>
      <x:c r="K44" s="191" t="str">
        <x:v/>
      </x:c>
      <x:c r="L44" s="191" t="str">
        <x:v/>
      </x:c>
      <x:c r="M44" s="191" t="str">
        <x:v>12/1/2018</x:v>
      </x:c>
      <x:c r="N44" s="189" t="n">
        <x:v>19957.00</x:v>
      </x:c>
      <x:c r="O44" s="191" t="str">
        <x:v>12/31/2018</x:v>
      </x:c>
      <x:c r="P44" s="189" t="n">
        <x:v>21261.00</x:v>
      </x:c>
      <x:c r="Q44" s="206" t="n">
        <x:v>0.0035</x:v>
      </x:c>
      <x:c r="R44" s="206" t="n">
        <x:v>0.0253</x:v>
      </x:c>
      <x:c r="S44" s="189" t="n">
        <x:v>2176.00</x:v>
      </x:c>
      <x:c r="T44" s="187" t="n">
        <x:f ca="1">=IF(AND(U44=0,S44&gt;0),-100%,IF(OR(S44=0,S44="-"),"-",IF(AND(S44=0,U44=0),0%,IF(S44&lt;U44,SUM(U44-S44)/S44,IF(S44&gt;U44,SUM(-1*(S44-U44)/S44),"")))))</x:f>
        <x:v/>
      </x:c>
      <x:c r="U44" s="189" t="n">
        <x:v>1304.00</x:v>
      </x:c>
      <x:c r="V44" s="189" t="n">
        <x:f ca="1">=SUM(U44/ ((O44- M44)/30.42))</x:f>
        <x:v/>
      </x:c>
      <x:c r="W44" s="195">
        <x:f ca="1">=IF(T44="","",IF(T44="-","",IF(U44=0,"",IF(OR(T44&gt;AA4,T44&lt;-AA4),"*",""))))</x:f>
        <x:v/>
      </x:c>
      <x:c r="X44" s="91" t="str">
        <x:v/>
      </x:c>
    </x:row>
    <x:row r="45" spans="1:25" s="12" x14ac:dyDescent="0.25">
      <x:c r="A45" s="96" t="str">
        <x:v>37</x:v>
      </x:c>
      <x:c r="B45" s="192" t="str">
        <x:v>13215416</x:v>
      </x:c>
      <x:c r="C45" s="192" t="str">
        <x:v>Ricoh SP 4310</x:v>
      </x:c>
      <x:c r="D45" s="192" t="str">
        <x:v>B/W Laser Prints</x:v>
      </x:c>
      <x:c r="E45" s="192" t="str">
        <x:v>T1148611373</x:v>
      </x:c>
      <x:c r="F45" s="192" t="str">
        <x:v>Active</x:v>
      </x:c>
      <x:c r="G45" s="192" t="str">
        <x:v>Corbin Treatment Center</x:v>
      </x:c>
      <x:c r="H45" s="192" t="str">
        <x:v/>
      </x:c>
      <x:c r="I45" s="192" t="str">
        <x:v/>
      </x:c>
      <x:c r="J45" s="192" t="str">
        <x:v>1</x:v>
      </x:c>
      <x:c r="K45" s="192" t="str">
        <x:v/>
      </x:c>
      <x:c r="L45" s="192" t="str">
        <x:v/>
      </x:c>
      <x:c r="M45" s="192" t="str">
        <x:v>12/1/2018</x:v>
      </x:c>
      <x:c r="N45" s="183" t="n">
        <x:v>111175.00</x:v>
      </x:c>
      <x:c r="O45" s="192" t="str">
        <x:v>12/31/2018</x:v>
      </x:c>
      <x:c r="P45" s="183" t="n">
        <x:v>112462.00</x:v>
      </x:c>
      <x:c r="Q45" s="207" t="n">
        <x:v>0.0035</x:v>
      </x:c>
      <x:c r="R45" s="207" t="n">
        <x:v>0.025</x:v>
      </x:c>
      <x:c r="S45" s="183" t="n">
        <x:v>1438.00</x:v>
      </x:c>
      <x:c r="T45" s="182" t="n">
        <x:f ca="1">=IF(AND(U45=0,S45&gt;0),-100%,IF(OR(S45=0,S45="-"),"-",IF(AND(S45=0,U45=0),0%,IF(S45&lt;U45,SUM(U45-S45)/S45,IF(S45&gt;U45,SUM(-1*(S45-U45)/S45),"")))))</x:f>
        <x:v/>
      </x:c>
      <x:c r="U45" s="183" t="n">
        <x:v>1287.00</x:v>
      </x:c>
      <x:c r="V45" s="183" t="n">
        <x:f ca="1">=SUM(U45/ ((O45- M45)/30.42))</x:f>
        <x:v/>
      </x:c>
      <x:c r="W45" s="196">
        <x:f ca="1">=IF(T45="","",IF(T45="-","",IF(U45=0,"",IF(OR(T45&gt;AA4,T45&lt;-AA4),"*",""))))</x:f>
        <x:v/>
      </x:c>
      <x:c r="X45" s="98" t="str">
        <x:v/>
      </x:c>
    </x:row>
    <x:row r="46" spans="1:25" s="12" x14ac:dyDescent="0.25">
      <x:c r="A46" s="90" t="str">
        <x:v>38</x:v>
      </x:c>
      <x:c r="B46" s="191" t="str">
        <x:v>12987571</x:v>
      </x:c>
      <x:c r="C46" s="191" t="str">
        <x:v>Ricoh SP 4310</x:v>
      </x:c>
      <x:c r="D46" s="191" t="str">
        <x:v>B/W Laser Prints</x:v>
      </x:c>
      <x:c r="E46" s="191" t="str">
        <x:v>T1139310020</x:v>
      </x:c>
      <x:c r="F46" s="191" t="str">
        <x:v>Active</x:v>
      </x:c>
      <x:c r="G46" s="191" t="str">
        <x:v>Lexington Treatment Center</x:v>
      </x:c>
      <x:c r="H46" s="191" t="str">
        <x:v/>
      </x:c>
      <x:c r="I46" s="191" t="str">
        <x:v/>
      </x:c>
      <x:c r="J46" s="191" t="str">
        <x:v/>
      </x:c>
      <x:c r="K46" s="191" t="str">
        <x:v/>
      </x:c>
      <x:c r="L46" s="191" t="str">
        <x:v/>
      </x:c>
      <x:c r="M46" s="191" t="str">
        <x:v>12/1/2018</x:v>
      </x:c>
      <x:c r="N46" s="189" t="n">
        <x:v>103194.00</x:v>
      </x:c>
      <x:c r="O46" s="191" t="str">
        <x:v>12/31/2018</x:v>
      </x:c>
      <x:c r="P46" s="189" t="n">
        <x:v>104480.00</x:v>
      </x:c>
      <x:c r="Q46" s="206" t="n">
        <x:v>0.0035</x:v>
      </x:c>
      <x:c r="R46" s="206" t="n">
        <x:v>0.025</x:v>
      </x:c>
      <x:c r="S46" s="189" t="n">
        <x:v>1113.00</x:v>
      </x:c>
      <x:c r="T46" s="187" t="n">
        <x:f ca="1">=IF(AND(U46=0,S46&gt;0),-100%,IF(OR(S46=0,S46="-"),"-",IF(AND(S46=0,U46=0),0%,IF(S46&lt;U46,SUM(U46-S46)/S46,IF(S46&gt;U46,SUM(-1*(S46-U46)/S46),"")))))</x:f>
        <x:v/>
      </x:c>
      <x:c r="U46" s="189" t="n">
        <x:v>1286.00</x:v>
      </x:c>
      <x:c r="V46" s="189" t="n">
        <x:f ca="1">=SUM(U46/ ((O46- M46)/30.42))</x:f>
        <x:v/>
      </x:c>
      <x:c r="W46" s="195">
        <x:f ca="1">=IF(T46="","",IF(T46="-","",IF(U46=0,"",IF(OR(T46&gt;AA4,T46&lt;-AA4),"*",""))))</x:f>
        <x:v/>
      </x:c>
      <x:c r="X46" s="91" t="str">
        <x:v/>
      </x:c>
    </x:row>
    <x:row r="47" spans="1:25" s="12" x14ac:dyDescent="0.25">
      <x:c r="A47" s="96" t="str">
        <x:v>39</x:v>
      </x:c>
      <x:c r="B47" s="192" t="str">
        <x:v>T575HB03753</x:v>
      </x:c>
      <x:c r="C47" s="192" t="str">
        <x:v>Ricoh SP 4510DN</x:v>
      </x:c>
      <x:c r="D47" s="192" t="str">
        <x:v>B/W Laser Prints</x:v>
      </x:c>
      <x:c r="E47" s="192" t="str">
        <x:v>T575HB03753</x:v>
      </x:c>
      <x:c r="F47" s="192" t="str">
        <x:v>Active</x:v>
      </x:c>
      <x:c r="G47" s="192" t="str">
        <x:v>Westminster Treament Center</x:v>
      </x:c>
      <x:c r="H47" s="192" t="str">
        <x:v/>
      </x:c>
      <x:c r="I47" s="192" t="str">
        <x:v/>
      </x:c>
      <x:c r="J47" s="192" t="str">
        <x:v>5</x:v>
      </x:c>
      <x:c r="K47" s="192" t="str">
        <x:v>Janelle Blake (303) 547-6522</x:v>
      </x:c>
      <x:c r="L47" s="192" t="str">
        <x:v/>
      </x:c>
      <x:c r="M47" s="192" t="str">
        <x:v>12/1/2018</x:v>
      </x:c>
      <x:c r="N47" s="183" t="n">
        <x:v>55184.00</x:v>
      </x:c>
      <x:c r="O47" s="192" t="str">
        <x:v>12/20/2018</x:v>
      </x:c>
      <x:c r="P47" s="183" t="n">
        <x:v>56423.00</x:v>
      </x:c>
      <x:c r="Q47" s="207" t="n">
        <x:v>0.0033</x:v>
      </x:c>
      <x:c r="R47" s="207" t="n">
        <x:v>0.024</x:v>
      </x:c>
      <x:c r="S47" s="183" t="n">
        <x:v>1629.00</x:v>
      </x:c>
      <x:c r="T47" s="182" t="n">
        <x:f ca="1">=IF(AND(U47=0,S47&gt;0),-100%,IF(OR(S47=0,S47="-"),"-",IF(AND(S47=0,U47=0),0%,IF(S47&lt;U47,SUM(U47-S47)/S47,IF(S47&gt;U47,SUM(-1*(S47-U47)/S47),"")))))</x:f>
        <x:v/>
      </x:c>
      <x:c r="U47" s="183" t="n">
        <x:v>1239.00</x:v>
      </x:c>
      <x:c r="V47" s="183" t="n">
        <x:f ca="1">=SUM(U47/ ((O47- M47)/30.42))</x:f>
        <x:v/>
      </x:c>
      <x:c r="W47" s="196">
        <x:f ca="1">=IF(T47="","",IF(T47="-","",IF(U47=0,"",IF(OR(T47&gt;AA4,T47&lt;-AA4),"*",""))))</x:f>
        <x:v/>
      </x:c>
      <x:c r="X47" s="98" t="str">
        <x:v/>
      </x:c>
    </x:row>
    <x:row r="48" spans="1:25" s="12" x14ac:dyDescent="0.25">
      <x:c r="A48" s="90" t="str">
        <x:v>40</x:v>
      </x:c>
      <x:c r="B48" s="191" t="str">
        <x:v>11744662</x:v>
      </x:c>
      <x:c r="C48" s="191" t="str">
        <x:v>Ricoh SP 4210N</x:v>
      </x:c>
      <x:c r="D48" s="191" t="str">
        <x:v>B/W Laser Prints</x:v>
      </x:c>
      <x:c r="E48" s="191" t="str">
        <x:v>S5209000275</x:v>
      </x:c>
      <x:c r="F48" s="191" t="str">
        <x:v>Active</x:v>
      </x:c>
      <x:c r="G48" s="191" t="str">
        <x:v>Springfield North Treatment Center</x:v>
      </x:c>
      <x:c r="H48" s="191" t="str">
        <x:v/>
      </x:c>
      <x:c r="I48" s="191" t="str">
        <x:v/>
      </x:c>
      <x:c r="J48" s="191" t="str">
        <x:v>1</x:v>
      </x:c>
      <x:c r="K48" s="191" t="str">
        <x:v/>
      </x:c>
      <x:c r="L48" s="191" t="str">
        <x:v/>
      </x:c>
      <x:c r="M48" s="191" t="str">
        <x:v>12/1/2018</x:v>
      </x:c>
      <x:c r="N48" s="189" t="n">
        <x:v>215263.00</x:v>
      </x:c>
      <x:c r="O48" s="191" t="str">
        <x:v>12/31/2018</x:v>
      </x:c>
      <x:c r="P48" s="189" t="n">
        <x:v>216460.00</x:v>
      </x:c>
      <x:c r="Q48" s="206" t="n">
        <x:v>0.0032</x:v>
      </x:c>
      <x:c r="R48" s="206" t="n">
        <x:v>0.0232</x:v>
      </x:c>
      <x:c r="S48" s="189" t="n">
        <x:v>1036.00</x:v>
      </x:c>
      <x:c r="T48" s="187" t="n">
        <x:f ca="1">=IF(AND(U48=0,S48&gt;0),-100%,IF(OR(S48=0,S48="-"),"-",IF(AND(S48=0,U48=0),0%,IF(S48&lt;U48,SUM(U48-S48)/S48,IF(S48&gt;U48,SUM(-1*(S48-U48)/S48),"")))))</x:f>
        <x:v/>
      </x:c>
      <x:c r="U48" s="189" t="n">
        <x:v>1197.00</x:v>
      </x:c>
      <x:c r="V48" s="189" t="n">
        <x:f ca="1">=SUM(U48/ ((O48- M48)/30.42))</x:f>
        <x:v/>
      </x:c>
      <x:c r="W48" s="195">
        <x:f ca="1">=IF(T48="","",IF(T48="-","",IF(U48=0,"",IF(OR(T48&gt;AA4,T48&lt;-AA4),"*",""))))</x:f>
        <x:v/>
      </x:c>
      <x:c r="X48" s="91" t="str">
        <x:v/>
      </x:c>
    </x:row>
    <x:row r="49" spans="1:25" s="12" x14ac:dyDescent="0.25">
      <x:c r="A49" s="96" t="str">
        <x:v>41</x:v>
      </x:c>
      <x:c r="B49" s="192" t="str">
        <x:v>20047269</x:v>
      </x:c>
      <x:c r="C49" s="192" t="str">
        <x:v>Ricoh SP 4210N</x:v>
      </x:c>
      <x:c r="D49" s="192" t="str">
        <x:v>B/W Laser Prints</x:v>
      </x:c>
      <x:c r="E49" s="192" t="str">
        <x:v>S5209502373</x:v>
      </x:c>
      <x:c r="F49" s="192" t="str">
        <x:v>Active</x:v>
      </x:c>
      <x:c r="G49" s="192" t="str">
        <x:v>Dallas Corporate Office</x:v>
      </x:c>
      <x:c r="H49" s="192" t="str">
        <x:v/>
      </x:c>
      <x:c r="I49" s="192" t="str">
        <x:v/>
      </x:c>
      <x:c r="J49" s="192" t="str">
        <x:v>2</x:v>
      </x:c>
      <x:c r="K49" s="192" t="str">
        <x:v/>
      </x:c>
      <x:c r="L49" s="192" t="str">
        <x:v/>
      </x:c>
      <x:c r="M49" s="192" t="str">
        <x:v>12/1/2018</x:v>
      </x:c>
      <x:c r="N49" s="183" t="n">
        <x:v>126077.00</x:v>
      </x:c>
      <x:c r="O49" s="192" t="str">
        <x:v>12/31/2018</x:v>
      </x:c>
      <x:c r="P49" s="183" t="n">
        <x:v>127164.00</x:v>
      </x:c>
      <x:c r="Q49" s="207" t="n">
        <x:v>0.0029</x:v>
      </x:c>
      <x:c r="R49" s="207" t="n">
        <x:v>0.0211</x:v>
      </x:c>
      <x:c r="S49" s="183" t="n">
        <x:v>714.00</x:v>
      </x:c>
      <x:c r="T49" s="182" t="n">
        <x:f ca="1">=IF(AND(U49=0,S49&gt;0),-100%,IF(OR(S49=0,S49="-"),"-",IF(AND(S49=0,U49=0),0%,IF(S49&lt;U49,SUM(U49-S49)/S49,IF(S49&gt;U49,SUM(-1*(S49-U49)/S49),"")))))</x:f>
        <x:v/>
      </x:c>
      <x:c r="U49" s="183" t="n">
        <x:v>1087.00</x:v>
      </x:c>
      <x:c r="V49" s="183" t="n">
        <x:f ca="1">=SUM(U49/ ((O49- M49)/30.42))</x:f>
        <x:v/>
      </x:c>
      <x:c r="W49" s="196">
        <x:f ca="1">=IF(T49="","",IF(T49="-","",IF(U49=0,"",IF(OR(T49&gt;AA4,T49&lt;-AA4),"*",""))))</x:f>
        <x:v/>
      </x:c>
      <x:c r="X49" s="98" t="str">
        <x:v/>
      </x:c>
    </x:row>
    <x:row r="50" spans="1:25" s="12" x14ac:dyDescent="0.25">
      <x:c r="A50" s="90" t="str">
        <x:v>42</x:v>
      </x:c>
      <x:c r="B50" s="191" t="str">
        <x:v>T1129510668</x:v>
      </x:c>
      <x:c r="C50" s="191" t="str">
        <x:v>Ricoh SP 4310</x:v>
      </x:c>
      <x:c r="D50" s="191" t="str">
        <x:v>B/W Laser Prints</x:v>
      </x:c>
      <x:c r="E50" s="191" t="str">
        <x:v>T1129510668</x:v>
      </x:c>
      <x:c r="F50" s="191" t="str">
        <x:v>Active</x:v>
      </x:c>
      <x:c r="G50" s="191" t="str">
        <x:v>Nashville Treatment Center</x:v>
      </x:c>
      <x:c r="H50" s="191" t="str">
        <x:v/>
      </x:c>
      <x:c r="I50" s="191" t="str">
        <x:v/>
      </x:c>
      <x:c r="J50" s="191" t="str">
        <x:v/>
      </x:c>
      <x:c r="K50" s="191" t="str">
        <x:v/>
      </x:c>
      <x:c r="L50" s="191" t="str">
        <x:v/>
      </x:c>
      <x:c r="M50" s="191" t="str">
        <x:v>12/1/2018</x:v>
      </x:c>
      <x:c r="N50" s="189" t="n">
        <x:v>116066.00</x:v>
      </x:c>
      <x:c r="O50" s="191" t="str">
        <x:v>12/31/2018</x:v>
      </x:c>
      <x:c r="P50" s="189" t="n">
        <x:v>117124.00</x:v>
      </x:c>
      <x:c r="Q50" s="206" t="n">
        <x:v>0.0028</x:v>
      </x:c>
      <x:c r="R50" s="206" t="n">
        <x:v>0.0205</x:v>
      </x:c>
      <x:c r="S50" s="189" t="n">
        <x:v>876.00</x:v>
      </x:c>
      <x:c r="T50" s="187" t="n">
        <x:f ca="1">=IF(AND(U50=0,S50&gt;0),-100%,IF(OR(S50=0,S50="-"),"-",IF(AND(S50=0,U50=0),0%,IF(S50&lt;U50,SUM(U50-S50)/S50,IF(S50&gt;U50,SUM(-1*(S50-U50)/S50),"")))))</x:f>
        <x:v/>
      </x:c>
      <x:c r="U50" s="189" t="n">
        <x:v>1058.00</x:v>
      </x:c>
      <x:c r="V50" s="189" t="n">
        <x:f ca="1">=SUM(U50/ ((O50- M50)/30.42))</x:f>
        <x:v/>
      </x:c>
      <x:c r="W50" s="195">
        <x:f ca="1">=IF(T50="","",IF(T50="-","",IF(U50=0,"",IF(OR(T50&gt;AA4,T50&lt;-AA4),"*",""))))</x:f>
        <x:v/>
      </x:c>
      <x:c r="X50" s="91" t="str">
        <x:v/>
      </x:c>
    </x:row>
    <x:row r="51" spans="1:25" s="12" x14ac:dyDescent="0.25">
      <x:c r="A51" s="96" t="str">
        <x:v>43</x:v>
      </x:c>
      <x:c r="B51" s="192" t="str">
        <x:v>13068449</x:v>
      </x:c>
      <x:c r="C51" s="192" t="str">
        <x:v>Ricoh SP 4310</x:v>
      </x:c>
      <x:c r="D51" s="192" t="str">
        <x:v>B/W Laser Prints</x:v>
      </x:c>
      <x:c r="E51" s="192" t="str">
        <x:v>T1139010249</x:v>
      </x:c>
      <x:c r="F51" s="192" t="str">
        <x:v>Active</x:v>
      </x:c>
      <x:c r="G51" s="192" t="str">
        <x:v>Poplar Bluff Treatment Center</x:v>
      </x:c>
      <x:c r="H51" s="192" t="str">
        <x:v/>
      </x:c>
      <x:c r="I51" s="192" t="str">
        <x:v/>
      </x:c>
      <x:c r="J51" s="192" t="str">
        <x:v/>
      </x:c>
      <x:c r="K51" s="192" t="str">
        <x:v/>
      </x:c>
      <x:c r="L51" s="192" t="str">
        <x:v/>
      </x:c>
      <x:c r="M51" s="192" t="str">
        <x:v>12/1/2018</x:v>
      </x:c>
      <x:c r="N51" s="183" t="n">
        <x:v>70585.00</x:v>
      </x:c>
      <x:c r="O51" s="192" t="str">
        <x:v>12/31/2018</x:v>
      </x:c>
      <x:c r="P51" s="183" t="n">
        <x:v>71641.00</x:v>
      </x:c>
      <x:c r="Q51" s="207" t="n">
        <x:v>0.0028</x:v>
      </x:c>
      <x:c r="R51" s="207" t="n">
        <x:v>0.0205</x:v>
      </x:c>
      <x:c r="S51" s="183" t="n">
        <x:v>833.00</x:v>
      </x:c>
      <x:c r="T51" s="182" t="n">
        <x:f ca="1">=IF(AND(U51=0,S51&gt;0),-100%,IF(OR(S51=0,S51="-"),"-",IF(AND(S51=0,U51=0),0%,IF(S51&lt;U51,SUM(U51-S51)/S51,IF(S51&gt;U51,SUM(-1*(S51-U51)/S51),"")))))</x:f>
        <x:v/>
      </x:c>
      <x:c r="U51" s="183" t="n">
        <x:v>1056.00</x:v>
      </x:c>
      <x:c r="V51" s="183" t="n">
        <x:f ca="1">=SUM(U51/ ((O51- M51)/30.42))</x:f>
        <x:v/>
      </x:c>
      <x:c r="W51" s="196">
        <x:f ca="1">=IF(T51="","",IF(T51="-","",IF(U51=0,"",IF(OR(T51&gt;AA4,T51&lt;-AA4),"*",""))))</x:f>
        <x:v/>
      </x:c>
      <x:c r="X51" s="98" t="str">
        <x:v/>
      </x:c>
    </x:row>
    <x:row r="52" spans="1:25" s="12" x14ac:dyDescent="0.25">
      <x:c r="A52" s="90" t="str">
        <x:v>44</x:v>
      </x:c>
      <x:c r="B52" s="191" t="str">
        <x:v>20331668</x:v>
      </x:c>
      <x:c r="C52" s="191" t="str">
        <x:v>Ricoh SP 4310</x:v>
      </x:c>
      <x:c r="D52" s="191" t="str">
        <x:v>B/W Laser Prints</x:v>
      </x:c>
      <x:c r="E52" s="191" t="str">
        <x:v>T1119300115</x:v>
      </x:c>
      <x:c r="F52" s="191" t="str">
        <x:v>Active</x:v>
      </x:c>
      <x:c r="G52" s="191" t="str">
        <x:v>Jackson, TN Treatment Center</x:v>
      </x:c>
      <x:c r="H52" s="191" t="str">
        <x:v/>
      </x:c>
      <x:c r="I52" s="191" t="str">
        <x:v/>
      </x:c>
      <x:c r="J52" s="191" t="str">
        <x:v/>
      </x:c>
      <x:c r="K52" s="191" t="str">
        <x:v/>
      </x:c>
      <x:c r="L52" s="191" t="str">
        <x:v/>
      </x:c>
      <x:c r="M52" s="191" t="str">
        <x:v>12/1/2018</x:v>
      </x:c>
      <x:c r="N52" s="189" t="n">
        <x:v>125329.00</x:v>
      </x:c>
      <x:c r="O52" s="191" t="str">
        <x:v>12/31/2018</x:v>
      </x:c>
      <x:c r="P52" s="189" t="n">
        <x:v>126362.00</x:v>
      </x:c>
      <x:c r="Q52" s="206" t="n">
        <x:v>0.0028</x:v>
      </x:c>
      <x:c r="R52" s="206" t="n">
        <x:v>0.02</x:v>
      </x:c>
      <x:c r="S52" s="189" t="n">
        <x:v>858.00</x:v>
      </x:c>
      <x:c r="T52" s="187" t="n">
        <x:f ca="1">=IF(AND(U52=0,S52&gt;0),-100%,IF(OR(S52=0,S52="-"),"-",IF(AND(S52=0,U52=0),0%,IF(S52&lt;U52,SUM(U52-S52)/S52,IF(S52&gt;U52,SUM(-1*(S52-U52)/S52),"")))))</x:f>
        <x:v/>
      </x:c>
      <x:c r="U52" s="189" t="n">
        <x:v>1033.00</x:v>
      </x:c>
      <x:c r="V52" s="189" t="n">
        <x:f ca="1">=SUM(U52/ ((O52- M52)/30.42))</x:f>
        <x:v/>
      </x:c>
      <x:c r="W52" s="195">
        <x:f ca="1">=IF(T52="","",IF(T52="-","",IF(U52=0,"",IF(OR(T52&gt;AA4,T52&lt;-AA4),"*",""))))</x:f>
        <x:v/>
      </x:c>
      <x:c r="X52" s="91" t="str">
        <x:v/>
      </x:c>
    </x:row>
    <x:row r="53" spans="1:25" s="12" x14ac:dyDescent="0.25">
      <x:c r="A53" s="96" t="str">
        <x:v>45</x:v>
      </x:c>
      <x:c r="B53" s="192" t="str">
        <x:v>13428505</x:v>
      </x:c>
      <x:c r="C53" s="192" t="str">
        <x:v>Ricoh SP 4310</x:v>
      </x:c>
      <x:c r="D53" s="192" t="str">
        <x:v>B/W Laser Prints</x:v>
      </x:c>
      <x:c r="E53" s="192" t="str">
        <x:v>T1158610447</x:v>
      </x:c>
      <x:c r="F53" s="192" t="str">
        <x:v>Active</x:v>
      </x:c>
      <x:c r="G53" s="192" t="str">
        <x:v>Paducah Treatment Center</x:v>
      </x:c>
      <x:c r="H53" s="192" t="str">
        <x:v/>
      </x:c>
      <x:c r="I53" s="192" t="str">
        <x:v/>
      </x:c>
      <x:c r="J53" s="192" t="str">
        <x:v>5</x:v>
      </x:c>
      <x:c r="K53" s="192" t="str">
        <x:v/>
      </x:c>
      <x:c r="L53" s="192" t="str">
        <x:v/>
      </x:c>
      <x:c r="M53" s="192" t="str">
        <x:v>11/20/2018</x:v>
      </x:c>
      <x:c r="N53" s="183" t="n">
        <x:v>52298.00</x:v>
      </x:c>
      <x:c r="O53" s="192" t="str">
        <x:v>12/28/2018</x:v>
      </x:c>
      <x:c r="P53" s="183" t="n">
        <x:v>53321.00</x:v>
      </x:c>
      <x:c r="Q53" s="207" t="n">
        <x:v>0.0028</x:v>
      </x:c>
      <x:c r="R53" s="207" t="n">
        <x:v>0.0199</x:v>
      </x:c>
      <x:c r="S53" s="183" t="n">
        <x:v>1212.00</x:v>
      </x:c>
      <x:c r="T53" s="182" t="n">
        <x:f ca="1">=IF(AND(U53=0,S53&gt;0),-100%,IF(OR(S53=0,S53="-"),"-",IF(AND(S53=0,U53=0),0%,IF(S53&lt;U53,SUM(U53-S53)/S53,IF(S53&gt;U53,SUM(-1*(S53-U53)/S53),"")))))</x:f>
        <x:v/>
      </x:c>
      <x:c r="U53" s="183" t="n">
        <x:v>1023.00</x:v>
      </x:c>
      <x:c r="V53" s="183" t="n">
        <x:f ca="1">=SUM(U53/ ((O53- M53)/30.42))</x:f>
        <x:v/>
      </x:c>
      <x:c r="W53" s="196">
        <x:f ca="1">=IF(T53="","",IF(T53="-","",IF(U53=0,"",IF(OR(T53&gt;AA4,T53&lt;-AA4),"*",""))))</x:f>
        <x:v/>
      </x:c>
      <x:c r="X53" s="98" t="str">
        <x:v/>
      </x:c>
    </x:row>
    <x:row r="54" spans="1:25" s="12" x14ac:dyDescent="0.25">
      <x:c r="A54" s="90" t="str">
        <x:v>46</x:v>
      </x:c>
      <x:c r="B54" s="191" t="str">
        <x:v>S5209502352</x:v>
      </x:c>
      <x:c r="C54" s="191" t="str">
        <x:v>Ricoh SP 4210N</x:v>
      </x:c>
      <x:c r="D54" s="191" t="str">
        <x:v>B/W Laser Prints</x:v>
      </x:c>
      <x:c r="E54" s="191" t="str">
        <x:v>S5209502352</x:v>
      </x:c>
      <x:c r="F54" s="191" t="str">
        <x:v>Active</x:v>
      </x:c>
      <x:c r="G54" s="191" t="str">
        <x:v>Dallas Corporate Office</x:v>
      </x:c>
      <x:c r="H54" s="191" t="str">
        <x:v/>
      </x:c>
      <x:c r="I54" s="191" t="str">
        <x:v/>
      </x:c>
      <x:c r="J54" s="191" t="str">
        <x:v>2</x:v>
      </x:c>
      <x:c r="K54" s="191" t="str">
        <x:v/>
      </x:c>
      <x:c r="L54" s="191" t="str">
        <x:v/>
      </x:c>
      <x:c r="M54" s="191" t="str">
        <x:v>12/1/2018</x:v>
      </x:c>
      <x:c r="N54" s="189" t="n">
        <x:v>75407.00</x:v>
      </x:c>
      <x:c r="O54" s="191" t="str">
        <x:v>12/31/2018</x:v>
      </x:c>
      <x:c r="P54" s="189" t="n">
        <x:v>76290.00</x:v>
      </x:c>
      <x:c r="Q54" s="206" t="n">
        <x:v>0.0024</x:v>
      </x:c>
      <x:c r="R54" s="206" t="n">
        <x:v>0.0171</x:v>
      </x:c>
      <x:c r="S54" s="189" t="n">
        <x:v>1213.00</x:v>
      </x:c>
      <x:c r="T54" s="187" t="n">
        <x:f ca="1">=IF(AND(U54=0,S54&gt;0),-100%,IF(OR(S54=0,S54="-"),"-",IF(AND(S54=0,U54=0),0%,IF(S54&lt;U54,SUM(U54-S54)/S54,IF(S54&gt;U54,SUM(-1*(S54-U54)/S54),"")))))</x:f>
        <x:v/>
      </x:c>
      <x:c r="U54" s="189" t="n">
        <x:v>883.00</x:v>
      </x:c>
      <x:c r="V54" s="189" t="n">
        <x:f ca="1">=SUM(U54/ ((O54- M54)/30.42))</x:f>
        <x:v/>
      </x:c>
      <x:c r="W54" s="195">
        <x:f ca="1">=IF(T54="","",IF(T54="-","",IF(U54=0,"",IF(OR(T54&gt;AA4,T54&lt;-AA4),"*",""))))</x:f>
        <x:v/>
      </x:c>
      <x:c r="X54" s="91" t="str">
        <x:v/>
      </x:c>
    </x:row>
    <x:row r="55" spans="1:25" s="12" x14ac:dyDescent="0.25">
      <x:c r="A55" s="96" t="str">
        <x:v>47</x:v>
      </x:c>
      <x:c r="B55" s="192" t="str">
        <x:v>13134346</x:v>
      </x:c>
      <x:c r="C55" s="192" t="str">
        <x:v>Ricoh SP 4310</x:v>
      </x:c>
      <x:c r="D55" s="192" t="str">
        <x:v>B/W Laser Prints</x:v>
      </x:c>
      <x:c r="E55" s="192" t="str">
        <x:v>T1139010248</x:v>
      </x:c>
      <x:c r="F55" s="192" t="str">
        <x:v>Active</x:v>
      </x:c>
      <x:c r="G55" s="192" t="str">
        <x:v>West Plains Treatment Center</x:v>
      </x:c>
      <x:c r="H55" s="192" t="str">
        <x:v/>
      </x:c>
      <x:c r="I55" s="192" t="str">
        <x:v/>
      </x:c>
      <x:c r="J55" s="192" t="str">
        <x:v/>
      </x:c>
      <x:c r="K55" s="192" t="str">
        <x:v/>
      </x:c>
      <x:c r="L55" s="192" t="str">
        <x:v/>
      </x:c>
      <x:c r="M55" s="192" t="str">
        <x:v>12/1/2018</x:v>
      </x:c>
      <x:c r="N55" s="183" t="n">
        <x:v>43078.00</x:v>
      </x:c>
      <x:c r="O55" s="192" t="str">
        <x:v>12/31/2018</x:v>
      </x:c>
      <x:c r="P55" s="183" t="n">
        <x:v>43961.00</x:v>
      </x:c>
      <x:c r="Q55" s="207" t="n">
        <x:v>0.0024</x:v>
      </x:c>
      <x:c r="R55" s="207" t="n">
        <x:v>0.0171</x:v>
      </x:c>
      <x:c r="S55" s="183" t="n">
        <x:v>952.00</x:v>
      </x:c>
      <x:c r="T55" s="182" t="n">
        <x:f ca="1">=IF(AND(U55=0,S55&gt;0),-100%,IF(OR(S55=0,S55="-"),"-",IF(AND(S55=0,U55=0),0%,IF(S55&lt;U55,SUM(U55-S55)/S55,IF(S55&gt;U55,SUM(-1*(S55-U55)/S55),"")))))</x:f>
        <x:v/>
      </x:c>
      <x:c r="U55" s="183" t="n">
        <x:v>883.00</x:v>
      </x:c>
      <x:c r="V55" s="183" t="n">
        <x:f ca="1">=SUM(U55/ ((O55- M55)/30.42))</x:f>
        <x:v/>
      </x:c>
      <x:c r="W55" s="196">
        <x:f ca="1">=IF(T55="","",IF(T55="-","",IF(U55=0,"",IF(OR(T55&gt;AA4,T55&lt;-AA4),"*",""))))</x:f>
        <x:v/>
      </x:c>
      <x:c r="X55" s="98" t="str">
        <x:v/>
      </x:c>
    </x:row>
    <x:row r="56" spans="1:25" s="12" x14ac:dyDescent="0.25">
      <x:c r="A56" s="90" t="str">
        <x:v>48</x:v>
      </x:c>
      <x:c r="B56" s="191" t="str">
        <x:v>20010992</x:v>
      </x:c>
      <x:c r="C56" s="191" t="str">
        <x:v>Ricoh SP 4210N</x:v>
      </x:c>
      <x:c r="D56" s="191" t="str">
        <x:v>B/W Laser Prints</x:v>
      </x:c>
      <x:c r="E56" s="191" t="str">
        <x:v>S5209501761</x:v>
      </x:c>
      <x:c r="F56" s="191" t="str">
        <x:v>Active</x:v>
      </x:c>
      <x:c r="G56" s="191" t="str">
        <x:v>Nashville Treatment Center</x:v>
      </x:c>
      <x:c r="H56" s="191" t="str">
        <x:v/>
      </x:c>
      <x:c r="I56" s="191" t="str">
        <x:v/>
      </x:c>
      <x:c r="J56" s="191" t="str">
        <x:v>1</x:v>
      </x:c>
      <x:c r="K56" s="191" t="str">
        <x:v/>
      </x:c>
      <x:c r="L56" s="191" t="str">
        <x:v/>
      </x:c>
      <x:c r="M56" s="191" t="str">
        <x:v>12/1/2018</x:v>
      </x:c>
      <x:c r="N56" s="189" t="n">
        <x:v>269832.00</x:v>
      </x:c>
      <x:c r="O56" s="191" t="str">
        <x:v>12/31/2018</x:v>
      </x:c>
      <x:c r="P56" s="189" t="n">
        <x:v>270695.00</x:v>
      </x:c>
      <x:c r="Q56" s="206" t="n">
        <x:v>0.0023</x:v>
      </x:c>
      <x:c r="R56" s="206" t="n">
        <x:v>0.0167</x:v>
      </x:c>
      <x:c r="S56" s="189" t="n">
        <x:v>890.00</x:v>
      </x:c>
      <x:c r="T56" s="187" t="n">
        <x:f ca="1">=IF(AND(U56=0,S56&gt;0),-100%,IF(OR(S56=0,S56="-"),"-",IF(AND(S56=0,U56=0),0%,IF(S56&lt;U56,SUM(U56-S56)/S56,IF(S56&gt;U56,SUM(-1*(S56-U56)/S56),"")))))</x:f>
        <x:v/>
      </x:c>
      <x:c r="U56" s="189" t="n">
        <x:v>863.00</x:v>
      </x:c>
      <x:c r="V56" s="189" t="n">
        <x:f ca="1">=SUM(U56/ ((O56- M56)/30.42))</x:f>
        <x:v/>
      </x:c>
      <x:c r="W56" s="195">
        <x:f ca="1">=IF(T56="","",IF(T56="-","",IF(U56=0,"",IF(OR(T56&gt;AA4,T56&lt;-AA4),"*",""))))</x:f>
        <x:v/>
      </x:c>
      <x:c r="X56" s="91" t="str">
        <x:v/>
      </x:c>
    </x:row>
    <x:row r="57" spans="1:25" s="12" x14ac:dyDescent="0.25">
      <x:c r="A57" s="96" t="str">
        <x:v>49</x:v>
      </x:c>
      <x:c r="B57" s="192" t="str">
        <x:v>13927574</x:v>
      </x:c>
      <x:c r="C57" s="192" t="str">
        <x:v>Ricoh SP 4510DN</x:v>
      </x:c>
      <x:c r="D57" s="192" t="str">
        <x:v>B/W Laser Prints</x:v>
      </x:c>
      <x:c r="E57" s="192" t="str">
        <x:v>T576HC01251</x:v>
      </x:c>
      <x:c r="F57" s="192" t="str">
        <x:v>Active</x:v>
      </x:c>
      <x:c r="G57" s="192" t="str">
        <x:v>Centennial Treatment Center</x:v>
      </x:c>
      <x:c r="H57" s="192" t="str">
        <x:v/>
      </x:c>
      <x:c r="I57" s="192" t="str">
        <x:v/>
      </x:c>
      <x:c r="J57" s="192" t="str">
        <x:v>1</x:v>
      </x:c>
      <x:c r="K57" s="192" t="str">
        <x:v>Amanda Malone</x:v>
      </x:c>
      <x:c r="L57" s="192" t="str">
        <x:v/>
      </x:c>
      <x:c r="M57" s="192" t="str">
        <x:v>12/1/2018</x:v>
      </x:c>
      <x:c r="N57" s="183" t="n">
        <x:v>13061.00</x:v>
      </x:c>
      <x:c r="O57" s="192" t="str">
        <x:v>12/31/2018</x:v>
      </x:c>
      <x:c r="P57" s="183" t="n">
        <x:v>13896.00</x:v>
      </x:c>
      <x:c r="Q57" s="207" t="n">
        <x:v>0.0022</x:v>
      </x:c>
      <x:c r="R57" s="207" t="n">
        <x:v>0.0162</x:v>
      </x:c>
      <x:c r="S57" s="183" t="n">
        <x:v>855.00</x:v>
      </x:c>
      <x:c r="T57" s="182" t="n">
        <x:f ca="1">=IF(AND(U57=0,S57&gt;0),-100%,IF(OR(S57=0,S57="-"),"-",IF(AND(S57=0,U57=0),0%,IF(S57&lt;U57,SUM(U57-S57)/S57,IF(S57&gt;U57,SUM(-1*(S57-U57)/S57),"")))))</x:f>
        <x:v/>
      </x:c>
      <x:c r="U57" s="183" t="n">
        <x:v>835.00</x:v>
      </x:c>
      <x:c r="V57" s="183" t="n">
        <x:f ca="1">=SUM(U57/ ((O57- M57)/30.42))</x:f>
        <x:v/>
      </x:c>
      <x:c r="W57" s="196">
        <x:f ca="1">=IF(T57="","",IF(T57="-","",IF(U57=0,"",IF(OR(T57&gt;AA4,T57&lt;-AA4),"*",""))))</x:f>
        <x:v/>
      </x:c>
      <x:c r="X57" s="98" t="str">
        <x:v/>
      </x:c>
    </x:row>
    <x:row r="58" spans="1:25" s="12" x14ac:dyDescent="0.25">
      <x:c r="A58" s="90" t="str">
        <x:v>50</x:v>
      </x:c>
      <x:c r="B58" s="191" t="str">
        <x:v>FPR58283</x:v>
      </x:c>
      <x:c r="C58" s="191" t="str">
        <x:v>Ricoh SP 4510DN</x:v>
      </x:c>
      <x:c r="D58" s="191" t="str">
        <x:v>B/W Laser Prints</x:v>
      </x:c>
      <x:c r="E58" s="191" t="str">
        <x:v>T578H102482</x:v>
      </x:c>
      <x:c r="F58" s="191" t="str">
        <x:v>Active</x:v>
      </x:c>
      <x:c r="G58" s="191" t="str">
        <x:v>Jackson, GA Treatment Center</x:v>
      </x:c>
      <x:c r="H58" s="191" t="str">
        <x:v/>
      </x:c>
      <x:c r="I58" s="191" t="str">
        <x:v/>
      </x:c>
      <x:c r="J58" s="191" t="str">
        <x:v>6</x:v>
      </x:c>
      <x:c r="K58" s="191" t="str">
        <x:v/>
      </x:c>
      <x:c r="L58" s="191" t="str">
        <x:v/>
      </x:c>
      <x:c r="M58" s="191" t="str">
        <x:v>12/1/2018</x:v>
      </x:c>
      <x:c r="N58" s="189" t="n">
        <x:v>3564.00</x:v>
      </x:c>
      <x:c r="O58" s="191" t="str">
        <x:v>12/31/2018</x:v>
      </x:c>
      <x:c r="P58" s="189" t="n">
        <x:v>4366.00</x:v>
      </x:c>
      <x:c r="Q58" s="206" t="n">
        <x:v>0.0022</x:v>
      </x:c>
      <x:c r="R58" s="206" t="n">
        <x:v>0.0156</x:v>
      </x:c>
      <x:c r="S58" s="189" t="n">
        <x:v>2751.00</x:v>
      </x:c>
      <x:c r="T58" s="187" t="n">
        <x:f ca="1">=IF(AND(U58=0,S58&gt;0),-100%,IF(OR(S58=0,S58="-"),"-",IF(AND(S58=0,U58=0),0%,IF(S58&lt;U58,SUM(U58-S58)/S58,IF(S58&gt;U58,SUM(-1*(S58-U58)/S58),"")))))</x:f>
        <x:v/>
      </x:c>
      <x:c r="U58" s="189" t="n">
        <x:v>802.00</x:v>
      </x:c>
      <x:c r="V58" s="189" t="n">
        <x:f ca="1">=SUM(U58/ ((O58- M58)/30.42))</x:f>
        <x:v/>
      </x:c>
      <x:c r="W58" s="195">
        <x:f ca="1">=IF(T58="","",IF(T58="-","",IF(U58=0,"",IF(OR(T58&gt;AA4,T58&lt;-AA4),"*",""))))</x:f>
        <x:v/>
      </x:c>
      <x:c r="X58" s="91" t="str">
        <x:v/>
      </x:c>
    </x:row>
    <x:row r="59" spans="1:25" s="12" x14ac:dyDescent="0.25">
      <x:c r="A59" s="96" t="str">
        <x:v>51</x:v>
      </x:c>
      <x:c r="B59" s="192" t="str">
        <x:v>13908162</x:v>
      </x:c>
      <x:c r="C59" s="192" t="str">
        <x:v>Ricoh MP 501spf</x:v>
      </x:c>
      <x:c r="D59" s="192" t="str">
        <x:v>B/W Laser Prints</x:v>
      </x:c>
      <x:c r="E59" s="192" t="str">
        <x:v>G986XB19381</x:v>
      </x:c>
      <x:c r="F59" s="192" t="str">
        <x:v>Active</x:v>
      </x:c>
      <x:c r="G59" s="192" t="str">
        <x:v>Joplin Treatment Center</x:v>
      </x:c>
      <x:c r="H59" s="192" t="str">
        <x:v/>
      </x:c>
      <x:c r="I59" s="192" t="str">
        <x:v/>
      </x:c>
      <x:c r="J59" s="192" t="str">
        <x:v>1</x:v>
      </x:c>
      <x:c r="K59" s="192" t="str">
        <x:v>Jason Bowers</x:v>
      </x:c>
      <x:c r="L59" s="192" t="str">
        <x:v/>
      </x:c>
      <x:c r="M59" s="192" t="str">
        <x:v>12/1/2018</x:v>
      </x:c>
      <x:c r="N59" s="183" t="n">
        <x:v>15140.00</x:v>
      </x:c>
      <x:c r="O59" s="192" t="str">
        <x:v>12/31/2018</x:v>
      </x:c>
      <x:c r="P59" s="183" t="n">
        <x:v>15917.00</x:v>
      </x:c>
      <x:c r="Q59" s="207" t="n">
        <x:v>0.0021</x:v>
      </x:c>
      <x:c r="R59" s="207" t="n">
        <x:v>0.0151</x:v>
      </x:c>
      <x:c r="S59" s="183" t="n">
        <x:v>475.00</x:v>
      </x:c>
      <x:c r="T59" s="182" t="n">
        <x:f ca="1">=IF(AND(U59=0,S59&gt;0),-100%,IF(OR(S59=0,S59="-"),"-",IF(AND(S59=0,U59=0),0%,IF(S59&lt;U59,SUM(U59-S59)/S59,IF(S59&gt;U59,SUM(-1*(S59-U59)/S59),"")))))</x:f>
        <x:v/>
      </x:c>
      <x:c r="U59" s="183" t="n">
        <x:v>777.00</x:v>
      </x:c>
      <x:c r="V59" s="183" t="n">
        <x:f ca="1">=SUM(U59/ ((O59- M59)/30.42))</x:f>
        <x:v/>
      </x:c>
      <x:c r="W59" s="196">
        <x:f ca="1">=IF(T59="","",IF(T59="-","",IF(U59=0,"",IF(OR(T59&gt;AA4,T59&lt;-AA4),"*",""))))</x:f>
        <x:v/>
      </x:c>
      <x:c r="X59" s="98" t="str">
        <x:v/>
      </x:c>
    </x:row>
    <x:row r="60" spans="1:25" s="12" x14ac:dyDescent="0.25">
      <x:c r="A60" s="90" t="str">
        <x:v>52</x:v>
      </x:c>
      <x:c r="B60" s="191" t="str">
        <x:v>AFPR58284</x:v>
      </x:c>
      <x:c r="C60" s="191" t="str">
        <x:v>Ricoh SP 4510DN</x:v>
      </x:c>
      <x:c r="D60" s="191" t="str">
        <x:v>B/W Laser Prints</x:v>
      </x:c>
      <x:c r="E60" s="191" t="str">
        <x:v>T578H100196</x:v>
      </x:c>
      <x:c r="F60" s="191" t="str">
        <x:v>Inactive</x:v>
      </x:c>
      <x:c r="G60" s="191" t="str">
        <x:v>Gadsden Treatment Center</x:v>
      </x:c>
      <x:c r="H60" s="191" t="str">
        <x:v/>
      </x:c>
      <x:c r="I60" s="191" t="str">
        <x:v/>
      </x:c>
      <x:c r="J60" s="191" t="str">
        <x:v/>
      </x:c>
      <x:c r="K60" s="191" t="str">
        <x:v/>
      </x:c>
      <x:c r="L60" s="191" t="str">
        <x:v/>
      </x:c>
      <x:c r="M60" s="191" t="str">
        <x:v>12/1/2018</x:v>
      </x:c>
      <x:c r="N60" s="189" t="n">
        <x:v>17761.00</x:v>
      </x:c>
      <x:c r="O60" s="191" t="str">
        <x:v>12/31/2018</x:v>
      </x:c>
      <x:c r="P60" s="189" t="n">
        <x:v>18497.00</x:v>
      </x:c>
      <x:c r="Q60" s="206" t="n">
        <x:v>0.002</x:v>
      </x:c>
      <x:c r="R60" s="206" t="n">
        <x:v>0.0143</x:v>
      </x:c>
      <x:c r="S60" s="189" t="n">
        <x:v>15621.00</x:v>
      </x:c>
      <x:c r="T60" s="187" t="n">
        <x:f ca="1">=IF(AND(U60=0,S60&gt;0),-100%,IF(OR(S60=0,S60="-"),"-",IF(AND(S60=0,U60=0),0%,IF(S60&lt;U60,SUM(U60-S60)/S60,IF(S60&gt;U60,SUM(-1*(S60-U60)/S60),"")))))</x:f>
        <x:v/>
      </x:c>
      <x:c r="U60" s="189" t="n">
        <x:v>736.00</x:v>
      </x:c>
      <x:c r="V60" s="189" t="n">
        <x:f ca="1">=SUM(U60/ ((O60- M60)/30.42))</x:f>
        <x:v/>
      </x:c>
      <x:c r="W60" s="195">
        <x:f ca="1">=IF(T60="","",IF(T60="-","",IF(U60=0,"",IF(OR(T60&gt;AA4,T60&lt;-AA4),"*",""))))</x:f>
        <x:v/>
      </x:c>
      <x:c r="X60" s="91" t="str">
        <x:v/>
      </x:c>
    </x:row>
    <x:row r="61" spans="1:25" s="12" x14ac:dyDescent="0.25">
      <x:c r="A61" s="96" t="str">
        <x:v>53</x:v>
      </x:c>
      <x:c r="B61" s="192" t="str">
        <x:v>13357154</x:v>
      </x:c>
      <x:c r="C61" s="192" t="str">
        <x:v>Ricoh SP 4310</x:v>
      </x:c>
      <x:c r="D61" s="192" t="str">
        <x:v>B/W Laser Prints</x:v>
      </x:c>
      <x:c r="E61" s="192" t="str">
        <x:v>T1148610026</x:v>
      </x:c>
      <x:c r="F61" s="192" t="str">
        <x:v>Active</x:v>
      </x:c>
      <x:c r="G61" s="192" t="str">
        <x:v>Longmont Treatment Center</x:v>
      </x:c>
      <x:c r="H61" s="192" t="str">
        <x:v/>
      </x:c>
      <x:c r="I61" s="192" t="str">
        <x:v/>
      </x:c>
      <x:c r="J61" s="192" t="str">
        <x:v>9</x:v>
      </x:c>
      <x:c r="K61" s="192" t="str">
        <x:v/>
      </x:c>
      <x:c r="L61" s="192" t="str">
        <x:v/>
      </x:c>
      <x:c r="M61" s="192" t="str">
        <x:v>12/1/2018</x:v>
      </x:c>
      <x:c r="N61" s="183" t="n">
        <x:v>103915.00</x:v>
      </x:c>
      <x:c r="O61" s="192" t="str">
        <x:v>12/31/2018</x:v>
      </x:c>
      <x:c r="P61" s="183" t="n">
        <x:v>104573.00</x:v>
      </x:c>
      <x:c r="Q61" s="207" t="n">
        <x:v>0.0018</x:v>
      </x:c>
      <x:c r="R61" s="207" t="n">
        <x:v>0.0128</x:v>
      </x:c>
      <x:c r="S61" s="183" t="n">
        <x:v>881.00</x:v>
      </x:c>
      <x:c r="T61" s="182" t="n">
        <x:f ca="1">=IF(AND(U61=0,S61&gt;0),-100%,IF(OR(S61=0,S61="-"),"-",IF(AND(S61=0,U61=0),0%,IF(S61&lt;U61,SUM(U61-S61)/S61,IF(S61&gt;U61,SUM(-1*(S61-U61)/S61),"")))))</x:f>
        <x:v/>
      </x:c>
      <x:c r="U61" s="183" t="n">
        <x:v>658.00</x:v>
      </x:c>
      <x:c r="V61" s="183" t="n">
        <x:f ca="1">=SUM(U61/ ((O61- M61)/30.42))</x:f>
        <x:v/>
      </x:c>
      <x:c r="W61" s="196">
        <x:f ca="1">=IF(T61="","",IF(T61="-","",IF(U61=0,"",IF(OR(T61&gt;AA4,T61&lt;-AA4),"*",""))))</x:f>
        <x:v/>
      </x:c>
      <x:c r="X61" s="98" t="str">
        <x:v/>
      </x:c>
    </x:row>
    <x:row r="62" spans="1:25" s="12" x14ac:dyDescent="0.25">
      <x:c r="A62" s="90" t="str">
        <x:v>54</x:v>
      </x:c>
      <x:c r="B62" s="191" t="str">
        <x:v>T575HB03702</x:v>
      </x:c>
      <x:c r="C62" s="191" t="str">
        <x:v>Ricoh SP 4510DN</x:v>
      </x:c>
      <x:c r="D62" s="191" t="str">
        <x:v>B/W Laser Prints</x:v>
      </x:c>
      <x:c r="E62" s="191" t="str">
        <x:v>T575HB03702</x:v>
      </x:c>
      <x:c r="F62" s="191" t="str">
        <x:v>Active</x:v>
      </x:c>
      <x:c r="G62" s="191" t="str">
        <x:v>Kansas City Treatment Center</x:v>
      </x:c>
      <x:c r="H62" s="191" t="str">
        <x:v/>
      </x:c>
      <x:c r="I62" s="191" t="str">
        <x:v/>
      </x:c>
      <x:c r="J62" s="191" t="str">
        <x:v/>
      </x:c>
      <x:c r="K62" s="191" t="str">
        <x:v>Cammy Testerman</x:v>
      </x:c>
      <x:c r="L62" s="191" t="str">
        <x:v/>
      </x:c>
      <x:c r="M62" s="191" t="str">
        <x:v>12/1/2018</x:v>
      </x:c>
      <x:c r="N62" s="189" t="n">
        <x:v>34691.00</x:v>
      </x:c>
      <x:c r="O62" s="191" t="str">
        <x:v>12/31/2018</x:v>
      </x:c>
      <x:c r="P62" s="189" t="n">
        <x:v>35261.00</x:v>
      </x:c>
      <x:c r="Q62" s="206" t="n">
        <x:v>0.0015</x:v>
      </x:c>
      <x:c r="R62" s="206" t="n">
        <x:v>0.0111</x:v>
      </x:c>
      <x:c r="S62" s="189" t="n">
        <x:v>441.00</x:v>
      </x:c>
      <x:c r="T62" s="187" t="n">
        <x:f ca="1">=IF(AND(U62=0,S62&gt;0),-100%,IF(OR(S62=0,S62="-"),"-",IF(AND(S62=0,U62=0),0%,IF(S62&lt;U62,SUM(U62-S62)/S62,IF(S62&gt;U62,SUM(-1*(S62-U62)/S62),"")))))</x:f>
        <x:v/>
      </x:c>
      <x:c r="U62" s="189" t="n">
        <x:v>570.00</x:v>
      </x:c>
      <x:c r="V62" s="189" t="n">
        <x:f ca="1">=SUM(U62/ ((O62- M62)/30.42))</x:f>
        <x:v/>
      </x:c>
      <x:c r="W62" s="195">
        <x:f ca="1">=IF(T62="","",IF(T62="-","",IF(U62=0,"",IF(OR(T62&gt;AA4,T62&lt;-AA4),"*",""))))</x:f>
        <x:v/>
      </x:c>
      <x:c r="X62" s="91" t="str">
        <x:v/>
      </x:c>
    </x:row>
    <x:row r="63" spans="1:25" s="12" x14ac:dyDescent="0.25">
      <x:c r="A63" s="96" t="str">
        <x:v>55</x:v>
      </x:c>
      <x:c r="B63" s="192" t="str">
        <x:v>17121650</x:v>
      </x:c>
      <x:c r="C63" s="192" t="str">
        <x:v>Ricoh SP 4310</x:v>
      </x:c>
      <x:c r="D63" s="192" t="str">
        <x:v>B/W Laser Prints</x:v>
      </x:c>
      <x:c r="E63" s="192" t="str">
        <x:v>T1129310904</x:v>
      </x:c>
      <x:c r="F63" s="192" t="str">
        <x:v>Active</x:v>
      </x:c>
      <x:c r="G63" s="192" t="str">
        <x:v>Dallas Corporate Office</x:v>
      </x:c>
      <x:c r="H63" s="192" t="str">
        <x:v/>
      </x:c>
      <x:c r="I63" s="192" t="str">
        <x:v/>
      </x:c>
      <x:c r="J63" s="192" t="str">
        <x:v>2</x:v>
      </x:c>
      <x:c r="K63" s="192" t="str">
        <x:v/>
      </x:c>
      <x:c r="L63" s="192" t="str">
        <x:v/>
      </x:c>
      <x:c r="M63" s="192" t="str">
        <x:v>12/1/2018</x:v>
      </x:c>
      <x:c r="N63" s="183" t="n">
        <x:v>118765.00</x:v>
      </x:c>
      <x:c r="O63" s="192" t="str">
        <x:v>12/31/2018</x:v>
      </x:c>
      <x:c r="P63" s="183" t="n">
        <x:v>119295.00</x:v>
      </x:c>
      <x:c r="Q63" s="207" t="n">
        <x:v>0.0014</x:v>
      </x:c>
      <x:c r="R63" s="207" t="n">
        <x:v>0.0103</x:v>
      </x:c>
      <x:c r="S63" s="183" t="n">
        <x:v>639.00</x:v>
      </x:c>
      <x:c r="T63" s="182" t="n">
        <x:f ca="1">=IF(AND(U63=0,S63&gt;0),-100%,IF(OR(S63=0,S63="-"),"-",IF(AND(S63=0,U63=0),0%,IF(S63&lt;U63,SUM(U63-S63)/S63,IF(S63&gt;U63,SUM(-1*(S63-U63)/S63),"")))))</x:f>
        <x:v/>
      </x:c>
      <x:c r="U63" s="183" t="n">
        <x:v>530.00</x:v>
      </x:c>
      <x:c r="V63" s="183" t="n">
        <x:f ca="1">=SUM(U63/ ((O63- M63)/30.42))</x:f>
        <x:v/>
      </x:c>
      <x:c r="W63" s="196">
        <x:f ca="1">=IF(T63="","",IF(T63="-","",IF(U63=0,"",IF(OR(T63&gt;AA4,T63&lt;-AA4),"*",""))))</x:f>
        <x:v/>
      </x:c>
      <x:c r="X63" s="98" t="str">
        <x:v/>
      </x:c>
    </x:row>
    <x:row r="64" spans="1:25" s="12" x14ac:dyDescent="0.25">
      <x:c r="A64" s="90" t="str">
        <x:v>56</x:v>
      </x:c>
      <x:c r="B64" s="191" t="str">
        <x:v>FPR59852</x:v>
      </x:c>
      <x:c r="C64" s="191" t="str">
        <x:v>Ricoh SP 4510DN</x:v>
      </x:c>
      <x:c r="D64" s="191" t="str">
        <x:v>B/W Laser Prints</x:v>
      </x:c>
      <x:c r="E64" s="191" t="str">
        <x:v>T577H500889</x:v>
      </x:c>
      <x:c r="F64" s="191" t="str">
        <x:v>Active</x:v>
      </x:c>
      <x:c r="G64" s="191" t="str">
        <x:v>Paducah Treatment Center</x:v>
      </x:c>
      <x:c r="H64" s="191" t="str">
        <x:v/>
      </x:c>
      <x:c r="I64" s="191" t="str">
        <x:v/>
      </x:c>
      <x:c r="J64" s="191" t="str">
        <x:v/>
      </x:c>
      <x:c r="K64" s="191" t="str">
        <x:v>Home Office / Austin Dinwiddie</x:v>
      </x:c>
      <x:c r="L64" s="191" t="str">
        <x:v/>
      </x:c>
      <x:c r="M64" s="191" t="str">
        <x:v>12/1/2018</x:v>
      </x:c>
      <x:c r="N64" s="189" t="n">
        <x:v>4641.00</x:v>
      </x:c>
      <x:c r="O64" s="191" t="str">
        <x:v>12/31/2018</x:v>
      </x:c>
      <x:c r="P64" s="189" t="n">
        <x:v>5164.00</x:v>
      </x:c>
      <x:c r="Q64" s="206" t="n">
        <x:v>0.0014</x:v>
      </x:c>
      <x:c r="R64" s="206" t="n">
        <x:v>0.0102</x:v>
      </x:c>
      <x:c r="S64" s="189" t="n">
        <x:v>868.00</x:v>
      </x:c>
      <x:c r="T64" s="187" t="n">
        <x:f ca="1">=IF(AND(U64=0,S64&gt;0),-100%,IF(OR(S64=0,S64="-"),"-",IF(AND(S64=0,U64=0),0%,IF(S64&lt;U64,SUM(U64-S64)/S64,IF(S64&gt;U64,SUM(-1*(S64-U64)/S64),"")))))</x:f>
        <x:v/>
      </x:c>
      <x:c r="U64" s="189" t="n">
        <x:v>523.00</x:v>
      </x:c>
      <x:c r="V64" s="189" t="n">
        <x:f ca="1">=SUM(U64/ ((O64- M64)/30.42))</x:f>
        <x:v/>
      </x:c>
      <x:c r="W64" s="195">
        <x:f ca="1">=IF(T64="","",IF(T64="-","",IF(U64=0,"",IF(OR(T64&gt;AA4,T64&lt;-AA4),"*",""))))</x:f>
        <x:v/>
      </x:c>
      <x:c r="X64" s="91" t="str">
        <x:v/>
      </x:c>
    </x:row>
    <x:row r="65" spans="1:25" s="12" x14ac:dyDescent="0.25">
      <x:c r="A65" s="96" t="str">
        <x:v>57</x:v>
      </x:c>
      <x:c r="B65" s="192" t="str">
        <x:v>13313762</x:v>
      </x:c>
      <x:c r="C65" s="192" t="str">
        <x:v>Ricoh SP 4210N</x:v>
      </x:c>
      <x:c r="D65" s="192" t="str">
        <x:v>B/W Laser Prints</x:v>
      </x:c>
      <x:c r="E65" s="192" t="str">
        <x:v>S5209501833</x:v>
      </x:c>
      <x:c r="F65" s="192" t="str">
        <x:v>Active</x:v>
      </x:c>
      <x:c r="G65" s="192" t="str">
        <x:v>New Orleans Westbank Treatment Center</x:v>
      </x:c>
      <x:c r="H65" s="192" t="str">
        <x:v/>
      </x:c>
      <x:c r="I65" s="192" t="str">
        <x:v/>
      </x:c>
      <x:c r="J65" s="192" t="str">
        <x:v>1</x:v>
      </x:c>
      <x:c r="K65" s="192" t="str">
        <x:v/>
      </x:c>
      <x:c r="L65" s="192" t="str">
        <x:v/>
      </x:c>
      <x:c r="M65" s="192" t="str">
        <x:v>12/1/2018</x:v>
      </x:c>
      <x:c r="N65" s="183" t="n">
        <x:v>216026.00</x:v>
      </x:c>
      <x:c r="O65" s="192" t="str">
        <x:v>12/31/2018</x:v>
      </x:c>
      <x:c r="P65" s="183" t="n">
        <x:v>216533.00</x:v>
      </x:c>
      <x:c r="Q65" s="207" t="n">
        <x:v>0.0014</x:v>
      </x:c>
      <x:c r="R65" s="207" t="n">
        <x:v>0.0098</x:v>
      </x:c>
      <x:c r="S65" s="183" t="n">
        <x:v>57.00</x:v>
      </x:c>
      <x:c r="T65" s="182" t="n">
        <x:f ca="1">=IF(AND(U65=0,S65&gt;0),-100%,IF(OR(S65=0,S65="-"),"-",IF(AND(S65=0,U65=0),0%,IF(S65&lt;U65,SUM(U65-S65)/S65,IF(S65&gt;U65,SUM(-1*(S65-U65)/S65),"")))))</x:f>
        <x:v/>
      </x:c>
      <x:c r="U65" s="183" t="n">
        <x:v>507.00</x:v>
      </x:c>
      <x:c r="V65" s="183" t="n">
        <x:f ca="1">=SUM(U65/ ((O65- M65)/30.42))</x:f>
        <x:v/>
      </x:c>
      <x:c r="W65" s="196">
        <x:f ca="1">=IF(T65="","",IF(T65="-","",IF(U65=0,"",IF(OR(T65&gt;AA4,T65&lt;-AA4),"*",""))))</x:f>
        <x:v/>
      </x:c>
      <x:c r="X65" s="98" t="str">
        <x:v/>
      </x:c>
    </x:row>
    <x:row r="66" spans="1:25" s="12" x14ac:dyDescent="0.25">
      <x:c r="A66" s="90" t="str">
        <x:v>58</x:v>
      </x:c>
      <x:c r="B66" s="191" t="str">
        <x:v>13223942</x:v>
      </x:c>
      <x:c r="C66" s="191" t="str">
        <x:v>Ricoh SP 4310</x:v>
      </x:c>
      <x:c r="D66" s="191" t="str">
        <x:v>B/W Laser Prints</x:v>
      </x:c>
      <x:c r="E66" s="191" t="str">
        <x:v>T1149110770</x:v>
      </x:c>
      <x:c r="F66" s="191" t="str">
        <x:v>Active</x:v>
      </x:c>
      <x:c r="G66" s="191" t="str">
        <x:v>Joplin Treatment Center</x:v>
      </x:c>
      <x:c r="H66" s="191" t="str">
        <x:v/>
      </x:c>
      <x:c r="I66" s="191" t="str">
        <x:v/>
      </x:c>
      <x:c r="J66" s="191" t="str">
        <x:v/>
      </x:c>
      <x:c r="K66" s="191" t="str">
        <x:v/>
      </x:c>
      <x:c r="L66" s="191" t="str">
        <x:v/>
      </x:c>
      <x:c r="M66" s="191" t="str">
        <x:v>12/1/2018</x:v>
      </x:c>
      <x:c r="N66" s="189" t="n">
        <x:v>31776.00</x:v>
      </x:c>
      <x:c r="O66" s="191" t="str">
        <x:v>12/31/2018</x:v>
      </x:c>
      <x:c r="P66" s="189" t="n">
        <x:v>32231.00</x:v>
      </x:c>
      <x:c r="Q66" s="206" t="n">
        <x:v>0.0012</x:v>
      </x:c>
      <x:c r="R66" s="206" t="n">
        <x:v>0.0088</x:v>
      </x:c>
      <x:c r="S66" s="189" t="n">
        <x:v>235.00</x:v>
      </x:c>
      <x:c r="T66" s="187" t="n">
        <x:f ca="1">=IF(AND(U66=0,S66&gt;0),-100%,IF(OR(S66=0,S66="-"),"-",IF(AND(S66=0,U66=0),0%,IF(S66&lt;U66,SUM(U66-S66)/S66,IF(S66&gt;U66,SUM(-1*(S66-U66)/S66),"")))))</x:f>
        <x:v/>
      </x:c>
      <x:c r="U66" s="189" t="n">
        <x:v>455.00</x:v>
      </x:c>
      <x:c r="V66" s="189" t="n">
        <x:f ca="1">=SUM(U66/ ((O66- M66)/30.42))</x:f>
        <x:v/>
      </x:c>
      <x:c r="W66" s="195">
        <x:f ca="1">=IF(T66="","",IF(T66="-","",IF(U66=0,"",IF(OR(T66&gt;AA4,T66&lt;-AA4),"*",""))))</x:f>
        <x:v/>
      </x:c>
      <x:c r="X66" s="91" t="str">
        <x:v/>
      </x:c>
    </x:row>
    <x:row r="67" spans="1:25" s="12" x14ac:dyDescent="0.25">
      <x:c r="A67" s="96" t="str">
        <x:v>59</x:v>
      </x:c>
      <x:c r="B67" s="192" t="str">
        <x:v>20331666</x:v>
      </x:c>
      <x:c r="C67" s="192" t="str">
        <x:v>Ricoh SP 4310</x:v>
      </x:c>
      <x:c r="D67" s="192" t="str">
        <x:v>B/W Laser Prints</x:v>
      </x:c>
      <x:c r="E67" s="192" t="str">
        <x:v>T1119300123</x:v>
      </x:c>
      <x:c r="F67" s="192" t="str">
        <x:v>Active</x:v>
      </x:c>
      <x:c r="G67" s="192" t="str">
        <x:v>Jackson, TN Treatment Center</x:v>
      </x:c>
      <x:c r="H67" s="192" t="str">
        <x:v/>
      </x:c>
      <x:c r="I67" s="192" t="str">
        <x:v/>
      </x:c>
      <x:c r="J67" s="192" t="str">
        <x:v/>
      </x:c>
      <x:c r="K67" s="192" t="str">
        <x:v/>
      </x:c>
      <x:c r="L67" s="192" t="str">
        <x:v/>
      </x:c>
      <x:c r="M67" s="192" t="str">
        <x:v>12/1/2018</x:v>
      </x:c>
      <x:c r="N67" s="183" t="n">
        <x:v>55167.00</x:v>
      </x:c>
      <x:c r="O67" s="192" t="str">
        <x:v>12/31/2018</x:v>
      </x:c>
      <x:c r="P67" s="183" t="n">
        <x:v>55529.00</x:v>
      </x:c>
      <x:c r="Q67" s="207" t="n">
        <x:v>0.001</x:v>
      </x:c>
      <x:c r="R67" s="207" t="n">
        <x:v>0.007</x:v>
      </x:c>
      <x:c r="S67" s="183" t="n">
        <x:v>442.00</x:v>
      </x:c>
      <x:c r="T67" s="182" t="n">
        <x:f ca="1">=IF(AND(U67=0,S67&gt;0),-100%,IF(OR(S67=0,S67="-"),"-",IF(AND(S67=0,U67=0),0%,IF(S67&lt;U67,SUM(U67-S67)/S67,IF(S67&gt;U67,SUM(-1*(S67-U67)/S67),"")))))</x:f>
        <x:v/>
      </x:c>
      <x:c r="U67" s="183" t="n">
        <x:v>362.00</x:v>
      </x:c>
      <x:c r="V67" s="183" t="n">
        <x:f ca="1">=SUM(U67/ ((O67- M67)/30.42))</x:f>
        <x:v/>
      </x:c>
      <x:c r="W67" s="196">
        <x:f ca="1">=IF(T67="","",IF(T67="-","",IF(U67=0,"",IF(OR(T67&gt;AA4,T67&lt;-AA4),"*",""))))</x:f>
        <x:v/>
      </x:c>
      <x:c r="X67" s="98" t="str">
        <x:v/>
      </x:c>
    </x:row>
    <x:row r="68" spans="1:25" s="12" x14ac:dyDescent="0.25">
      <x:c r="A68" s="90" t="str">
        <x:v>60</x:v>
      </x:c>
      <x:c r="B68" s="191" t="str">
        <x:v>13945830</x:v>
      </x:c>
      <x:c r="C68" s="191" t="str">
        <x:v>Ricoh SP 4510DN</x:v>
      </x:c>
      <x:c r="D68" s="191" t="str">
        <x:v>B/W Laser Prints</x:v>
      </x:c>
      <x:c r="E68" s="191" t="str">
        <x:v>T576HA02157</x:v>
      </x:c>
      <x:c r="F68" s="191" t="str">
        <x:v>Active</x:v>
      </x:c>
      <x:c r="G68" s="191" t="str">
        <x:v>Springfield North Treatment Center</x:v>
      </x:c>
      <x:c r="H68" s="191" t="str">
        <x:v/>
      </x:c>
      <x:c r="I68" s="191" t="str">
        <x:v/>
      </x:c>
      <x:c r="J68" s="191" t="str">
        <x:v>1</x:v>
      </x:c>
      <x:c r="K68" s="191" t="str">
        <x:v>Marlin Martin</x:v>
      </x:c>
      <x:c r="L68" s="191" t="str">
        <x:v/>
      </x:c>
      <x:c r="M68" s="191" t="str">
        <x:v>12/1/2018</x:v>
      </x:c>
      <x:c r="N68" s="189" t="n">
        <x:v>5519.00</x:v>
      </x:c>
      <x:c r="O68" s="191" t="str">
        <x:v>12/31/2018</x:v>
      </x:c>
      <x:c r="P68" s="189" t="n">
        <x:v>5842.00</x:v>
      </x:c>
      <x:c r="Q68" s="206" t="n">
        <x:v>0.0009</x:v>
      </x:c>
      <x:c r="R68" s="206" t="n">
        <x:v>0.0063</x:v>
      </x:c>
      <x:c r="S68" s="189" t="n">
        <x:v>43.00</x:v>
      </x:c>
      <x:c r="T68" s="187" t="n">
        <x:f ca="1">=IF(AND(U68=0,S68&gt;0),-100%,IF(OR(S68=0,S68="-"),"-",IF(AND(S68=0,U68=0),0%,IF(S68&lt;U68,SUM(U68-S68)/S68,IF(S68&gt;U68,SUM(-1*(S68-U68)/S68),"")))))</x:f>
        <x:v/>
      </x:c>
      <x:c r="U68" s="189" t="n">
        <x:v>323.00</x:v>
      </x:c>
      <x:c r="V68" s="189" t="n">
        <x:f ca="1">=SUM(U68/ ((O68- M68)/30.42))</x:f>
        <x:v/>
      </x:c>
      <x:c r="W68" s="195">
        <x:f ca="1">=IF(T68="","",IF(T68="-","",IF(U68=0,"",IF(OR(T68&gt;AA4,T68&lt;-AA4),"*",""))))</x:f>
        <x:v/>
      </x:c>
      <x:c r="X68" s="91" t="str">
        <x:v/>
      </x:c>
    </x:row>
    <x:row r="69" spans="1:25" s="12" x14ac:dyDescent="0.25">
      <x:c r="A69" s="96" t="str">
        <x:v>61</x:v>
      </x:c>
      <x:c r="B69" s="192" t="str">
        <x:v>13741880</x:v>
      </x:c>
      <x:c r="C69" s="192" t="str">
        <x:v>Ricoh SP 4210N</x:v>
      </x:c>
      <x:c r="D69" s="192" t="str">
        <x:v>B/W Laser Prints</x:v>
      </x:c>
      <x:c r="E69" s="192" t="str">
        <x:v>S5209502365</x:v>
      </x:c>
      <x:c r="F69" s="192" t="str">
        <x:v>Active</x:v>
      </x:c>
      <x:c r="G69" s="192" t="str">
        <x:v>Dallas Corporate Office</x:v>
      </x:c>
      <x:c r="H69" s="192" t="str">
        <x:v/>
      </x:c>
      <x:c r="I69" s="192" t="str">
        <x:v/>
      </x:c>
      <x:c r="J69" s="192" t="str">
        <x:v>2</x:v>
      </x:c>
      <x:c r="K69" s="192" t="str">
        <x:v>CEO's Office</x:v>
      </x:c>
      <x:c r="L69" s="192" t="str">
        <x:v/>
      </x:c>
      <x:c r="M69" s="192" t="str">
        <x:v>12/1/2018</x:v>
      </x:c>
      <x:c r="N69" s="183" t="n">
        <x:v>13799.00</x:v>
      </x:c>
      <x:c r="O69" s="192" t="str">
        <x:v>12/31/2018</x:v>
      </x:c>
      <x:c r="P69" s="183" t="n">
        <x:v>14111.00</x:v>
      </x:c>
      <x:c r="Q69" s="207" t="n">
        <x:v>0.0008</x:v>
      </x:c>
      <x:c r="R69" s="207" t="n">
        <x:v>0.0061</x:v>
      </x:c>
      <x:c r="S69" s="183" t="n">
        <x:v>3.00</x:v>
      </x:c>
      <x:c r="T69" s="182" t="n">
        <x:f ca="1">=IF(AND(U69=0,S69&gt;0),-100%,IF(OR(S69=0,S69="-"),"-",IF(AND(S69=0,U69=0),0%,IF(S69&lt;U69,SUM(U69-S69)/S69,IF(S69&gt;U69,SUM(-1*(S69-U69)/S69),"")))))</x:f>
        <x:v/>
      </x:c>
      <x:c r="U69" s="183" t="n">
        <x:v>312.00</x:v>
      </x:c>
      <x:c r="V69" s="183" t="n">
        <x:f ca="1">=SUM(U69/ ((O69- M69)/30.42))</x:f>
        <x:v/>
      </x:c>
      <x:c r="W69" s="196">
        <x:f ca="1">=IF(T69="","",IF(T69="-","",IF(U69=0,"",IF(OR(T69&gt;AA4,T69&lt;-AA4),"*",""))))</x:f>
        <x:v/>
      </x:c>
      <x:c r="X69" s="98" t="str">
        <x:v/>
      </x:c>
    </x:row>
    <x:row r="70" spans="1:25" s="12" x14ac:dyDescent="0.25">
      <x:c r="A70" s="90" t="str">
        <x:v>62</x:v>
      </x:c>
      <x:c r="B70" s="191" t="str">
        <x:v>13105996</x:v>
      </x:c>
      <x:c r="C70" s="191" t="str">
        <x:v>Ricoh SP 4310</x:v>
      </x:c>
      <x:c r="D70" s="191" t="str">
        <x:v>B/W Laser Prints</x:v>
      </x:c>
      <x:c r="E70" s="191" t="str">
        <x:v>T1139010718</x:v>
      </x:c>
      <x:c r="F70" s="191" t="str">
        <x:v>Active</x:v>
      </x:c>
      <x:c r="G70" s="191" t="str">
        <x:v>Dallas Corporate Office</x:v>
      </x:c>
      <x:c r="H70" s="191" t="str">
        <x:v/>
      </x:c>
      <x:c r="I70" s="191" t="str">
        <x:v/>
      </x:c>
      <x:c r="J70" s="191" t="str">
        <x:v>2</x:v>
      </x:c>
      <x:c r="K70" s="191" t="str">
        <x:v/>
      </x:c>
      <x:c r="L70" s="191" t="str">
        <x:v/>
      </x:c>
      <x:c r="M70" s="191" t="str">
        <x:v>12/1/2018</x:v>
      </x:c>
      <x:c r="N70" s="189" t="n">
        <x:v>42931.00</x:v>
      </x:c>
      <x:c r="O70" s="191" t="str">
        <x:v>12/31/2018</x:v>
      </x:c>
      <x:c r="P70" s="189" t="n">
        <x:v>43218.00</x:v>
      </x:c>
      <x:c r="Q70" s="206" t="n">
        <x:v>0.0008</x:v>
      </x:c>
      <x:c r="R70" s="206" t="n">
        <x:v>0.0056</x:v>
      </x:c>
      <x:c r="S70" s="189" t="n">
        <x:v>296.00</x:v>
      </x:c>
      <x:c r="T70" s="187" t="n">
        <x:f ca="1">=IF(AND(U70=0,S70&gt;0),-100%,IF(OR(S70=0,S70="-"),"-",IF(AND(S70=0,U70=0),0%,IF(S70&lt;U70,SUM(U70-S70)/S70,IF(S70&gt;U70,SUM(-1*(S70-U70)/S70),"")))))</x:f>
        <x:v/>
      </x:c>
      <x:c r="U70" s="189" t="n">
        <x:v>287.00</x:v>
      </x:c>
      <x:c r="V70" s="189" t="n">
        <x:f ca="1">=SUM(U70/ ((O70- M70)/30.42))</x:f>
        <x:v/>
      </x:c>
      <x:c r="W70" s="195">
        <x:f ca="1">=IF(T70="","",IF(T70="-","",IF(U70=0,"",IF(OR(T70&gt;AA4,T70&lt;-AA4),"*",""))))</x:f>
        <x:v/>
      </x:c>
      <x:c r="X70" s="91" t="str">
        <x:v/>
      </x:c>
    </x:row>
    <x:row r="71" spans="1:25" s="12" x14ac:dyDescent="0.25">
      <x:c r="A71" s="96" t="str">
        <x:v>63</x:v>
      </x:c>
      <x:c r="B71" s="192" t="str">
        <x:v>T576H302457</x:v>
      </x:c>
      <x:c r="C71" s="192" t="str">
        <x:v>Ricoh SP 4510DN</x:v>
      </x:c>
      <x:c r="D71" s="192" t="str">
        <x:v>B/W Laser Prints</x:v>
      </x:c>
      <x:c r="E71" s="192" t="str">
        <x:v>T576H302457</x:v>
      </x:c>
      <x:c r="F71" s="192" t="str">
        <x:v>Active</x:v>
      </x:c>
      <x:c r="G71" s="192" t="str">
        <x:v>Aiken Treatment Center</x:v>
      </x:c>
      <x:c r="H71" s="192" t="str">
        <x:v/>
      </x:c>
      <x:c r="I71" s="192" t="str">
        <x:v/>
      </x:c>
      <x:c r="J71" s="192" t="str">
        <x:v/>
      </x:c>
      <x:c r="K71" s="192" t="str">
        <x:v>Haley Smith</x:v>
      </x:c>
      <x:c r="L71" s="192" t="str">
        <x:v/>
      </x:c>
      <x:c r="M71" s="192" t="str">
        <x:v>12/1/2018</x:v>
      </x:c>
      <x:c r="N71" s="183" t="n">
        <x:v>11152.00</x:v>
      </x:c>
      <x:c r="O71" s="192" t="str">
        <x:v>12/31/2018</x:v>
      </x:c>
      <x:c r="P71" s="183" t="n">
        <x:v>11434.00</x:v>
      </x:c>
      <x:c r="Q71" s="207" t="n">
        <x:v>0.0008</x:v>
      </x:c>
      <x:c r="R71" s="207" t="n">
        <x:v>0.0055</x:v>
      </x:c>
      <x:c r="S71" s="183" t="n">
        <x:v>40.00</x:v>
      </x:c>
      <x:c r="T71" s="182" t="n">
        <x:f ca="1">=IF(AND(U71=0,S71&gt;0),-100%,IF(OR(S71=0,S71="-"),"-",IF(AND(S71=0,U71=0),0%,IF(S71&lt;U71,SUM(U71-S71)/S71,IF(S71&gt;U71,SUM(-1*(S71-U71)/S71),"")))))</x:f>
        <x:v/>
      </x:c>
      <x:c r="U71" s="183" t="n">
        <x:v>282.00</x:v>
      </x:c>
      <x:c r="V71" s="183" t="n">
        <x:f ca="1">=SUM(U71/ ((O71- M71)/30.42))</x:f>
        <x:v/>
      </x:c>
      <x:c r="W71" s="196">
        <x:f ca="1">=IF(T71="","",IF(T71="-","",IF(U71=0,"",IF(OR(T71&gt;AA4,T71&lt;-AA4),"*",""))))</x:f>
        <x:v/>
      </x:c>
      <x:c r="X71" s="98" t="str">
        <x:v/>
      </x:c>
    </x:row>
    <x:row r="72" spans="1:25" s="12" x14ac:dyDescent="0.25">
      <x:c r="A72" s="90" t="str">
        <x:v>64</x:v>
      </x:c>
      <x:c r="B72" s="191" t="str">
        <x:v>13399475</x:v>
      </x:c>
      <x:c r="C72" s="191" t="str">
        <x:v>Ricoh SP 4310</x:v>
      </x:c>
      <x:c r="D72" s="191" t="str">
        <x:v>B/W Laser Prints</x:v>
      </x:c>
      <x:c r="E72" s="191" t="str">
        <x:v>T1158611359</x:v>
      </x:c>
      <x:c r="F72" s="191" t="str">
        <x:v>Active</x:v>
      </x:c>
      <x:c r="G72" s="191" t="str">
        <x:v>Dallas Corporate Office</x:v>
      </x:c>
      <x:c r="H72" s="191" t="str">
        <x:v/>
      </x:c>
      <x:c r="I72" s="191" t="str">
        <x:v/>
      </x:c>
      <x:c r="J72" s="191" t="str">
        <x:v>2</x:v>
      </x:c>
      <x:c r="K72" s="191" t="str">
        <x:v/>
      </x:c>
      <x:c r="L72" s="191" t="str">
        <x:v/>
      </x:c>
      <x:c r="M72" s="191" t="str">
        <x:v>12/1/2018</x:v>
      </x:c>
      <x:c r="N72" s="189" t="n">
        <x:v>6669.00</x:v>
      </x:c>
      <x:c r="O72" s="191" t="str">
        <x:v>12/31/2018</x:v>
      </x:c>
      <x:c r="P72" s="189" t="n">
        <x:v>6882.00</x:v>
      </x:c>
      <x:c r="Q72" s="206" t="n">
        <x:v>0.0006</x:v>
      </x:c>
      <x:c r="R72" s="206" t="n">
        <x:v>0.0041</x:v>
      </x:c>
      <x:c r="S72" s="189" t="n">
        <x:v>85.00</x:v>
      </x:c>
      <x:c r="T72" s="187" t="n">
        <x:f ca="1">=IF(AND(U72=0,S72&gt;0),-100%,IF(OR(S72=0,S72="-"),"-",IF(AND(S72=0,U72=0),0%,IF(S72&lt;U72,SUM(U72-S72)/S72,IF(S72&gt;U72,SUM(-1*(S72-U72)/S72),"")))))</x:f>
        <x:v/>
      </x:c>
      <x:c r="U72" s="189" t="n">
        <x:v>213.00</x:v>
      </x:c>
      <x:c r="V72" s="189" t="n">
        <x:f ca="1">=SUM(U72/ ((O72- M72)/30.42))</x:f>
        <x:v/>
      </x:c>
      <x:c r="W72" s="195">
        <x:f ca="1">=IF(T72="","",IF(T72="-","",IF(U72=0,"",IF(OR(T72&gt;AA4,T72&lt;-AA4),"*",""))))</x:f>
        <x:v/>
      </x:c>
      <x:c r="X72" s="91" t="str">
        <x:v/>
      </x:c>
    </x:row>
    <x:row r="73" spans="1:25" s="12" x14ac:dyDescent="0.25">
      <x:c r="A73" s="96" t="str">
        <x:v>65</x:v>
      </x:c>
      <x:c r="B73" s="192" t="str">
        <x:v>FPR58285</x:v>
      </x:c>
      <x:c r="C73" s="192" t="str">
        <x:v>Ricoh SP 4510DN</x:v>
      </x:c>
      <x:c r="D73" s="192" t="str">
        <x:v>B/W Laser Prints</x:v>
      </x:c>
      <x:c r="E73" s="192" t="str">
        <x:v>T578H102473</x:v>
      </x:c>
      <x:c r="F73" s="192" t="str">
        <x:v>Active</x:v>
      </x:c>
      <x:c r="G73" s="192" t="str">
        <x:v>Bessemer Treatment Center</x:v>
      </x:c>
      <x:c r="H73" s="192" t="str">
        <x:v/>
      </x:c>
      <x:c r="I73" s="192" t="str">
        <x:v/>
      </x:c>
      <x:c r="J73" s="192" t="str">
        <x:v>1</x:v>
      </x:c>
      <x:c r="K73" s="192" t="str">
        <x:v/>
      </x:c>
      <x:c r="L73" s="192" t="str">
        <x:v/>
      </x:c>
      <x:c r="M73" s="192" t="str">
        <x:v>12/1/2018</x:v>
      </x:c>
      <x:c r="N73" s="183" t="n">
        <x:v>551.00</x:v>
      </x:c>
      <x:c r="O73" s="192" t="str">
        <x:v>12/20/2018</x:v>
      </x:c>
      <x:c r="P73" s="183" t="n">
        <x:v>761.00</x:v>
      </x:c>
      <x:c r="Q73" s="207" t="n">
        <x:v>0.0006</x:v>
      </x:c>
      <x:c r="R73" s="207" t="n">
        <x:v>0.0041</x:v>
      </x:c>
      <x:c r="S73" s="183" t="n">
        <x:v>150.00</x:v>
      </x:c>
      <x:c r="T73" s="182" t="n">
        <x:f ca="1">=IF(AND(U73=0,S73&gt;0),-100%,IF(OR(S73=0,S73="-"),"-",IF(AND(S73=0,U73=0),0%,IF(S73&lt;U73,SUM(U73-S73)/S73,IF(S73&gt;U73,SUM(-1*(S73-U73)/S73),"")))))</x:f>
        <x:v/>
      </x:c>
      <x:c r="U73" s="183" t="n">
        <x:v>210.00</x:v>
      </x:c>
      <x:c r="V73" s="183" t="n">
        <x:f ca="1">=SUM(U73/ ((O73- M73)/30.42))</x:f>
        <x:v/>
      </x:c>
      <x:c r="W73" s="196">
        <x:f ca="1">=IF(T73="","",IF(T73="-","",IF(U73=0,"",IF(OR(T73&gt;AA4,T73&lt;-AA4),"*",""))))</x:f>
        <x:v/>
      </x:c>
      <x:c r="X73" s="98" t="str">
        <x:v/>
      </x:c>
    </x:row>
    <x:row r="74" spans="1:25" s="12" x14ac:dyDescent="0.25">
      <x:c r="A74" s="90" t="str">
        <x:v>66</x:v>
      </x:c>
      <x:c r="B74" s="191" t="str">
        <x:v>13484914</x:v>
      </x:c>
      <x:c r="C74" s="191" t="str">
        <x:v>Ricoh SP 4310</x:v>
      </x:c>
      <x:c r="D74" s="191" t="str">
        <x:v>B/W Laser Prints</x:v>
      </x:c>
      <x:c r="E74" s="191" t="str">
        <x:v>T1149310032</x:v>
      </x:c>
      <x:c r="F74" s="191" t="str">
        <x:v>Active</x:v>
      </x:c>
      <x:c r="G74" s="191" t="str">
        <x:v>Fort Collins Treatment Center</x:v>
      </x:c>
      <x:c r="H74" s="191" t="str">
        <x:v/>
      </x:c>
      <x:c r="I74" s="191" t="str">
        <x:v/>
      </x:c>
      <x:c r="J74" s="191" t="str">
        <x:v/>
      </x:c>
      <x:c r="K74" s="191" t="str">
        <x:v/>
      </x:c>
      <x:c r="L74" s="191" t="str">
        <x:v/>
      </x:c>
      <x:c r="M74" s="191" t="str">
        <x:v>12/1/2018</x:v>
      </x:c>
      <x:c r="N74" s="189" t="n">
        <x:v>17140.00</x:v>
      </x:c>
      <x:c r="O74" s="191" t="str">
        <x:v>12/31/2018</x:v>
      </x:c>
      <x:c r="P74" s="189" t="n">
        <x:v>17335.00</x:v>
      </x:c>
      <x:c r="Q74" s="206" t="n">
        <x:v>0.0005</x:v>
      </x:c>
      <x:c r="R74" s="206" t="n">
        <x:v>0.0038</x:v>
      </x:c>
      <x:c r="S74" s="189" t="n">
        <x:v>171.00</x:v>
      </x:c>
      <x:c r="T74" s="187" t="n">
        <x:f ca="1">=IF(AND(U74=0,S74&gt;0),-100%,IF(OR(S74=0,S74="-"),"-",IF(AND(S74=0,U74=0),0%,IF(S74&lt;U74,SUM(U74-S74)/S74,IF(S74&gt;U74,SUM(-1*(S74-U74)/S74),"")))))</x:f>
        <x:v/>
      </x:c>
      <x:c r="U74" s="189" t="n">
        <x:v>195.00</x:v>
      </x:c>
      <x:c r="V74" s="189" t="n">
        <x:f ca="1">=SUM(U74/ ((O74- M74)/30.42))</x:f>
        <x:v/>
      </x:c>
      <x:c r="W74" s="195">
        <x:f ca="1">=IF(T74="","",IF(T74="-","",IF(U74=0,"",IF(OR(T74&gt;AA4,T74&lt;-AA4),"*",""))))</x:f>
        <x:v/>
      </x:c>
      <x:c r="X74" s="91" t="str">
        <x:v/>
      </x:c>
    </x:row>
    <x:row r="75" spans="1:25" s="12" x14ac:dyDescent="0.25">
      <x:c r="A75" s="96" t="str">
        <x:v>67</x:v>
      </x:c>
      <x:c r="B75" s="192" t="str">
        <x:v>12973680</x:v>
      </x:c>
      <x:c r="C75" s="192" t="str">
        <x:v>Ricoh SP 4210N</x:v>
      </x:c>
      <x:c r="D75" s="192" t="str">
        <x:v>B/W Laser Prints</x:v>
      </x:c>
      <x:c r="E75" s="192" t="str">
        <x:v>S5218700131</x:v>
      </x:c>
      <x:c r="F75" s="192" t="str">
        <x:v>Active</x:v>
      </x:c>
      <x:c r="G75" s="192" t="str">
        <x:v>Columbia, MO Treatment Center</x:v>
      </x:c>
      <x:c r="H75" s="192" t="str">
        <x:v/>
      </x:c>
      <x:c r="I75" s="192" t="str">
        <x:v/>
      </x:c>
      <x:c r="J75" s="192" t="str">
        <x:v/>
      </x:c>
      <x:c r="K75" s="192" t="str">
        <x:v/>
      </x:c>
      <x:c r="L75" s="192" t="str">
        <x:v/>
      </x:c>
      <x:c r="M75" s="192" t="str">
        <x:v>12/1/2018</x:v>
      </x:c>
      <x:c r="N75" s="183" t="n">
        <x:v>82200.00</x:v>
      </x:c>
      <x:c r="O75" s="192" t="str">
        <x:v>12/31/2018</x:v>
      </x:c>
      <x:c r="P75" s="183" t="n">
        <x:v>82378.00</x:v>
      </x:c>
      <x:c r="Q75" s="207" t="n">
        <x:v>0.0005</x:v>
      </x:c>
      <x:c r="R75" s="207" t="n">
        <x:v>0.0035</x:v>
      </x:c>
      <x:c r="S75" s="183" t="n">
        <x:v>169.00</x:v>
      </x:c>
      <x:c r="T75" s="182" t="n">
        <x:f ca="1">=IF(AND(U75=0,S75&gt;0),-100%,IF(OR(S75=0,S75="-"),"-",IF(AND(S75=0,U75=0),0%,IF(S75&lt;U75,SUM(U75-S75)/S75,IF(S75&gt;U75,SUM(-1*(S75-U75)/S75),"")))))</x:f>
        <x:v/>
      </x:c>
      <x:c r="U75" s="183" t="n">
        <x:v>178.00</x:v>
      </x:c>
      <x:c r="V75" s="183" t="n">
        <x:f ca="1">=SUM(U75/ ((O75- M75)/30.42))</x:f>
        <x:v/>
      </x:c>
      <x:c r="W75" s="196">
        <x:f ca="1">=IF(T75="","",IF(T75="-","",IF(U75=0,"",IF(OR(T75&gt;AA4,T75&lt;-AA4),"*",""))))</x:f>
        <x:v/>
      </x:c>
      <x:c r="X75" s="98" t="str">
        <x:v/>
      </x:c>
    </x:row>
    <x:row r="76" spans="1:25" s="12" x14ac:dyDescent="0.25">
      <x:c r="A76" s="90" t="str">
        <x:v>68</x:v>
      </x:c>
      <x:c r="B76" s="191" t="str">
        <x:v>12929728</x:v>
      </x:c>
      <x:c r="C76" s="191" t="str">
        <x:v>Ricoh SP 4510SF</x:v>
      </x:c>
      <x:c r="D76" s="191" t="str">
        <x:v>B/W Laser Prints</x:v>
      </x:c>
      <x:c r="E76" s="191" t="str">
        <x:v>T575H701097</x:v>
      </x:c>
      <x:c r="F76" s="191" t="str">
        <x:v>Active</x:v>
      </x:c>
      <x:c r="G76" s="191" t="str">
        <x:v>Knoxville Ailor Treatment Center</x:v>
      </x:c>
      <x:c r="H76" s="191" t="str">
        <x:v/>
      </x:c>
      <x:c r="I76" s="191" t="str">
        <x:v/>
      </x:c>
      <x:c r="J76" s="191" t="str">
        <x:v>2</x:v>
      </x:c>
      <x:c r="K76" s="191" t="str">
        <x:v/>
      </x:c>
      <x:c r="L76" s="191" t="str">
        <x:v/>
      </x:c>
      <x:c r="M76" s="191" t="str">
        <x:v>12/1/2018</x:v>
      </x:c>
      <x:c r="N76" s="189" t="n">
        <x:v>29153.00</x:v>
      </x:c>
      <x:c r="O76" s="191" t="str">
        <x:v>12/31/2018</x:v>
      </x:c>
      <x:c r="P76" s="189" t="n">
        <x:v>29286.00</x:v>
      </x:c>
      <x:c r="Q76" s="206" t="n">
        <x:v>0.0004</x:v>
      </x:c>
      <x:c r="R76" s="206" t="n">
        <x:v>0.0026</x:v>
      </x:c>
      <x:c r="S76" s="189" t="n">
        <x:v>155.00</x:v>
      </x:c>
      <x:c r="T76" s="187" t="n">
        <x:f ca="1">=IF(AND(U76=0,S76&gt;0),-100%,IF(OR(S76=0,S76="-"),"-",IF(AND(S76=0,U76=0),0%,IF(S76&lt;U76,SUM(U76-S76)/S76,IF(S76&gt;U76,SUM(-1*(S76-U76)/S76),"")))))</x:f>
        <x:v/>
      </x:c>
      <x:c r="U76" s="189" t="n">
        <x:v>133.00</x:v>
      </x:c>
      <x:c r="V76" s="189" t="n">
        <x:f ca="1">=SUM(U76/ ((O76- M76)/30.42))</x:f>
        <x:v/>
      </x:c>
      <x:c r="W76" s="195">
        <x:f ca="1">=IF(T76="","",IF(T76="-","",IF(U76=0,"",IF(OR(T76&gt;AA4,T76&lt;-AA4),"*",""))))</x:f>
        <x:v/>
      </x:c>
      <x:c r="X76" s="91" t="str">
        <x:v/>
      </x:c>
    </x:row>
    <x:row r="77" spans="1:25" s="12" x14ac:dyDescent="0.25">
      <x:c r="A77" s="96" t="str">
        <x:v>69</x:v>
      </x:c>
      <x:c r="B77" s="192" t="str">
        <x:v>13145003</x:v>
      </x:c>
      <x:c r="C77" s="192" t="str">
        <x:v>Ricoh SP 4310</x:v>
      </x:c>
      <x:c r="D77" s="192" t="str">
        <x:v>B/W Laser Prints</x:v>
      </x:c>
      <x:c r="E77" s="192" t="str">
        <x:v>T1139210966</x:v>
      </x:c>
      <x:c r="F77" s="192" t="str">
        <x:v>Active</x:v>
      </x:c>
      <x:c r="G77" s="192" t="str">
        <x:v>Overland Park Treatment Center</x:v>
      </x:c>
      <x:c r="H77" s="192" t="str">
        <x:v/>
      </x:c>
      <x:c r="I77" s="192" t="str">
        <x:v/>
      </x:c>
      <x:c r="J77" s="192" t="str">
        <x:v/>
      </x:c>
      <x:c r="K77" s="192" t="str">
        <x:v/>
      </x:c>
      <x:c r="L77" s="192" t="str">
        <x:v/>
      </x:c>
      <x:c r="M77" s="192" t="str">
        <x:v>12/1/2018</x:v>
      </x:c>
      <x:c r="N77" s="183" t="n">
        <x:v>2709.00</x:v>
      </x:c>
      <x:c r="O77" s="192" t="str">
        <x:v>12/31/2018</x:v>
      </x:c>
      <x:c r="P77" s="183" t="n">
        <x:v>2822.00</x:v>
      </x:c>
      <x:c r="Q77" s="207" t="n">
        <x:v>0.0003</x:v>
      </x:c>
      <x:c r="R77" s="207" t="n">
        <x:v>0.0022</x:v>
      </x:c>
      <x:c r="S77" s="183" t="n">
        <x:v>172.00</x:v>
      </x:c>
      <x:c r="T77" s="182" t="n">
        <x:f ca="1">=IF(AND(U77=0,S77&gt;0),-100%,IF(OR(S77=0,S77="-"),"-",IF(AND(S77=0,U77=0),0%,IF(S77&lt;U77,SUM(U77-S77)/S77,IF(S77&gt;U77,SUM(-1*(S77-U77)/S77),"")))))</x:f>
        <x:v/>
      </x:c>
      <x:c r="U77" s="183" t="n">
        <x:v>113.00</x:v>
      </x:c>
      <x:c r="V77" s="183" t="n">
        <x:f ca="1">=SUM(U77/ ((O77- M77)/30.42))</x:f>
        <x:v/>
      </x:c>
      <x:c r="W77" s="196">
        <x:f ca="1">=IF(T77="","",IF(T77="-","",IF(U77=0,"",IF(OR(T77&gt;AA4,T77&lt;-AA4),"*",""))))</x:f>
        <x:v/>
      </x:c>
      <x:c r="X77" s="98" t="str">
        <x:v/>
      </x:c>
    </x:row>
    <x:row r="78" spans="1:25" s="12" x14ac:dyDescent="0.25">
      <x:c r="A78" s="90" t="str">
        <x:v>70</x:v>
      </x:c>
      <x:c r="B78" s="191" t="str">
        <x:v>13630728</x:v>
      </x:c>
      <x:c r="C78" s="191" t="str">
        <x:v>Ricoh SP 4510DN</x:v>
      </x:c>
      <x:c r="D78" s="191" t="str">
        <x:v>B/W Laser Prints</x:v>
      </x:c>
      <x:c r="E78" s="191" t="str">
        <x:v>T576HC02195</x:v>
      </x:c>
      <x:c r="F78" s="191" t="str">
        <x:v>Active</x:v>
      </x:c>
      <x:c r="G78" s="191" t="str">
        <x:v>Virginia Beach Treatment Center</x:v>
      </x:c>
      <x:c r="H78" s="191" t="str">
        <x:v/>
      </x:c>
      <x:c r="I78" s="191" t="str">
        <x:v/>
      </x:c>
      <x:c r="J78" s="191" t="str">
        <x:v/>
      </x:c>
      <x:c r="K78" s="191" t="str">
        <x:v>Eric Ripley</x:v>
      </x:c>
      <x:c r="L78" s="191" t="str">
        <x:v/>
      </x:c>
      <x:c r="M78" s="191" t="str">
        <x:v>12/1/2018</x:v>
      </x:c>
      <x:c r="N78" s="189" t="n">
        <x:v>5393.00</x:v>
      </x:c>
      <x:c r="O78" s="191" t="str">
        <x:v>12/31/2018</x:v>
      </x:c>
      <x:c r="P78" s="189" t="n">
        <x:v>5483.00</x:v>
      </x:c>
      <x:c r="Q78" s="206" t="n">
        <x:v>0.0002</x:v>
      </x:c>
      <x:c r="R78" s="206" t="n">
        <x:v>0.0017</x:v>
      </x:c>
      <x:c r="S78" s="189" t="n">
        <x:v>18.00</x:v>
      </x:c>
      <x:c r="T78" s="187" t="n">
        <x:f ca="1">=IF(AND(U78=0,S78&gt;0),-100%,IF(OR(S78=0,S78="-"),"-",IF(AND(S78=0,U78=0),0%,IF(S78&lt;U78,SUM(U78-S78)/S78,IF(S78&gt;U78,SUM(-1*(S78-U78)/S78),"")))))</x:f>
        <x:v/>
      </x:c>
      <x:c r="U78" s="189" t="n">
        <x:v>90.00</x:v>
      </x:c>
      <x:c r="V78" s="189" t="n">
        <x:f ca="1">=SUM(U78/ ((O78- M78)/30.42))</x:f>
        <x:v/>
      </x:c>
      <x:c r="W78" s="195">
        <x:f ca="1">=IF(T78="","",IF(T78="-","",IF(U78=0,"",IF(OR(T78&gt;AA4,T78&lt;-AA4),"*",""))))</x:f>
        <x:v/>
      </x:c>
      <x:c r="X78" s="91" t="str">
        <x:v/>
      </x:c>
    </x:row>
    <x:row r="79" spans="1:25" s="12" x14ac:dyDescent="0.25">
      <x:c r="A79" s="96" t="str">
        <x:v>71</x:v>
      </x:c>
      <x:c r="B79" s="192" t="str">
        <x:v>12636757</x:v>
      </x:c>
      <x:c r="C79" s="192" t="str">
        <x:v>Ricoh SP 4210N</x:v>
      </x:c>
      <x:c r="D79" s="192" t="str">
        <x:v>B/W Laser Prints</x:v>
      </x:c>
      <x:c r="E79" s="192" t="str">
        <x:v>S5209501920</x:v>
      </x:c>
      <x:c r="F79" s="192" t="str">
        <x:v>Active</x:v>
      </x:c>
      <x:c r="G79" s="192" t="str">
        <x:v>New Orleans Downtown Treatment Center</x:v>
      </x:c>
      <x:c r="H79" s="192" t="str">
        <x:v/>
      </x:c>
      <x:c r="I79" s="192" t="str">
        <x:v/>
      </x:c>
      <x:c r="J79" s="192" t="str">
        <x:v>1</x:v>
      </x:c>
      <x:c r="K79" s="192" t="str">
        <x:v/>
      </x:c>
      <x:c r="L79" s="192" t="str">
        <x:v/>
      </x:c>
      <x:c r="M79" s="192" t="str">
        <x:v>12/1/2018</x:v>
      </x:c>
      <x:c r="N79" s="183" t="n">
        <x:v>133701.00</x:v>
      </x:c>
      <x:c r="O79" s="192" t="str">
        <x:v>12/31/2018</x:v>
      </x:c>
      <x:c r="P79" s="183" t="n">
        <x:v>133731.00</x:v>
      </x:c>
      <x:c r="Q79" s="207" t="n">
        <x:v>0.0001</x:v>
      </x:c>
      <x:c r="R79" s="207" t="n">
        <x:v>0.0006</x:v>
      </x:c>
      <x:c r="S79" s="183" t="n">
        <x:v>124.00</x:v>
      </x:c>
      <x:c r="T79" s="182" t="n">
        <x:f ca="1">=IF(AND(U79=0,S79&gt;0),-100%,IF(OR(S79=0,S79="-"),"-",IF(AND(S79=0,U79=0),0%,IF(S79&lt;U79,SUM(U79-S79)/S79,IF(S79&gt;U79,SUM(-1*(S79-U79)/S79),"")))))</x:f>
        <x:v/>
      </x:c>
      <x:c r="U79" s="183" t="n">
        <x:v>30.00</x:v>
      </x:c>
      <x:c r="V79" s="183" t="n">
        <x:f ca="1">=SUM(U79/ ((O79- M79)/30.42))</x:f>
        <x:v/>
      </x:c>
      <x:c r="W79" s="196">
        <x:f ca="1">=IF(T79="","",IF(T79="-","",IF(U79=0,"",IF(OR(T79&gt;AA4,T79&lt;-AA4),"*",""))))</x:f>
        <x:v/>
      </x:c>
      <x:c r="X79" s="98" t="str">
        <x:v/>
      </x:c>
    </x:row>
    <x:row r="80" spans="1:25" s="12" x14ac:dyDescent="0.25">
      <x:c r="A80" s="90" t="str">
        <x:v>72</x:v>
      </x:c>
      <x:c r="B80" s="191" t="str">
        <x:v>12929958</x:v>
      </x:c>
      <x:c r="C80" s="191" t="str">
        <x:v>Ricoh SP 4210N</x:v>
      </x:c>
      <x:c r="D80" s="191" t="str">
        <x:v>B/W Laser Prints</x:v>
      </x:c>
      <x:c r="E80" s="191" t="str">
        <x:v>S5209200533</x:v>
      </x:c>
      <x:c r="F80" s="191" t="str">
        <x:v>Active</x:v>
      </x:c>
      <x:c r="G80" s="191" t="str">
        <x:v>Knoxville Bernard Treatment Center</x:v>
      </x:c>
      <x:c r="H80" s="191" t="str">
        <x:v/>
      </x:c>
      <x:c r="I80" s="191" t="str">
        <x:v/>
      </x:c>
      <x:c r="J80" s="191" t="str">
        <x:v>1</x:v>
      </x:c>
      <x:c r="K80" s="191" t="str">
        <x:v/>
      </x:c>
      <x:c r="L80" s="191" t="str">
        <x:v/>
      </x:c>
      <x:c r="M80" s="191" t="str">
        <x:v>12/1/2018</x:v>
      </x:c>
      <x:c r="N80" s="189" t="n">
        <x:v>41052.00</x:v>
      </x:c>
      <x:c r="O80" s="191" t="str">
        <x:v>12/31/2018</x:v>
      </x:c>
      <x:c r="P80" s="189" t="n">
        <x:v>41080.00</x:v>
      </x:c>
      <x:c r="Q80" s="206" t="n">
        <x:v>0.0001</x:v>
      </x:c>
      <x:c r="R80" s="206" t="n">
        <x:v>0.0005</x:v>
      </x:c>
      <x:c r="S80" s="189" t="n">
        <x:v>18.00</x:v>
      </x:c>
      <x:c r="T80" s="187" t="n">
        <x:f ca="1">=IF(AND(U80=0,S80&gt;0),-100%,IF(OR(S80=0,S80="-"),"-",IF(AND(S80=0,U80=0),0%,IF(S80&lt;U80,SUM(U80-S80)/S80,IF(S80&gt;U80,SUM(-1*(S80-U80)/S80),"")))))</x:f>
        <x:v/>
      </x:c>
      <x:c r="U80" s="189" t="n">
        <x:v>28.00</x:v>
      </x:c>
      <x:c r="V80" s="189" t="n">
        <x:f ca="1">=SUM(U80/ ((O80- M80)/30.42))</x:f>
        <x:v/>
      </x:c>
      <x:c r="W80" s="195">
        <x:f ca="1">=IF(T80="","",IF(T80="-","",IF(U80=0,"",IF(OR(T80&gt;AA4,T80&lt;-AA4),"*",""))))</x:f>
        <x:v/>
      </x:c>
      <x:c r="X80" s="91" t="str">
        <x:v/>
      </x:c>
    </x:row>
    <x:row r="81" spans="1:25" s="12" x14ac:dyDescent="0.25">
      <x:c r="A81" s="96" t="str">
        <x:v>73</x:v>
      </x:c>
      <x:c r="B81" s="192" t="str">
        <x:v>AFPR59959</x:v>
      </x:c>
      <x:c r="C81" s="192" t="str">
        <x:v>Ricoh SP 4510DN</x:v>
      </x:c>
      <x:c r="D81" s="192" t="str">
        <x:v>B/W Laser Prints</x:v>
      </x:c>
      <x:c r="E81" s="192" t="str">
        <x:v>T577H202258</x:v>
      </x:c>
      <x:c r="F81" s="192" t="str">
        <x:v>Inactive</x:v>
      </x:c>
      <x:c r="G81" s="192" t="str">
        <x:v>Berea Treatment Center</x:v>
      </x:c>
      <x:c r="H81" s="192" t="str">
        <x:v/>
      </x:c>
      <x:c r="I81" s="192" t="str">
        <x:v/>
      </x:c>
      <x:c r="J81" s="192" t="str">
        <x:v/>
      </x:c>
      <x:c r="K81" s="192" t="str">
        <x:v>Bobby Shumate</x:v>
      </x:c>
      <x:c r="L81" s="192" t="str">
        <x:v/>
      </x:c>
      <x:c r="M81" s="192" t="str">
        <x:v>12/1/2018</x:v>
      </x:c>
      <x:c r="N81" s="183" t="n">
        <x:v>670.00</x:v>
      </x:c>
      <x:c r="O81" s="192" t="str">
        <x:v>12/31/2018</x:v>
      </x:c>
      <x:c r="P81" s="183" t="n">
        <x:v>690.00</x:v>
      </x:c>
      <x:c r="Q81" s="207" t="n">
        <x:v>0.0001</x:v>
      </x:c>
      <x:c r="R81" s="207" t="n">
        <x:v>0.0004</x:v>
      </x:c>
      <x:c r="S81" s="183" t="n">
        <x:v>393.00</x:v>
      </x:c>
      <x:c r="T81" s="182" t="n">
        <x:f ca="1">=IF(AND(U81=0,S81&gt;0),-100%,IF(OR(S81=0,S81="-"),"-",IF(AND(S81=0,U81=0),0%,IF(S81&lt;U81,SUM(U81-S81)/S81,IF(S81&gt;U81,SUM(-1*(S81-U81)/S81),"")))))</x:f>
        <x:v/>
      </x:c>
      <x:c r="U81" s="183" t="n">
        <x:v>20.00</x:v>
      </x:c>
      <x:c r="V81" s="183" t="n">
        <x:f ca="1">=SUM(U81/ ((O81- M81)/30.42))</x:f>
        <x:v/>
      </x:c>
      <x:c r="W81" s="196">
        <x:f ca="1">=IF(T81="","",IF(T81="-","",IF(U81=0,"",IF(OR(T81&gt;AA4,T81&lt;-AA4),"*",""))))</x:f>
        <x:v/>
      </x:c>
      <x:c r="X81" s="98" t="str">
        <x:v/>
      </x:c>
    </x:row>
    <x:row r="82" spans="1:25" s="12" x14ac:dyDescent="0.25">
      <x:c r="A82" s="90" t="str">
        <x:v>74</x:v>
      </x:c>
      <x:c r="B82" s="191" t="str">
        <x:v>A14382012</x:v>
      </x:c>
      <x:c r="C82" s="191" t="str">
        <x:v>Ricoh SP 4510DN</x:v>
      </x:c>
      <x:c r="D82" s="191" t="str">
        <x:v>B/W Laser Prints</x:v>
      </x:c>
      <x:c r="E82" s="191" t="str">
        <x:v>T578H805568</x:v>
      </x:c>
      <x:c r="F82" s="191" t="str">
        <x:v>Inactive</x:v>
      </x:c>
      <x:c r="G82" s="191" t="str">
        <x:v>Franklin Traetment Center</x:v>
      </x:c>
      <x:c r="H82" s="191" t="str">
        <x:v/>
      </x:c>
      <x:c r="I82" s="191" t="str">
        <x:v/>
      </x:c>
      <x:c r="J82" s="191" t="str">
        <x:v/>
      </x:c>
      <x:c r="K82" s="191" t="str">
        <x:v/>
      </x:c>
      <x:c r="L82" s="191" t="str">
        <x:v/>
      </x:c>
      <x:c r="M82" s="191" t="str">
        <x:v>11/30/2018</x:v>
      </x:c>
      <x:c r="N82" s="189" t="n">
        <x:v>0.00</x:v>
      </x:c>
      <x:c r="O82" s="191" t="str">
        <x:v>12/31/2018</x:v>
      </x:c>
      <x:c r="P82" s="189" t="n">
        <x:v>0.00</x:v>
      </x:c>
      <x:c r="Q82" s="206" t="n">
        <x:v>0.00</x:v>
      </x:c>
      <x:c r="R82" s="206" t="n">
        <x:v>0.00</x:v>
      </x:c>
      <x:c r="S82" s="189" t="n">
        <x:v>0.00</x:v>
      </x:c>
      <x:c r="T82" s="187" t="n">
        <x:f ca="1">=IF(AND(U82=0,S82&gt;0),-100%,IF(OR(S82=0,S82="-"),"-",IF(AND(S82=0,U82=0),0%,IF(S82&lt;U82,SUM(U82-S82)/S82,IF(S82&gt;U82,SUM(-1*(S82-U82)/S82),"")))))</x:f>
        <x:v/>
      </x:c>
      <x:c r="U82" s="189" t="n">
        <x:v>0.00</x:v>
      </x:c>
      <x:c r="V82" s="189" t="n">
        <x:f ca="1">=SUM(U82/ ((O82- M82)/30.42))</x:f>
        <x:v/>
      </x:c>
      <x:c r="W82" s="195">
        <x:f ca="1">=IF(T82="","",IF(T82="-","",IF(U82=0,"",IF(OR(T82&gt;AA4,T82&lt;-AA4),"*",""))))</x:f>
        <x:v/>
      </x:c>
      <x:c r="X82" s="91" t="str">
        <x:v/>
      </x:c>
    </x:row>
    <x:row r="83" spans="1:25" s="12" x14ac:dyDescent="0.25">
      <x:c r="A83" s="96" t="str">
        <x:v>75</x:v>
      </x:c>
      <x:c r="B83" s="192" t="str">
        <x:v>FPR58282</x:v>
      </x:c>
      <x:c r="C83" s="192" t="str">
        <x:v>Ricoh SP 4510DN</x:v>
      </x:c>
      <x:c r="D83" s="192" t="str">
        <x:v>B/W Laser Prints</x:v>
      </x:c>
      <x:c r="E83" s="192" t="str">
        <x:v>T578H204407</x:v>
      </x:c>
      <x:c r="F83" s="192" t="str">
        <x:v>Active</x:v>
      </x:c>
      <x:c r="G83" s="192" t="str">
        <x:v>Chesapeake Treatment Center</x:v>
      </x:c>
      <x:c r="H83" s="192" t="str">
        <x:v/>
      </x:c>
      <x:c r="I83" s="192" t="str">
        <x:v>Suite A / Pharmacy</x:v>
      </x:c>
      <x:c r="J83" s="192" t="str">
        <x:v/>
      </x:c>
      <x:c r="K83" s="192" t="str">
        <x:v>John Garner</x:v>
      </x:c>
      <x:c r="L83" s="192" t="str">
        <x:v/>
      </x:c>
      <x:c r="M83" s="192" t="str">
        <x:v>11/30/2018</x:v>
      </x:c>
      <x:c r="N83" s="183" t="n">
        <x:v>0.00</x:v>
      </x:c>
      <x:c r="O83" s="192" t="str">
        <x:v>12/31/2018</x:v>
      </x:c>
      <x:c r="P83" s="183" t="n">
        <x:v>0.00</x:v>
      </x:c>
      <x:c r="Q83" s="207" t="n">
        <x:v>0.00</x:v>
      </x:c>
      <x:c r="R83" s="207" t="n">
        <x:v>0.00</x:v>
      </x:c>
      <x:c r="S83" s="183" t="n">
        <x:v>0.00</x:v>
      </x:c>
      <x:c r="T83" s="182" t="n">
        <x:f ca="1">=IF(AND(U83=0,S83&gt;0),-100%,IF(OR(S83=0,S83="-"),"-",IF(AND(S83=0,U83=0),0%,IF(S83&lt;U83,SUM(U83-S83)/S83,IF(S83&gt;U83,SUM(-1*(S83-U83)/S83),"")))))</x:f>
        <x:v/>
      </x:c>
      <x:c r="U83" s="183" t="n">
        <x:v>0.00</x:v>
      </x:c>
      <x:c r="V83" s="183" t="n">
        <x:f ca="1">=SUM(U83/ ((O83- M83)/30.42))</x:f>
        <x:v/>
      </x:c>
      <x:c r="W83" s="196">
        <x:f ca="1">=IF(T83="","",IF(T83="-","",IF(U83=0,"",IF(OR(T83&gt;AA4,T83&lt;-AA4),"*",""))))</x:f>
        <x:v/>
      </x:c>
      <x:c r="X83" s="98" t="str">
        <x:v/>
      </x:c>
    </x:row>
    <x:row r="84" spans="1:25" s="12" x14ac:dyDescent="0.25">
      <x:c r="A84" s="90" t="str">
        <x:v>76</x:v>
      </x:c>
      <x:c r="B84" s="191" t="str">
        <x:v>13078853</x:v>
      </x:c>
      <x:c r="C84" s="191" t="str">
        <x:v>Ricoh SP 4210N</x:v>
      </x:c>
      <x:c r="D84" s="191" t="str">
        <x:v>B/W Laser Prints</x:v>
      </x:c>
      <x:c r="E84" s="191" t="str">
        <x:v>S5209502360</x:v>
      </x:c>
      <x:c r="F84" s="191" t="str">
        <x:v>Active</x:v>
      </x:c>
      <x:c r="G84" s="191" t="str">
        <x:v>Memphis South Treatment Center</x:v>
      </x:c>
      <x:c r="H84" s="191" t="str">
        <x:v/>
      </x:c>
      <x:c r="I84" s="191" t="str">
        <x:v/>
      </x:c>
      <x:c r="J84" s="191" t="str">
        <x:v/>
      </x:c>
      <x:c r="K84" s="191" t="str">
        <x:v/>
      </x:c>
      <x:c r="L84" s="191" t="str">
        <x:v/>
      </x:c>
      <x:c r="M84" s="191" t="str">
        <x:v>12/1/2018</x:v>
      </x:c>
      <x:c r="N84" s="189" t="n">
        <x:v>122976.00</x:v>
      </x:c>
      <x:c r="O84" s="191" t="str">
        <x:v>12/31/2018</x:v>
      </x:c>
      <x:c r="P84" s="189" t="n">
        <x:v>122976.00</x:v>
      </x:c>
      <x:c r="Q84" s="206" t="n">
        <x:v>0.00</x:v>
      </x:c>
      <x:c r="R84" s="206" t="n">
        <x:v>0.00</x:v>
      </x:c>
      <x:c r="S84" s="189" t="n">
        <x:v/>
      </x:c>
      <x:c r="T84" s="187" t="n">
        <x:f ca="1">=IF(AND(U84=0,S84&gt;0),-100%,IF(OR(S84=0,S84="-"),"-",IF(AND(S84=0,U84=0),0%,IF(S84&lt;U84,SUM(U84-S84)/S84,IF(S84&gt;U84,SUM(-1*(S84-U84)/S84),"")))))</x:f>
        <x:v/>
      </x:c>
      <x:c r="U84" s="189" t="n">
        <x:v>0.00</x:v>
      </x:c>
      <x:c r="V84" s="189" t="n">
        <x:f ca="1">=SUM(U84/ ((O84- M84)/30.42))</x:f>
        <x:v/>
      </x:c>
      <x:c r="W84" s="195">
        <x:f ca="1">=IF(T84="","",IF(T84="-","",IF(U84=0,"",IF(OR(T84&gt;AA4,T84&lt;-AA4),"*",""))))</x:f>
        <x:v/>
      </x:c>
      <x:c r="X84" s="91" t="str">
        <x:v/>
      </x:c>
    </x:row>
    <x:row r="85" spans="1:25" s="12" x14ac:dyDescent="0.25">
      <x:c r="A85" s="96" t="str">
        <x:v>77</x:v>
      </x:c>
      <x:c r="B85" s="192" t="str">
        <x:v>A12672099</x:v>
      </x:c>
      <x:c r="C85" s="192" t="str">
        <x:v>Ricoh SP 4210N</x:v>
      </x:c>
      <x:c r="D85" s="192" t="str">
        <x:v>B/W Laser Prints</x:v>
      </x:c>
      <x:c r="E85" s="192" t="str">
        <x:v>S5209501026</x:v>
      </x:c>
      <x:c r="F85" s="192" t="str">
        <x:v>Inactive</x:v>
      </x:c>
      <x:c r="G85" s="192" t="str">
        <x:v>New Orleans Westbank Treatment Center</x:v>
      </x:c>
      <x:c r="H85" s="192" t="str">
        <x:v/>
      </x:c>
      <x:c r="I85" s="192" t="str">
        <x:v>Not In Use</x:v>
      </x:c>
      <x:c r="J85" s="192" t="str">
        <x:v/>
      </x:c>
      <x:c r="K85" s="192" t="str">
        <x:v/>
      </x:c>
      <x:c r="L85" s="192" t="str">
        <x:v/>
      </x:c>
      <x:c r="M85" s="192" t="str">
        <x:v>11/30/2018</x:v>
      </x:c>
      <x:c r="N85" s="183" t="n">
        <x:v>97277.00</x:v>
      </x:c>
      <x:c r="O85" s="192" t="str">
        <x:v>12/31/2018</x:v>
      </x:c>
      <x:c r="P85" s="183" t="n">
        <x:v>97277.00</x:v>
      </x:c>
      <x:c r="Q85" s="207" t="n">
        <x:v>0.00</x:v>
      </x:c>
      <x:c r="R85" s="207" t="n">
        <x:v>0.00</x:v>
      </x:c>
      <x:c r="S85" s="183" t="n">
        <x:v>0.00</x:v>
      </x:c>
      <x:c r="T85" s="182" t="n">
        <x:f ca="1">=IF(AND(U85=0,S85&gt;0),-100%,IF(OR(S85=0,S85="-"),"-",IF(AND(S85=0,U85=0),0%,IF(S85&lt;U85,SUM(U85-S85)/S85,IF(S85&gt;U85,SUM(-1*(S85-U85)/S85),"")))))</x:f>
        <x:v/>
      </x:c>
      <x:c r="U85" s="183" t="n">
        <x:v>0.00</x:v>
      </x:c>
      <x:c r="V85" s="183" t="n">
        <x:f ca="1">=SUM(U85/ ((O85- M85)/30.42))</x:f>
        <x:v/>
      </x:c>
      <x:c r="W85" s="196">
        <x:f ca="1">=IF(T85="","",IF(T85="-","",IF(U85=0,"",IF(OR(T85&gt;AA4,T85&lt;-AA4),"*",""))))</x:f>
        <x:v/>
      </x:c>
      <x:c r="X85" s="98" t="str">
        <x:v/>
      </x:c>
    </x:row>
    <x:row r="86" spans="1:25" s="12" x14ac:dyDescent="0.25">
      <x:c r="A86" s="90" t="str">
        <x:v>78</x:v>
      </x:c>
      <x:c r="B86" s="191" t="str">
        <x:v>AFPR60821</x:v>
      </x:c>
      <x:c r="C86" s="191" t="str">
        <x:v>Ricoh SP 4510DN</x:v>
      </x:c>
      <x:c r="D86" s="191" t="str">
        <x:v>B/W Laser Prints</x:v>
      </x:c>
      <x:c r="E86" s="191" t="str">
        <x:v>T578H500836</x:v>
      </x:c>
      <x:c r="F86" s="191" t="str">
        <x:v>Inactive</x:v>
      </x:c>
      <x:c r="G86" s="191" t="str">
        <x:v>Newport News</x:v>
      </x:c>
      <x:c r="H86" s="191" t="str">
        <x:v/>
      </x:c>
      <x:c r="I86" s="191" t="str">
        <x:v>Front Desk</x:v>
      </x:c>
      <x:c r="J86" s="191" t="str">
        <x:v/>
      </x:c>
      <x:c r="K86" s="191" t="str">
        <x:v/>
      </x:c>
      <x:c r="L86" s="191" t="str">
        <x:v/>
      </x:c>
      <x:c r="M86" s="191" t="str">
        <x:v>11/30/2018</x:v>
      </x:c>
      <x:c r="N86" s="189" t="n">
        <x:v>0.00</x:v>
      </x:c>
      <x:c r="O86" s="191" t="str">
        <x:v>12/31/2018</x:v>
      </x:c>
      <x:c r="P86" s="189" t="n">
        <x:v>0.00</x:v>
      </x:c>
      <x:c r="Q86" s="206" t="n">
        <x:v>0.00</x:v>
      </x:c>
      <x:c r="R86" s="206" t="n">
        <x:v>0.00</x:v>
      </x:c>
      <x:c r="S86" s="189" t="n">
        <x:v>0.00</x:v>
      </x:c>
      <x:c r="T86" s="187" t="n">
        <x:f ca="1">=IF(AND(U86=0,S86&gt;0),-100%,IF(OR(S86=0,S86="-"),"-",IF(AND(S86=0,U86=0),0%,IF(S86&lt;U86,SUM(U86-S86)/S86,IF(S86&gt;U86,SUM(-1*(S86-U86)/S86),"")))))</x:f>
        <x:v/>
      </x:c>
      <x:c r="U86" s="189" t="n">
        <x:v>0.00</x:v>
      </x:c>
      <x:c r="V86" s="189" t="n">
        <x:f ca="1">=SUM(U86/ ((O86- M86)/30.42))</x:f>
        <x:v/>
      </x:c>
      <x:c r="W86" s="195">
        <x:f ca="1">=IF(T86="","",IF(T86="-","",IF(U86=0,"",IF(OR(T86&gt;AA4,T86&lt;-AA4),"*",""))))</x:f>
        <x:v/>
      </x:c>
      <x:c r="X86" s="91" t="str">
        <x:v/>
      </x:c>
    </x:row>
    <x:row r="87" spans="1:10" ht="15.5" customHeight="1" x14ac:dyDescent="0.25">
      <x:c r="A87" s="174"/>
      <x:c r="B87" s="174"/>
      <x:c r="C87" s="174"/>
      <x:c r="D87" s="174"/>
      <x:c r="E87" s="174"/>
      <x:c r="F87" s="174"/>
      <x:c r="G87" s="174"/>
      <x:c r="H87" s="174"/>
      <x:c r="I87" s="174"/>
      <x:c r="J87" s="174"/>
      <x:c r="K87" s="174"/>
      <x:c r="L87" s="174"/>
      <x:c r="M87" s="174"/>
      <x:c r="N87" s="174"/>
      <x:c r="O87" s="174"/>
      <x:c r="P87" s="174"/>
      <x:c r="Q87" s="174"/>
      <x:c r="R87" s="174"/>
      <x:c r="S87" s="205" t="n">
        <x:f ca="1">SUM(S29:S86)</x:f>
      </x:c>
      <x:c r="T87" s="174"/>
      <x:c r="U87" s="205" t="n">
        <x:f ca="1">SUM(U29:U86)</x:f>
      </x:c>
      <x:c r="V87" s="205" t="n">
        <x:f ca="1">SUM(V29:V86)</x:f>
      </x:c>
      <x:c r="W87" s="174"/>
      <x:c r="X87" s="174"/>
    </x:row>
    <x:row r="88" spans="1:25" ht="38.5" customHeight="1" x14ac:dyDescent="0.25">
      <x:c r="A88" s="194">
        <x:v>Color Copier B/W Pages</x:v>
      </x:c>
    </x:row>
    <x:row r="89" spans="1:25" s="12" customFormat="1" ht="37.35" customHeight="1" x14ac:dyDescent="0.25">
      <x:c r="A89" s="47" t="str">
        <x:v>Line #</x:v>
      </x:c>
      <x:c r="B89" s="45" t="str">
        <x:v>Device ID</x:v>
      </x:c>
      <x:c r="C89" s="45" t="str">
        <x:v>Model </x:v>
      </x:c>
      <x:c r="D89" s="45" t="str">
        <x:v>Meter Type</x:v>
      </x:c>
      <x:c r="E89" s="45" t="str">
        <x:v>Serial Number</x:v>
      </x:c>
      <x:c r="F89" s="45" t="str">
        <x:v>Device Status</x:v>
      </x:c>
      <x:c r="G89" s="45" t="str">
        <x:v>Location</x:v>
      </x:c>
      <x:c r="H89" s="45" t="str">
        <x:v>Bldg</x:v>
      </x:c>
      <x:c r="I89" s="45" t="str">
        <x:v>Dept.</x:v>
      </x:c>
      <x:c r="J89" s="45" t="str">
        <x:v>Floor</x:v>
      </x:c>
      <x:c r="K89" s="45" t="str">
        <x:v>User</x:v>
      </x:c>
      <x:c r="L89" s="45" t="str">
        <x:v>Cost Center</x:v>
      </x:c>
      <x:c r="M89" s="45" t="str">
        <x:v>Start Date</x:v>
      </x:c>
      <x:c r="N89" s="45" t="str">
        <x:v>Start Meter</x:v>
      </x:c>
      <x:c r="O89" s="45" t="str">
        <x:v>End Date</x:v>
      </x:c>
      <x:c r="P89" s="45" t="str">
        <x:v>End Meter</x:v>
      </x:c>
      <x:c r="Q89" s="45" t="str">
        <x:v>% of Total Usage</x:v>
      </x:c>
      <x:c r="R89" s="45" t="str">
        <x:v>% Usage By Meter Group</x:v>
      </x:c>
      <x:c r="S89" s="45" t="str">
        <x:v>Volume Last Period</x:v>
      </x:c>
      <x:c r="T89" s="45" t="str">
        <x:v>% Change</x:v>
      </x:c>
      <x:c r="U89" s="45" t="str">
        <x:v>Volume Current Period</x:v>
      </x:c>
      <x:c r="V89" s="45" t="str">
        <x:v>Avg. Monthly Vol.</x:v>
      </x:c>
      <x:c r="W89" s="45"/>
      <x:c r="X89" s="46" t="str">
        <x:v>Comments</x:v>
      </x:c>
    </x:row>
    <x:row r="90" spans="1:25" s="12" x14ac:dyDescent="0.25">
      <x:c r="A90" s="90" t="str">
        <x:v>79</x:v>
      </x:c>
      <x:c r="B90" s="191" t="str">
        <x:v>FPR58125</x:v>
      </x:c>
      <x:c r="C90" s="191" t="str">
        <x:v>Ricoh MP C3004</x:v>
      </x:c>
      <x:c r="D90" s="191" t="str">
        <x:v>Color Copier B/W Pages</x:v>
      </x:c>
      <x:c r="E90" s="191" t="str">
        <x:v>C717M701568</x:v>
      </x:c>
      <x:c r="F90" s="191" t="str">
        <x:v>Active</x:v>
      </x:c>
      <x:c r="G90" s="191" t="str">
        <x:v>Tuscaloosa Treatment Center</x:v>
      </x:c>
      <x:c r="H90" s="191" t="str">
        <x:v/>
      </x:c>
      <x:c r="I90" s="191" t="str">
        <x:v/>
      </x:c>
      <x:c r="J90" s="191" t="str">
        <x:v/>
      </x:c>
      <x:c r="K90" s="191" t="str">
        <x:v>Shannon Strickland</x:v>
      </x:c>
      <x:c r="L90" s="191" t="str">
        <x:v/>
      </x:c>
      <x:c r="M90" s="191" t="str">
        <x:v>12/1/2018</x:v>
      </x:c>
      <x:c r="N90" s="189" t="n">
        <x:v>76611.00</x:v>
      </x:c>
      <x:c r="O90" s="191" t="str">
        <x:v>12/31/2018</x:v>
      </x:c>
      <x:c r="P90" s="189" t="n">
        <x:v>85821.00</x:v>
      </x:c>
      <x:c r="Q90" s="206" t="n">
        <x:v>0.0248</x:v>
      </x:c>
      <x:c r="R90" s="206" t="n">
        <x:v>0.0427</x:v>
      </x:c>
      <x:c r="S90" s="189" t="n">
        <x:v>5257.00</x:v>
      </x:c>
      <x:c r="T90" s="187" t="n">
        <x:f ca="1">=IF(AND(U90=0,S90&gt;0),-100%,IF(OR(S90=0,S90="-"),"-",IF(AND(S90=0,U90=0),0%,IF(S90&lt;U90,SUM(U90-S90)/S90,IF(S90&gt;U90,SUM(-1*(S90-U90)/S90),"")))))</x:f>
        <x:v/>
      </x:c>
      <x:c r="U90" s="189" t="n">
        <x:v>9210.00</x:v>
      </x:c>
      <x:c r="V90" s="189" t="n">
        <x:f ca="1">=SUM(U90/ ((O90- M90)/30.42))</x:f>
        <x:v/>
      </x:c>
      <x:c r="W90" s="195">
        <x:f ca="1">=IF(T90="","",IF(T90="-","",IF(U90=0,"",IF(OR(T90&gt; AA4 ,T90&lt;-AA4),"*",""))))</x:f>
        <x:v/>
      </x:c>
      <x:c r="X90" s="91" t="str">
        <x:v/>
      </x:c>
    </x:row>
    <x:row r="91" spans="1:25" s="12" x14ac:dyDescent="0.25">
      <x:c r="A91" s="96" t="str">
        <x:v>80</x:v>
      </x:c>
      <x:c r="B91" s="192" t="str">
        <x:v>14056916</x:v>
      </x:c>
      <x:c r="C91" s="192" t="str">
        <x:v>Ricoh MP C3004</x:v>
      </x:c>
      <x:c r="D91" s="192" t="str">
        <x:v>Color Copier B/W Pages</x:v>
      </x:c>
      <x:c r="E91" s="192" t="str">
        <x:v>C717M700034</x:v>
      </x:c>
      <x:c r="F91" s="192" t="str">
        <x:v>Active</x:v>
      </x:c>
      <x:c r="G91" s="192" t="str">
        <x:v>Virginia Beach Treatment Center</x:v>
      </x:c>
      <x:c r="H91" s="192" t="str">
        <x:v/>
      </x:c>
      <x:c r="I91" s="192" t="str">
        <x:v/>
      </x:c>
      <x:c r="J91" s="192" t="str">
        <x:v/>
      </x:c>
      <x:c r="K91" s="192" t="str">
        <x:v>Bridgette Williams</x:v>
      </x:c>
      <x:c r="L91" s="192" t="str">
        <x:v/>
      </x:c>
      <x:c r="M91" s="192" t="str">
        <x:v>12/1/2018</x:v>
      </x:c>
      <x:c r="N91" s="183" t="n">
        <x:v>132201.00</x:v>
      </x:c>
      <x:c r="O91" s="192" t="str">
        <x:v>12/31/2018</x:v>
      </x:c>
      <x:c r="P91" s="183" t="n">
        <x:v>141377.00</x:v>
      </x:c>
      <x:c r="Q91" s="207" t="n">
        <x:v>0.0247</x:v>
      </x:c>
      <x:c r="R91" s="207" t="n">
        <x:v>0.0426</x:v>
      </x:c>
      <x:c r="S91" s="183" t="n">
        <x:v>6940.00</x:v>
      </x:c>
      <x:c r="T91" s="182" t="n">
        <x:f ca="1">=IF(AND(U91=0,S91&gt;0),-100%,IF(OR(S91=0,S91="-"),"-",IF(AND(S91=0,U91=0),0%,IF(S91&lt;U91,SUM(U91-S91)/S91,IF(S91&gt;U91,SUM(-1*(S91-U91)/S91),"")))))</x:f>
        <x:v/>
      </x:c>
      <x:c r="U91" s="183" t="n">
        <x:v>9176.00</x:v>
      </x:c>
      <x:c r="V91" s="183" t="n">
        <x:f ca="1">=SUM(U91/ ((O91- M91)/30.42))</x:f>
        <x:v/>
      </x:c>
      <x:c r="W91" s="196">
        <x:f ca="1">=IF(T91="","",IF(T91="-","",IF(U91=0,"",IF(OR(T91&gt;AA4,T91&lt;-AA4),"*",""))))</x:f>
        <x:v/>
      </x:c>
      <x:c r="X91" s="98" t="str">
        <x:v/>
      </x:c>
    </x:row>
    <x:row r="92" spans="1:25" s="12" x14ac:dyDescent="0.25">
      <x:c r="A92" s="90" t="str">
        <x:v>81</x:v>
      </x:c>
      <x:c r="B92" s="191" t="str">
        <x:v>14092353</x:v>
      </x:c>
      <x:c r="C92" s="191" t="str">
        <x:v>Ricoh MP C3004</x:v>
      </x:c>
      <x:c r="D92" s="191" t="str">
        <x:v>Color Copier B/W Pages</x:v>
      </x:c>
      <x:c r="E92" s="191" t="str">
        <x:v>C717M710407</x:v>
      </x:c>
      <x:c r="F92" s="191" t="str">
        <x:v>Active</x:v>
      </x:c>
      <x:c r="G92" s="191" t="str">
        <x:v>Dyersburg Treatment Center</x:v>
      </x:c>
      <x:c r="H92" s="191" t="str">
        <x:v/>
      </x:c>
      <x:c r="I92" s="191" t="str">
        <x:v/>
      </x:c>
      <x:c r="J92" s="191" t="str">
        <x:v/>
      </x:c>
      <x:c r="K92" s="191" t="str">
        <x:v>Tony Johnson</x:v>
      </x:c>
      <x:c r="L92" s="191" t="str">
        <x:v/>
      </x:c>
      <x:c r="M92" s="191" t="str">
        <x:v>12/1/2018</x:v>
      </x:c>
      <x:c r="N92" s="189" t="n">
        <x:v>115503.00</x:v>
      </x:c>
      <x:c r="O92" s="191" t="str">
        <x:v>12/31/2018</x:v>
      </x:c>
      <x:c r="P92" s="189" t="n">
        <x:v>124514.00</x:v>
      </x:c>
      <x:c r="Q92" s="206" t="n">
        <x:v>0.0242</x:v>
      </x:c>
      <x:c r="R92" s="206" t="n">
        <x:v>0.0418</x:v>
      </x:c>
      <x:c r="S92" s="189" t="n">
        <x:v>6356.00</x:v>
      </x:c>
      <x:c r="T92" s="187" t="n">
        <x:f ca="1">=IF(AND(U92=0,S92&gt;0),-100%,IF(OR(S92=0,S92="-"),"-",IF(AND(S92=0,U92=0),0%,IF(S92&lt;U92,SUM(U92-S92)/S92,IF(S92&gt;U92,SUM(-1*(S92-U92)/S92),"")))))</x:f>
        <x:v/>
      </x:c>
      <x:c r="U92" s="189" t="n">
        <x:v>9011.00</x:v>
      </x:c>
      <x:c r="V92" s="189" t="n">
        <x:f ca="1">=SUM(U92/ ((O92- M92)/30.42))</x:f>
        <x:v/>
      </x:c>
      <x:c r="W92" s="195">
        <x:f ca="1">=IF(T92="","",IF(T92="-","",IF(U92=0,"",IF(OR(T92&gt;AA4,T92&lt;-AA4),"*",""))))</x:f>
        <x:v/>
      </x:c>
      <x:c r="X92" s="91" t="str">
        <x:v/>
      </x:c>
    </x:row>
    <x:row r="93" spans="1:25" s="12" x14ac:dyDescent="0.25">
      <x:c r="A93" s="96" t="str">
        <x:v>82</x:v>
      </x:c>
      <x:c r="B93" s="192" t="str">
        <x:v>20250330</x:v>
      </x:c>
      <x:c r="C93" s="192" t="str">
        <x:v>Ricoh MP C2051</x:v>
      </x:c>
      <x:c r="D93" s="192" t="str">
        <x:v>Color Copier B/W Pages</x:v>
      </x:c>
      <x:c r="E93" s="192" t="str">
        <x:v>V9715101689</x:v>
      </x:c>
      <x:c r="F93" s="192" t="str">
        <x:v>Active</x:v>
      </x:c>
      <x:c r="G93" s="192" t="str">
        <x:v>Lexington Treatment Center</x:v>
      </x:c>
      <x:c r="H93" s="192" t="str">
        <x:v/>
      </x:c>
      <x:c r="I93" s="192" t="str">
        <x:v/>
      </x:c>
      <x:c r="J93" s="192" t="str">
        <x:v/>
      </x:c>
      <x:c r="K93" s="192" t="str">
        <x:v/>
      </x:c>
      <x:c r="L93" s="192" t="str">
        <x:v/>
      </x:c>
      <x:c r="M93" s="192" t="str">
        <x:v>12/1/2018</x:v>
      </x:c>
      <x:c r="N93" s="183" t="n">
        <x:v>611861.00</x:v>
      </x:c>
      <x:c r="O93" s="192" t="str">
        <x:v>12/31/2018</x:v>
      </x:c>
      <x:c r="P93" s="183" t="n">
        <x:v>619654.00</x:v>
      </x:c>
      <x:c r="Q93" s="207" t="n">
        <x:v>0.021</x:v>
      </x:c>
      <x:c r="R93" s="207" t="n">
        <x:v>0.0362</x:v>
      </x:c>
      <x:c r="S93" s="183" t="n">
        <x:v/>
      </x:c>
      <x:c r="T93" s="182" t="n">
        <x:f ca="1">=IF(AND(U93=0,S93&gt;0),-100%,IF(OR(S93=0,S93="-"),"-",IF(AND(S93=0,U93=0),0%,IF(S93&lt;U93,SUM(U93-S93)/S93,IF(S93&gt;U93,SUM(-1*(S93-U93)/S93),"")))))</x:f>
        <x:v/>
      </x:c>
      <x:c r="U93" s="183" t="n">
        <x:v>7793.00</x:v>
      </x:c>
      <x:c r="V93" s="183" t="n">
        <x:f ca="1">=SUM(U93/ ((O93- M93)/30.42))</x:f>
        <x:v/>
      </x:c>
      <x:c r="W93" s="196">
        <x:f ca="1">=IF(T93="","",IF(T93="-","",IF(U93=0,"",IF(OR(T93&gt;AA4,T93&lt;-AA4),"*",""))))</x:f>
        <x:v/>
      </x:c>
      <x:c r="X93" s="98" t="str">
        <x:v/>
      </x:c>
    </x:row>
    <x:row r="94" spans="1:25" s="12" x14ac:dyDescent="0.25">
      <x:c r="A94" s="90" t="str">
        <x:v>83</x:v>
      </x:c>
      <x:c r="B94" s="191" t="str">
        <x:v>FPR60836</x:v>
      </x:c>
      <x:c r="C94" s="191" t="str">
        <x:v>Ricoh MP C3004</x:v>
      </x:c>
      <x:c r="D94" s="191" t="str">
        <x:v>Color Copier B/W Pages</x:v>
      </x:c>
      <x:c r="E94" s="191" t="str">
        <x:v>C718M411173</x:v>
      </x:c>
      <x:c r="F94" s="191" t="str">
        <x:v>Active</x:v>
      </x:c>
      <x:c r="G94" s="191" t="str">
        <x:v>Gadsden Treatment Center</x:v>
      </x:c>
      <x:c r="H94" s="191" t="str">
        <x:v/>
      </x:c>
      <x:c r="I94" s="191" t="str">
        <x:v/>
      </x:c>
      <x:c r="J94" s="191" t="str">
        <x:v/>
      </x:c>
      <x:c r="K94" s="191" t="str">
        <x:v>Copy Room / Laura Browder</x:v>
      </x:c>
      <x:c r="L94" s="191" t="str">
        <x:v/>
      </x:c>
      <x:c r="M94" s="191" t="str">
        <x:v>12/1/2018</x:v>
      </x:c>
      <x:c r="N94" s="189" t="n">
        <x:v>19072.00</x:v>
      </x:c>
      <x:c r="O94" s="191" t="str">
        <x:v>12/31/2018</x:v>
      </x:c>
      <x:c r="P94" s="189" t="n">
        <x:v>25938.00</x:v>
      </x:c>
      <x:c r="Q94" s="206" t="n">
        <x:v>0.0185</x:v>
      </x:c>
      <x:c r="R94" s="206" t="n">
        <x:v>0.0319</x:v>
      </x:c>
      <x:c r="S94" s="189" t="n">
        <x:v>169.00</x:v>
      </x:c>
      <x:c r="T94" s="187" t="n">
        <x:f ca="1">=IF(AND(U94=0,S94&gt;0),-100%,IF(OR(S94=0,S94="-"),"-",IF(AND(S94=0,U94=0),0%,IF(S94&lt;U94,SUM(U94-S94)/S94,IF(S94&gt;U94,SUM(-1*(S94-U94)/S94),"")))))</x:f>
        <x:v/>
      </x:c>
      <x:c r="U94" s="189" t="n">
        <x:v>6866.00</x:v>
      </x:c>
      <x:c r="V94" s="189" t="n">
        <x:f ca="1">=SUM(U94/ ((O94- M94)/30.42))</x:f>
        <x:v/>
      </x:c>
      <x:c r="W94" s="195">
        <x:f ca="1">=IF(T94="","",IF(T94="-","",IF(U94=0,"",IF(OR(T94&gt;AA4,T94&lt;-AA4),"*",""))))</x:f>
        <x:v/>
      </x:c>
      <x:c r="X94" s="91" t="str">
        <x:v/>
      </x:c>
    </x:row>
    <x:row r="95" spans="1:25" s="12" x14ac:dyDescent="0.25">
      <x:c r="A95" s="96" t="str">
        <x:v>84</x:v>
      </x:c>
      <x:c r="B95" s="192" t="str">
        <x:v>20086075</x:v>
      </x:c>
      <x:c r="C95" s="192" t="str">
        <x:v>Ricoh MP C2051</x:v>
      </x:c>
      <x:c r="D95" s="192" t="str">
        <x:v>Color Copier B/W Pages</x:v>
      </x:c>
      <x:c r="E95" s="192" t="str">
        <x:v>V9706000022</x:v>
      </x:c>
      <x:c r="F95" s="192" t="str">
        <x:v>Active</x:v>
      </x:c>
      <x:c r="G95" s="192" t="str">
        <x:v>Denver Treatment Center</x:v>
      </x:c>
      <x:c r="H95" s="192" t="str">
        <x:v/>
      </x:c>
      <x:c r="I95" s="192" t="str">
        <x:v/>
      </x:c>
      <x:c r="J95" s="192" t="str">
        <x:v>1</x:v>
      </x:c>
      <x:c r="K95" s="192" t="str">
        <x:v/>
      </x:c>
      <x:c r="L95" s="192" t="str">
        <x:v/>
      </x:c>
      <x:c r="M95" s="192" t="str">
        <x:v>12/1/2018</x:v>
      </x:c>
      <x:c r="N95" s="183" t="n">
        <x:v>828313.00</x:v>
      </x:c>
      <x:c r="O95" s="192" t="str">
        <x:v>12/31/2018</x:v>
      </x:c>
      <x:c r="P95" s="183" t="n">
        <x:v>834847.00</x:v>
      </x:c>
      <x:c r="Q95" s="207" t="n">
        <x:v>0.0176</x:v>
      </x:c>
      <x:c r="R95" s="207" t="n">
        <x:v>0.0303</x:v>
      </x:c>
      <x:c r="S95" s="183" t="n">
        <x:v>7561.00</x:v>
      </x:c>
      <x:c r="T95" s="182" t="n">
        <x:f ca="1">=IF(AND(U95=0,S95&gt;0),-100%,IF(OR(S95=0,S95="-"),"-",IF(AND(S95=0,U95=0),0%,IF(S95&lt;U95,SUM(U95-S95)/S95,IF(S95&gt;U95,SUM(-1*(S95-U95)/S95),"")))))</x:f>
        <x:v/>
      </x:c>
      <x:c r="U95" s="183" t="n">
        <x:v>6534.00</x:v>
      </x:c>
      <x:c r="V95" s="183" t="n">
        <x:f ca="1">=SUM(U95/ ((O95- M95)/30.42))</x:f>
        <x:v/>
      </x:c>
      <x:c r="W95" s="196">
        <x:f ca="1">=IF(T95="","",IF(T95="-","",IF(U95=0,"",IF(OR(T95&gt;AA4,T95&lt;-AA4),"*",""))))</x:f>
        <x:v/>
      </x:c>
      <x:c r="X95" s="98" t="str">
        <x:v/>
      </x:c>
    </x:row>
    <x:row r="96" spans="1:25" s="12" x14ac:dyDescent="0.25">
      <x:c r="A96" s="90" t="str">
        <x:v>85</x:v>
      </x:c>
      <x:c r="B96" s="191" t="str">
        <x:v>13879086</x:v>
      </x:c>
      <x:c r="C96" s="191" t="str">
        <x:v>Ricoh MP C3004</x:v>
      </x:c>
      <x:c r="D96" s="191" t="str">
        <x:v>Color Copier B/W Pages</x:v>
      </x:c>
      <x:c r="E96" s="191" t="str">
        <x:v>G696MA10815</x:v>
      </x:c>
      <x:c r="F96" s="191" t="str">
        <x:v>Active</x:v>
      </x:c>
      <x:c r="G96" s="191" t="str">
        <x:v>Clyde</x:v>
      </x:c>
      <x:c r="H96" s="191" t="str">
        <x:v/>
      </x:c>
      <x:c r="I96" s="191" t="str">
        <x:v/>
      </x:c>
      <x:c r="J96" s="191" t="str">
        <x:v>1</x:v>
      </x:c>
      <x:c r="K96" s="191" t="str">
        <x:v>Cayce Burbach</x:v>
      </x:c>
      <x:c r="L96" s="191" t="str">
        <x:v/>
      </x:c>
      <x:c r="M96" s="191" t="str">
        <x:v>12/1/2018</x:v>
      </x:c>
      <x:c r="N96" s="189" t="n">
        <x:v>117349.00</x:v>
      </x:c>
      <x:c r="O96" s="191" t="str">
        <x:v>12/31/2018</x:v>
      </x:c>
      <x:c r="P96" s="189" t="n">
        <x:v>123745.00</x:v>
      </x:c>
      <x:c r="Q96" s="206" t="n">
        <x:v>0.0172</x:v>
      </x:c>
      <x:c r="R96" s="206" t="n">
        <x:v>0.0297</x:v>
      </x:c>
      <x:c r="S96" s="189" t="n">
        <x:v>4508.00</x:v>
      </x:c>
      <x:c r="T96" s="187" t="n">
        <x:f ca="1">=IF(AND(U96=0,S96&gt;0),-100%,IF(OR(S96=0,S96="-"),"-",IF(AND(S96=0,U96=0),0%,IF(S96&lt;U96,SUM(U96-S96)/S96,IF(S96&gt;U96,SUM(-1*(S96-U96)/S96),"")))))</x:f>
        <x:v/>
      </x:c>
      <x:c r="U96" s="189" t="n">
        <x:v>6396.00</x:v>
      </x:c>
      <x:c r="V96" s="189" t="n">
        <x:f ca="1">=SUM(U96/ ((O96- M96)/30.42))</x:f>
        <x:v/>
      </x:c>
      <x:c r="W96" s="195">
        <x:f ca="1">=IF(T96="","",IF(T96="-","",IF(U96=0,"",IF(OR(T96&gt;AA4,T96&lt;-AA4),"*",""))))</x:f>
        <x:v/>
      </x:c>
      <x:c r="X96" s="91" t="str">
        <x:v/>
      </x:c>
    </x:row>
    <x:row r="97" spans="1:25" s="12" x14ac:dyDescent="0.25">
      <x:c r="A97" s="96" t="str">
        <x:v>86</x:v>
      </x:c>
      <x:c r="B97" s="192" t="str">
        <x:v>13982226</x:v>
      </x:c>
      <x:c r="C97" s="192" t="str">
        <x:v>Ricoh MP C3004</x:v>
      </x:c>
      <x:c r="D97" s="192" t="str">
        <x:v>Color Copier B/W Pages</x:v>
      </x:c>
      <x:c r="E97" s="192" t="str">
        <x:v>G696M710224</x:v>
      </x:c>
      <x:c r="F97" s="192" t="str">
        <x:v>Active</x:v>
      </x:c>
      <x:c r="G97" s="192" t="str">
        <x:v>Spartanburg Treatment Center</x:v>
      </x:c>
      <x:c r="H97" s="192" t="str">
        <x:v/>
      </x:c>
      <x:c r="I97" s="192" t="str">
        <x:v/>
      </x:c>
      <x:c r="J97" s="192" t="str">
        <x:v>2</x:v>
      </x:c>
      <x:c r="K97" s="192" t="str">
        <x:v/>
      </x:c>
      <x:c r="L97" s="192" t="str">
        <x:v/>
      </x:c>
      <x:c r="M97" s="192" t="str">
        <x:v>12/1/2018</x:v>
      </x:c>
      <x:c r="N97" s="183" t="n">
        <x:v>183910.00</x:v>
      </x:c>
      <x:c r="O97" s="192" t="str">
        <x:v>12/31/2018</x:v>
      </x:c>
      <x:c r="P97" s="183" t="n">
        <x:v>190276.00</x:v>
      </x:c>
      <x:c r="Q97" s="207" t="n">
        <x:v>0.0171</x:v>
      </x:c>
      <x:c r="R97" s="207" t="n">
        <x:v>0.0295</x:v>
      </x:c>
      <x:c r="S97" s="183" t="n">
        <x:v>5970.00</x:v>
      </x:c>
      <x:c r="T97" s="182" t="n">
        <x:f ca="1">=IF(AND(U97=0,S97&gt;0),-100%,IF(OR(S97=0,S97="-"),"-",IF(AND(S97=0,U97=0),0%,IF(S97&lt;U97,SUM(U97-S97)/S97,IF(S97&gt;U97,SUM(-1*(S97-U97)/S97),"")))))</x:f>
        <x:v/>
      </x:c>
      <x:c r="U97" s="183" t="n">
        <x:v>6366.00</x:v>
      </x:c>
      <x:c r="V97" s="183" t="n">
        <x:f ca="1">=SUM(U97/ ((O97- M97)/30.42))</x:f>
        <x:v/>
      </x:c>
      <x:c r="W97" s="196">
        <x:f ca="1">=IF(T97="","",IF(T97="-","",IF(U97=0,"",IF(OR(T97&gt;AA4,T97&lt;-AA4),"*",""))))</x:f>
        <x:v/>
      </x:c>
      <x:c r="X97" s="98" t="str">
        <x:v/>
      </x:c>
    </x:row>
    <x:row r="98" spans="1:25" s="12" x14ac:dyDescent="0.25">
      <x:c r="A98" s="90" t="str">
        <x:v>87</x:v>
      </x:c>
      <x:c r="B98" s="191" t="str">
        <x:v>13313781</x:v>
      </x:c>
      <x:c r="C98" s="191" t="str">
        <x:v>Ricoh MP C2051</x:v>
      </x:c>
      <x:c r="D98" s="191" t="str">
        <x:v>Color Copier B/W Pages</x:v>
      </x:c>
      <x:c r="E98" s="191" t="str">
        <x:v>V9706000117</x:v>
      </x:c>
      <x:c r="F98" s="191" t="str">
        <x:v>Active</x:v>
      </x:c>
      <x:c r="G98" s="191" t="str">
        <x:v>New Orleans Westbank Treatment Center</x:v>
      </x:c>
      <x:c r="H98" s="191" t="str">
        <x:v/>
      </x:c>
      <x:c r="I98" s="191" t="str">
        <x:v/>
      </x:c>
      <x:c r="J98" s="191" t="str">
        <x:v/>
      </x:c>
      <x:c r="K98" s="191" t="str">
        <x:v/>
      </x:c>
      <x:c r="L98" s="191" t="str">
        <x:v/>
      </x:c>
      <x:c r="M98" s="191" t="str">
        <x:v>12/1/2018</x:v>
      </x:c>
      <x:c r="N98" s="189" t="n">
        <x:v>526190.00</x:v>
      </x:c>
      <x:c r="O98" s="191" t="str">
        <x:v>12/31/2018</x:v>
      </x:c>
      <x:c r="P98" s="189" t="n">
        <x:v>531908.00</x:v>
      </x:c>
      <x:c r="Q98" s="206" t="n">
        <x:v>0.0154</x:v>
      </x:c>
      <x:c r="R98" s="206" t="n">
        <x:v>0.0265</x:v>
      </x:c>
      <x:c r="S98" s="189" t="n">
        <x:v>2857.00</x:v>
      </x:c>
      <x:c r="T98" s="187" t="n">
        <x:f ca="1">=IF(AND(U98=0,S98&gt;0),-100%,IF(OR(S98=0,S98="-"),"-",IF(AND(S98=0,U98=0),0%,IF(S98&lt;U98,SUM(U98-S98)/S98,IF(S98&gt;U98,SUM(-1*(S98-U98)/S98),"")))))</x:f>
        <x:v/>
      </x:c>
      <x:c r="U98" s="189" t="n">
        <x:v>5718.00</x:v>
      </x:c>
      <x:c r="V98" s="189" t="n">
        <x:f ca="1">=SUM(U98/ ((O98- M98)/30.42))</x:f>
        <x:v/>
      </x:c>
      <x:c r="W98" s="195">
        <x:f ca="1">=IF(T98="","",IF(T98="-","",IF(U98=0,"",IF(OR(T98&gt;AA4,T98&lt;-AA4),"*",""))))</x:f>
        <x:v/>
      </x:c>
      <x:c r="X98" s="91" t="str">
        <x:v/>
      </x:c>
    </x:row>
    <x:row r="99" spans="1:25" s="12" x14ac:dyDescent="0.25">
      <x:c r="A99" s="96" t="str">
        <x:v>88</x:v>
      </x:c>
      <x:c r="B99" s="192" t="str">
        <x:v>FPR58217</x:v>
      </x:c>
      <x:c r="C99" s="192" t="str">
        <x:v>Ricoh MP C3004</x:v>
      </x:c>
      <x:c r="D99" s="192" t="str">
        <x:v>Color Copier B/W Pages</x:v>
      </x:c>
      <x:c r="E99" s="192" t="str">
        <x:v>C718M210033</x:v>
      </x:c>
      <x:c r="F99" s="192" t="str">
        <x:v>Active</x:v>
      </x:c>
      <x:c r="G99" s="192" t="str">
        <x:v>Sheffield Treatment Center</x:v>
      </x:c>
      <x:c r="H99" s="192" t="str">
        <x:v/>
      </x:c>
      <x:c r="I99" s="192" t="str">
        <x:v/>
      </x:c>
      <x:c r="J99" s="192" t="str">
        <x:v/>
      </x:c>
      <x:c r="K99" s="192" t="str">
        <x:v>Heath Haddock</x:v>
      </x:c>
      <x:c r="L99" s="192" t="str">
        <x:v/>
      </x:c>
      <x:c r="M99" s="192" t="str">
        <x:v>12/1/2018</x:v>
      </x:c>
      <x:c r="N99" s="183" t="n">
        <x:v>52375.00</x:v>
      </x:c>
      <x:c r="O99" s="192" t="str">
        <x:v>12/31/2018</x:v>
      </x:c>
      <x:c r="P99" s="183" t="n">
        <x:v>58022.00</x:v>
      </x:c>
      <x:c r="Q99" s="207" t="n">
        <x:v>0.0152</x:v>
      </x:c>
      <x:c r="R99" s="207" t="n">
        <x:v>0.0262</x:v>
      </x:c>
      <x:c r="S99" s="183" t="n">
        <x:v>27156.00</x:v>
      </x:c>
      <x:c r="T99" s="182" t="n">
        <x:f ca="1">=IF(AND(U99=0,S99&gt;0),-100%,IF(OR(S99=0,S99="-"),"-",IF(AND(S99=0,U99=0),0%,IF(S99&lt;U99,SUM(U99-S99)/S99,IF(S99&gt;U99,SUM(-1*(S99-U99)/S99),"")))))</x:f>
        <x:v/>
      </x:c>
      <x:c r="U99" s="183" t="n">
        <x:v>5647.00</x:v>
      </x:c>
      <x:c r="V99" s="183" t="n">
        <x:f ca="1">=SUM(U99/ ((O99- M99)/30.42))</x:f>
        <x:v/>
      </x:c>
      <x:c r="W99" s="196">
        <x:f ca="1">=IF(T99="","",IF(T99="-","",IF(U99=0,"",IF(OR(T99&gt;AA4,T99&lt;-AA4),"*",""))))</x:f>
        <x:v/>
      </x:c>
      <x:c r="X99" s="98" t="str">
        <x:v/>
      </x:c>
    </x:row>
    <x:row r="100" spans="1:25" s="12" x14ac:dyDescent="0.25">
      <x:c r="A100" s="90" t="str">
        <x:v>89</x:v>
      </x:c>
      <x:c r="B100" s="191" t="str">
        <x:v>12974503</x:v>
      </x:c>
      <x:c r="C100" s="191" t="str">
        <x:v>Ricoh MP C2051</x:v>
      </x:c>
      <x:c r="D100" s="191" t="str">
        <x:v>Color Copier B/W Pages</x:v>
      </x:c>
      <x:c r="E100" s="191" t="str">
        <x:v>V9715101687</x:v>
      </x:c>
      <x:c r="F100" s="191" t="str">
        <x:v>Active</x:v>
      </x:c>
      <x:c r="G100" s="191" t="str">
        <x:v>Westminster Treament Center</x:v>
      </x:c>
      <x:c r="H100" s="191" t="str">
        <x:v/>
      </x:c>
      <x:c r="I100" s="191" t="str">
        <x:v/>
      </x:c>
      <x:c r="J100" s="191" t="str">
        <x:v>8</x:v>
      </x:c>
      <x:c r="K100" s="191" t="str">
        <x:v/>
      </x:c>
      <x:c r="L100" s="191" t="str">
        <x:v/>
      </x:c>
      <x:c r="M100" s="191" t="str">
        <x:v>12/1/2018</x:v>
      </x:c>
      <x:c r="N100" s="189" t="n">
        <x:v>368250.00</x:v>
      </x:c>
      <x:c r="O100" s="191" t="str">
        <x:v>12/31/2018</x:v>
      </x:c>
      <x:c r="P100" s="189" t="n">
        <x:v>373661.00</x:v>
      </x:c>
      <x:c r="Q100" s="206" t="n">
        <x:v>0.0146</x:v>
      </x:c>
      <x:c r="R100" s="206" t="n">
        <x:v>0.0251</x:v>
      </x:c>
      <x:c r="S100" s="189" t="n">
        <x:v>5010.00</x:v>
      </x:c>
      <x:c r="T100" s="187" t="n">
        <x:f ca="1">=IF(AND(U100=0,S100&gt;0),-100%,IF(OR(S100=0,S100="-"),"-",IF(AND(S100=0,U100=0),0%,IF(S100&lt;U100,SUM(U100-S100)/S100,IF(S100&gt;U100,SUM(-1*(S100-U100)/S100),"")))))</x:f>
        <x:v/>
      </x:c>
      <x:c r="U100" s="189" t="n">
        <x:v>5411.00</x:v>
      </x:c>
      <x:c r="V100" s="189" t="n">
        <x:f ca="1">=SUM(U100/ ((O100- M100)/30.42))</x:f>
        <x:v/>
      </x:c>
      <x:c r="W100" s="195">
        <x:f ca="1">=IF(T100="","",IF(T100="-","",IF(U100=0,"",IF(OR(T100&gt;AA4,T100&lt;-AA4),"*",""))))</x:f>
        <x:v/>
      </x:c>
      <x:c r="X100" s="91" t="str">
        <x:v/>
      </x:c>
    </x:row>
    <x:row r="101" spans="1:25" s="12" x14ac:dyDescent="0.25">
      <x:c r="A101" s="96" t="str">
        <x:v>90</x:v>
      </x:c>
      <x:c r="B101" s="192" t="str">
        <x:v>14055690</x:v>
      </x:c>
      <x:c r="C101" s="192" t="str">
        <x:v>Ricoh MP C3004</x:v>
      </x:c>
      <x:c r="D101" s="192" t="str">
        <x:v>Color Copier B/W Pages</x:v>
      </x:c>
      <x:c r="E101" s="192" t="str">
        <x:v>C717M610889</x:v>
      </x:c>
      <x:c r="F101" s="192" t="str">
        <x:v>Active</x:v>
      </x:c>
      <x:c r="G101" s="192" t="str">
        <x:v>Chesapeake Treatment Center</x:v>
      </x:c>
      <x:c r="H101" s="192" t="str">
        <x:v/>
      </x:c>
      <x:c r="I101" s="192" t="str">
        <x:v/>
      </x:c>
      <x:c r="J101" s="192" t="str">
        <x:v>1</x:v>
      </x:c>
      <x:c r="K101" s="192" t="str">
        <x:v>John Garner</x:v>
      </x:c>
      <x:c r="L101" s="192" t="str">
        <x:v/>
      </x:c>
      <x:c r="M101" s="192" t="str">
        <x:v>12/1/2018</x:v>
      </x:c>
      <x:c r="N101" s="183" t="n">
        <x:v>82126.00</x:v>
      </x:c>
      <x:c r="O101" s="192" t="str">
        <x:v>12/31/2018</x:v>
      </x:c>
      <x:c r="P101" s="183" t="n">
        <x:v>87442.00</x:v>
      </x:c>
      <x:c r="Q101" s="207" t="n">
        <x:v>0.0143</x:v>
      </x:c>
      <x:c r="R101" s="207" t="n">
        <x:v>0.0247</x:v>
      </x:c>
      <x:c r="S101" s="183" t="n">
        <x:v>4892.00</x:v>
      </x:c>
      <x:c r="T101" s="182" t="n">
        <x:f ca="1">=IF(AND(U101=0,S101&gt;0),-100%,IF(OR(S101=0,S101="-"),"-",IF(AND(S101=0,U101=0),0%,IF(S101&lt;U101,SUM(U101-S101)/S101,IF(S101&gt;U101,SUM(-1*(S101-U101)/S101),"")))))</x:f>
        <x:v/>
      </x:c>
      <x:c r="U101" s="183" t="n">
        <x:v>5316.00</x:v>
      </x:c>
      <x:c r="V101" s="183" t="n">
        <x:f ca="1">=SUM(U101/ ((O101- M101)/30.42))</x:f>
        <x:v/>
      </x:c>
      <x:c r="W101" s="196">
        <x:f ca="1">=IF(T101="","",IF(T101="-","",IF(U101=0,"",IF(OR(T101&gt;AA4,T101&lt;-AA4),"*",""))))</x:f>
        <x:v/>
      </x:c>
      <x:c r="X101" s="98" t="str">
        <x:v/>
      </x:c>
    </x:row>
    <x:row r="102" spans="1:25" s="12" x14ac:dyDescent="0.25">
      <x:c r="A102" s="90" t="str">
        <x:v>91</x:v>
      </x:c>
      <x:c r="B102" s="191" t="str">
        <x:v>12884371</x:v>
      </x:c>
      <x:c r="C102" s="191" t="str">
        <x:v>Ricoh MPC 2551</x:v>
      </x:c>
      <x:c r="D102" s="191" t="str">
        <x:v>Color Copier B/W Pages</x:v>
      </x:c>
      <x:c r="E102" s="191" t="str">
        <x:v>V9834900458</x:v>
      </x:c>
      <x:c r="F102" s="191" t="str">
        <x:v>Active</x:v>
      </x:c>
      <x:c r="G102" s="191" t="str">
        <x:v>Pikeville Treatment Center</x:v>
      </x:c>
      <x:c r="H102" s="191" t="str">
        <x:v/>
      </x:c>
      <x:c r="I102" s="191" t="str">
        <x:v/>
      </x:c>
      <x:c r="J102" s="191" t="str">
        <x:v>1</x:v>
      </x:c>
      <x:c r="K102" s="191" t="str">
        <x:v/>
      </x:c>
      <x:c r="L102" s="191" t="str">
        <x:v/>
      </x:c>
      <x:c r="M102" s="191" t="str">
        <x:v>12/1/2018</x:v>
      </x:c>
      <x:c r="N102" s="189" t="n">
        <x:v>387104.00</x:v>
      </x:c>
      <x:c r="O102" s="191" t="str">
        <x:v>12/31/2018</x:v>
      </x:c>
      <x:c r="P102" s="189" t="n">
        <x:v>392350.00</x:v>
      </x:c>
      <x:c r="Q102" s="206" t="n">
        <x:v>0.0141</x:v>
      </x:c>
      <x:c r="R102" s="206" t="n">
        <x:v>0.0243</x:v>
      </x:c>
      <x:c r="S102" s="189" t="n">
        <x:v>5778.00</x:v>
      </x:c>
      <x:c r="T102" s="187" t="n">
        <x:f ca="1">=IF(AND(U102=0,S102&gt;0),-100%,IF(OR(S102=0,S102="-"),"-",IF(AND(S102=0,U102=0),0%,IF(S102&lt;U102,SUM(U102-S102)/S102,IF(S102&gt;U102,SUM(-1*(S102-U102)/S102),"")))))</x:f>
        <x:v/>
      </x:c>
      <x:c r="U102" s="189" t="n">
        <x:v>5246.00</x:v>
      </x:c>
      <x:c r="V102" s="189" t="n">
        <x:f ca="1">=SUM(U102/ ((O102- M102)/30.42))</x:f>
        <x:v/>
      </x:c>
      <x:c r="W102" s="195">
        <x:f ca="1">=IF(T102="","",IF(T102="-","",IF(U102=0,"",IF(OR(T102&gt;AA4,T102&lt;-AA4),"*",""))))</x:f>
        <x:v/>
      </x:c>
      <x:c r="X102" s="91" t="str">
        <x:v/>
      </x:c>
    </x:row>
    <x:row r="103" spans="1:25" s="12" x14ac:dyDescent="0.25">
      <x:c r="A103" s="96" t="str">
        <x:v>92</x:v>
      </x:c>
      <x:c r="B103" s="192" t="str">
        <x:v>20099657</x:v>
      </x:c>
      <x:c r="C103" s="192" t="str">
        <x:v>Ricoh MP C2051</x:v>
      </x:c>
      <x:c r="D103" s="192" t="str">
        <x:v>Color Copier B/W Pages</x:v>
      </x:c>
      <x:c r="E103" s="192" t="str">
        <x:v>V9706000018</x:v>
      </x:c>
      <x:c r="F103" s="192" t="str">
        <x:v>Active</x:v>
      </x:c>
      <x:c r="G103" s="192" t="str">
        <x:v>Lake Charles Treatment Center</x:v>
      </x:c>
      <x:c r="H103" s="192" t="str">
        <x:v/>
      </x:c>
      <x:c r="I103" s="192" t="str">
        <x:v/>
      </x:c>
      <x:c r="J103" s="192" t="str">
        <x:v/>
      </x:c>
      <x:c r="K103" s="192" t="str">
        <x:v/>
      </x:c>
      <x:c r="L103" s="192" t="str">
        <x:v/>
      </x:c>
      <x:c r="M103" s="192" t="str">
        <x:v>11/29/2018</x:v>
      </x:c>
      <x:c r="N103" s="183" t="n">
        <x:v>392608.00</x:v>
      </x:c>
      <x:c r="O103" s="192" t="str">
        <x:v>12/31/2018</x:v>
      </x:c>
      <x:c r="P103" s="183" t="n">
        <x:v>397811.00</x:v>
      </x:c>
      <x:c r="Q103" s="207" t="n">
        <x:v>0.014</x:v>
      </x:c>
      <x:c r="R103" s="207" t="n">
        <x:v>0.0242</x:v>
      </x:c>
      <x:c r="S103" s="183" t="n">
        <x:v>2965.00</x:v>
      </x:c>
      <x:c r="T103" s="182" t="n">
        <x:f ca="1">=IF(AND(U103=0,S103&gt;0),-100%,IF(OR(S103=0,S103="-"),"-",IF(AND(S103=0,U103=0),0%,IF(S103&lt;U103,SUM(U103-S103)/S103,IF(S103&gt;U103,SUM(-1*(S103-U103)/S103),"")))))</x:f>
        <x:v/>
      </x:c>
      <x:c r="U103" s="183" t="n">
        <x:v>5203.00</x:v>
      </x:c>
      <x:c r="V103" s="183" t="n">
        <x:f ca="1">=SUM(U103/ ((O103- M103)/30.42))</x:f>
        <x:v/>
      </x:c>
      <x:c r="W103" s="196">
        <x:f ca="1">=IF(T103="","",IF(T103="-","",IF(U103=0,"",IF(OR(T103&gt;AA4,T103&lt;-AA4),"*",""))))</x:f>
        <x:v/>
      </x:c>
      <x:c r="X103" s="98" t="str">
        <x:v/>
      </x:c>
    </x:row>
    <x:row r="104" spans="1:25" s="12" x14ac:dyDescent="0.25">
      <x:c r="A104" s="90" t="str">
        <x:v>93</x:v>
      </x:c>
      <x:c r="B104" s="191" t="str">
        <x:v>20422992</x:v>
      </x:c>
      <x:c r="C104" s="191" t="str">
        <x:v>Ricoh MP C2051</x:v>
      </x:c>
      <x:c r="D104" s="191" t="str">
        <x:v>Color Copier B/W Pages</x:v>
      </x:c>
      <x:c r="E104" s="191" t="str">
        <x:v>V9715101685</x:v>
      </x:c>
      <x:c r="F104" s="191" t="str">
        <x:v>Active</x:v>
      </x:c>
      <x:c r="G104" s="191" t="str">
        <x:v>Dallas Corporate Office</x:v>
      </x:c>
      <x:c r="H104" s="191" t="str">
        <x:v/>
      </x:c>
      <x:c r="I104" s="191" t="str">
        <x:v/>
      </x:c>
      <x:c r="J104" s="191" t="str">
        <x:v>2</x:v>
      </x:c>
      <x:c r="K104" s="191" t="str">
        <x:v>Byung Seo</x:v>
      </x:c>
      <x:c r="L104" s="191" t="str">
        <x:v/>
      </x:c>
      <x:c r="M104" s="191" t="str">
        <x:v>12/1/2018</x:v>
      </x:c>
      <x:c r="N104" s="189" t="n">
        <x:v>353988.00</x:v>
      </x:c>
      <x:c r="O104" s="191" t="str">
        <x:v>12/31/2018</x:v>
      </x:c>
      <x:c r="P104" s="189" t="n">
        <x:v>359062.00</x:v>
      </x:c>
      <x:c r="Q104" s="206" t="n">
        <x:v>0.0136</x:v>
      </x:c>
      <x:c r="R104" s="206" t="n">
        <x:v>0.0236</x:v>
      </x:c>
      <x:c r="S104" s="189" t="n">
        <x:v>3709.00</x:v>
      </x:c>
      <x:c r="T104" s="187" t="n">
        <x:f ca="1">=IF(AND(U104=0,S104&gt;0),-100%,IF(OR(S104=0,S104="-"),"-",IF(AND(S104=0,U104=0),0%,IF(S104&lt;U104,SUM(U104-S104)/S104,IF(S104&gt;U104,SUM(-1*(S104-U104)/S104),"")))))</x:f>
        <x:v/>
      </x:c>
      <x:c r="U104" s="189" t="n">
        <x:v>5074.00</x:v>
      </x:c>
      <x:c r="V104" s="189" t="n">
        <x:f ca="1">=SUM(U104/ ((O104- M104)/30.42))</x:f>
        <x:v/>
      </x:c>
      <x:c r="W104" s="195">
        <x:f ca="1">=IF(T104="","",IF(T104="-","",IF(U104=0,"",IF(OR(T104&gt;AA4,T104&lt;-AA4),"*",""))))</x:f>
        <x:v/>
      </x:c>
      <x:c r="X104" s="91" t="str">
        <x:v/>
      </x:c>
    </x:row>
    <x:row r="105" spans="1:25" s="12" x14ac:dyDescent="0.25">
      <x:c r="A105" s="96" t="str">
        <x:v>94</x:v>
      </x:c>
      <x:c r="B105" s="192" t="str">
        <x:v>20314961</x:v>
      </x:c>
      <x:c r="C105" s="192" t="str">
        <x:v>Ricoh MP C2051</x:v>
      </x:c>
      <x:c r="D105" s="192" t="str">
        <x:v>Color Copier B/W Pages</x:v>
      </x:c>
      <x:c r="E105" s="192" t="str">
        <x:v>V9706000065</x:v>
      </x:c>
      <x:c r="F105" s="192" t="str">
        <x:v>Active</x:v>
      </x:c>
      <x:c r="G105" s="192" t="str">
        <x:v>Memphis South Treatment Center</x:v>
      </x:c>
      <x:c r="H105" s="192" t="str">
        <x:v/>
      </x:c>
      <x:c r="I105" s="192" t="str">
        <x:v/>
      </x:c>
      <x:c r="J105" s="192" t="str">
        <x:v/>
      </x:c>
      <x:c r="K105" s="192" t="str">
        <x:v/>
      </x:c>
      <x:c r="L105" s="192" t="str">
        <x:v/>
      </x:c>
      <x:c r="M105" s="192" t="str">
        <x:v>12/1/2018</x:v>
      </x:c>
      <x:c r="N105" s="183" t="n">
        <x:v>365493.00</x:v>
      </x:c>
      <x:c r="O105" s="192" t="str">
        <x:v>12/31/2018</x:v>
      </x:c>
      <x:c r="P105" s="183" t="n">
        <x:v>370551.00</x:v>
      </x:c>
      <x:c r="Q105" s="207" t="n">
        <x:v>0.0136</x:v>
      </x:c>
      <x:c r="R105" s="207" t="n">
        <x:v>0.0235</x:v>
      </x:c>
      <x:c r="S105" s="183" t="n">
        <x:v>3212.00</x:v>
      </x:c>
      <x:c r="T105" s="182" t="n">
        <x:f ca="1">=IF(AND(U105=0,S105&gt;0),-100%,IF(OR(S105=0,S105="-"),"-",IF(AND(S105=0,U105=0),0%,IF(S105&lt;U105,SUM(U105-S105)/S105,IF(S105&gt;U105,SUM(-1*(S105-U105)/S105),"")))))</x:f>
        <x:v/>
      </x:c>
      <x:c r="U105" s="183" t="n">
        <x:v>5058.00</x:v>
      </x:c>
      <x:c r="V105" s="183" t="n">
        <x:f ca="1">=SUM(U105/ ((O105- M105)/30.42))</x:f>
        <x:v/>
      </x:c>
      <x:c r="W105" s="196">
        <x:f ca="1">=IF(T105="","",IF(T105="-","",IF(U105=0,"",IF(OR(T105&gt;AA4,T105&lt;-AA4),"*",""))))</x:f>
        <x:v/>
      </x:c>
      <x:c r="X105" s="98" t="str">
        <x:v/>
      </x:c>
    </x:row>
    <x:row r="106" spans="1:25" s="12" x14ac:dyDescent="0.25">
      <x:c r="A106" s="90" t="str">
        <x:v>95</x:v>
      </x:c>
      <x:c r="B106" s="191" t="str">
        <x:v>20187229</x:v>
      </x:c>
      <x:c r="C106" s="191" t="str">
        <x:v>Ricoh MP C2051</x:v>
      </x:c>
      <x:c r="D106" s="191" t="str">
        <x:v>Color Copier B/W Pages</x:v>
      </x:c>
      <x:c r="E106" s="191" t="str">
        <x:v>V9715000300</x:v>
      </x:c>
      <x:c r="F106" s="191" t="str">
        <x:v>Active</x:v>
      </x:c>
      <x:c r="G106" s="191" t="str">
        <x:v>Knoxville Citico Treatment Center</x:v>
      </x:c>
      <x:c r="H106" s="191" t="str">
        <x:v/>
      </x:c>
      <x:c r="I106" s="191" t="str">
        <x:v/>
      </x:c>
      <x:c r="J106" s="191" t="str">
        <x:v/>
      </x:c>
      <x:c r="K106" s="191" t="str">
        <x:v/>
      </x:c>
      <x:c r="L106" s="191" t="str">
        <x:v/>
      </x:c>
      <x:c r="M106" s="191" t="str">
        <x:v>12/1/2018</x:v>
      </x:c>
      <x:c r="N106" s="189" t="n">
        <x:v>574068.00</x:v>
      </x:c>
      <x:c r="O106" s="191" t="str">
        <x:v>12/31/2018</x:v>
      </x:c>
      <x:c r="P106" s="189" t="n">
        <x:v>579103.00</x:v>
      </x:c>
      <x:c r="Q106" s="206" t="n">
        <x:v>0.0135</x:v>
      </x:c>
      <x:c r="R106" s="206" t="n">
        <x:v>0.0234</x:v>
      </x:c>
      <x:c r="S106" s="189" t="n">
        <x:v>3726.00</x:v>
      </x:c>
      <x:c r="T106" s="187" t="n">
        <x:f ca="1">=IF(AND(U106=0,S106&gt;0),-100%,IF(OR(S106=0,S106="-"),"-",IF(AND(S106=0,U106=0),0%,IF(S106&lt;U106,SUM(U106-S106)/S106,IF(S106&gt;U106,SUM(-1*(S106-U106)/S106),"")))))</x:f>
        <x:v/>
      </x:c>
      <x:c r="U106" s="189" t="n">
        <x:v>5035.00</x:v>
      </x:c>
      <x:c r="V106" s="189" t="n">
        <x:f ca="1">=SUM(U106/ ((O106- M106)/30.42))</x:f>
        <x:v/>
      </x:c>
      <x:c r="W106" s="195">
        <x:f ca="1">=IF(T106="","",IF(T106="-","",IF(U106=0,"",IF(OR(T106&gt;AA4,T106&lt;-AA4),"*",""))))</x:f>
        <x:v/>
      </x:c>
      <x:c r="X106" s="91" t="str">
        <x:v/>
      </x:c>
    </x:row>
    <x:row r="107" spans="1:25" s="12" x14ac:dyDescent="0.25">
      <x:c r="A107" s="96" t="str">
        <x:v>96</x:v>
      </x:c>
      <x:c r="B107" s="192" t="str">
        <x:v>13954551</x:v>
      </x:c>
      <x:c r="C107" s="192" t="str">
        <x:v>Ricoh MP C3004</x:v>
      </x:c>
      <x:c r="D107" s="192" t="str">
        <x:v>Color Copier B/W Pages</x:v>
      </x:c>
      <x:c r="E107" s="192" t="str">
        <x:v>G696MB60082</x:v>
      </x:c>
      <x:c r="F107" s="192" t="str">
        <x:v>Active</x:v>
      </x:c>
      <x:c r="G107" s="192" t="str">
        <x:v>Asheville</x:v>
      </x:c>
      <x:c r="H107" s="192" t="str">
        <x:v/>
      </x:c>
      <x:c r="I107" s="192" t="str">
        <x:v/>
      </x:c>
      <x:c r="J107" s="192" t="str">
        <x:v/>
      </x:c>
      <x:c r="K107" s="192" t="str">
        <x:v>Rhonda Ingle</x:v>
      </x:c>
      <x:c r="L107" s="192" t="str">
        <x:v/>
      </x:c>
      <x:c r="M107" s="192" t="str">
        <x:v>12/1/2018</x:v>
      </x:c>
      <x:c r="N107" s="183" t="n">
        <x:v>128609.00</x:v>
      </x:c>
      <x:c r="O107" s="192" t="str">
        <x:v>12/31/2018</x:v>
      </x:c>
      <x:c r="P107" s="183" t="n">
        <x:v>133403.00</x:v>
      </x:c>
      <x:c r="Q107" s="207" t="n">
        <x:v>0.0129</x:v>
      </x:c>
      <x:c r="R107" s="207" t="n">
        <x:v>0.0223</x:v>
      </x:c>
      <x:c r="S107" s="183" t="n">
        <x:v>6599.00</x:v>
      </x:c>
      <x:c r="T107" s="182" t="n">
        <x:f ca="1">=IF(AND(U107=0,S107&gt;0),-100%,IF(OR(S107=0,S107="-"),"-",IF(AND(S107=0,U107=0),0%,IF(S107&lt;U107,SUM(U107-S107)/S107,IF(S107&gt;U107,SUM(-1*(S107-U107)/S107),"")))))</x:f>
        <x:v/>
      </x:c>
      <x:c r="U107" s="183" t="n">
        <x:v>4794.00</x:v>
      </x:c>
      <x:c r="V107" s="183" t="n">
        <x:f ca="1">=SUM(U107/ ((O107- M107)/30.42))</x:f>
        <x:v/>
      </x:c>
      <x:c r="W107" s="196">
        <x:f ca="1">=IF(T107="","",IF(T107="-","",IF(U107=0,"",IF(OR(T107&gt;AA4,T107&lt;-AA4),"*",""))))</x:f>
        <x:v/>
      </x:c>
      <x:c r="X107" s="98" t="str">
        <x:v/>
      </x:c>
    </x:row>
    <x:row r="108" spans="1:25" s="12" x14ac:dyDescent="0.25">
      <x:c r="A108" s="90" t="str">
        <x:v>97</x:v>
      </x:c>
      <x:c r="B108" s="191" t="str">
        <x:v>12884505</x:v>
      </x:c>
      <x:c r="C108" s="191" t="str">
        <x:v>Ricoh MPC 2551</x:v>
      </x:c>
      <x:c r="D108" s="191" t="str">
        <x:v>Color Copier B/W Pages</x:v>
      </x:c>
      <x:c r="E108" s="191" t="str">
        <x:v>V9834900469</x:v>
      </x:c>
      <x:c r="F108" s="191" t="str">
        <x:v>Active</x:v>
      </x:c>
      <x:c r="G108" s="191" t="str">
        <x:v>Hazard Treatment Center</x:v>
      </x:c>
      <x:c r="H108" s="191" t="str">
        <x:v/>
      </x:c>
      <x:c r="I108" s="191" t="str">
        <x:v/>
      </x:c>
      <x:c r="J108" s="191" t="str">
        <x:v/>
      </x:c>
      <x:c r="K108" s="191" t="str">
        <x:v/>
      </x:c>
      <x:c r="L108" s="191" t="str">
        <x:v/>
      </x:c>
      <x:c r="M108" s="191" t="str">
        <x:v>12/1/2018</x:v>
      </x:c>
      <x:c r="N108" s="189" t="n">
        <x:v>291767.00</x:v>
      </x:c>
      <x:c r="O108" s="191" t="str">
        <x:v>12/31/2018</x:v>
      </x:c>
      <x:c r="P108" s="189" t="n">
        <x:v>296467.00</x:v>
      </x:c>
      <x:c r="Q108" s="206" t="n">
        <x:v>0.0126</x:v>
      </x:c>
      <x:c r="R108" s="206" t="n">
        <x:v>0.0218</x:v>
      </x:c>
      <x:c r="S108" s="189" t="n">
        <x:v>4007.00</x:v>
      </x:c>
      <x:c r="T108" s="187" t="n">
        <x:f ca="1">=IF(AND(U108=0,S108&gt;0),-100%,IF(OR(S108=0,S108="-"),"-",IF(AND(S108=0,U108=0),0%,IF(S108&lt;U108,SUM(U108-S108)/S108,IF(S108&gt;U108,SUM(-1*(S108-U108)/S108),"")))))</x:f>
        <x:v/>
      </x:c>
      <x:c r="U108" s="189" t="n">
        <x:v>4700.00</x:v>
      </x:c>
      <x:c r="V108" s="189" t="n">
        <x:f ca="1">=SUM(U108/ ((O108- M108)/30.42))</x:f>
        <x:v/>
      </x:c>
      <x:c r="W108" s="195">
        <x:f ca="1">=IF(T108="","",IF(T108="-","",IF(U108=0,"",IF(OR(T108&gt;AA4,T108&lt;-AA4),"*",""))))</x:f>
        <x:v/>
      </x:c>
      <x:c r="X108" s="91" t="str">
        <x:v/>
      </x:c>
    </x:row>
    <x:row r="109" spans="1:25" s="12" x14ac:dyDescent="0.25">
      <x:c r="A109" s="96" t="str">
        <x:v>98</x:v>
      </x:c>
      <x:c r="B109" s="192" t="str">
        <x:v>20048184</x:v>
      </x:c>
      <x:c r="C109" s="192" t="str">
        <x:v>Ricoh MP C2051</x:v>
      </x:c>
      <x:c r="D109" s="192" t="str">
        <x:v>Color Copier B/W Pages</x:v>
      </x:c>
      <x:c r="E109" s="192" t="str">
        <x:v>V9706000024</x:v>
      </x:c>
      <x:c r="F109" s="192" t="str">
        <x:v>Active</x:v>
      </x:c>
      <x:c r="G109" s="192" t="str">
        <x:v>Longmont Treatment Center</x:v>
      </x:c>
      <x:c r="H109" s="192" t="str">
        <x:v/>
      </x:c>
      <x:c r="I109" s="192" t="str">
        <x:v/>
      </x:c>
      <x:c r="J109" s="192" t="str">
        <x:v>7</x:v>
      </x:c>
      <x:c r="K109" s="192" t="str">
        <x:v/>
      </x:c>
      <x:c r="L109" s="192" t="str">
        <x:v/>
      </x:c>
      <x:c r="M109" s="192" t="str">
        <x:v>12/1/2018</x:v>
      </x:c>
      <x:c r="N109" s="183" t="n">
        <x:v>372720.00</x:v>
      </x:c>
      <x:c r="O109" s="192" t="str">
        <x:v>12/31/2018</x:v>
      </x:c>
      <x:c r="P109" s="183" t="n">
        <x:v>377168.00</x:v>
      </x:c>
      <x:c r="Q109" s="207" t="n">
        <x:v>0.012</x:v>
      </x:c>
      <x:c r="R109" s="207" t="n">
        <x:v>0.0206</x:v>
      </x:c>
      <x:c r="S109" s="183" t="n">
        <x:v>4439.00</x:v>
      </x:c>
      <x:c r="T109" s="182" t="n">
        <x:f ca="1">=IF(AND(U109=0,S109&gt;0),-100%,IF(OR(S109=0,S109="-"),"-",IF(AND(S109=0,U109=0),0%,IF(S109&lt;U109,SUM(U109-S109)/S109,IF(S109&gt;U109,SUM(-1*(S109-U109)/S109),"")))))</x:f>
        <x:v/>
      </x:c>
      <x:c r="U109" s="183" t="n">
        <x:v>4448.00</x:v>
      </x:c>
      <x:c r="V109" s="183" t="n">
        <x:f ca="1">=SUM(U109/ ((O109- M109)/30.42))</x:f>
        <x:v/>
      </x:c>
      <x:c r="W109" s="196">
        <x:f ca="1">=IF(T109="","",IF(T109="-","",IF(U109=0,"",IF(OR(T109&gt;AA4,T109&lt;-AA4),"*",""))))</x:f>
        <x:v/>
      </x:c>
      <x:c r="X109" s="98" t="str">
        <x:v/>
      </x:c>
    </x:row>
    <x:row r="110" spans="1:25" s="12" x14ac:dyDescent="0.25">
      <x:c r="A110" s="90" t="str">
        <x:v>99</x:v>
      </x:c>
      <x:c r="B110" s="191" t="str">
        <x:v>13465628</x:v>
      </x:c>
      <x:c r="C110" s="191" t="str">
        <x:v>Ricoh MP C2503</x:v>
      </x:c>
      <x:c r="D110" s="191" t="str">
        <x:v>Color Copier B/W Pages</x:v>
      </x:c>
      <x:c r="E110" s="191" t="str">
        <x:v>E215M260495</x:v>
      </x:c>
      <x:c r="F110" s="191" t="str">
        <x:v>Active</x:v>
      </x:c>
      <x:c r="G110" s="191" t="str">
        <x:v>Paducah Treatment Center</x:v>
      </x:c>
      <x:c r="H110" s="191" t="str">
        <x:v/>
      </x:c>
      <x:c r="I110" s="191" t="str">
        <x:v/>
      </x:c>
      <x:c r="J110" s="191" t="str">
        <x:v>2</x:v>
      </x:c>
      <x:c r="K110" s="191" t="str">
        <x:v/>
      </x:c>
      <x:c r="L110" s="191" t="str">
        <x:v/>
      </x:c>
      <x:c r="M110" s="191" t="str">
        <x:v>12/1/2018</x:v>
      </x:c>
      <x:c r="N110" s="189" t="n">
        <x:v>152565.00</x:v>
      </x:c>
      <x:c r="O110" s="191" t="str">
        <x:v>12/31/2018</x:v>
      </x:c>
      <x:c r="P110" s="189" t="n">
        <x:v>156965.00</x:v>
      </x:c>
      <x:c r="Q110" s="206" t="n">
        <x:v>0.0118</x:v>
      </x:c>
      <x:c r="R110" s="206" t="n">
        <x:v>0.0204</x:v>
      </x:c>
      <x:c r="S110" s="189" t="n">
        <x:v>2943.00</x:v>
      </x:c>
      <x:c r="T110" s="187" t="n">
        <x:f ca="1">=IF(AND(U110=0,S110&gt;0),-100%,IF(OR(S110=0,S110="-"),"-",IF(AND(S110=0,U110=0),0%,IF(S110&lt;U110,SUM(U110-S110)/S110,IF(S110&gt;U110,SUM(-1*(S110-U110)/S110),"")))))</x:f>
        <x:v/>
      </x:c>
      <x:c r="U110" s="189" t="n">
        <x:v>4400.00</x:v>
      </x:c>
      <x:c r="V110" s="189" t="n">
        <x:f ca="1">=SUM(U110/ ((O110- M110)/30.42))</x:f>
        <x:v/>
      </x:c>
      <x:c r="W110" s="195">
        <x:f ca="1">=IF(T110="","",IF(T110="-","",IF(U110=0,"",IF(OR(T110&gt;AA4,T110&lt;-AA4),"*",""))))</x:f>
        <x:v/>
      </x:c>
      <x:c r="X110" s="91" t="str">
        <x:v/>
      </x:c>
    </x:row>
    <x:row r="111" spans="1:25" s="12" x14ac:dyDescent="0.25">
      <x:c r="A111" s="96" t="str">
        <x:v>100</x:v>
      </x:c>
      <x:c r="B111" s="192" t="str">
        <x:v>13002018</x:v>
      </x:c>
      <x:c r="C111" s="192" t="str">
        <x:v>Ricoh MP C2051</x:v>
      </x:c>
      <x:c r="D111" s="192" t="str">
        <x:v>Color Copier B/W Pages</x:v>
      </x:c>
      <x:c r="E111" s="192" t="str">
        <x:v>V9715100230</x:v>
      </x:c>
      <x:c r="F111" s="192" t="str">
        <x:v>Active</x:v>
      </x:c>
      <x:c r="G111" s="192" t="str">
        <x:v>Overland Park Treatment Center</x:v>
      </x:c>
      <x:c r="H111" s="192" t="str">
        <x:v/>
      </x:c>
      <x:c r="I111" s="192" t="str">
        <x:v/>
      </x:c>
      <x:c r="J111" s="192" t="str">
        <x:v>1</x:v>
      </x:c>
      <x:c r="K111" s="192" t="str">
        <x:v/>
      </x:c>
      <x:c r="L111" s="192" t="str">
        <x:v/>
      </x:c>
      <x:c r="M111" s="192" t="str">
        <x:v>12/1/2018</x:v>
      </x:c>
      <x:c r="N111" s="183" t="n">
        <x:v>498896.00</x:v>
      </x:c>
      <x:c r="O111" s="192" t="str">
        <x:v>12/31/2018</x:v>
      </x:c>
      <x:c r="P111" s="183" t="n">
        <x:v>503270.00</x:v>
      </x:c>
      <x:c r="Q111" s="207" t="n">
        <x:v>0.0118</x:v>
      </x:c>
      <x:c r="R111" s="207" t="n">
        <x:v>0.0203</x:v>
      </x:c>
      <x:c r="S111" s="183" t="n">
        <x:v>2191.00</x:v>
      </x:c>
      <x:c r="T111" s="182" t="n">
        <x:f ca="1">=IF(AND(U111=0,S111&gt;0),-100%,IF(OR(S111=0,S111="-"),"-",IF(AND(S111=0,U111=0),0%,IF(S111&lt;U111,SUM(U111-S111)/S111,IF(S111&gt;U111,SUM(-1*(S111-U111)/S111),"")))))</x:f>
        <x:v/>
      </x:c>
      <x:c r="U111" s="183" t="n">
        <x:v>4374.00</x:v>
      </x:c>
      <x:c r="V111" s="183" t="n">
        <x:f ca="1">=SUM(U111/ ((O111- M111)/30.42))</x:f>
        <x:v/>
      </x:c>
      <x:c r="W111" s="196">
        <x:f ca="1">=IF(T111="","",IF(T111="-","",IF(U111=0,"",IF(OR(T111&gt;AA4,T111&lt;-AA4),"*",""))))</x:f>
        <x:v/>
      </x:c>
      <x:c r="X111" s="98" t="str">
        <x:v/>
      </x:c>
    </x:row>
    <x:row r="112" spans="1:25" s="12" x14ac:dyDescent="0.25">
      <x:c r="A112" s="90" t="str">
        <x:v>101</x:v>
      </x:c>
      <x:c r="B112" s="191" t="str">
        <x:v>20219274</x:v>
      </x:c>
      <x:c r="C112" s="191" t="str">
        <x:v>Ricoh MP C2051</x:v>
      </x:c>
      <x:c r="D112" s="191" t="str">
        <x:v>Color Copier B/W Pages</x:v>
      </x:c>
      <x:c r="E112" s="191" t="str">
        <x:v>V9706000045</x:v>
      </x:c>
      <x:c r="F112" s="191" t="str">
        <x:v>Active</x:v>
      </x:c>
      <x:c r="G112" s="191" t="str">
        <x:v>New Orleans Downtown Treatment Center</x:v>
      </x:c>
      <x:c r="H112" s="191" t="str">
        <x:v/>
      </x:c>
      <x:c r="I112" s="191" t="str">
        <x:v/>
      </x:c>
      <x:c r="J112" s="191" t="str">
        <x:v>1</x:v>
      </x:c>
      <x:c r="K112" s="191" t="str">
        <x:v/>
      </x:c>
      <x:c r="L112" s="191" t="str">
        <x:v/>
      </x:c>
      <x:c r="M112" s="191" t="str">
        <x:v>12/1/2018</x:v>
      </x:c>
      <x:c r="N112" s="189" t="n">
        <x:v>476126.00</x:v>
      </x:c>
      <x:c r="O112" s="191" t="str">
        <x:v>12/31/2018</x:v>
      </x:c>
      <x:c r="P112" s="189" t="n">
        <x:v>480312.00</x:v>
      </x:c>
      <x:c r="Q112" s="206" t="n">
        <x:v>0.0113</x:v>
      </x:c>
      <x:c r="R112" s="206" t="n">
        <x:v>0.0194</x:v>
      </x:c>
      <x:c r="S112" s="189" t="n">
        <x:v>2441.00</x:v>
      </x:c>
      <x:c r="T112" s="187" t="n">
        <x:f ca="1">=IF(AND(U112=0,S112&gt;0),-100%,IF(OR(S112=0,S112="-"),"-",IF(AND(S112=0,U112=0),0%,IF(S112&lt;U112,SUM(U112-S112)/S112,IF(S112&gt;U112,SUM(-1*(S112-U112)/S112),"")))))</x:f>
        <x:v/>
      </x:c>
      <x:c r="U112" s="189" t="n">
        <x:v>4186.00</x:v>
      </x:c>
      <x:c r="V112" s="189" t="n">
        <x:f ca="1">=SUM(U112/ ((O112- M112)/30.42))</x:f>
        <x:v/>
      </x:c>
      <x:c r="W112" s="195">
        <x:f ca="1">=IF(T112="","",IF(T112="-","",IF(U112=0,"",IF(OR(T112&gt;AA4,T112&lt;-AA4),"*",""))))</x:f>
        <x:v/>
      </x:c>
      <x:c r="X112" s="91" t="str">
        <x:v/>
      </x:c>
    </x:row>
    <x:row r="113" spans="1:25" s="12" x14ac:dyDescent="0.25">
      <x:c r="A113" s="96" t="str">
        <x:v>102</x:v>
      </x:c>
      <x:c r="B113" s="192" t="str">
        <x:v>20166239</x:v>
      </x:c>
      <x:c r="C113" s="192" t="str">
        <x:v>Ricoh MP C2051</x:v>
      </x:c>
      <x:c r="D113" s="192" t="str">
        <x:v>Color Copier B/W Pages</x:v>
      </x:c>
      <x:c r="E113" s="192" t="str">
        <x:v>V9706000050</x:v>
      </x:c>
      <x:c r="F113" s="192" t="str">
        <x:v>Active</x:v>
      </x:c>
      <x:c r="G113" s="192" t="str">
        <x:v>Memphis Mid-Town Treatment Center</x:v>
      </x:c>
      <x:c r="H113" s="192" t="str">
        <x:v/>
      </x:c>
      <x:c r="I113" s="192" t="str">
        <x:v/>
      </x:c>
      <x:c r="J113" s="192" t="str">
        <x:v>2</x:v>
      </x:c>
      <x:c r="K113" s="192" t="str">
        <x:v/>
      </x:c>
      <x:c r="L113" s="192" t="str">
        <x:v/>
      </x:c>
      <x:c r="M113" s="192" t="str">
        <x:v>12/1/2018</x:v>
      </x:c>
      <x:c r="N113" s="183" t="n">
        <x:v>532541.00</x:v>
      </x:c>
      <x:c r="O113" s="192" t="str">
        <x:v>12/31/2018</x:v>
      </x:c>
      <x:c r="P113" s="183" t="n">
        <x:v>536578.00</x:v>
      </x:c>
      <x:c r="Q113" s="207" t="n">
        <x:v>0.0109</x:v>
      </x:c>
      <x:c r="R113" s="207" t="n">
        <x:v>0.0187</x:v>
      </x:c>
      <x:c r="S113" s="183" t="n">
        <x:v>3007.00</x:v>
      </x:c>
      <x:c r="T113" s="182" t="n">
        <x:f ca="1">=IF(AND(U113=0,S113&gt;0),-100%,IF(OR(S113=0,S113="-"),"-",IF(AND(S113=0,U113=0),0%,IF(S113&lt;U113,SUM(U113-S113)/S113,IF(S113&gt;U113,SUM(-1*(S113-U113)/S113),"")))))</x:f>
        <x:v/>
      </x:c>
      <x:c r="U113" s="183" t="n">
        <x:v>4037.00</x:v>
      </x:c>
      <x:c r="V113" s="183" t="n">
        <x:f ca="1">=SUM(U113/ ((O113- M113)/30.42))</x:f>
        <x:v/>
      </x:c>
      <x:c r="W113" s="196">
        <x:f ca="1">=IF(T113="","",IF(T113="-","",IF(U113=0,"",IF(OR(T113&gt;AA4,T113&lt;-AA4),"*",""))))</x:f>
        <x:v/>
      </x:c>
      <x:c r="X113" s="98" t="str">
        <x:v/>
      </x:c>
    </x:row>
    <x:row r="114" spans="1:25" s="12" x14ac:dyDescent="0.25">
      <x:c r="A114" s="90" t="str">
        <x:v>103</x:v>
      </x:c>
      <x:c r="B114" s="191" t="str">
        <x:v>17135139</x:v>
      </x:c>
      <x:c r="C114" s="191" t="str">
        <x:v>Ricoh MPC 2551</x:v>
      </x:c>
      <x:c r="D114" s="191" t="str">
        <x:v>Color Copier B/W Pages</x:v>
      </x:c>
      <x:c r="E114" s="191" t="str">
        <x:v>V9835200065</x:v>
      </x:c>
      <x:c r="F114" s="191" t="str">
        <x:v>Active</x:v>
      </x:c>
      <x:c r="G114" s="191" t="str">
        <x:v>Columbia, TN Treatment Center</x:v>
      </x:c>
      <x:c r="H114" s="191" t="str">
        <x:v/>
      </x:c>
      <x:c r="I114" s="191" t="str">
        <x:v/>
      </x:c>
      <x:c r="J114" s="191" t="str">
        <x:v/>
      </x:c>
      <x:c r="K114" s="191" t="str">
        <x:v/>
      </x:c>
      <x:c r="L114" s="191" t="str">
        <x:v/>
      </x:c>
      <x:c r="M114" s="191" t="str">
        <x:v>12/1/2018</x:v>
      </x:c>
      <x:c r="N114" s="189" t="n">
        <x:v>258070.00</x:v>
      </x:c>
      <x:c r="O114" s="191" t="str">
        <x:v>12/31/2018</x:v>
      </x:c>
      <x:c r="P114" s="189" t="n">
        <x:v>262055.00</x:v>
      </x:c>
      <x:c r="Q114" s="206" t="n">
        <x:v>0.0107</x:v>
      </x:c>
      <x:c r="R114" s="206" t="n">
        <x:v>0.0185</x:v>
      </x:c>
      <x:c r="S114" s="189" t="n">
        <x:v>3796.00</x:v>
      </x:c>
      <x:c r="T114" s="187" t="n">
        <x:f ca="1">=IF(AND(U114=0,S114&gt;0),-100%,IF(OR(S114=0,S114="-"),"-",IF(AND(S114=0,U114=0),0%,IF(S114&lt;U114,SUM(U114-S114)/S114,IF(S114&gt;U114,SUM(-1*(S114-U114)/S114),"")))))</x:f>
        <x:v/>
      </x:c>
      <x:c r="U114" s="189" t="n">
        <x:v>3985.00</x:v>
      </x:c>
      <x:c r="V114" s="189" t="n">
        <x:f ca="1">=SUM(U114/ ((O114- M114)/30.42))</x:f>
        <x:v/>
      </x:c>
      <x:c r="W114" s="195">
        <x:f ca="1">=IF(T114="","",IF(T114="-","",IF(U114=0,"",IF(OR(T114&gt;AA4,T114&lt;-AA4),"*",""))))</x:f>
        <x:v/>
      </x:c>
      <x:c r="X114" s="91" t="str">
        <x:v/>
      </x:c>
    </x:row>
    <x:row r="115" spans="1:25" s="12" x14ac:dyDescent="0.25">
      <x:c r="A115" s="96" t="str">
        <x:v>104</x:v>
      </x:c>
      <x:c r="B115" s="192" t="str">
        <x:v>12612610</x:v>
      </x:c>
      <x:c r="C115" s="192" t="str">
        <x:v>Ricoh MP C2051</x:v>
      </x:c>
      <x:c r="D115" s="192" t="str">
        <x:v>Color Copier B/W Pages</x:v>
      </x:c>
      <x:c r="E115" s="192" t="str">
        <x:v>V9715000254</x:v>
      </x:c>
      <x:c r="F115" s="192" t="str">
        <x:v>Active</x:v>
      </x:c>
      <x:c r="G115" s="192" t="str">
        <x:v>Nashville Treatment Center</x:v>
      </x:c>
      <x:c r="H115" s="192" t="str">
        <x:v/>
      </x:c>
      <x:c r="I115" s="192" t="str">
        <x:v/>
      </x:c>
      <x:c r="J115" s="192" t="str">
        <x:v>1</x:v>
      </x:c>
      <x:c r="K115" s="192" t="str">
        <x:v/>
      </x:c>
      <x:c r="L115" s="192" t="str">
        <x:v/>
      </x:c>
      <x:c r="M115" s="192" t="str">
        <x:v>12/1/2018</x:v>
      </x:c>
      <x:c r="N115" s="183" t="n">
        <x:v>917200.00</x:v>
      </x:c>
      <x:c r="O115" s="192" t="str">
        <x:v>12/31/2018</x:v>
      </x:c>
      <x:c r="P115" s="183" t="n">
        <x:v>921174.00</x:v>
      </x:c>
      <x:c r="Q115" s="207" t="n">
        <x:v>0.0107</x:v>
      </x:c>
      <x:c r="R115" s="207" t="n">
        <x:v>0.0184</x:v>
      </x:c>
      <x:c r="S115" s="183" t="n">
        <x:v>3072.00</x:v>
      </x:c>
      <x:c r="T115" s="182" t="n">
        <x:f ca="1">=IF(AND(U115=0,S115&gt;0),-100%,IF(OR(S115=0,S115="-"),"-",IF(AND(S115=0,U115=0),0%,IF(S115&lt;U115,SUM(U115-S115)/S115,IF(S115&gt;U115,SUM(-1*(S115-U115)/S115),"")))))</x:f>
        <x:v/>
      </x:c>
      <x:c r="U115" s="183" t="n">
        <x:v>3974.00</x:v>
      </x:c>
      <x:c r="V115" s="183" t="n">
        <x:f ca="1">=SUM(U115/ ((O115- M115)/30.42))</x:f>
        <x:v/>
      </x:c>
      <x:c r="W115" s="196">
        <x:f ca="1">=IF(T115="","",IF(T115="-","",IF(U115=0,"",IF(OR(T115&gt;AA4,T115&lt;-AA4),"*",""))))</x:f>
        <x:v/>
      </x:c>
      <x:c r="X115" s="98" t="str">
        <x:v/>
      </x:c>
    </x:row>
    <x:row r="116" spans="1:25" s="12" x14ac:dyDescent="0.25">
      <x:c r="A116" s="90" t="str">
        <x:v>105</x:v>
      </x:c>
      <x:c r="B116" s="191" t="str">
        <x:v>20044592</x:v>
      </x:c>
      <x:c r="C116" s="191" t="str">
        <x:v>Ricoh MP C2051</x:v>
      </x:c>
      <x:c r="D116" s="191" t="str">
        <x:v>Color Copier B/W Pages</x:v>
      </x:c>
      <x:c r="E116" s="191" t="str">
        <x:v>V9715101674</x:v>
      </x:c>
      <x:c r="F116" s="191" t="str">
        <x:v>Active</x:v>
      </x:c>
      <x:c r="G116" s="191" t="str">
        <x:v>Dallas Corporate Office</x:v>
      </x:c>
      <x:c r="H116" s="191" t="str">
        <x:v/>
      </x:c>
      <x:c r="I116" s="191" t="str">
        <x:v/>
      </x:c>
      <x:c r="J116" s="191" t="str">
        <x:v>2</x:v>
      </x:c>
      <x:c r="K116" s="191" t="str">
        <x:v>Accounting</x:v>
      </x:c>
      <x:c r="L116" s="191" t="str">
        <x:v/>
      </x:c>
      <x:c r="M116" s="191" t="str">
        <x:v>12/1/2018</x:v>
      </x:c>
      <x:c r="N116" s="189" t="n">
        <x:v>387253.00</x:v>
      </x:c>
      <x:c r="O116" s="191" t="str">
        <x:v>12/31/2018</x:v>
      </x:c>
      <x:c r="P116" s="189" t="n">
        <x:v>391046.00</x:v>
      </x:c>
      <x:c r="Q116" s="206" t="n">
        <x:v>0.0102</x:v>
      </x:c>
      <x:c r="R116" s="206" t="n">
        <x:v>0.0176</x:v>
      </x:c>
      <x:c r="S116" s="189" t="n">
        <x:v>3612.00</x:v>
      </x:c>
      <x:c r="T116" s="187" t="n">
        <x:f ca="1">=IF(AND(U116=0,S116&gt;0),-100%,IF(OR(S116=0,S116="-"),"-",IF(AND(S116=0,U116=0),0%,IF(S116&lt;U116,SUM(U116-S116)/S116,IF(S116&gt;U116,SUM(-1*(S116-U116)/S116),"")))))</x:f>
        <x:v/>
      </x:c>
      <x:c r="U116" s="189" t="n">
        <x:v>3793.00</x:v>
      </x:c>
      <x:c r="V116" s="189" t="n">
        <x:f ca="1">=SUM(U116/ ((O116- M116)/30.42))</x:f>
        <x:v/>
      </x:c>
      <x:c r="W116" s="195">
        <x:f ca="1">=IF(T116="","",IF(T116="-","",IF(U116=0,"",IF(OR(T116&gt;AA4,T116&lt;-AA4),"*",""))))</x:f>
        <x:v/>
      </x:c>
      <x:c r="X116" s="91" t="str">
        <x:v/>
      </x:c>
    </x:row>
    <x:row r="117" spans="1:25" s="12" x14ac:dyDescent="0.25">
      <x:c r="A117" s="96" t="str">
        <x:v>106</x:v>
      </x:c>
      <x:c r="B117" s="192" t="str">
        <x:v>20314955</x:v>
      </x:c>
      <x:c r="C117" s="192" t="str">
        <x:v>Ricoh MP C2051</x:v>
      </x:c>
      <x:c r="D117" s="192" t="str">
        <x:v>Color Copier B/W Pages</x:v>
      </x:c>
      <x:c r="E117" s="192" t="str">
        <x:v>V9715800433</x:v>
      </x:c>
      <x:c r="F117" s="192" t="str">
        <x:v>Active</x:v>
      </x:c>
      <x:c r="G117" s="192" t="str">
        <x:v>Memphis North Treatment Center</x:v>
      </x:c>
      <x:c r="H117" s="192" t="str">
        <x:v/>
      </x:c>
      <x:c r="I117" s="192" t="str">
        <x:v/>
      </x:c>
      <x:c r="J117" s="192" t="str">
        <x:v>1</x:v>
      </x:c>
      <x:c r="K117" s="192" t="str">
        <x:v/>
      </x:c>
      <x:c r="L117" s="192" t="str">
        <x:v/>
      </x:c>
      <x:c r="M117" s="192" t="str">
        <x:v>12/1/2018</x:v>
      </x:c>
      <x:c r="N117" s="183" t="n">
        <x:v>535499.00</x:v>
      </x:c>
      <x:c r="O117" s="192" t="str">
        <x:v>12/31/2018</x:v>
      </x:c>
      <x:c r="P117" s="183" t="n">
        <x:v>539192.00</x:v>
      </x:c>
      <x:c r="Q117" s="207" t="n">
        <x:v>0.0099</x:v>
      </x:c>
      <x:c r="R117" s="207" t="n">
        <x:v>0.0171</x:v>
      </x:c>
      <x:c r="S117" s="183" t="n">
        <x:v>2721.00</x:v>
      </x:c>
      <x:c r="T117" s="182" t="n">
        <x:f ca="1">=IF(AND(U117=0,S117&gt;0),-100%,IF(OR(S117=0,S117="-"),"-",IF(AND(S117=0,U117=0),0%,IF(S117&lt;U117,SUM(U117-S117)/S117,IF(S117&gt;U117,SUM(-1*(S117-U117)/S117),"")))))</x:f>
        <x:v/>
      </x:c>
      <x:c r="U117" s="183" t="n">
        <x:v>3693.00</x:v>
      </x:c>
      <x:c r="V117" s="183" t="n">
        <x:f ca="1">=SUM(U117/ ((O117- M117)/30.42))</x:f>
        <x:v/>
      </x:c>
      <x:c r="W117" s="196">
        <x:f ca="1">=IF(T117="","",IF(T117="-","",IF(U117=0,"",IF(OR(T117&gt;AA4,T117&lt;-AA4),"*",""))))</x:f>
        <x:v/>
      </x:c>
      <x:c r="X117" s="98" t="str">
        <x:v/>
      </x:c>
    </x:row>
    <x:row r="118" spans="1:25" s="12" x14ac:dyDescent="0.25">
      <x:c r="A118" s="90" t="str">
        <x:v>107</x:v>
      </x:c>
      <x:c r="B118" s="191" t="str">
        <x:v>12988200</x:v>
      </x:c>
      <x:c r="C118" s="191" t="str">
        <x:v>Ricoh MPC 2551</x:v>
      </x:c>
      <x:c r="D118" s="191" t="str">
        <x:v>Color Copier B/W Pages</x:v>
      </x:c>
      <x:c r="E118" s="191" t="str">
        <x:v>V9835900218</x:v>
      </x:c>
      <x:c r="F118" s="191" t="str">
        <x:v>Active</x:v>
      </x:c>
      <x:c r="G118" s="191" t="str">
        <x:v>Lexington Treatment Center</x:v>
      </x:c>
      <x:c r="H118" s="191" t="str">
        <x:v/>
      </x:c>
      <x:c r="I118" s="191" t="str">
        <x:v/>
      </x:c>
      <x:c r="J118" s="191" t="str">
        <x:v/>
      </x:c>
      <x:c r="K118" s="191" t="str">
        <x:v/>
      </x:c>
      <x:c r="L118" s="191" t="str">
        <x:v/>
      </x:c>
      <x:c r="M118" s="191" t="str">
        <x:v>12/1/2018</x:v>
      </x:c>
      <x:c r="N118" s="189" t="n">
        <x:v>298303.00</x:v>
      </x:c>
      <x:c r="O118" s="191" t="str">
        <x:v>12/31/2018</x:v>
      </x:c>
      <x:c r="P118" s="189" t="n">
        <x:v>301908.00</x:v>
      </x:c>
      <x:c r="Q118" s="206" t="n">
        <x:v>0.0097</x:v>
      </x:c>
      <x:c r="R118" s="206" t="n">
        <x:v>0.0167</x:v>
      </x:c>
      <x:c r="S118" s="189" t="n">
        <x:v>2579.00</x:v>
      </x:c>
      <x:c r="T118" s="187" t="n">
        <x:f ca="1">=IF(AND(U118=0,S118&gt;0),-100%,IF(OR(S118=0,S118="-"),"-",IF(AND(S118=0,U118=0),0%,IF(S118&lt;U118,SUM(U118-S118)/S118,IF(S118&gt;U118,SUM(-1*(S118-U118)/S118),"")))))</x:f>
        <x:v/>
      </x:c>
      <x:c r="U118" s="189" t="n">
        <x:v>3605.00</x:v>
      </x:c>
      <x:c r="V118" s="189" t="n">
        <x:f ca="1">=SUM(U118/ ((O118- M118)/30.42))</x:f>
        <x:v/>
      </x:c>
      <x:c r="W118" s="195">
        <x:f ca="1">=IF(T118="","",IF(T118="-","",IF(U118=0,"",IF(OR(T118&gt;AA4,T118&lt;-AA4),"*",""))))</x:f>
        <x:v/>
      </x:c>
      <x:c r="X118" s="91" t="str">
        <x:v/>
      </x:c>
    </x:row>
    <x:row r="119" spans="1:25" s="12" x14ac:dyDescent="0.25">
      <x:c r="A119" s="96" t="str">
        <x:v>108</x:v>
      </x:c>
      <x:c r="B119" s="192" t="str">
        <x:v>13142160</x:v>
      </x:c>
      <x:c r="C119" s="192" t="str">
        <x:v>Ricoh MPC 2551</x:v>
      </x:c>
      <x:c r="D119" s="192" t="str">
        <x:v>Color Copier B/W Pages</x:v>
      </x:c>
      <x:c r="E119" s="192" t="str">
        <x:v>V9836000408</x:v>
      </x:c>
      <x:c r="F119" s="192" t="str">
        <x:v>Active</x:v>
      </x:c>
      <x:c r="G119" s="192" t="str">
        <x:v>Fort Collins Treatment Center</x:v>
      </x:c>
      <x:c r="H119" s="192" t="str">
        <x:v/>
      </x:c>
      <x:c r="I119" s="192" t="str">
        <x:v/>
      </x:c>
      <x:c r="J119" s="192" t="str">
        <x:v/>
      </x:c>
      <x:c r="K119" s="192" t="str">
        <x:v/>
      </x:c>
      <x:c r="L119" s="192" t="str">
        <x:v/>
      </x:c>
      <x:c r="M119" s="192" t="str">
        <x:v>11/29/2018</x:v>
      </x:c>
      <x:c r="N119" s="183" t="n">
        <x:v>91025.00</x:v>
      </x:c>
      <x:c r="O119" s="192" t="str">
        <x:v>12/31/2018</x:v>
      </x:c>
      <x:c r="P119" s="183" t="n">
        <x:v>94594.00</x:v>
      </x:c>
      <x:c r="Q119" s="207" t="n">
        <x:v>0.0096</x:v>
      </x:c>
      <x:c r="R119" s="207" t="n">
        <x:v>0.0166</x:v>
      </x:c>
      <x:c r="S119" s="183" t="n">
        <x:v>2528.00</x:v>
      </x:c>
      <x:c r="T119" s="182" t="n">
        <x:f ca="1">=IF(AND(U119=0,S119&gt;0),-100%,IF(OR(S119=0,S119="-"),"-",IF(AND(S119=0,U119=0),0%,IF(S119&lt;U119,SUM(U119-S119)/S119,IF(S119&gt;U119,SUM(-1*(S119-U119)/S119),"")))))</x:f>
        <x:v/>
      </x:c>
      <x:c r="U119" s="183" t="n">
        <x:v>3569.00</x:v>
      </x:c>
      <x:c r="V119" s="183" t="n">
        <x:f ca="1">=SUM(U119/ ((O119- M119)/30.42))</x:f>
        <x:v/>
      </x:c>
      <x:c r="W119" s="196">
        <x:f ca="1">=IF(T119="","",IF(T119="-","",IF(U119=0,"",IF(OR(T119&gt;AA4,T119&lt;-AA4),"*",""))))</x:f>
        <x:v/>
      </x:c>
      <x:c r="X119" s="98" t="str">
        <x:v/>
      </x:c>
    </x:row>
    <x:row r="120" spans="1:25" s="12" x14ac:dyDescent="0.25">
      <x:c r="A120" s="90" t="str">
        <x:v>109</x:v>
      </x:c>
      <x:c r="B120" s="191" t="str">
        <x:v>14099381</x:v>
      </x:c>
      <x:c r="C120" s="191" t="str">
        <x:v>Ricoh MP C3004</x:v>
      </x:c>
      <x:c r="D120" s="191" t="str">
        <x:v>Color Copier B/W Pages</x:v>
      </x:c>
      <x:c r="E120" s="191" t="str">
        <x:v>C717M400843</x:v>
      </x:c>
      <x:c r="F120" s="191" t="str">
        <x:v>Active</x:v>
      </x:c>
      <x:c r="G120" s="191" t="str">
        <x:v>Albany Treatment Center</x:v>
      </x:c>
      <x:c r="H120" s="191" t="str">
        <x:v/>
      </x:c>
      <x:c r="I120" s="191" t="str">
        <x:v/>
      </x:c>
      <x:c r="J120" s="191" t="str">
        <x:v/>
      </x:c>
      <x:c r="K120" s="191" t="str">
        <x:v>Tametrice Jones</x:v>
      </x:c>
      <x:c r="L120" s="191" t="str">
        <x:v/>
      </x:c>
      <x:c r="M120" s="191" t="str">
        <x:v>12/1/2018</x:v>
      </x:c>
      <x:c r="N120" s="189" t="n">
        <x:v>60622.00</x:v>
      </x:c>
      <x:c r="O120" s="191" t="str">
        <x:v>12/31/2018</x:v>
      </x:c>
      <x:c r="P120" s="189" t="n">
        <x:v>64008.00</x:v>
      </x:c>
      <x:c r="Q120" s="206" t="n">
        <x:v>0.0091</x:v>
      </x:c>
      <x:c r="R120" s="206" t="n">
        <x:v>0.0157</x:v>
      </x:c>
      <x:c r="S120" s="189" t="n">
        <x:v>2481.00</x:v>
      </x:c>
      <x:c r="T120" s="187" t="n">
        <x:f ca="1">=IF(AND(U120=0,S120&gt;0),-100%,IF(OR(S120=0,S120="-"),"-",IF(AND(S120=0,U120=0),0%,IF(S120&lt;U120,SUM(U120-S120)/S120,IF(S120&gt;U120,SUM(-1*(S120-U120)/S120),"")))))</x:f>
        <x:v/>
      </x:c>
      <x:c r="U120" s="189" t="n">
        <x:v>3386.00</x:v>
      </x:c>
      <x:c r="V120" s="189" t="n">
        <x:f ca="1">=SUM(U120/ ((O120- M120)/30.42))</x:f>
        <x:v/>
      </x:c>
      <x:c r="W120" s="195">
        <x:f ca="1">=IF(T120="","",IF(T120="-","",IF(U120=0,"",IF(OR(T120&gt;AA4,T120&lt;-AA4),"*",""))))</x:f>
        <x:v/>
      </x:c>
      <x:c r="X120" s="91" t="str">
        <x:v/>
      </x:c>
    </x:row>
    <x:row r="121" spans="1:25" s="12" x14ac:dyDescent="0.25">
      <x:c r="A121" s="96" t="str">
        <x:v>110</x:v>
      </x:c>
      <x:c r="B121" s="192" t="str">
        <x:v>12543517</x:v>
      </x:c>
      <x:c r="C121" s="192" t="str">
        <x:v>Ricoh MP C2051</x:v>
      </x:c>
      <x:c r="D121" s="192" t="str">
        <x:v>Color Copier B/W Pages</x:v>
      </x:c>
      <x:c r="E121" s="192" t="str">
        <x:v>V9715301575</x:v>
      </x:c>
      <x:c r="F121" s="192" t="str">
        <x:v>Active</x:v>
      </x:c>
      <x:c r="G121" s="192" t="str">
        <x:v>Joplin Treatment Center</x:v>
      </x:c>
      <x:c r="H121" s="192" t="str">
        <x:v/>
      </x:c>
      <x:c r="I121" s="192" t="str">
        <x:v/>
      </x:c>
      <x:c r="J121" s="192" t="str">
        <x:v>1</x:v>
      </x:c>
      <x:c r="K121" s="192" t="str">
        <x:v/>
      </x:c>
      <x:c r="L121" s="192" t="str">
        <x:v/>
      </x:c>
      <x:c r="M121" s="192" t="str">
        <x:v>12/1/2018</x:v>
      </x:c>
      <x:c r="N121" s="183" t="n">
        <x:v>372163.00</x:v>
      </x:c>
      <x:c r="O121" s="192" t="str">
        <x:v>12/31/2018</x:v>
      </x:c>
      <x:c r="P121" s="183" t="n">
        <x:v>375540.00</x:v>
      </x:c>
      <x:c r="Q121" s="207" t="n">
        <x:v>0.0091</x:v>
      </x:c>
      <x:c r="R121" s="207" t="n">
        <x:v>0.0157</x:v>
      </x:c>
      <x:c r="S121" s="183" t="n">
        <x:v>1313.00</x:v>
      </x:c>
      <x:c r="T121" s="182" t="n">
        <x:f ca="1">=IF(AND(U121=0,S121&gt;0),-100%,IF(OR(S121=0,S121="-"),"-",IF(AND(S121=0,U121=0),0%,IF(S121&lt;U121,SUM(U121-S121)/S121,IF(S121&gt;U121,SUM(-1*(S121-U121)/S121),"")))))</x:f>
        <x:v/>
      </x:c>
      <x:c r="U121" s="183" t="n">
        <x:v>3377.00</x:v>
      </x:c>
      <x:c r="V121" s="183" t="n">
        <x:f ca="1">=SUM(U121/ ((O121- M121)/30.42))</x:f>
        <x:v/>
      </x:c>
      <x:c r="W121" s="196">
        <x:f ca="1">=IF(T121="","",IF(T121="-","",IF(U121=0,"",IF(OR(T121&gt;AA4,T121&lt;-AA4),"*",""))))</x:f>
        <x:v/>
      </x:c>
      <x:c r="X121" s="98" t="str">
        <x:v/>
      </x:c>
    </x:row>
    <x:row r="122" spans="1:25" s="12" x14ac:dyDescent="0.25">
      <x:c r="A122" s="90" t="str">
        <x:v>111</x:v>
      </x:c>
      <x:c r="B122" s="191" t="str">
        <x:v>13217640</x:v>
      </x:c>
      <x:c r="C122" s="191" t="str">
        <x:v>Ricoh MP C2503</x:v>
      </x:c>
      <x:c r="D122" s="191" t="str">
        <x:v>Color Copier B/W Pages</x:v>
      </x:c>
      <x:c r="E122" s="191" t="str">
        <x:v>E214R200807</x:v>
      </x:c>
      <x:c r="F122" s="191" t="str">
        <x:v>Active</x:v>
      </x:c>
      <x:c r="G122" s="191" t="str">
        <x:v>Corbin Treatment Center</x:v>
      </x:c>
      <x:c r="H122" s="191" t="str">
        <x:v/>
      </x:c>
      <x:c r="I122" s="191" t="str">
        <x:v/>
      </x:c>
      <x:c r="J122" s="191" t="str">
        <x:v>2</x:v>
      </x:c>
      <x:c r="K122" s="191" t="str">
        <x:v/>
      </x:c>
      <x:c r="L122" s="191" t="str">
        <x:v/>
      </x:c>
      <x:c r="M122" s="191" t="str">
        <x:v>12/1/2018</x:v>
      </x:c>
      <x:c r="N122" s="189" t="n">
        <x:v>229791.00</x:v>
      </x:c>
      <x:c r="O122" s="191" t="str">
        <x:v>12/31/2018</x:v>
      </x:c>
      <x:c r="P122" s="189" t="n">
        <x:v>232860.00</x:v>
      </x:c>
      <x:c r="Q122" s="206" t="n">
        <x:v>0.0083</x:v>
      </x:c>
      <x:c r="R122" s="206" t="n">
        <x:v>0.0142</x:v>
      </x:c>
      <x:c r="S122" s="189" t="n">
        <x:v>4102.00</x:v>
      </x:c>
      <x:c r="T122" s="187" t="n">
        <x:f ca="1">=IF(AND(U122=0,S122&gt;0),-100%,IF(OR(S122=0,S122="-"),"-",IF(AND(S122=0,U122=0),0%,IF(S122&lt;U122,SUM(U122-S122)/S122,IF(S122&gt;U122,SUM(-1*(S122-U122)/S122),"")))))</x:f>
        <x:v/>
      </x:c>
      <x:c r="U122" s="189" t="n">
        <x:v>3069.00</x:v>
      </x:c>
      <x:c r="V122" s="189" t="n">
        <x:f ca="1">=SUM(U122/ ((O122- M122)/30.42))</x:f>
        <x:v/>
      </x:c>
      <x:c r="W122" s="195">
        <x:f ca="1">=IF(T122="","",IF(T122="-","",IF(U122=0,"",IF(OR(T122&gt;AA4,T122&lt;-AA4),"*",""))))</x:f>
        <x:v/>
      </x:c>
      <x:c r="X122" s="91" t="str">
        <x:v/>
      </x:c>
    </x:row>
    <x:row r="123" spans="1:25" s="12" x14ac:dyDescent="0.25">
      <x:c r="A123" s="96" t="str">
        <x:v>112</x:v>
      </x:c>
      <x:c r="B123" s="192" t="str">
        <x:v>20185736</x:v>
      </x:c>
      <x:c r="C123" s="192" t="str">
        <x:v>Ricoh MP C2051</x:v>
      </x:c>
      <x:c r="D123" s="192" t="str">
        <x:v>Color Copier B/W Pages</x:v>
      </x:c>
      <x:c r="E123" s="192" t="str">
        <x:v>V9714900367</x:v>
      </x:c>
      <x:c r="F123" s="192" t="str">
        <x:v>Active</x:v>
      </x:c>
      <x:c r="G123" s="192" t="str">
        <x:v>Knoxville Bernard Treatment Center</x:v>
      </x:c>
      <x:c r="H123" s="192" t="str">
        <x:v/>
      </x:c>
      <x:c r="I123" s="192" t="str">
        <x:v/>
      </x:c>
      <x:c r="J123" s="192" t="str">
        <x:v>1</x:v>
      </x:c>
      <x:c r="K123" s="192" t="str">
        <x:v/>
      </x:c>
      <x:c r="L123" s="192" t="str">
        <x:v/>
      </x:c>
      <x:c r="M123" s="192" t="str">
        <x:v>12/1/2018</x:v>
      </x:c>
      <x:c r="N123" s="183" t="n">
        <x:v>511910.00</x:v>
      </x:c>
      <x:c r="O123" s="192" t="str">
        <x:v>12/31/2018</x:v>
      </x:c>
      <x:c r="P123" s="183" t="n">
        <x:v>514966.00</x:v>
      </x:c>
      <x:c r="Q123" s="207" t="n">
        <x:v>0.0082</x:v>
      </x:c>
      <x:c r="R123" s="207" t="n">
        <x:v>0.0142</x:v>
      </x:c>
      <x:c r="S123" s="183" t="n">
        <x:v>3482.00</x:v>
      </x:c>
      <x:c r="T123" s="182" t="n">
        <x:f ca="1">=IF(AND(U123=0,S123&gt;0),-100%,IF(OR(S123=0,S123="-"),"-",IF(AND(S123=0,U123=0),0%,IF(S123&lt;U123,SUM(U123-S123)/S123,IF(S123&gt;U123,SUM(-1*(S123-U123)/S123),"")))))</x:f>
        <x:v/>
      </x:c>
      <x:c r="U123" s="183" t="n">
        <x:v>3056.00</x:v>
      </x:c>
      <x:c r="V123" s="183" t="n">
        <x:f ca="1">=SUM(U123/ ((O123- M123)/30.42))</x:f>
        <x:v/>
      </x:c>
      <x:c r="W123" s="196">
        <x:f ca="1">=IF(T123="","",IF(T123="-","",IF(U123=0,"",IF(OR(T123&gt;AA4,T123&lt;-AA4),"*",""))))</x:f>
        <x:v/>
      </x:c>
      <x:c r="X123" s="98" t="str">
        <x:v/>
      </x:c>
    </x:row>
    <x:row r="124" spans="1:25" s="12" x14ac:dyDescent="0.25">
      <x:c r="A124" s="90" t="str">
        <x:v>113</x:v>
      </x:c>
      <x:c r="B124" s="191" t="str">
        <x:v>13089714</x:v>
      </x:c>
      <x:c r="C124" s="191" t="str">
        <x:v>Ricoh MP C2051</x:v>
      </x:c>
      <x:c r="D124" s="191" t="str">
        <x:v>Color Copier B/W Pages</x:v>
      </x:c>
      <x:c r="E124" s="191" t="str">
        <x:v>V9715101381</x:v>
      </x:c>
      <x:c r="F124" s="191" t="str">
        <x:v>Active</x:v>
      </x:c>
      <x:c r="G124" s="191" t="str">
        <x:v>Westminster Treament Center</x:v>
      </x:c>
      <x:c r="H124" s="191" t="str">
        <x:v/>
      </x:c>
      <x:c r="I124" s="191" t="str">
        <x:v/>
      </x:c>
      <x:c r="J124" s="191" t="str">
        <x:v>6</x:v>
      </x:c>
      <x:c r="K124" s="191" t="str">
        <x:v/>
      </x:c>
      <x:c r="L124" s="191" t="str">
        <x:v/>
      </x:c>
      <x:c r="M124" s="191" t="str">
        <x:v>12/1/2018</x:v>
      </x:c>
      <x:c r="N124" s="189" t="n">
        <x:v>659122.00</x:v>
      </x:c>
      <x:c r="O124" s="191" t="str">
        <x:v>12/31/2018</x:v>
      </x:c>
      <x:c r="P124" s="189" t="n">
        <x:v>661986.00</x:v>
      </x:c>
      <x:c r="Q124" s="206" t="n">
        <x:v>0.0077</x:v>
      </x:c>
      <x:c r="R124" s="206" t="n">
        <x:v>0.0133</x:v>
      </x:c>
      <x:c r="S124" s="189" t="n">
        <x:v>2895.00</x:v>
      </x:c>
      <x:c r="T124" s="187" t="n">
        <x:f ca="1">=IF(AND(U124=0,S124&gt;0),-100%,IF(OR(S124=0,S124="-"),"-",IF(AND(S124=0,U124=0),0%,IF(S124&lt;U124,SUM(U124-S124)/S124,IF(S124&gt;U124,SUM(-1*(S124-U124)/S124),"")))))</x:f>
        <x:v/>
      </x:c>
      <x:c r="U124" s="189" t="n">
        <x:v>2864.00</x:v>
      </x:c>
      <x:c r="V124" s="189" t="n">
        <x:f ca="1">=SUM(U124/ ((O124- M124)/30.42))</x:f>
        <x:v/>
      </x:c>
      <x:c r="W124" s="195">
        <x:f ca="1">=IF(T124="","",IF(T124="-","",IF(U124=0,"",IF(OR(T124&gt;AA4,T124&lt;-AA4),"*",""))))</x:f>
        <x:v/>
      </x:c>
      <x:c r="X124" s="91" t="str">
        <x:v/>
      </x:c>
    </x:row>
    <x:row r="125" spans="1:25" s="12" x14ac:dyDescent="0.25">
      <x:c r="A125" s="96" t="str">
        <x:v>114</x:v>
      </x:c>
      <x:c r="B125" s="192" t="str">
        <x:v>13755307</x:v>
      </x:c>
      <x:c r="C125" s="192" t="str">
        <x:v>Ricoh MP C3003</x:v>
      </x:c>
      <x:c r="D125" s="192" t="str">
        <x:v>Color Copier B/W Pages</x:v>
      </x:c>
      <x:c r="E125" s="192" t="str">
        <x:v>E155MB61881</x:v>
      </x:c>
      <x:c r="F125" s="192" t="str">
        <x:v>Active</x:v>
      </x:c>
      <x:c r="G125" s="192" t="str">
        <x:v>Kansas City North Treatment Center</x:v>
      </x:c>
      <x:c r="H125" s="192" t="str">
        <x:v/>
      </x:c>
      <x:c r="I125" s="192" t="str">
        <x:v/>
      </x:c>
      <x:c r="J125" s="192" t="str">
        <x:v/>
      </x:c>
      <x:c r="K125" s="192" t="str">
        <x:v/>
      </x:c>
      <x:c r="L125" s="192" t="str">
        <x:v/>
      </x:c>
      <x:c r="M125" s="192" t="str">
        <x:v>12/1/2018</x:v>
      </x:c>
      <x:c r="N125" s="183" t="n">
        <x:v>75608.00</x:v>
      </x:c>
      <x:c r="O125" s="192" t="str">
        <x:v>12/31/2018</x:v>
      </x:c>
      <x:c r="P125" s="183" t="n">
        <x:v>78437.00</x:v>
      </x:c>
      <x:c r="Q125" s="207" t="n">
        <x:v>0.0076</x:v>
      </x:c>
      <x:c r="R125" s="207" t="n">
        <x:v>0.0131</x:v>
      </x:c>
      <x:c r="S125" s="183" t="n">
        <x:v>1189.00</x:v>
      </x:c>
      <x:c r="T125" s="182" t="n">
        <x:f ca="1">=IF(AND(U125=0,S125&gt;0),-100%,IF(OR(S125=0,S125="-"),"-",IF(AND(S125=0,U125=0),0%,IF(S125&lt;U125,SUM(U125-S125)/S125,IF(S125&gt;U125,SUM(-1*(S125-U125)/S125),"")))))</x:f>
        <x:v/>
      </x:c>
      <x:c r="U125" s="183" t="n">
        <x:v>2829.00</x:v>
      </x:c>
      <x:c r="V125" s="183" t="n">
        <x:f ca="1">=SUM(U125/ ((O125- M125)/30.42))</x:f>
        <x:v/>
      </x:c>
      <x:c r="W125" s="196">
        <x:f ca="1">=IF(T125="","",IF(T125="-","",IF(U125=0,"",IF(OR(T125&gt;AA4,T125&lt;-AA4),"*",""))))</x:f>
        <x:v/>
      </x:c>
      <x:c r="X125" s="98" t="str">
        <x:v/>
      </x:c>
    </x:row>
    <x:row r="126" spans="1:25" s="12" x14ac:dyDescent="0.25">
      <x:c r="A126" s="90" t="str">
        <x:v>115</x:v>
      </x:c>
      <x:c r="B126" s="191" t="str">
        <x:v>17120447</x:v>
      </x:c>
      <x:c r="C126" s="191" t="str">
        <x:v>Ricoh MPC 2551</x:v>
      </x:c>
      <x:c r="D126" s="191" t="str">
        <x:v>Color Copier B/W Pages</x:v>
      </x:c>
      <x:c r="E126" s="191" t="str">
        <x:v>V9835100353</x:v>
      </x:c>
      <x:c r="F126" s="191" t="str">
        <x:v>Active</x:v>
      </x:c>
      <x:c r="G126" s="191" t="str">
        <x:v>Nashville Treatment Center</x:v>
      </x:c>
      <x:c r="H126" s="191" t="str">
        <x:v/>
      </x:c>
      <x:c r="I126" s="191" t="str">
        <x:v/>
      </x:c>
      <x:c r="J126" s="191" t="str">
        <x:v>1</x:v>
      </x:c>
      <x:c r="K126" s="191" t="str">
        <x:v/>
      </x:c>
      <x:c r="L126" s="191" t="str">
        <x:v/>
      </x:c>
      <x:c r="M126" s="191" t="str">
        <x:v>12/1/2018</x:v>
      </x:c>
      <x:c r="N126" s="189" t="n">
        <x:v>129464.00</x:v>
      </x:c>
      <x:c r="O126" s="191" t="str">
        <x:v>12/31/2018</x:v>
      </x:c>
      <x:c r="P126" s="189" t="n">
        <x:v>132251.00</x:v>
      </x:c>
      <x:c r="Q126" s="206" t="n">
        <x:v>0.0075</x:v>
      </x:c>
      <x:c r="R126" s="206" t="n">
        <x:v>0.0129</x:v>
      </x:c>
      <x:c r="S126" s="189" t="n">
        <x:v>2814.00</x:v>
      </x:c>
      <x:c r="T126" s="187" t="n">
        <x:f ca="1">=IF(AND(U126=0,S126&gt;0),-100%,IF(OR(S126=0,S126="-"),"-",IF(AND(S126=0,U126=0),0%,IF(S126&lt;U126,SUM(U126-S126)/S126,IF(S126&gt;U126,SUM(-1*(S126-U126)/S126),"")))))</x:f>
        <x:v/>
      </x:c>
      <x:c r="U126" s="189" t="n">
        <x:v>2787.00</x:v>
      </x:c>
      <x:c r="V126" s="189" t="n">
        <x:f ca="1">=SUM(U126/ ((O126- M126)/30.42))</x:f>
        <x:v/>
      </x:c>
      <x:c r="W126" s="195">
        <x:f ca="1">=IF(T126="","",IF(T126="-","",IF(U126=0,"",IF(OR(T126&gt;AA4,T126&lt;-AA4),"*",""))))</x:f>
        <x:v/>
      </x:c>
      <x:c r="X126" s="91" t="str">
        <x:v/>
      </x:c>
    </x:row>
    <x:row r="127" spans="1:25" s="12" x14ac:dyDescent="0.25">
      <x:c r="A127" s="96" t="str">
        <x:v>116</x:v>
      </x:c>
      <x:c r="B127" s="192" t="str">
        <x:v>14099434</x:v>
      </x:c>
      <x:c r="C127" s="192" t="str">
        <x:v>Ricoh MP C3004</x:v>
      </x:c>
      <x:c r="D127" s="192" t="str">
        <x:v>Color Copier B/W Pages</x:v>
      </x:c>
      <x:c r="E127" s="192" t="str">
        <x:v>C717M300110</x:v>
      </x:c>
      <x:c r="F127" s="192" t="str">
        <x:v>Active</x:v>
      </x:c>
      <x:c r="G127" s="192" t="str">
        <x:v>Berea Treatment Center</x:v>
      </x:c>
      <x:c r="H127" s="192" t="str">
        <x:v/>
      </x:c>
      <x:c r="I127" s="192" t="str">
        <x:v/>
      </x:c>
      <x:c r="J127" s="192" t="str">
        <x:v/>
      </x:c>
      <x:c r="K127" s="192" t="str">
        <x:v>Bobby Shumate</x:v>
      </x:c>
      <x:c r="L127" s="192" t="str">
        <x:v/>
      </x:c>
      <x:c r="M127" s="192" t="str">
        <x:v>12/1/2018</x:v>
      </x:c>
      <x:c r="N127" s="183" t="n">
        <x:v>21519.00</x:v>
      </x:c>
      <x:c r="O127" s="192" t="str">
        <x:v>12/31/2018</x:v>
      </x:c>
      <x:c r="P127" s="183" t="n">
        <x:v>24289.00</x:v>
      </x:c>
      <x:c r="Q127" s="207" t="n">
        <x:v>0.0075</x:v>
      </x:c>
      <x:c r="R127" s="207" t="n">
        <x:v>0.0129</x:v>
      </x:c>
      <x:c r="S127" s="183" t="n">
        <x:v>1280.00</x:v>
      </x:c>
      <x:c r="T127" s="182" t="n">
        <x:f ca="1">=IF(AND(U127=0,S127&gt;0),-100%,IF(OR(S127=0,S127="-"),"-",IF(AND(S127=0,U127=0),0%,IF(S127&lt;U127,SUM(U127-S127)/S127,IF(S127&gt;U127,SUM(-1*(S127-U127)/S127),"")))))</x:f>
        <x:v/>
      </x:c>
      <x:c r="U127" s="183" t="n">
        <x:v>2770.00</x:v>
      </x:c>
      <x:c r="V127" s="183" t="n">
        <x:f ca="1">=SUM(U127/ ((O127- M127)/30.42))</x:f>
        <x:v/>
      </x:c>
      <x:c r="W127" s="196">
        <x:f ca="1">=IF(T127="","",IF(T127="-","",IF(U127=0,"",IF(OR(T127&gt;AA4,T127&lt;-AA4),"*",""))))</x:f>
        <x:v/>
      </x:c>
      <x:c r="X127" s="98" t="str">
        <x:v/>
      </x:c>
    </x:row>
    <x:row r="128" spans="1:25" s="12" x14ac:dyDescent="0.25">
      <x:c r="A128" s="90" t="str">
        <x:v>117</x:v>
      </x:c>
      <x:c r="B128" s="191" t="str">
        <x:v>11046658</x:v>
      </x:c>
      <x:c r="C128" s="191" t="str">
        <x:v>Ricoh MP C2051</x:v>
      </x:c>
      <x:c r="D128" s="191" t="str">
        <x:v>Color Copier B/W Pages</x:v>
      </x:c>
      <x:c r="E128" s="191" t="str">
        <x:v>V9715101345</x:v>
      </x:c>
      <x:c r="F128" s="191" t="str">
        <x:v>Active</x:v>
      </x:c>
      <x:c r="G128" s="191" t="str">
        <x:v>Springfield Treatment Center</x:v>
      </x:c>
      <x:c r="H128" s="191" t="str">
        <x:v/>
      </x:c>
      <x:c r="I128" s="191" t="str">
        <x:v/>
      </x:c>
      <x:c r="J128" s="191" t="str">
        <x:v/>
      </x:c>
      <x:c r="K128" s="191" t="str">
        <x:v/>
      </x:c>
      <x:c r="L128" s="191" t="str">
        <x:v/>
      </x:c>
      <x:c r="M128" s="191" t="str">
        <x:v>12/1/2018</x:v>
      </x:c>
      <x:c r="N128" s="189" t="n">
        <x:v>732143.00</x:v>
      </x:c>
      <x:c r="O128" s="191" t="str">
        <x:v>12/31/2018</x:v>
      </x:c>
      <x:c r="P128" s="189" t="n">
        <x:v>734681.00</x:v>
      </x:c>
      <x:c r="Q128" s="206" t="n">
        <x:v>0.0068</x:v>
      </x:c>
      <x:c r="R128" s="206" t="n">
        <x:v>0.0118</x:v>
      </x:c>
      <x:c r="S128" s="189" t="n">
        <x:v>2350.00</x:v>
      </x:c>
      <x:c r="T128" s="187" t="n">
        <x:f ca="1">=IF(AND(U128=0,S128&gt;0),-100%,IF(OR(S128=0,S128="-"),"-",IF(AND(S128=0,U128=0),0%,IF(S128&lt;U128,SUM(U128-S128)/S128,IF(S128&gt;U128,SUM(-1*(S128-U128)/S128),"")))))</x:f>
        <x:v/>
      </x:c>
      <x:c r="U128" s="189" t="n">
        <x:v>2538.00</x:v>
      </x:c>
      <x:c r="V128" s="189" t="n">
        <x:f ca="1">=SUM(U128/ ((O128- M128)/30.42))</x:f>
        <x:v/>
      </x:c>
      <x:c r="W128" s="195">
        <x:f ca="1">=IF(T128="","",IF(T128="-","",IF(U128=0,"",IF(OR(T128&gt;AA4,T128&lt;-AA4),"*",""))))</x:f>
        <x:v/>
      </x:c>
      <x:c r="X128" s="91" t="str">
        <x:v/>
      </x:c>
    </x:row>
    <x:row r="129" spans="1:25" s="12" x14ac:dyDescent="0.25">
      <x:c r="A129" s="96" t="str">
        <x:v>118</x:v>
      </x:c>
      <x:c r="B129" s="192" t="str">
        <x:v>13981633</x:v>
      </x:c>
      <x:c r="C129" s="192" t="str">
        <x:v>Ricoh MP C3004</x:v>
      </x:c>
      <x:c r="D129" s="192" t="str">
        <x:v>Color Copier B/W Pages</x:v>
      </x:c>
      <x:c r="E129" s="192" t="str">
        <x:v>G696M710057</x:v>
      </x:c>
      <x:c r="F129" s="192" t="str">
        <x:v>Active</x:v>
      </x:c>
      <x:c r="G129" s="192" t="str">
        <x:v>Aiken Treatment Center</x:v>
      </x:c>
      <x:c r="H129" s="192" t="str">
        <x:v/>
      </x:c>
      <x:c r="I129" s="192" t="str">
        <x:v/>
      </x:c>
      <x:c r="J129" s="192" t="str">
        <x:v/>
      </x:c>
      <x:c r="K129" s="192" t="str">
        <x:v/>
      </x:c>
      <x:c r="L129" s="192" t="str">
        <x:v/>
      </x:c>
      <x:c r="M129" s="192" t="str">
        <x:v>12/1/2018</x:v>
      </x:c>
      <x:c r="N129" s="183" t="n">
        <x:v>86063.00</x:v>
      </x:c>
      <x:c r="O129" s="192" t="str">
        <x:v>12/31/2018</x:v>
      </x:c>
      <x:c r="P129" s="183" t="n">
        <x:v>88522.00</x:v>
      </x:c>
      <x:c r="Q129" s="207" t="n">
        <x:v>0.0066</x:v>
      </x:c>
      <x:c r="R129" s="207" t="n">
        <x:v>0.0114</x:v>
      </x:c>
      <x:c r="S129" s="183" t="n">
        <x:v>1502.00</x:v>
      </x:c>
      <x:c r="T129" s="182" t="n">
        <x:f ca="1">=IF(AND(U129=0,S129&gt;0),-100%,IF(OR(S129=0,S129="-"),"-",IF(AND(S129=0,U129=0),0%,IF(S129&lt;U129,SUM(U129-S129)/S129,IF(S129&gt;U129,SUM(-1*(S129-U129)/S129),"")))))</x:f>
        <x:v/>
      </x:c>
      <x:c r="U129" s="183" t="n">
        <x:v>2459.00</x:v>
      </x:c>
      <x:c r="V129" s="183" t="n">
        <x:f ca="1">=SUM(U129/ ((O129- M129)/30.42))</x:f>
        <x:v/>
      </x:c>
      <x:c r="W129" s="196">
        <x:f ca="1">=IF(T129="","",IF(T129="-","",IF(U129=0,"",IF(OR(T129&gt;AA4,T129&lt;-AA4),"*",""))))</x:f>
        <x:v/>
      </x:c>
      <x:c r="X129" s="98" t="str">
        <x:v/>
      </x:c>
    </x:row>
    <x:row r="130" spans="1:25" s="12" x14ac:dyDescent="0.25">
      <x:c r="A130" s="90" t="str">
        <x:v>119</x:v>
      </x:c>
      <x:c r="B130" s="191" t="str">
        <x:v>14099437</x:v>
      </x:c>
      <x:c r="C130" s="191" t="str">
        <x:v>Ricoh MP C3004</x:v>
      </x:c>
      <x:c r="D130" s="191" t="str">
        <x:v>Color Copier B/W Pages</x:v>
      </x:c>
      <x:c r="E130" s="191" t="str">
        <x:v>C717M300109</x:v>
      </x:c>
      <x:c r="F130" s="191" t="str">
        <x:v>Active</x:v>
      </x:c>
      <x:c r="G130" s="191" t="str">
        <x:v>Tifton Treatment Center</x:v>
      </x:c>
      <x:c r="H130" s="191" t="str">
        <x:v/>
      </x:c>
      <x:c r="I130" s="191" t="str">
        <x:v/>
      </x:c>
      <x:c r="J130" s="191" t="str">
        <x:v/>
      </x:c>
      <x:c r="K130" s="191" t="str">
        <x:v>Travis Hall</x:v>
      </x:c>
      <x:c r="L130" s="191" t="str">
        <x:v/>
      </x:c>
      <x:c r="M130" s="191" t="str">
        <x:v>12/1/2018</x:v>
      </x:c>
      <x:c r="N130" s="189" t="n">
        <x:v>25622.00</x:v>
      </x:c>
      <x:c r="O130" s="191" t="str">
        <x:v>12/31/2018</x:v>
      </x:c>
      <x:c r="P130" s="189" t="n">
        <x:v>28065.00</x:v>
      </x:c>
      <x:c r="Q130" s="206" t="n">
        <x:v>0.0066</x:v>
      </x:c>
      <x:c r="R130" s="206" t="n">
        <x:v>0.0113</x:v>
      </x:c>
      <x:c r="S130" s="189" t="n">
        <x:v>937.00</x:v>
      </x:c>
      <x:c r="T130" s="187" t="n">
        <x:f ca="1">=IF(AND(U130=0,S130&gt;0),-100%,IF(OR(S130=0,S130="-"),"-",IF(AND(S130=0,U130=0),0%,IF(S130&lt;U130,SUM(U130-S130)/S130,IF(S130&gt;U130,SUM(-1*(S130-U130)/S130),"")))))</x:f>
        <x:v/>
      </x:c>
      <x:c r="U130" s="189" t="n">
        <x:v>2443.00</x:v>
      </x:c>
      <x:c r="V130" s="189" t="n">
        <x:f ca="1">=SUM(U130/ ((O130- M130)/30.42))</x:f>
        <x:v/>
      </x:c>
      <x:c r="W130" s="195">
        <x:f ca="1">=IF(T130="","",IF(T130="-","",IF(U130=0,"",IF(OR(T130&gt;AA4,T130&lt;-AA4),"*",""))))</x:f>
        <x:v/>
      </x:c>
      <x:c r="X130" s="91" t="str">
        <x:v/>
      </x:c>
    </x:row>
    <x:row r="131" spans="1:25" s="12" x14ac:dyDescent="0.25">
      <x:c r="A131" s="96" t="str">
        <x:v>120</x:v>
      </x:c>
      <x:c r="B131" s="192" t="str">
        <x:v>12884503</x:v>
      </x:c>
      <x:c r="C131" s="192" t="str">
        <x:v>Ricoh MPC 2551</x:v>
      </x:c>
      <x:c r="D131" s="192" t="str">
        <x:v>Color Copier B/W Pages</x:v>
      </x:c>
      <x:c r="E131" s="192" t="str">
        <x:v>V9834900201</x:v>
      </x:c>
      <x:c r="F131" s="192" t="str">
        <x:v>Active</x:v>
      </x:c>
      <x:c r="G131" s="192" t="str">
        <x:v>Paintsville Treatment Center</x:v>
      </x:c>
      <x:c r="H131" s="192" t="str">
        <x:v/>
      </x:c>
      <x:c r="I131" s="192" t="str">
        <x:v/>
      </x:c>
      <x:c r="J131" s="192" t="str">
        <x:v/>
      </x:c>
      <x:c r="K131" s="192" t="str">
        <x:v/>
      </x:c>
      <x:c r="L131" s="192" t="str">
        <x:v/>
      </x:c>
      <x:c r="M131" s="192" t="str">
        <x:v>12/1/2018</x:v>
      </x:c>
      <x:c r="N131" s="183" t="n">
        <x:v>250218.00</x:v>
      </x:c>
      <x:c r="O131" s="192" t="str">
        <x:v>12/29/2018</x:v>
      </x:c>
      <x:c r="P131" s="183" t="n">
        <x:v>252650.00</x:v>
      </x:c>
      <x:c r="Q131" s="207" t="n">
        <x:v>0.0065</x:v>
      </x:c>
      <x:c r="R131" s="207" t="n">
        <x:v>0.0113</x:v>
      </x:c>
      <x:c r="S131" s="183" t="n">
        <x:v>3209.00</x:v>
      </x:c>
      <x:c r="T131" s="182" t="n">
        <x:f ca="1">=IF(AND(U131=0,S131&gt;0),-100%,IF(OR(S131=0,S131="-"),"-",IF(AND(S131=0,U131=0),0%,IF(S131&lt;U131,SUM(U131-S131)/S131,IF(S131&gt;U131,SUM(-1*(S131-U131)/S131),"")))))</x:f>
        <x:v/>
      </x:c>
      <x:c r="U131" s="183" t="n">
        <x:v>2432.00</x:v>
      </x:c>
      <x:c r="V131" s="183" t="n">
        <x:f ca="1">=SUM(U131/ ((O131- M131)/30.42))</x:f>
        <x:v/>
      </x:c>
      <x:c r="W131" s="196">
        <x:f ca="1">=IF(T131="","",IF(T131="-","",IF(U131=0,"",IF(OR(T131&gt;AA4,T131&lt;-AA4),"*",""))))</x:f>
        <x:v/>
      </x:c>
      <x:c r="X131" s="98" t="str">
        <x:v/>
      </x:c>
    </x:row>
    <x:row r="132" spans="1:25" s="12" x14ac:dyDescent="0.25">
      <x:c r="A132" s="90" t="str">
        <x:v>121</x:v>
      </x:c>
      <x:c r="B132" s="191" t="str">
        <x:v>FPR60822</x:v>
      </x:c>
      <x:c r="C132" s="191" t="str">
        <x:v>Ricoh MP C3004</x:v>
      </x:c>
      <x:c r="D132" s="191" t="str">
        <x:v>Color Copier B/W Pages</x:v>
      </x:c>
      <x:c r="E132" s="191" t="str">
        <x:v>C718M711324</x:v>
      </x:c>
      <x:c r="F132" s="191" t="str">
        <x:v>Active</x:v>
      </x:c>
      <x:c r="G132" s="191" t="str">
        <x:v>Newport News</x:v>
      </x:c>
      <x:c r="H132" s="191" t="str">
        <x:v/>
      </x:c>
      <x:c r="I132" s="191" t="str">
        <x:v/>
      </x:c>
      <x:c r="J132" s="191" t="str">
        <x:v/>
      </x:c>
      <x:c r="K132" s="191" t="str">
        <x:v>Copy Room</x:v>
      </x:c>
      <x:c r="L132" s="191" t="str">
        <x:v/>
      </x:c>
      <x:c r="M132" s="191" t="str">
        <x:v>11/30/2018</x:v>
      </x:c>
      <x:c r="N132" s="189" t="n">
        <x:v>1758.00</x:v>
      </x:c>
      <x:c r="O132" s="191" t="str">
        <x:v>12/31/2018</x:v>
      </x:c>
      <x:c r="P132" s="189" t="n">
        <x:v>4077.00</x:v>
      </x:c>
      <x:c r="Q132" s="206" t="n">
        <x:v>0.0062</x:v>
      </x:c>
      <x:c r="R132" s="206" t="n">
        <x:v>0.0108</x:v>
      </x:c>
      <x:c r="S132" s="189" t="n">
        <x:v>0.00</x:v>
      </x:c>
      <x:c r="T132" s="187" t="n">
        <x:f ca="1">=IF(AND(U132=0,S132&gt;0),-100%,IF(OR(S132=0,S132="-"),"-",IF(AND(S132=0,U132=0),0%,IF(S132&lt;U132,SUM(U132-S132)/S132,IF(S132&gt;U132,SUM(-1*(S132-U132)/S132),"")))))</x:f>
        <x:v/>
      </x:c>
      <x:c r="U132" s="189" t="n">
        <x:v>2319.00</x:v>
      </x:c>
      <x:c r="V132" s="189" t="n">
        <x:f ca="1">=SUM(U132/ ((O132- M132)/30.42))</x:f>
        <x:v/>
      </x:c>
      <x:c r="W132" s="195">
        <x:f ca="1">=IF(T132="","",IF(T132="-","",IF(U132=0,"",IF(OR(T132&gt;AA4,T132&lt;-AA4),"*",""))))</x:f>
        <x:v/>
      </x:c>
      <x:c r="X132" s="91" t="str">
        <x:v/>
      </x:c>
    </x:row>
    <x:row r="133" spans="1:25" s="12" x14ac:dyDescent="0.25">
      <x:c r="A133" s="96" t="str">
        <x:v>122</x:v>
      </x:c>
      <x:c r="B133" s="192" t="str">
        <x:v>12988166</x:v>
      </x:c>
      <x:c r="C133" s="192" t="str">
        <x:v>Ricoh MPC 2551</x:v>
      </x:c>
      <x:c r="D133" s="192" t="str">
        <x:v>Color Copier B/W Pages</x:v>
      </x:c>
      <x:c r="E133" s="192" t="str">
        <x:v>V9835900257</x:v>
      </x:c>
      <x:c r="F133" s="192" t="str">
        <x:v>Active</x:v>
      </x:c>
      <x:c r="G133" s="192" t="str">
        <x:v>Poplar Bluff Treatment Center</x:v>
      </x:c>
      <x:c r="H133" s="192" t="str">
        <x:v/>
      </x:c>
      <x:c r="I133" s="192" t="str">
        <x:v/>
      </x:c>
      <x:c r="J133" s="192" t="str">
        <x:v/>
      </x:c>
      <x:c r="K133" s="192" t="str">
        <x:v/>
      </x:c>
      <x:c r="L133" s="192" t="str">
        <x:v/>
      </x:c>
      <x:c r="M133" s="192" t="str">
        <x:v>12/1/2018</x:v>
      </x:c>
      <x:c r="N133" s="183" t="n">
        <x:v>76515.00</x:v>
      </x:c>
      <x:c r="O133" s="192" t="str">
        <x:v>12/31/2018</x:v>
      </x:c>
      <x:c r="P133" s="183" t="n">
        <x:v>78816.00</x:v>
      </x:c>
      <x:c r="Q133" s="207" t="n">
        <x:v>0.0062</x:v>
      </x:c>
      <x:c r="R133" s="207" t="n">
        <x:v>0.0107</x:v>
      </x:c>
      <x:c r="S133" s="183" t="n">
        <x:v>1157.00</x:v>
      </x:c>
      <x:c r="T133" s="182" t="n">
        <x:f ca="1">=IF(AND(U133=0,S133&gt;0),-100%,IF(OR(S133=0,S133="-"),"-",IF(AND(S133=0,U133=0),0%,IF(S133&lt;U133,SUM(U133-S133)/S133,IF(S133&gt;U133,SUM(-1*(S133-U133)/S133),"")))))</x:f>
        <x:v/>
      </x:c>
      <x:c r="U133" s="183" t="n">
        <x:v>2301.00</x:v>
      </x:c>
      <x:c r="V133" s="183" t="n">
        <x:f ca="1">=SUM(U133/ ((O133- M133)/30.42))</x:f>
        <x:v/>
      </x:c>
      <x:c r="W133" s="196">
        <x:f ca="1">=IF(T133="","",IF(T133="-","",IF(U133=0,"",IF(OR(T133&gt;AA4,T133&lt;-AA4),"*",""))))</x:f>
        <x:v/>
      </x:c>
      <x:c r="X133" s="98" t="str">
        <x:v/>
      </x:c>
    </x:row>
    <x:row r="134" spans="1:25" s="12" x14ac:dyDescent="0.25">
      <x:c r="A134" s="90" t="str">
        <x:v>123</x:v>
      </x:c>
      <x:c r="B134" s="191" t="str">
        <x:v>FPR58157</x:v>
      </x:c>
      <x:c r="C134" s="191" t="str">
        <x:v>Ricoh MP C3004</x:v>
      </x:c>
      <x:c r="D134" s="191" t="str">
        <x:v>Color Copier B/W Pages</x:v>
      </x:c>
      <x:c r="E134" s="191" t="str">
        <x:v>C718M210528</x:v>
      </x:c>
      <x:c r="F134" s="191" t="str">
        <x:v>Active</x:v>
      </x:c>
      <x:c r="G134" s="191" t="str">
        <x:v>Jackson, GA Treatment Center</x:v>
      </x:c>
      <x:c r="H134" s="191" t="str">
        <x:v/>
      </x:c>
      <x:c r="I134" s="191" t="str">
        <x:v/>
      </x:c>
      <x:c r="J134" s="191" t="str">
        <x:v/>
      </x:c>
      <x:c r="K134" s="191" t="str">
        <x:v/>
      </x:c>
      <x:c r="L134" s="191" t="str">
        <x:v/>
      </x:c>
      <x:c r="M134" s="191" t="str">
        <x:v>12/1/2018</x:v>
      </x:c>
      <x:c r="N134" s="189" t="n">
        <x:v>20981.00</x:v>
      </x:c>
      <x:c r="O134" s="191" t="str">
        <x:v>12/31/2018</x:v>
      </x:c>
      <x:c r="P134" s="189" t="n">
        <x:v>23118.00</x:v>
      </x:c>
      <x:c r="Q134" s="206" t="n">
        <x:v>0.0057</x:v>
      </x:c>
      <x:c r="R134" s="206" t="n">
        <x:v>0.0099</x:v>
      </x:c>
      <x:c r="S134" s="189" t="n">
        <x:v>16314.00</x:v>
      </x:c>
      <x:c r="T134" s="187" t="n">
        <x:f ca="1">=IF(AND(U134=0,S134&gt;0),-100%,IF(OR(S134=0,S134="-"),"-",IF(AND(S134=0,U134=0),0%,IF(S134&lt;U134,SUM(U134-S134)/S134,IF(S134&gt;U134,SUM(-1*(S134-U134)/S134),"")))))</x:f>
        <x:v/>
      </x:c>
      <x:c r="U134" s="189" t="n">
        <x:v>2137.00</x:v>
      </x:c>
      <x:c r="V134" s="189" t="n">
        <x:f ca="1">=SUM(U134/ ((O134- M134)/30.42))</x:f>
        <x:v/>
      </x:c>
      <x:c r="W134" s="195">
        <x:f ca="1">=IF(T134="","",IF(T134="-","",IF(U134=0,"",IF(OR(T134&gt;AA4,T134&lt;-AA4),"*",""))))</x:f>
        <x:v/>
      </x:c>
      <x:c r="X134" s="91" t="str">
        <x:v/>
      </x:c>
    </x:row>
    <x:row r="135" spans="1:25" s="12" x14ac:dyDescent="0.25">
      <x:c r="A135" s="96" t="str">
        <x:v>124</x:v>
      </x:c>
      <x:c r="B135" s="192" t="str">
        <x:v>13945928</x:v>
      </x:c>
      <x:c r="C135" s="192" t="str">
        <x:v>Ricoh MP C3004</x:v>
      </x:c>
      <x:c r="D135" s="192" t="str">
        <x:v>Color Copier B/W Pages</x:v>
      </x:c>
      <x:c r="E135" s="192" t="str">
        <x:v>G696MB60360</x:v>
      </x:c>
      <x:c r="F135" s="192" t="str">
        <x:v>Active</x:v>
      </x:c>
      <x:c r="G135" s="192" t="str">
        <x:v>Springfield North Treatment Center</x:v>
      </x:c>
      <x:c r="H135" s="192" t="str">
        <x:v/>
      </x:c>
      <x:c r="I135" s="192" t="str">
        <x:v/>
      </x:c>
      <x:c r="J135" s="192" t="str">
        <x:v>1</x:v>
      </x:c>
      <x:c r="K135" s="192" t="str">
        <x:v>Marlin Martin</x:v>
      </x:c>
      <x:c r="L135" s="192" t="str">
        <x:v/>
      </x:c>
      <x:c r="M135" s="192" t="str">
        <x:v>12/1/2018</x:v>
      </x:c>
      <x:c r="N135" s="183" t="n">
        <x:v>56349.00</x:v>
      </x:c>
      <x:c r="O135" s="192" t="str">
        <x:v>12/31/2018</x:v>
      </x:c>
      <x:c r="P135" s="183" t="n">
        <x:v>58288.00</x:v>
      </x:c>
      <x:c r="Q135" s="207" t="n">
        <x:v>0.0052</x:v>
      </x:c>
      <x:c r="R135" s="207" t="n">
        <x:v>0.009</x:v>
      </x:c>
      <x:c r="S135" s="183" t="n">
        <x:v>2409.00</x:v>
      </x:c>
      <x:c r="T135" s="182" t="n">
        <x:f ca="1">=IF(AND(U135=0,S135&gt;0),-100%,IF(OR(S135=0,S135="-"),"-",IF(AND(S135=0,U135=0),0%,IF(S135&lt;U135,SUM(U135-S135)/S135,IF(S135&gt;U135,SUM(-1*(S135-U135)/S135),"")))))</x:f>
        <x:v/>
      </x:c>
      <x:c r="U135" s="183" t="n">
        <x:v>1939.00</x:v>
      </x:c>
      <x:c r="V135" s="183" t="n">
        <x:f ca="1">=SUM(U135/ ((O135- M135)/30.42))</x:f>
        <x:v/>
      </x:c>
      <x:c r="W135" s="196">
        <x:f ca="1">=IF(T135="","",IF(T135="-","",IF(U135=0,"",IF(OR(T135&gt;AA4,T135&lt;-AA4),"*",""))))</x:f>
        <x:v/>
      </x:c>
      <x:c r="X135" s="98" t="str">
        <x:v/>
      </x:c>
    </x:row>
    <x:row r="136" spans="1:25" s="12" x14ac:dyDescent="0.25">
      <x:c r="A136" s="90" t="str">
        <x:v>125</x:v>
      </x:c>
      <x:c r="B136" s="191" t="str">
        <x:v>20240742</x:v>
      </x:c>
      <x:c r="C136" s="191" t="str">
        <x:v>Ricoh MP C2051</x:v>
      </x:c>
      <x:c r="D136" s="191" t="str">
        <x:v>Color Copier B/W Pages</x:v>
      </x:c>
      <x:c r="E136" s="191" t="str">
        <x:v>V9715101354</x:v>
      </x:c>
      <x:c r="F136" s="191" t="str">
        <x:v>Active</x:v>
      </x:c>
      <x:c r="G136" s="191" t="str">
        <x:v>Kansas City Treatment Center</x:v>
      </x:c>
      <x:c r="H136" s="191" t="str">
        <x:v/>
      </x:c>
      <x:c r="I136" s="191" t="str">
        <x:v/>
      </x:c>
      <x:c r="J136" s="191" t="str">
        <x:v/>
      </x:c>
      <x:c r="K136" s="191" t="str">
        <x:v/>
      </x:c>
      <x:c r="L136" s="191" t="str">
        <x:v/>
      </x:c>
      <x:c r="M136" s="191" t="str">
        <x:v>12/1/2018</x:v>
      </x:c>
      <x:c r="N136" s="189" t="n">
        <x:v>430919.00</x:v>
      </x:c>
      <x:c r="O136" s="191" t="str">
        <x:v>12/31/2018</x:v>
      </x:c>
      <x:c r="P136" s="189" t="n">
        <x:v>432699.00</x:v>
      </x:c>
      <x:c r="Q136" s="206" t="n">
        <x:v>0.0048</x:v>
      </x:c>
      <x:c r="R136" s="206" t="n">
        <x:v>0.0083</x:v>
      </x:c>
      <x:c r="S136" s="189" t="n">
        <x:v>1718.00</x:v>
      </x:c>
      <x:c r="T136" s="187" t="n">
        <x:f ca="1">=IF(AND(U136=0,S136&gt;0),-100%,IF(OR(S136=0,S136="-"),"-",IF(AND(S136=0,U136=0),0%,IF(S136&lt;U136,SUM(U136-S136)/S136,IF(S136&gt;U136,SUM(-1*(S136-U136)/S136),"")))))</x:f>
        <x:v/>
      </x:c>
      <x:c r="U136" s="189" t="n">
        <x:v>1780.00</x:v>
      </x:c>
      <x:c r="V136" s="189" t="n">
        <x:f ca="1">=SUM(U136/ ((O136- M136)/30.42))</x:f>
        <x:v/>
      </x:c>
      <x:c r="W136" s="195">
        <x:f ca="1">=IF(T136="","",IF(T136="-","",IF(U136=0,"",IF(OR(T136&gt;AA4,T136&lt;-AA4),"*",""))))</x:f>
        <x:v/>
      </x:c>
      <x:c r="X136" s="91" t="str">
        <x:v/>
      </x:c>
    </x:row>
    <x:row r="137" spans="1:25" s="12" x14ac:dyDescent="0.25">
      <x:c r="A137" s="96" t="str">
        <x:v>126</x:v>
      </x:c>
      <x:c r="B137" s="192" t="str">
        <x:v>20314978</x:v>
      </x:c>
      <x:c r="C137" s="192" t="str">
        <x:v>Ricoh MP C2051</x:v>
      </x:c>
      <x:c r="D137" s="192" t="str">
        <x:v>Color Copier B/W Pages</x:v>
      </x:c>
      <x:c r="E137" s="192" t="str">
        <x:v>V9715800453</x:v>
      </x:c>
      <x:c r="F137" s="192" t="str">
        <x:v>Active</x:v>
      </x:c>
      <x:c r="G137" s="192" t="str">
        <x:v>Paris Treatment Center</x:v>
      </x:c>
      <x:c r="H137" s="192" t="str">
        <x:v/>
      </x:c>
      <x:c r="I137" s="192" t="str">
        <x:v/>
      </x:c>
      <x:c r="J137" s="192" t="str">
        <x:v>1</x:v>
      </x:c>
      <x:c r="K137" s="192" t="str">
        <x:v/>
      </x:c>
      <x:c r="L137" s="192" t="str">
        <x:v/>
      </x:c>
      <x:c r="M137" s="192" t="str">
        <x:v>12/1/2018</x:v>
      </x:c>
      <x:c r="N137" s="183" t="n">
        <x:v>612454.00</x:v>
      </x:c>
      <x:c r="O137" s="192" t="str">
        <x:v>12/31/2018</x:v>
      </x:c>
      <x:c r="P137" s="183" t="n">
        <x:v>614232.00</x:v>
      </x:c>
      <x:c r="Q137" s="207" t="n">
        <x:v>0.0048</x:v>
      </x:c>
      <x:c r="R137" s="207" t="n">
        <x:v>0.0083</x:v>
      </x:c>
      <x:c r="S137" s="183" t="n">
        <x:v>2294.00</x:v>
      </x:c>
      <x:c r="T137" s="182" t="n">
        <x:f ca="1">=IF(AND(U137=0,S137&gt;0),-100%,IF(OR(S137=0,S137="-"),"-",IF(AND(S137=0,U137=0),0%,IF(S137&lt;U137,SUM(U137-S137)/S137,IF(S137&gt;U137,SUM(-1*(S137-U137)/S137),"")))))</x:f>
        <x:v/>
      </x:c>
      <x:c r="U137" s="183" t="n">
        <x:v>1778.00</x:v>
      </x:c>
      <x:c r="V137" s="183" t="n">
        <x:f ca="1">=SUM(U137/ ((O137- M137)/30.42))</x:f>
        <x:v/>
      </x:c>
      <x:c r="W137" s="196">
        <x:f ca="1">=IF(T137="","",IF(T137="-","",IF(U137=0,"",IF(OR(T137&gt;AA4,T137&lt;-AA4),"*",""))))</x:f>
        <x:v/>
      </x:c>
      <x:c r="X137" s="98" t="str">
        <x:v/>
      </x:c>
    </x:row>
    <x:row r="138" spans="1:25" s="12" x14ac:dyDescent="0.25">
      <x:c r="A138" s="90" t="str">
        <x:v>127</x:v>
      </x:c>
      <x:c r="B138" s="191" t="str">
        <x:v>13623185</x:v>
      </x:c>
      <x:c r="C138" s="191" t="str">
        <x:v>Ricoh MP C2503</x:v>
      </x:c>
      <x:c r="D138" s="191" t="str">
        <x:v>Color Copier B/W Pages</x:v>
      </x:c>
      <x:c r="E138" s="191" t="str">
        <x:v>E215M760082</x:v>
      </x:c>
      <x:c r="F138" s="191" t="str">
        <x:v>Active</x:v>
      </x:c>
      <x:c r="G138" s="191" t="str">
        <x:v>Knoxville Ailor Treatment Center</x:v>
      </x:c>
      <x:c r="H138" s="191" t="str">
        <x:v/>
      </x:c>
      <x:c r="I138" s="191" t="str">
        <x:v/>
      </x:c>
      <x:c r="J138" s="191" t="str">
        <x:v/>
      </x:c>
      <x:c r="K138" s="191" t="str">
        <x:v/>
      </x:c>
      <x:c r="L138" s="191" t="str">
        <x:v/>
      </x:c>
      <x:c r="M138" s="191" t="str">
        <x:v>12/1/2018</x:v>
      </x:c>
      <x:c r="N138" s="189" t="n">
        <x:v>97095.00</x:v>
      </x:c>
      <x:c r="O138" s="191" t="str">
        <x:v>12/31/2018</x:v>
      </x:c>
      <x:c r="P138" s="189" t="n">
        <x:v>98403.00</x:v>
      </x:c>
      <x:c r="Q138" s="206" t="n">
        <x:v>0.0035</x:v>
      </x:c>
      <x:c r="R138" s="206" t="n">
        <x:v>0.0061</x:v>
      </x:c>
      <x:c r="S138" s="189" t="n">
        <x:v>1657.00</x:v>
      </x:c>
      <x:c r="T138" s="187" t="n">
        <x:f ca="1">=IF(AND(U138=0,S138&gt;0),-100%,IF(OR(S138=0,S138="-"),"-",IF(AND(S138=0,U138=0),0%,IF(S138&lt;U138,SUM(U138-S138)/S138,IF(S138&gt;U138,SUM(-1*(S138-U138)/S138),"")))))</x:f>
        <x:v/>
      </x:c>
      <x:c r="U138" s="189" t="n">
        <x:v>1308.00</x:v>
      </x:c>
      <x:c r="V138" s="189" t="n">
        <x:f ca="1">=SUM(U138/ ((O138- M138)/30.42))</x:f>
        <x:v/>
      </x:c>
      <x:c r="W138" s="195">
        <x:f ca="1">=IF(T138="","",IF(T138="-","",IF(U138=0,"",IF(OR(T138&gt;AA4,T138&lt;-AA4),"*",""))))</x:f>
        <x:v/>
      </x:c>
      <x:c r="X138" s="91" t="str">
        <x:v/>
      </x:c>
    </x:row>
    <x:row r="139" spans="1:25" s="12" x14ac:dyDescent="0.25">
      <x:c r="A139" s="96" t="str">
        <x:v>128</x:v>
      </x:c>
      <x:c r="B139" s="192" t="str">
        <x:v>20166029</x:v>
      </x:c>
      <x:c r="C139" s="192" t="str">
        <x:v>Ricoh MP C2051</x:v>
      </x:c>
      <x:c r="D139" s="192" t="str">
        <x:v>Color Copier B/W Pages</x:v>
      </x:c>
      <x:c r="E139" s="192" t="str">
        <x:v>V9715800783</x:v>
      </x:c>
      <x:c r="F139" s="192" t="str">
        <x:v>Active</x:v>
      </x:c>
      <x:c r="G139" s="192" t="str">
        <x:v>Jackson, TN Treatment Center</x:v>
      </x:c>
      <x:c r="H139" s="192" t="str">
        <x:v/>
      </x:c>
      <x:c r="I139" s="192" t="str">
        <x:v/>
      </x:c>
      <x:c r="J139" s="192" t="str">
        <x:v/>
      </x:c>
      <x:c r="K139" s="192" t="str">
        <x:v/>
      </x:c>
      <x:c r="L139" s="192" t="str">
        <x:v/>
      </x:c>
      <x:c r="M139" s="192" t="str">
        <x:v>12/1/2018</x:v>
      </x:c>
      <x:c r="N139" s="183" t="n">
        <x:v>563139.00</x:v>
      </x:c>
      <x:c r="O139" s="192" t="str">
        <x:v>12/31/2018</x:v>
      </x:c>
      <x:c r="P139" s="183" t="n">
        <x:v>564441.00</x:v>
      </x:c>
      <x:c r="Q139" s="207" t="n">
        <x:v>0.0035</x:v>
      </x:c>
      <x:c r="R139" s="207" t="n">
        <x:v>0.006</x:v>
      </x:c>
      <x:c r="S139" s="183" t="n">
        <x:v>1636.00</x:v>
      </x:c>
      <x:c r="T139" s="182" t="n">
        <x:f ca="1">=IF(AND(U139=0,S139&gt;0),-100%,IF(OR(S139=0,S139="-"),"-",IF(AND(S139=0,U139=0),0%,IF(S139&lt;U139,SUM(U139-S139)/S139,IF(S139&gt;U139,SUM(-1*(S139-U139)/S139),"")))))</x:f>
        <x:v/>
      </x:c>
      <x:c r="U139" s="183" t="n">
        <x:v>1302.00</x:v>
      </x:c>
      <x:c r="V139" s="183" t="n">
        <x:f ca="1">=SUM(U139/ ((O139- M139)/30.42))</x:f>
        <x:v/>
      </x:c>
      <x:c r="W139" s="196">
        <x:f ca="1">=IF(T139="","",IF(T139="-","",IF(U139=0,"",IF(OR(T139&gt;AA4,T139&lt;-AA4),"*",""))))</x:f>
        <x:v/>
      </x:c>
      <x:c r="X139" s="98" t="str">
        <x:v/>
      </x:c>
    </x:row>
    <x:row r="140" spans="1:25" s="12" x14ac:dyDescent="0.25">
      <x:c r="A140" s="90" t="str">
        <x:v>129</x:v>
      </x:c>
      <x:c r="B140" s="191" t="str">
        <x:v>13927820</x:v>
      </x:c>
      <x:c r="C140" s="191" t="str">
        <x:v>Ricoh MP C3004</x:v>
      </x:c>
      <x:c r="D140" s="191" t="str">
        <x:v>Color Copier B/W Pages</x:v>
      </x:c>
      <x:c r="E140" s="191" t="str">
        <x:v>G696MC60349</x:v>
      </x:c>
      <x:c r="F140" s="191" t="str">
        <x:v>Active</x:v>
      </x:c>
      <x:c r="G140" s="191" t="str">
        <x:v>Centennial Treatment Center</x:v>
      </x:c>
      <x:c r="H140" s="191" t="str">
        <x:v/>
      </x:c>
      <x:c r="I140" s="191" t="str">
        <x:v/>
      </x:c>
      <x:c r="J140" s="191" t="str">
        <x:v>1</x:v>
      </x:c>
      <x:c r="K140" s="191" t="str">
        <x:v>Amanda Malone</x:v>
      </x:c>
      <x:c r="L140" s="191" t="str">
        <x:v/>
      </x:c>
      <x:c r="M140" s="191" t="str">
        <x:v>12/1/2018</x:v>
      </x:c>
      <x:c r="N140" s="189" t="n">
        <x:v>51126.00</x:v>
      </x:c>
      <x:c r="O140" s="191" t="str">
        <x:v>12/31/2018</x:v>
      </x:c>
      <x:c r="P140" s="189" t="n">
        <x:v>52337.00</x:v>
      </x:c>
      <x:c r="Q140" s="206" t="n">
        <x:v>0.0033</x:v>
      </x:c>
      <x:c r="R140" s="206" t="n">
        <x:v>0.0056</x:v>
      </x:c>
      <x:c r="S140" s="189" t="n">
        <x:v>1076.00</x:v>
      </x:c>
      <x:c r="T140" s="187" t="n">
        <x:f ca="1">=IF(AND(U140=0,S140&gt;0),-100%,IF(OR(S140=0,S140="-"),"-",IF(AND(S140=0,U140=0),0%,IF(S140&lt;U140,SUM(U140-S140)/S140,IF(S140&gt;U140,SUM(-1*(S140-U140)/S140),"")))))</x:f>
        <x:v/>
      </x:c>
      <x:c r="U140" s="189" t="n">
        <x:v>1211.00</x:v>
      </x:c>
      <x:c r="V140" s="189" t="n">
        <x:f ca="1">=SUM(U140/ ((O140- M140)/30.42))</x:f>
        <x:v/>
      </x:c>
      <x:c r="W140" s="195">
        <x:f ca="1">=IF(T140="","",IF(T140="-","",IF(U140=0,"",IF(OR(T140&gt;AA4,T140&lt;-AA4),"*",""))))</x:f>
        <x:v/>
      </x:c>
      <x:c r="X140" s="91" t="str">
        <x:v/>
      </x:c>
    </x:row>
    <x:row r="141" spans="1:25" s="12" x14ac:dyDescent="0.25">
      <x:c r="A141" s="96" t="str">
        <x:v>130</x:v>
      </x:c>
      <x:c r="B141" s="192" t="str">
        <x:v>12210848</x:v>
      </x:c>
      <x:c r="C141" s="192" t="str">
        <x:v>Ricoh MP C2051</x:v>
      </x:c>
      <x:c r="D141" s="192" t="str">
        <x:v>Color Copier B/W Pages</x:v>
      </x:c>
      <x:c r="E141" s="192" t="str">
        <x:v>V9715101329</x:v>
      </x:c>
      <x:c r="F141" s="192" t="str">
        <x:v>Active</x:v>
      </x:c>
      <x:c r="G141" s="192" t="str">
        <x:v>Columbia, MO Treatment Center</x:v>
      </x:c>
      <x:c r="H141" s="192" t="str">
        <x:v/>
      </x:c>
      <x:c r="I141" s="192" t="str">
        <x:v/>
      </x:c>
      <x:c r="J141" s="192" t="str">
        <x:v/>
      </x:c>
      <x:c r="K141" s="192" t="str">
        <x:v/>
      </x:c>
      <x:c r="L141" s="192" t="str">
        <x:v/>
      </x:c>
      <x:c r="M141" s="192" t="str">
        <x:v>12/1/2018</x:v>
      </x:c>
      <x:c r="N141" s="183" t="n">
        <x:v>334626.00</x:v>
      </x:c>
      <x:c r="O141" s="192" t="str">
        <x:v>12/31/2018</x:v>
      </x:c>
      <x:c r="P141" s="183" t="n">
        <x:v>335745.00</x:v>
      </x:c>
      <x:c r="Q141" s="207" t="n">
        <x:v>0.003</x:v>
      </x:c>
      <x:c r="R141" s="207" t="n">
        <x:v>0.0052</x:v>
      </x:c>
      <x:c r="S141" s="183" t="n">
        <x:v>1439.00</x:v>
      </x:c>
      <x:c r="T141" s="182" t="n">
        <x:f ca="1">=IF(AND(U141=0,S141&gt;0),-100%,IF(OR(S141=0,S141="-"),"-",IF(AND(S141=0,U141=0),0%,IF(S141&lt;U141,SUM(U141-S141)/S141,IF(S141&gt;U141,SUM(-1*(S141-U141)/S141),"")))))</x:f>
        <x:v/>
      </x:c>
      <x:c r="U141" s="183" t="n">
        <x:v>1119.00</x:v>
      </x:c>
      <x:c r="V141" s="183" t="n">
        <x:f ca="1">=SUM(U141/ ((O141- M141)/30.42))</x:f>
        <x:v/>
      </x:c>
      <x:c r="W141" s="196">
        <x:f ca="1">=IF(T141="","",IF(T141="-","",IF(U141=0,"",IF(OR(T141&gt;AA4,T141&lt;-AA4),"*",""))))</x:f>
        <x:v/>
      </x:c>
      <x:c r="X141" s="98" t="str">
        <x:v/>
      </x:c>
    </x:row>
    <x:row r="142" spans="1:25" s="12" x14ac:dyDescent="0.25">
      <x:c r="A142" s="90" t="str">
        <x:v>131</x:v>
      </x:c>
      <x:c r="B142" s="191" t="str">
        <x:v>20221908</x:v>
      </x:c>
      <x:c r="C142" s="191" t="str">
        <x:v>Ricoh MP C2051</x:v>
      </x:c>
      <x:c r="D142" s="191" t="str">
        <x:v>Color Copier B/W Pages</x:v>
      </x:c>
      <x:c r="E142" s="191" t="str">
        <x:v>V9715101692</x:v>
      </x:c>
      <x:c r="F142" s="191" t="str">
        <x:v>Active</x:v>
      </x:c>
      <x:c r="G142" s="191" t="str">
        <x:v>West Plains Treatment Center</x:v>
      </x:c>
      <x:c r="H142" s="191" t="str">
        <x:v/>
      </x:c>
      <x:c r="I142" s="191" t="str">
        <x:v/>
      </x:c>
      <x:c r="J142" s="191" t="str">
        <x:v/>
      </x:c>
      <x:c r="K142" s="191" t="str">
        <x:v/>
      </x:c>
      <x:c r="L142" s="191" t="str">
        <x:v/>
      </x:c>
      <x:c r="M142" s="191" t="str">
        <x:v>12/1/2018</x:v>
      </x:c>
      <x:c r="N142" s="189" t="n">
        <x:v>331783.00</x:v>
      </x:c>
      <x:c r="O142" s="191" t="str">
        <x:v>12/31/2018</x:v>
      </x:c>
      <x:c r="P142" s="189" t="n">
        <x:v>332870.00</x:v>
      </x:c>
      <x:c r="Q142" s="206" t="n">
        <x:v>0.0029</x:v>
      </x:c>
      <x:c r="R142" s="206" t="n">
        <x:v>0.005</x:v>
      </x:c>
      <x:c r="S142" s="189" t="n">
        <x:v>957.00</x:v>
      </x:c>
      <x:c r="T142" s="187" t="n">
        <x:f ca="1">=IF(AND(U142=0,S142&gt;0),-100%,IF(OR(S142=0,S142="-"),"-",IF(AND(S142=0,U142=0),0%,IF(S142&lt;U142,SUM(U142-S142)/S142,IF(S142&gt;U142,SUM(-1*(S142-U142)/S142),"")))))</x:f>
        <x:v/>
      </x:c>
      <x:c r="U142" s="189" t="n">
        <x:v>1087.00</x:v>
      </x:c>
      <x:c r="V142" s="189" t="n">
        <x:f ca="1">=SUM(U142/ ((O142- M142)/30.42))</x:f>
        <x:v/>
      </x:c>
      <x:c r="W142" s="195">
        <x:f ca="1">=IF(T142="","",IF(T142="-","",IF(U142=0,"",IF(OR(T142&gt;AA4,T142&lt;-AA4),"*",""))))</x:f>
        <x:v/>
      </x:c>
      <x:c r="X142" s="91" t="str">
        <x:v/>
      </x:c>
    </x:row>
    <x:row r="143" spans="1:25" s="12" x14ac:dyDescent="0.25">
      <x:c r="A143" s="96" t="str">
        <x:v>132</x:v>
      </x:c>
      <x:c r="B143" s="192" t="str">
        <x:v>13107064</x:v>
      </x:c>
      <x:c r="C143" s="192" t="str">
        <x:v>Ricoh MPC 2551</x:v>
      </x:c>
      <x:c r="D143" s="192" t="str">
        <x:v>Color Copier B/W Pages</x:v>
      </x:c>
      <x:c r="E143" s="192" t="str">
        <x:v>V9835800894</x:v>
      </x:c>
      <x:c r="F143" s="192" t="str">
        <x:v>Active</x:v>
      </x:c>
      <x:c r="G143" s="192" t="str">
        <x:v>Dyersburg Treatment Center</x:v>
      </x:c>
      <x:c r="H143" s="192" t="str">
        <x:v/>
      </x:c>
      <x:c r="I143" s="192" t="str">
        <x:v/>
      </x:c>
      <x:c r="J143" s="192" t="str">
        <x:v/>
      </x:c>
      <x:c r="K143" s="192" t="str">
        <x:v/>
      </x:c>
      <x:c r="L143" s="192" t="str">
        <x:v/>
      </x:c>
      <x:c r="M143" s="192" t="str">
        <x:v>12/1/2018</x:v>
      </x:c>
      <x:c r="N143" s="183" t="n">
        <x:v>162968.00</x:v>
      </x:c>
      <x:c r="O143" s="192" t="str">
        <x:v>12/31/2018</x:v>
      </x:c>
      <x:c r="P143" s="183" t="n">
        <x:v>163502.00</x:v>
      </x:c>
      <x:c r="Q143" s="207" t="n">
        <x:v>0.0014</x:v>
      </x:c>
      <x:c r="R143" s="207" t="n">
        <x:v>0.0025</x:v>
      </x:c>
      <x:c r="S143" s="183" t="n">
        <x:v>1333.00</x:v>
      </x:c>
      <x:c r="T143" s="182" t="n">
        <x:f ca="1">=IF(AND(U143=0,S143&gt;0),-100%,IF(OR(S143=0,S143="-"),"-",IF(AND(S143=0,U143=0),0%,IF(S143&lt;U143,SUM(U143-S143)/S143,IF(S143&gt;U143,SUM(-1*(S143-U143)/S143),"")))))</x:f>
        <x:v/>
      </x:c>
      <x:c r="U143" s="183" t="n">
        <x:v>534.00</x:v>
      </x:c>
      <x:c r="V143" s="183" t="n">
        <x:f ca="1">=SUM(U143/ ((O143- M143)/30.42))</x:f>
        <x:v/>
      </x:c>
      <x:c r="W143" s="196">
        <x:f ca="1">=IF(T143="","",IF(T143="-","",IF(U143=0,"",IF(OR(T143&gt;AA4,T143&lt;-AA4),"*",""))))</x:f>
        <x:v/>
      </x:c>
      <x:c r="X143" s="98" t="str">
        <x:v/>
      </x:c>
    </x:row>
    <x:row r="144" spans="1:25" s="12" x14ac:dyDescent="0.25">
      <x:c r="A144" s="90" t="str">
        <x:v>133</x:v>
      </x:c>
      <x:c r="B144" s="191" t="str">
        <x:v>A14382151</x:v>
      </x:c>
      <x:c r="C144" s="191" t="str">
        <x:v>Ricoh MP C3004</x:v>
      </x:c>
      <x:c r="D144" s="191" t="str">
        <x:v>Color Copier B/W Pages</x:v>
      </x:c>
      <x:c r="E144" s="191" t="str">
        <x:v>C718M810635</x:v>
      </x:c>
      <x:c r="F144" s="191" t="str">
        <x:v>Inactive</x:v>
      </x:c>
      <x:c r="G144" s="191" t="str">
        <x:v>Franklin Traetment Center</x:v>
      </x:c>
      <x:c r="H144" s="191" t="str">
        <x:v/>
      </x:c>
      <x:c r="I144" s="191" t="str">
        <x:v/>
      </x:c>
      <x:c r="J144" s="191" t="str">
        <x:v/>
      </x:c>
      <x:c r="K144" s="191" t="str">
        <x:v/>
      </x:c>
      <x:c r="L144" s="191" t="str">
        <x:v/>
      </x:c>
      <x:c r="M144" s="191" t="str">
        <x:v>11/30/2018</x:v>
      </x:c>
      <x:c r="N144" s="189" t="n">
        <x:v>0.00</x:v>
      </x:c>
      <x:c r="O144" s="191" t="str">
        <x:v>12/31/2018</x:v>
      </x:c>
      <x:c r="P144" s="189" t="n">
        <x:v>0.00</x:v>
      </x:c>
      <x:c r="Q144" s="206" t="n">
        <x:v>0.00</x:v>
      </x:c>
      <x:c r="R144" s="206" t="n">
        <x:v>0.00</x:v>
      </x:c>
      <x:c r="S144" s="189" t="n">
        <x:v>0.00</x:v>
      </x:c>
      <x:c r="T144" s="187" t="n">
        <x:f ca="1">=IF(AND(U144=0,S144&gt;0),-100%,IF(OR(S144=0,S144="-"),"-",IF(AND(S144=0,U144=0),0%,IF(S144&lt;U144,SUM(U144-S144)/S144,IF(S144&gt;U144,SUM(-1*(S144-U144)/S144),"")))))</x:f>
        <x:v/>
      </x:c>
      <x:c r="U144" s="189" t="n">
        <x:v>0.00</x:v>
      </x:c>
      <x:c r="V144" s="189" t="n">
        <x:f ca="1">=SUM(U144/ ((O144- M144)/30.42))</x:f>
        <x:v/>
      </x:c>
      <x:c r="W144" s="195">
        <x:f ca="1">=IF(T144="","",IF(T144="-","",IF(U144=0,"",IF(OR(T144&gt;AA4,T144&lt;-AA4),"*",""))))</x:f>
        <x:v/>
      </x:c>
      <x:c r="X144" s="91" t="str">
        <x:v/>
      </x:c>
    </x:row>
    <x:row r="145" spans="1:25" s="12" x14ac:dyDescent="0.25">
      <x:c r="A145" s="96" t="str">
        <x:v>134</x:v>
      </x:c>
      <x:c r="B145" s="192" t="str">
        <x:v>FPR61039</x:v>
      </x:c>
      <x:c r="C145" s="192" t="str">
        <x:v>Ricoh MP C3004</x:v>
      </x:c>
      <x:c r="D145" s="192" t="str">
        <x:v>Color Copier B/W Pages</x:v>
      </x:c>
      <x:c r="E145" s="192" t="str">
        <x:v>C717MB10518</x:v>
      </x:c>
      <x:c r="F145" s="192" t="str">
        <x:v>Active</x:v>
      </x:c>
      <x:c r="G145" s="192" t="str">
        <x:v>Bessemer Treatment Center</x:v>
      </x:c>
      <x:c r="H145" s="192" t="str">
        <x:v/>
      </x:c>
      <x:c r="I145" s="192" t="str">
        <x:v/>
      </x:c>
      <x:c r="J145" s="192" t="str">
        <x:v/>
      </x:c>
      <x:c r="K145" s="192" t="str">
        <x:v>Robert Beeler</x:v>
      </x:c>
      <x:c r="L145" s="192" t="str">
        <x:v/>
      </x:c>
      <x:c r="M145" s="192" t="str">
        <x:v>11/30/2018</x:v>
      </x:c>
      <x:c r="N145" s="183" t="n">
        <x:v>0.00</x:v>
      </x:c>
      <x:c r="O145" s="192" t="str">
        <x:v>12/31/2018</x:v>
      </x:c>
      <x:c r="P145" s="183" t="n">
        <x:v>0.00</x:v>
      </x:c>
      <x:c r="Q145" s="207" t="n">
        <x:v>0.00</x:v>
      </x:c>
      <x:c r="R145" s="207" t="n">
        <x:v>0.00</x:v>
      </x:c>
      <x:c r="S145" s="183" t="n">
        <x:v>0.00</x:v>
      </x:c>
      <x:c r="T145" s="182" t="n">
        <x:f ca="1">=IF(AND(U145=0,S145&gt;0),-100%,IF(OR(S145=0,S145="-"),"-",IF(AND(S145=0,U145=0),0%,IF(S145&lt;U145,SUM(U145-S145)/S145,IF(S145&gt;U145,SUM(-1*(S145-U145)/S145),"")))))</x:f>
        <x:v/>
      </x:c>
      <x:c r="U145" s="183" t="n">
        <x:v>0.00</x:v>
      </x:c>
      <x:c r="V145" s="183" t="n">
        <x:f ca="1">=SUM(U145/ ((O145- M145)/30.42))</x:f>
        <x:v/>
      </x:c>
      <x:c r="W145" s="196">
        <x:f ca="1">=IF(T145="","",IF(T145="-","",IF(U145=0,"",IF(OR(T145&gt;AA4,T145&lt;-AA4),"*",""))))</x:f>
        <x:v/>
      </x:c>
      <x:c r="X145" s="98" t="str">
        <x:v/>
      </x:c>
    </x:row>
    <x:row r="146" spans="1:10" ht="15.5" customHeight="1" x14ac:dyDescent="0.25">
      <x:c r="A146" s="174"/>
      <x:c r="B146" s="174"/>
      <x:c r="C146" s="174"/>
      <x:c r="D146" s="174"/>
      <x:c r="E146" s="174"/>
      <x:c r="F146" s="174"/>
      <x:c r="G146" s="174"/>
      <x:c r="H146" s="174"/>
      <x:c r="I146" s="174"/>
      <x:c r="J146" s="174"/>
      <x:c r="K146" s="174"/>
      <x:c r="L146" s="174"/>
      <x:c r="M146" s="174"/>
      <x:c r="N146" s="174"/>
      <x:c r="O146" s="174"/>
      <x:c r="P146" s="174"/>
      <x:c r="Q146" s="174"/>
      <x:c r="R146" s="174"/>
      <x:c r="S146" s="205" t="n">
        <x:f ca="1">SUM(S90:S145)</x:f>
      </x:c>
      <x:c r="T146" s="174"/>
      <x:c r="U146" s="205" t="n">
        <x:f ca="1">SUM(U90:U145)</x:f>
      </x:c>
      <x:c r="V146" s="205" t="n">
        <x:f ca="1">SUM(V90:V145)</x:f>
      </x:c>
      <x:c r="W146" s="174"/>
      <x:c r="X146" s="174"/>
    </x:row>
    <x:row r="147" spans="1:25" ht="38.5" customHeight="1" x14ac:dyDescent="0.25">
      <x:c r="A147" s="194">
        <x:v>Color Copier Color Pages</x:v>
      </x:c>
    </x:row>
    <x:row r="148" spans="1:25" s="12" customFormat="1" ht="37.35" customHeight="1" x14ac:dyDescent="0.25">
      <x:c r="A148" s="47" t="str">
        <x:v>Line #</x:v>
      </x:c>
      <x:c r="B148" s="45" t="str">
        <x:v>Device ID</x:v>
      </x:c>
      <x:c r="C148" s="45" t="str">
        <x:v>Model </x:v>
      </x:c>
      <x:c r="D148" s="45" t="str">
        <x:v>Meter Type</x:v>
      </x:c>
      <x:c r="E148" s="45" t="str">
        <x:v>Serial Number</x:v>
      </x:c>
      <x:c r="F148" s="45" t="str">
        <x:v>Device Status</x:v>
      </x:c>
      <x:c r="G148" s="45" t="str">
        <x:v>Location</x:v>
      </x:c>
      <x:c r="H148" s="45" t="str">
        <x:v>Bldg</x:v>
      </x:c>
      <x:c r="I148" s="45" t="str">
        <x:v>Dept.</x:v>
      </x:c>
      <x:c r="J148" s="45" t="str">
        <x:v>Floor</x:v>
      </x:c>
      <x:c r="K148" s="45" t="str">
        <x:v>User</x:v>
      </x:c>
      <x:c r="L148" s="45" t="str">
        <x:v>Cost Center</x:v>
      </x:c>
      <x:c r="M148" s="45" t="str">
        <x:v>Start Date</x:v>
      </x:c>
      <x:c r="N148" s="45" t="str">
        <x:v>Start Meter</x:v>
      </x:c>
      <x:c r="O148" s="45" t="str">
        <x:v>End Date</x:v>
      </x:c>
      <x:c r="P148" s="45" t="str">
        <x:v>End Meter</x:v>
      </x:c>
      <x:c r="Q148" s="45" t="str">
        <x:v>% of Total Usage</x:v>
      </x:c>
      <x:c r="R148" s="45" t="str">
        <x:v>% Usage By Meter Group</x:v>
      </x:c>
      <x:c r="S148" s="45" t="str">
        <x:v>Volume Last Period</x:v>
      </x:c>
      <x:c r="T148" s="45" t="str">
        <x:v>% Change</x:v>
      </x:c>
      <x:c r="U148" s="45" t="str">
        <x:v>Volume Current Period</x:v>
      </x:c>
      <x:c r="V148" s="45" t="str">
        <x:v>Avg. Monthly Vol.</x:v>
      </x:c>
      <x:c r="W148" s="45"/>
      <x:c r="X148" s="46" t="str">
        <x:v>Comments</x:v>
      </x:c>
    </x:row>
    <x:row r="149" spans="1:25" s="12" x14ac:dyDescent="0.25">
      <x:c r="A149" s="90" t="str">
        <x:v>135</x:v>
      </x:c>
      <x:c r="B149" s="191" t="str">
        <x:v>20219274</x:v>
      </x:c>
      <x:c r="C149" s="191" t="str">
        <x:v>Ricoh MP C2051</x:v>
      </x:c>
      <x:c r="D149" s="191" t="str">
        <x:v>Color Copier Color Pages</x:v>
      </x:c>
      <x:c r="E149" s="191" t="str">
        <x:v>V9706000045</x:v>
      </x:c>
      <x:c r="F149" s="191" t="str">
        <x:v>Active</x:v>
      </x:c>
      <x:c r="G149" s="191" t="str">
        <x:v>New Orleans Downtown Treatment Center</x:v>
      </x:c>
      <x:c r="H149" s="191" t="str">
        <x:v/>
      </x:c>
      <x:c r="I149" s="191" t="str">
        <x:v/>
      </x:c>
      <x:c r="J149" s="191" t="str">
        <x:v>1</x:v>
      </x:c>
      <x:c r="K149" s="191" t="str">
        <x:v/>
      </x:c>
      <x:c r="L149" s="191" t="str">
        <x:v/>
      </x:c>
      <x:c r="M149" s="191" t="str">
        <x:v>12/1/2018</x:v>
      </x:c>
      <x:c r="N149" s="189" t="n">
        <x:v>185431.00</x:v>
      </x:c>
      <x:c r="O149" s="191" t="str">
        <x:v>12/31/2018</x:v>
      </x:c>
      <x:c r="P149" s="189" t="n">
        <x:v>189312.00</x:v>
      </x:c>
      <x:c r="Q149" s="206" t="n">
        <x:v>0.0104</x:v>
      </x:c>
      <x:c r="R149" s="206" t="n">
        <x:v>0.0913</x:v>
      </x:c>
      <x:c r="S149" s="189" t="n">
        <x:v>759.00</x:v>
      </x:c>
      <x:c r="T149" s="187" t="n">
        <x:f ca="1">=IF(AND(U149=0,S149&gt;0),-100%,IF(OR(S149=0,S149="-"),"-",IF(AND(S149=0,U149=0),0%,IF(S149&lt;U149,SUM(U149-S149)/S149,IF(S149&gt;U149,SUM(-1*(S149-U149)/S149),"")))))</x:f>
        <x:v/>
      </x:c>
      <x:c r="U149" s="189" t="n">
        <x:v>3881.00</x:v>
      </x:c>
      <x:c r="V149" s="189" t="n">
        <x:f ca="1">=SUM(U149/ ((O149- M149)/30.42))</x:f>
        <x:v/>
      </x:c>
      <x:c r="W149" s="195">
        <x:f ca="1">=IF(T149="","",IF(T149="-","",IF(U149=0,"",IF(OR(T149&gt; AA4 ,T149&lt;-AA4),"*",""))))</x:f>
        <x:v/>
      </x:c>
      <x:c r="X149" s="91" t="str">
        <x:v/>
      </x:c>
    </x:row>
    <x:row r="150" spans="1:25" s="12" x14ac:dyDescent="0.25">
      <x:c r="A150" s="90" t="str">
        <x:v>136</x:v>
      </x:c>
      <x:c r="B150" s="191" t="str">
        <x:v>FPR60822</x:v>
      </x:c>
      <x:c r="C150" s="191" t="str">
        <x:v>Ricoh MP C3004</x:v>
      </x:c>
      <x:c r="D150" s="191" t="str">
        <x:v>Color Copier Color Pages</x:v>
      </x:c>
      <x:c r="E150" s="191" t="str">
        <x:v>C718M711324</x:v>
      </x:c>
      <x:c r="F150" s="191" t="str">
        <x:v>Active</x:v>
      </x:c>
      <x:c r="G150" s="191" t="str">
        <x:v>Newport News</x:v>
      </x:c>
      <x:c r="H150" s="191" t="str">
        <x:v/>
      </x:c>
      <x:c r="I150" s="191" t="str">
        <x:v/>
      </x:c>
      <x:c r="J150" s="191" t="str">
        <x:v/>
      </x:c>
      <x:c r="K150" s="191" t="str">
        <x:v>Copy Room</x:v>
      </x:c>
      <x:c r="L150" s="191" t="str">
        <x:v/>
      </x:c>
      <x:c r="M150" s="191" t="str">
        <x:v>11/30/2018</x:v>
      </x:c>
      <x:c r="N150" s="189" t="n">
        <x:v>3007.00</x:v>
      </x:c>
      <x:c r="O150" s="191" t="str">
        <x:v>12/31/2018</x:v>
      </x:c>
      <x:c r="P150" s="189" t="n">
        <x:v>6223.00</x:v>
      </x:c>
      <x:c r="Q150" s="206" t="n">
        <x:v>0.0087</x:v>
      </x:c>
      <x:c r="R150" s="206" t="n">
        <x:v>0.0757</x:v>
      </x:c>
      <x:c r="S150" s="189" t="n">
        <x:v>0.00</x:v>
      </x:c>
      <x:c r="T150" s="187" t="n">
        <x:f ca="1">=IF(AND(U150=0,S150&gt;0),-100%,IF(OR(S150=0,S150="-"),"-",IF(AND(S150=0,U150=0),0%,IF(S150&lt;U150,SUM(U150-S150)/S150,IF(S150&gt;U150,SUM(-1*(S150-U150)/S150),"")))))</x:f>
        <x:v/>
      </x:c>
      <x:c r="U150" s="189" t="n">
        <x:v>3216.00</x:v>
      </x:c>
      <x:c r="V150" s="189" t="n">
        <x:f ca="1">=SUM(U150/ ((O150- M150)/30.42))</x:f>
        <x:v/>
      </x:c>
      <x:c r="W150" s="195">
        <x:f ca="1">=IF(T150="","",IF(T150="-","",IF(U150=0,"",IF(OR(T150&gt;AA4,T150&lt;-AA4),"*",""))))</x:f>
        <x:v/>
      </x:c>
      <x:c r="X150" s="91" t="str">
        <x:v/>
      </x:c>
    </x:row>
    <x:row r="151" spans="1:25" s="12" x14ac:dyDescent="0.25">
      <x:c r="A151" s="96" t="str">
        <x:v>137</x:v>
      </x:c>
      <x:c r="B151" s="192" t="str">
        <x:v>FPR58125</x:v>
      </x:c>
      <x:c r="C151" s="192" t="str">
        <x:v>Ricoh MP C3004</x:v>
      </x:c>
      <x:c r="D151" s="192" t="str">
        <x:v>Color Copier Color Pages</x:v>
      </x:c>
      <x:c r="E151" s="192" t="str">
        <x:v>C717M701568</x:v>
      </x:c>
      <x:c r="F151" s="192" t="str">
        <x:v>Active</x:v>
      </x:c>
      <x:c r="G151" s="192" t="str">
        <x:v>Tuscaloosa Treatment Center</x:v>
      </x:c>
      <x:c r="H151" s="192" t="str">
        <x:v/>
      </x:c>
      <x:c r="I151" s="192" t="str">
        <x:v/>
      </x:c>
      <x:c r="J151" s="192" t="str">
        <x:v/>
      </x:c>
      <x:c r="K151" s="192" t="str">
        <x:v>Shannon Strickland</x:v>
      </x:c>
      <x:c r="L151" s="192" t="str">
        <x:v/>
      </x:c>
      <x:c r="M151" s="192" t="str">
        <x:v>12/1/2018</x:v>
      </x:c>
      <x:c r="N151" s="183" t="n">
        <x:v>18827.00</x:v>
      </x:c>
      <x:c r="O151" s="192" t="str">
        <x:v>12/31/2018</x:v>
      </x:c>
      <x:c r="P151" s="183" t="n">
        <x:v>21988.00</x:v>
      </x:c>
      <x:c r="Q151" s="207" t="n">
        <x:v>0.0085</x:v>
      </x:c>
      <x:c r="R151" s="207" t="n">
        <x:v>0.0744</x:v>
      </x:c>
      <x:c r="S151" s="183" t="n">
        <x:v>1260.00</x:v>
      </x:c>
      <x:c r="T151" s="182" t="n">
        <x:f ca="1">=IF(AND(U151=0,S151&gt;0),-100%,IF(OR(S151=0,S151="-"),"-",IF(AND(S151=0,U151=0),0%,IF(S151&lt;U151,SUM(U151-S151)/S151,IF(S151&gt;U151,SUM(-1*(S151-U151)/S151),"")))))</x:f>
        <x:v/>
      </x:c>
      <x:c r="U151" s="183" t="n">
        <x:v>3161.00</x:v>
      </x:c>
      <x:c r="V151" s="183" t="n">
        <x:f ca="1">=SUM(U151/ ((O151- M151)/30.42))</x:f>
        <x:v/>
      </x:c>
      <x:c r="W151" s="196">
        <x:f ca="1">=IF(T151="","",IF(T151="-","",IF(U151=0,"",IF(OR(T151&gt;AA4,T151&lt;-AA4),"*",""))))</x:f>
        <x:v/>
      </x:c>
      <x:c r="X151" s="98" t="str">
        <x:v/>
      </x:c>
    </x:row>
    <x:row r="152" spans="1:25" s="12" x14ac:dyDescent="0.25">
      <x:c r="A152" s="90" t="str">
        <x:v>138</x:v>
      </x:c>
      <x:c r="B152" s="191" t="str">
        <x:v>20187229</x:v>
      </x:c>
      <x:c r="C152" s="191" t="str">
        <x:v>Ricoh MP C2051</x:v>
      </x:c>
      <x:c r="D152" s="191" t="str">
        <x:v>Color Copier Color Pages</x:v>
      </x:c>
      <x:c r="E152" s="191" t="str">
        <x:v>V9715000300</x:v>
      </x:c>
      <x:c r="F152" s="191" t="str">
        <x:v>Active</x:v>
      </x:c>
      <x:c r="G152" s="191" t="str">
        <x:v>Knoxville Citico Treatment Center</x:v>
      </x:c>
      <x:c r="H152" s="191" t="str">
        <x:v/>
      </x:c>
      <x:c r="I152" s="191" t="str">
        <x:v/>
      </x:c>
      <x:c r="J152" s="191" t="str">
        <x:v/>
      </x:c>
      <x:c r="K152" s="191" t="str">
        <x:v/>
      </x:c>
      <x:c r="L152" s="191" t="str">
        <x:v/>
      </x:c>
      <x:c r="M152" s="191" t="str">
        <x:v>12/1/2018</x:v>
      </x:c>
      <x:c r="N152" s="189" t="n">
        <x:v>61137.00</x:v>
      </x:c>
      <x:c r="O152" s="191" t="str">
        <x:v>12/31/2018</x:v>
      </x:c>
      <x:c r="P152" s="189" t="n">
        <x:v>63262.00</x:v>
      </x:c>
      <x:c r="Q152" s="206" t="n">
        <x:v>0.0057</x:v>
      </x:c>
      <x:c r="R152" s="206" t="n">
        <x:v>0.05</x:v>
      </x:c>
      <x:c r="S152" s="189" t="n">
        <x:v>1861.00</x:v>
      </x:c>
      <x:c r="T152" s="187" t="n">
        <x:f ca="1">=IF(AND(U152=0,S152&gt;0),-100%,IF(OR(S152=0,S152="-"),"-",IF(AND(S152=0,U152=0),0%,IF(S152&lt;U152,SUM(U152-S152)/S152,IF(S152&gt;U152,SUM(-1*(S152-U152)/S152),"")))))</x:f>
        <x:v/>
      </x:c>
      <x:c r="U152" s="189" t="n">
        <x:v>2125.00</x:v>
      </x:c>
      <x:c r="V152" s="189" t="n">
        <x:f ca="1">=SUM(U152/ ((O152- M152)/30.42))</x:f>
        <x:v/>
      </x:c>
      <x:c r="W152" s="195">
        <x:f ca="1">=IF(T152="","",IF(T152="-","",IF(U152=0,"",IF(OR(T152&gt;AA4,T152&lt;-AA4),"*",""))))</x:f>
        <x:v/>
      </x:c>
      <x:c r="X152" s="91" t="str">
        <x:v/>
      </x:c>
    </x:row>
    <x:row r="153" spans="1:25" s="12" x14ac:dyDescent="0.25">
      <x:c r="A153" s="96" t="str">
        <x:v>139</x:v>
      </x:c>
      <x:c r="B153" s="192" t="str">
        <x:v>14056916</x:v>
      </x:c>
      <x:c r="C153" s="192" t="str">
        <x:v>Ricoh MP C3004</x:v>
      </x:c>
      <x:c r="D153" s="192" t="str">
        <x:v>Color Copier Color Pages</x:v>
      </x:c>
      <x:c r="E153" s="192" t="str">
        <x:v>C717M700034</x:v>
      </x:c>
      <x:c r="F153" s="192" t="str">
        <x:v>Active</x:v>
      </x:c>
      <x:c r="G153" s="192" t="str">
        <x:v>Virginia Beach Treatment Center</x:v>
      </x:c>
      <x:c r="H153" s="192" t="str">
        <x:v/>
      </x:c>
      <x:c r="I153" s="192" t="str">
        <x:v/>
      </x:c>
      <x:c r="J153" s="192" t="str">
        <x:v/>
      </x:c>
      <x:c r="K153" s="192" t="str">
        <x:v>Bridgette Williams</x:v>
      </x:c>
      <x:c r="L153" s="192" t="str">
        <x:v/>
      </x:c>
      <x:c r="M153" s="192" t="str">
        <x:v>12/1/2018</x:v>
      </x:c>
      <x:c r="N153" s="183" t="n">
        <x:v>28213.00</x:v>
      </x:c>
      <x:c r="O153" s="192" t="str">
        <x:v>12/31/2018</x:v>
      </x:c>
      <x:c r="P153" s="183" t="n">
        <x:v>30233.00</x:v>
      </x:c>
      <x:c r="Q153" s="207" t="n">
        <x:v>0.0054</x:v>
      </x:c>
      <x:c r="R153" s="207" t="n">
        <x:v>0.0475</x:v>
      </x:c>
      <x:c r="S153" s="183" t="n">
        <x:v>1024.00</x:v>
      </x:c>
      <x:c r="T153" s="182" t="n">
        <x:f ca="1">=IF(AND(U153=0,S153&gt;0),-100%,IF(OR(S153=0,S153="-"),"-",IF(AND(S153=0,U153=0),0%,IF(S153&lt;U153,SUM(U153-S153)/S153,IF(S153&gt;U153,SUM(-1*(S153-U153)/S153),"")))))</x:f>
        <x:v/>
      </x:c>
      <x:c r="U153" s="183" t="n">
        <x:v>2020.00</x:v>
      </x:c>
      <x:c r="V153" s="183" t="n">
        <x:f ca="1">=SUM(U153/ ((O153- M153)/30.42))</x:f>
        <x:v/>
      </x:c>
      <x:c r="W153" s="196">
        <x:f ca="1">=IF(T153="","",IF(T153="-","",IF(U153=0,"",IF(OR(T153&gt;AA4,T153&lt;-AA4),"*",""))))</x:f>
        <x:v/>
      </x:c>
      <x:c r="X153" s="98" t="str">
        <x:v/>
      </x:c>
    </x:row>
    <x:row r="154" spans="1:25" s="12" x14ac:dyDescent="0.25">
      <x:c r="A154" s="90" t="str">
        <x:v>140</x:v>
      </x:c>
      <x:c r="B154" s="191" t="str">
        <x:v>13879086</x:v>
      </x:c>
      <x:c r="C154" s="191" t="str">
        <x:v>Ricoh MP C3004</x:v>
      </x:c>
      <x:c r="D154" s="191" t="str">
        <x:v>Color Copier Color Pages</x:v>
      </x:c>
      <x:c r="E154" s="191" t="str">
        <x:v>G696MA10815</x:v>
      </x:c>
      <x:c r="F154" s="191" t="str">
        <x:v>Active</x:v>
      </x:c>
      <x:c r="G154" s="191" t="str">
        <x:v>Clyde</x:v>
      </x:c>
      <x:c r="H154" s="191" t="str">
        <x:v/>
      </x:c>
      <x:c r="I154" s="191" t="str">
        <x:v/>
      </x:c>
      <x:c r="J154" s="191" t="str">
        <x:v>1</x:v>
      </x:c>
      <x:c r="K154" s="191" t="str">
        <x:v>Cayce Burbach</x:v>
      </x:c>
      <x:c r="L154" s="191" t="str">
        <x:v/>
      </x:c>
      <x:c r="M154" s="191" t="str">
        <x:v>12/1/2018</x:v>
      </x:c>
      <x:c r="N154" s="189" t="n">
        <x:v>33280.00</x:v>
      </x:c>
      <x:c r="O154" s="191" t="str">
        <x:v>12/31/2018</x:v>
      </x:c>
      <x:c r="P154" s="189" t="n">
        <x:v>35258.00</x:v>
      </x:c>
      <x:c r="Q154" s="206" t="n">
        <x:v>0.0053</x:v>
      </x:c>
      <x:c r="R154" s="206" t="n">
        <x:v>0.0465</x:v>
      </x:c>
      <x:c r="S154" s="189" t="n">
        <x:v>852.00</x:v>
      </x:c>
      <x:c r="T154" s="187" t="n">
        <x:f ca="1">=IF(AND(U154=0,S154&gt;0),-100%,IF(OR(S154=0,S154="-"),"-",IF(AND(S154=0,U154=0),0%,IF(S154&lt;U154,SUM(U154-S154)/S154,IF(S154&gt;U154,SUM(-1*(S154-U154)/S154),"")))))</x:f>
        <x:v/>
      </x:c>
      <x:c r="U154" s="189" t="n">
        <x:v>1978.00</x:v>
      </x:c>
      <x:c r="V154" s="189" t="n">
        <x:f ca="1">=SUM(U154/ ((O154- M154)/30.42))</x:f>
        <x:v/>
      </x:c>
      <x:c r="W154" s="195">
        <x:f ca="1">=IF(T154="","",IF(T154="-","",IF(U154=0,"",IF(OR(T154&gt;AA4,T154&lt;-AA4),"*",""))))</x:f>
        <x:v/>
      </x:c>
      <x:c r="X154" s="91" t="str">
        <x:v/>
      </x:c>
    </x:row>
    <x:row r="155" spans="1:25" s="12" x14ac:dyDescent="0.25">
      <x:c r="A155" s="96" t="str">
        <x:v>141</x:v>
      </x:c>
      <x:c r="B155" s="192" t="str">
        <x:v>14092353</x:v>
      </x:c>
      <x:c r="C155" s="192" t="str">
        <x:v>Ricoh MP C3004</x:v>
      </x:c>
      <x:c r="D155" s="192" t="str">
        <x:v>Color Copier Color Pages</x:v>
      </x:c>
      <x:c r="E155" s="192" t="str">
        <x:v>C717M710407</x:v>
      </x:c>
      <x:c r="F155" s="192" t="str">
        <x:v>Active</x:v>
      </x:c>
      <x:c r="G155" s="192" t="str">
        <x:v>Dyersburg Treatment Center</x:v>
      </x:c>
      <x:c r="H155" s="192" t="str">
        <x:v/>
      </x:c>
      <x:c r="I155" s="192" t="str">
        <x:v/>
      </x:c>
      <x:c r="J155" s="192" t="str">
        <x:v/>
      </x:c>
      <x:c r="K155" s="192" t="str">
        <x:v>Tony Johnson</x:v>
      </x:c>
      <x:c r="L155" s="192" t="str">
        <x:v/>
      </x:c>
      <x:c r="M155" s="192" t="str">
        <x:v>12/1/2018</x:v>
      </x:c>
      <x:c r="N155" s="183" t="n">
        <x:v>24085.00</x:v>
      </x:c>
      <x:c r="O155" s="192" t="str">
        <x:v>12/31/2018</x:v>
      </x:c>
      <x:c r="P155" s="183" t="n">
        <x:v>25672.00</x:v>
      </x:c>
      <x:c r="Q155" s="207" t="n">
        <x:v>0.0043</x:v>
      </x:c>
      <x:c r="R155" s="207" t="n">
        <x:v>0.0373</x:v>
      </x:c>
      <x:c r="S155" s="183" t="n">
        <x:v>706.00</x:v>
      </x:c>
      <x:c r="T155" s="182" t="n">
        <x:f ca="1">=IF(AND(U155=0,S155&gt;0),-100%,IF(OR(S155=0,S155="-"),"-",IF(AND(S155=0,U155=0),0%,IF(S155&lt;U155,SUM(U155-S155)/S155,IF(S155&gt;U155,SUM(-1*(S155-U155)/S155),"")))))</x:f>
        <x:v/>
      </x:c>
      <x:c r="U155" s="183" t="n">
        <x:v>1587.00</x:v>
      </x:c>
      <x:c r="V155" s="183" t="n">
        <x:f ca="1">=SUM(U155/ ((O155- M155)/30.42))</x:f>
        <x:v/>
      </x:c>
      <x:c r="W155" s="196">
        <x:f ca="1">=IF(T155="","",IF(T155="-","",IF(U155=0,"",IF(OR(T155&gt;AA4,T155&lt;-AA4),"*",""))))</x:f>
        <x:v/>
      </x:c>
      <x:c r="X155" s="98" t="str">
        <x:v/>
      </x:c>
    </x:row>
    <x:row r="156" spans="1:25" s="12" x14ac:dyDescent="0.25">
      <x:c r="A156" s="90" t="str">
        <x:v>142</x:v>
      </x:c>
      <x:c r="B156" s="191" t="str">
        <x:v>20314955</x:v>
      </x:c>
      <x:c r="C156" s="191" t="str">
        <x:v>Ricoh MP C2051</x:v>
      </x:c>
      <x:c r="D156" s="191" t="str">
        <x:v>Color Copier Color Pages</x:v>
      </x:c>
      <x:c r="E156" s="191" t="str">
        <x:v>V9715800433</x:v>
      </x:c>
      <x:c r="F156" s="191" t="str">
        <x:v>Active</x:v>
      </x:c>
      <x:c r="G156" s="191" t="str">
        <x:v>Memphis North Treatment Center</x:v>
      </x:c>
      <x:c r="H156" s="191" t="str">
        <x:v/>
      </x:c>
      <x:c r="I156" s="191" t="str">
        <x:v/>
      </x:c>
      <x:c r="J156" s="191" t="str">
        <x:v>1</x:v>
      </x:c>
      <x:c r="K156" s="191" t="str">
        <x:v/>
      </x:c>
      <x:c r="L156" s="191" t="str">
        <x:v/>
      </x:c>
      <x:c r="M156" s="191" t="str">
        <x:v>12/1/2018</x:v>
      </x:c>
      <x:c r="N156" s="189" t="n">
        <x:v>90997.00</x:v>
      </x:c>
      <x:c r="O156" s="191" t="str">
        <x:v>12/31/2018</x:v>
      </x:c>
      <x:c r="P156" s="189" t="n">
        <x:v>92516.00</x:v>
      </x:c>
      <x:c r="Q156" s="206" t="n">
        <x:v>0.0041</x:v>
      </x:c>
      <x:c r="R156" s="206" t="n">
        <x:v>0.0357</x:v>
      </x:c>
      <x:c r="S156" s="189" t="n">
        <x:v>1137.00</x:v>
      </x:c>
      <x:c r="T156" s="187" t="n">
        <x:f ca="1">=IF(AND(U156=0,S156&gt;0),-100%,IF(OR(S156=0,S156="-"),"-",IF(AND(S156=0,U156=0),0%,IF(S156&lt;U156,SUM(U156-S156)/S156,IF(S156&gt;U156,SUM(-1*(S156-U156)/S156),"")))))</x:f>
        <x:v/>
      </x:c>
      <x:c r="U156" s="189" t="n">
        <x:v>1519.00</x:v>
      </x:c>
      <x:c r="V156" s="189" t="n">
        <x:f ca="1">=SUM(U156/ ((O156- M156)/30.42))</x:f>
        <x:v/>
      </x:c>
      <x:c r="W156" s="195">
        <x:f ca="1">=IF(T156="","",IF(T156="-","",IF(U156=0,"",IF(OR(T156&gt;AA4,T156&lt;-AA4),"*",""))))</x:f>
        <x:v/>
      </x:c>
      <x:c r="X156" s="91" t="str">
        <x:v/>
      </x:c>
    </x:row>
    <x:row r="157" spans="1:25" s="12" x14ac:dyDescent="0.25">
      <x:c r="A157" s="96" t="str">
        <x:v>143</x:v>
      </x:c>
      <x:c r="B157" s="192" t="str">
        <x:v>20422992</x:v>
      </x:c>
      <x:c r="C157" s="192" t="str">
        <x:v>Ricoh MP C2051</x:v>
      </x:c>
      <x:c r="D157" s="192" t="str">
        <x:v>Color Copier Color Pages</x:v>
      </x:c>
      <x:c r="E157" s="192" t="str">
        <x:v>V9715101685</x:v>
      </x:c>
      <x:c r="F157" s="192" t="str">
        <x:v>Active</x:v>
      </x:c>
      <x:c r="G157" s="192" t="str">
        <x:v>Dallas Corporate Office</x:v>
      </x:c>
      <x:c r="H157" s="192" t="str">
        <x:v/>
      </x:c>
      <x:c r="I157" s="192" t="str">
        <x:v/>
      </x:c>
      <x:c r="J157" s="192" t="str">
        <x:v>2</x:v>
      </x:c>
      <x:c r="K157" s="192" t="str">
        <x:v>Byung Seo</x:v>
      </x:c>
      <x:c r="L157" s="192" t="str">
        <x:v/>
      </x:c>
      <x:c r="M157" s="192" t="str">
        <x:v>12/1/2018</x:v>
      </x:c>
      <x:c r="N157" s="183" t="n">
        <x:v>247083.00</x:v>
      </x:c>
      <x:c r="O157" s="192" t="str">
        <x:v>12/31/2018</x:v>
      </x:c>
      <x:c r="P157" s="183" t="n">
        <x:v>248392.00</x:v>
      </x:c>
      <x:c r="Q157" s="207" t="n">
        <x:v>0.0035</x:v>
      </x:c>
      <x:c r="R157" s="207" t="n">
        <x:v>0.0308</x:v>
      </x:c>
      <x:c r="S157" s="183" t="n">
        <x:v>1014.00</x:v>
      </x:c>
      <x:c r="T157" s="182" t="n">
        <x:f ca="1">=IF(AND(U157=0,S157&gt;0),-100%,IF(OR(S157=0,S157="-"),"-",IF(AND(S157=0,U157=0),0%,IF(S157&lt;U157,SUM(U157-S157)/S157,IF(S157&gt;U157,SUM(-1*(S157-U157)/S157),"")))))</x:f>
        <x:v/>
      </x:c>
      <x:c r="U157" s="183" t="n">
        <x:v>1309.00</x:v>
      </x:c>
      <x:c r="V157" s="183" t="n">
        <x:f ca="1">=SUM(U157/ ((O157- M157)/30.42))</x:f>
        <x:v/>
      </x:c>
      <x:c r="W157" s="196">
        <x:f ca="1">=IF(T157="","",IF(T157="-","",IF(U157=0,"",IF(OR(T157&gt;AA4,T157&lt;-AA4),"*",""))))</x:f>
        <x:v/>
      </x:c>
      <x:c r="X157" s="98" t="str">
        <x:v/>
      </x:c>
    </x:row>
    <x:row r="158" spans="1:25" s="12" x14ac:dyDescent="0.25">
      <x:c r="A158" s="90" t="str">
        <x:v>144</x:v>
      </x:c>
      <x:c r="B158" s="191" t="str">
        <x:v>12988200</x:v>
      </x:c>
      <x:c r="C158" s="191" t="str">
        <x:v>Ricoh MPC 2551</x:v>
      </x:c>
      <x:c r="D158" s="191" t="str">
        <x:v>Color Copier Color Pages</x:v>
      </x:c>
      <x:c r="E158" s="191" t="str">
        <x:v>V9835900218</x:v>
      </x:c>
      <x:c r="F158" s="191" t="str">
        <x:v>Active</x:v>
      </x:c>
      <x:c r="G158" s="191" t="str">
        <x:v>Lexington Treatment Center</x:v>
      </x:c>
      <x:c r="H158" s="191" t="str">
        <x:v/>
      </x:c>
      <x:c r="I158" s="191" t="str">
        <x:v/>
      </x:c>
      <x:c r="J158" s="191" t="str">
        <x:v/>
      </x:c>
      <x:c r="K158" s="191" t="str">
        <x:v/>
      </x:c>
      <x:c r="L158" s="191" t="str">
        <x:v/>
      </x:c>
      <x:c r="M158" s="191" t="str">
        <x:v>12/1/2018</x:v>
      </x:c>
      <x:c r="N158" s="189" t="n">
        <x:v>226466.00</x:v>
      </x:c>
      <x:c r="O158" s="191" t="str">
        <x:v>12/31/2018</x:v>
      </x:c>
      <x:c r="P158" s="189" t="n">
        <x:v>227703.00</x:v>
      </x:c>
      <x:c r="Q158" s="206" t="n">
        <x:v>0.0033</x:v>
      </x:c>
      <x:c r="R158" s="206" t="n">
        <x:v>0.0291</x:v>
      </x:c>
      <x:c r="S158" s="189" t="n">
        <x:v>571.00</x:v>
      </x:c>
      <x:c r="T158" s="187" t="n">
        <x:f ca="1">=IF(AND(U158=0,S158&gt;0),-100%,IF(OR(S158=0,S158="-"),"-",IF(AND(S158=0,U158=0),0%,IF(S158&lt;U158,SUM(U158-S158)/S158,IF(S158&gt;U158,SUM(-1*(S158-U158)/S158),"")))))</x:f>
        <x:v/>
      </x:c>
      <x:c r="U158" s="189" t="n">
        <x:v>1237.00</x:v>
      </x:c>
      <x:c r="V158" s="189" t="n">
        <x:f ca="1">=SUM(U158/ ((O158- M158)/30.42))</x:f>
        <x:v/>
      </x:c>
      <x:c r="W158" s="195">
        <x:f ca="1">=IF(T158="","",IF(T158="-","",IF(U158=0,"",IF(OR(T158&gt;AA4,T158&lt;-AA4),"*",""))))</x:f>
        <x:v/>
      </x:c>
      <x:c r="X158" s="91" t="str">
        <x:v/>
      </x:c>
    </x:row>
    <x:row r="159" spans="1:25" s="12" x14ac:dyDescent="0.25">
      <x:c r="A159" s="96" t="str">
        <x:v>145</x:v>
      </x:c>
      <x:c r="B159" s="192" t="str">
        <x:v>13982226</x:v>
      </x:c>
      <x:c r="C159" s="192" t="str">
        <x:v>Ricoh MP C3004</x:v>
      </x:c>
      <x:c r="D159" s="192" t="str">
        <x:v>Color Copier Color Pages</x:v>
      </x:c>
      <x:c r="E159" s="192" t="str">
        <x:v>G696M710224</x:v>
      </x:c>
      <x:c r="F159" s="192" t="str">
        <x:v>Active</x:v>
      </x:c>
      <x:c r="G159" s="192" t="str">
        <x:v>Spartanburg Treatment Center</x:v>
      </x:c>
      <x:c r="H159" s="192" t="str">
        <x:v/>
      </x:c>
      <x:c r="I159" s="192" t="str">
        <x:v/>
      </x:c>
      <x:c r="J159" s="192" t="str">
        <x:v>2</x:v>
      </x:c>
      <x:c r="K159" s="192" t="str">
        <x:v/>
      </x:c>
      <x:c r="L159" s="192" t="str">
        <x:v/>
      </x:c>
      <x:c r="M159" s="192" t="str">
        <x:v>12/1/2018</x:v>
      </x:c>
      <x:c r="N159" s="183" t="n">
        <x:v>107587.00</x:v>
      </x:c>
      <x:c r="O159" s="192" t="str">
        <x:v>12/31/2018</x:v>
      </x:c>
      <x:c r="P159" s="183" t="n">
        <x:v>108806.00</x:v>
      </x:c>
      <x:c r="Q159" s="207" t="n">
        <x:v>0.0033</x:v>
      </x:c>
      <x:c r="R159" s="207" t="n">
        <x:v>0.0287</x:v>
      </x:c>
      <x:c r="S159" s="183" t="n">
        <x:v>1709.00</x:v>
      </x:c>
      <x:c r="T159" s="182" t="n">
        <x:f ca="1">=IF(AND(U159=0,S159&gt;0),-100%,IF(OR(S159=0,S159="-"),"-",IF(AND(S159=0,U159=0),0%,IF(S159&lt;U159,SUM(U159-S159)/S159,IF(S159&gt;U159,SUM(-1*(S159-U159)/S159),"")))))</x:f>
        <x:v/>
      </x:c>
      <x:c r="U159" s="183" t="n">
        <x:v>1219.00</x:v>
      </x:c>
      <x:c r="V159" s="183" t="n">
        <x:f ca="1">=SUM(U159/ ((O159- M159)/30.42))</x:f>
        <x:v/>
      </x:c>
      <x:c r="W159" s="196">
        <x:f ca="1">=IF(T159="","",IF(T159="-","",IF(U159=0,"",IF(OR(T159&gt;AA4,T159&lt;-AA4),"*",""))))</x:f>
        <x:v/>
      </x:c>
      <x:c r="X159" s="98" t="str">
        <x:v/>
      </x:c>
    </x:row>
    <x:row r="160" spans="1:25" s="12" x14ac:dyDescent="0.25">
      <x:c r="A160" s="90" t="str">
        <x:v>146</x:v>
      </x:c>
      <x:c r="B160" s="191" t="str">
        <x:v>11046658</x:v>
      </x:c>
      <x:c r="C160" s="191" t="str">
        <x:v>Ricoh MP C2051</x:v>
      </x:c>
      <x:c r="D160" s="191" t="str">
        <x:v>Color Copier Color Pages</x:v>
      </x:c>
      <x:c r="E160" s="191" t="str">
        <x:v>V9715101345</x:v>
      </x:c>
      <x:c r="F160" s="191" t="str">
        <x:v>Active</x:v>
      </x:c>
      <x:c r="G160" s="191" t="str">
        <x:v>Springfield Treatment Center</x:v>
      </x:c>
      <x:c r="H160" s="191" t="str">
        <x:v/>
      </x:c>
      <x:c r="I160" s="191" t="str">
        <x:v/>
      </x:c>
      <x:c r="J160" s="191" t="str">
        <x:v/>
      </x:c>
      <x:c r="K160" s="191" t="str">
        <x:v/>
      </x:c>
      <x:c r="L160" s="191" t="str">
        <x:v/>
      </x:c>
      <x:c r="M160" s="191" t="str">
        <x:v>12/1/2018</x:v>
      </x:c>
      <x:c r="N160" s="189" t="n">
        <x:v>57297.00</x:v>
      </x:c>
      <x:c r="O160" s="191" t="str">
        <x:v>12/31/2018</x:v>
      </x:c>
      <x:c r="P160" s="189" t="n">
        <x:v>58342.00</x:v>
      </x:c>
      <x:c r="Q160" s="206" t="n">
        <x:v>0.0028</x:v>
      </x:c>
      <x:c r="R160" s="206" t="n">
        <x:v>0.0246</x:v>
      </x:c>
      <x:c r="S160" s="189" t="n">
        <x:v>777.00</x:v>
      </x:c>
      <x:c r="T160" s="187" t="n">
        <x:f ca="1">=IF(AND(U160=0,S160&gt;0),-100%,IF(OR(S160=0,S160="-"),"-",IF(AND(S160=0,U160=0),0%,IF(S160&lt;U160,SUM(U160-S160)/S160,IF(S160&gt;U160,SUM(-1*(S160-U160)/S160),"")))))</x:f>
        <x:v/>
      </x:c>
      <x:c r="U160" s="189" t="n">
        <x:v>1045.00</x:v>
      </x:c>
      <x:c r="V160" s="189" t="n">
        <x:f ca="1">=SUM(U160/ ((O160- M160)/30.42))</x:f>
        <x:v/>
      </x:c>
      <x:c r="W160" s="195">
        <x:f ca="1">=IF(T160="","",IF(T160="-","",IF(U160=0,"",IF(OR(T160&gt;AA4,T160&lt;-AA4),"*",""))))</x:f>
        <x:v/>
      </x:c>
      <x:c r="X160" s="91" t="str">
        <x:v/>
      </x:c>
    </x:row>
    <x:row r="161" spans="1:25" s="12" x14ac:dyDescent="0.25">
      <x:c r="A161" s="96" t="str">
        <x:v>147</x:v>
      </x:c>
      <x:c r="B161" s="192" t="str">
        <x:v>13465628</x:v>
      </x:c>
      <x:c r="C161" s="192" t="str">
        <x:v>Ricoh MP C2503</x:v>
      </x:c>
      <x:c r="D161" s="192" t="str">
        <x:v>Color Copier Color Pages</x:v>
      </x:c>
      <x:c r="E161" s="192" t="str">
        <x:v>E215M260495</x:v>
      </x:c>
      <x:c r="F161" s="192" t="str">
        <x:v>Active</x:v>
      </x:c>
      <x:c r="G161" s="192" t="str">
        <x:v>Paducah Treatment Center</x:v>
      </x:c>
      <x:c r="H161" s="192" t="str">
        <x:v/>
      </x:c>
      <x:c r="I161" s="192" t="str">
        <x:v/>
      </x:c>
      <x:c r="J161" s="192" t="str">
        <x:v>2</x:v>
      </x:c>
      <x:c r="K161" s="192" t="str">
        <x:v/>
      </x:c>
      <x:c r="L161" s="192" t="str">
        <x:v/>
      </x:c>
      <x:c r="M161" s="192" t="str">
        <x:v>12/1/2018</x:v>
      </x:c>
      <x:c r="N161" s="183" t="n">
        <x:v>167332.00</x:v>
      </x:c>
      <x:c r="O161" s="192" t="str">
        <x:v>12/31/2018</x:v>
      </x:c>
      <x:c r="P161" s="183" t="n">
        <x:v>168344.00</x:v>
      </x:c>
      <x:c r="Q161" s="207" t="n">
        <x:v>0.0027</x:v>
      </x:c>
      <x:c r="R161" s="207" t="n">
        <x:v>0.0238</x:v>
      </x:c>
      <x:c r="S161" s="183" t="n">
        <x:v>1268.00</x:v>
      </x:c>
      <x:c r="T161" s="182" t="n">
        <x:f ca="1">=IF(AND(U161=0,S161&gt;0),-100%,IF(OR(S161=0,S161="-"),"-",IF(AND(S161=0,U161=0),0%,IF(S161&lt;U161,SUM(U161-S161)/S161,IF(S161&gt;U161,SUM(-1*(S161-U161)/S161),"")))))</x:f>
        <x:v/>
      </x:c>
      <x:c r="U161" s="183" t="n">
        <x:v>1012.00</x:v>
      </x:c>
      <x:c r="V161" s="183" t="n">
        <x:f ca="1">=SUM(U161/ ((O161- M161)/30.42))</x:f>
        <x:v/>
      </x:c>
      <x:c r="W161" s="196">
        <x:f ca="1">=IF(T161="","",IF(T161="-","",IF(U161=0,"",IF(OR(T161&gt;AA4,T161&lt;-AA4),"*",""))))</x:f>
        <x:v/>
      </x:c>
      <x:c r="X161" s="98" t="str">
        <x:v/>
      </x:c>
    </x:row>
    <x:row r="162" spans="1:25" s="12" x14ac:dyDescent="0.25">
      <x:c r="A162" s="90" t="str">
        <x:v>148</x:v>
      </x:c>
      <x:c r="B162" s="191" t="str">
        <x:v>17135139</x:v>
      </x:c>
      <x:c r="C162" s="191" t="str">
        <x:v>Ricoh MPC 2551</x:v>
      </x:c>
      <x:c r="D162" s="191" t="str">
        <x:v>Color Copier Color Pages</x:v>
      </x:c>
      <x:c r="E162" s="191" t="str">
        <x:v>V9835200065</x:v>
      </x:c>
      <x:c r="F162" s="191" t="str">
        <x:v>Active</x:v>
      </x:c>
      <x:c r="G162" s="191" t="str">
        <x:v>Columbia, TN Treatment Center</x:v>
      </x:c>
      <x:c r="H162" s="191" t="str">
        <x:v/>
      </x:c>
      <x:c r="I162" s="191" t="str">
        <x:v/>
      </x:c>
      <x:c r="J162" s="191" t="str">
        <x:v/>
      </x:c>
      <x:c r="K162" s="191" t="str">
        <x:v/>
      </x:c>
      <x:c r="L162" s="191" t="str">
        <x:v/>
      </x:c>
      <x:c r="M162" s="191" t="str">
        <x:v>12/1/2018</x:v>
      </x:c>
      <x:c r="N162" s="189" t="n">
        <x:v>162511.00</x:v>
      </x:c>
      <x:c r="O162" s="191" t="str">
        <x:v>12/31/2018</x:v>
      </x:c>
      <x:c r="P162" s="189" t="n">
        <x:v>163393.00</x:v>
      </x:c>
      <x:c r="Q162" s="206" t="n">
        <x:v>0.0024</x:v>
      </x:c>
      <x:c r="R162" s="206" t="n">
        <x:v>0.0208</x:v>
      </x:c>
      <x:c r="S162" s="189" t="n">
        <x:v>556.00</x:v>
      </x:c>
      <x:c r="T162" s="187" t="n">
        <x:f ca="1">=IF(AND(U162=0,S162&gt;0),-100%,IF(OR(S162=0,S162="-"),"-",IF(AND(S162=0,U162=0),0%,IF(S162&lt;U162,SUM(U162-S162)/S162,IF(S162&gt;U162,SUM(-1*(S162-U162)/S162),"")))))</x:f>
        <x:v/>
      </x:c>
      <x:c r="U162" s="189" t="n">
        <x:v>882.00</x:v>
      </x:c>
      <x:c r="V162" s="189" t="n">
        <x:f ca="1">=SUM(U162/ ((O162- M162)/30.42))</x:f>
        <x:v/>
      </x:c>
      <x:c r="W162" s="195">
        <x:f ca="1">=IF(T162="","",IF(T162="-","",IF(U162=0,"",IF(OR(T162&gt;AA4,T162&lt;-AA4),"*",""))))</x:f>
        <x:v/>
      </x:c>
      <x:c r="X162" s="91" t="str">
        <x:v/>
      </x:c>
    </x:row>
    <x:row r="163" spans="1:25" s="12" x14ac:dyDescent="0.25">
      <x:c r="A163" s="96" t="str">
        <x:v>149</x:v>
      </x:c>
      <x:c r="B163" s="192" t="str">
        <x:v>13623185</x:v>
      </x:c>
      <x:c r="C163" s="192" t="str">
        <x:v>Ricoh MP C2503</x:v>
      </x:c>
      <x:c r="D163" s="192" t="str">
        <x:v>Color Copier Color Pages</x:v>
      </x:c>
      <x:c r="E163" s="192" t="str">
        <x:v>E215M760082</x:v>
      </x:c>
      <x:c r="F163" s="192" t="str">
        <x:v>Active</x:v>
      </x:c>
      <x:c r="G163" s="192" t="str">
        <x:v>Knoxville Ailor Treatment Center</x:v>
      </x:c>
      <x:c r="H163" s="192" t="str">
        <x:v/>
      </x:c>
      <x:c r="I163" s="192" t="str">
        <x:v/>
      </x:c>
      <x:c r="J163" s="192" t="str">
        <x:v/>
      </x:c>
      <x:c r="K163" s="192" t="str">
        <x:v/>
      </x:c>
      <x:c r="L163" s="192" t="str">
        <x:v/>
      </x:c>
      <x:c r="M163" s="192" t="str">
        <x:v>12/1/2018</x:v>
      </x:c>
      <x:c r="N163" s="183" t="n">
        <x:v>113443.00</x:v>
      </x:c>
      <x:c r="O163" s="192" t="str">
        <x:v>12/31/2018</x:v>
      </x:c>
      <x:c r="P163" s="183" t="n">
        <x:v>114310.00</x:v>
      </x:c>
      <x:c r="Q163" s="207" t="n">
        <x:v>0.0023</x:v>
      </x:c>
      <x:c r="R163" s="207" t="n">
        <x:v>0.0204</x:v>
      </x:c>
      <x:c r="S163" s="183" t="n">
        <x:v>635.00</x:v>
      </x:c>
      <x:c r="T163" s="182" t="n">
        <x:f ca="1">=IF(AND(U163=0,S163&gt;0),-100%,IF(OR(S163=0,S163="-"),"-",IF(AND(S163=0,U163=0),0%,IF(S163&lt;U163,SUM(U163-S163)/S163,IF(S163&gt;U163,SUM(-1*(S163-U163)/S163),"")))))</x:f>
        <x:v/>
      </x:c>
      <x:c r="U163" s="183" t="n">
        <x:v>867.00</x:v>
      </x:c>
      <x:c r="V163" s="183" t="n">
        <x:f ca="1">=SUM(U163/ ((O163- M163)/30.42))</x:f>
        <x:v/>
      </x:c>
      <x:c r="W163" s="196">
        <x:f ca="1">=IF(T163="","",IF(T163="-","",IF(U163=0,"",IF(OR(T163&gt;AA4,T163&lt;-AA4),"*",""))))</x:f>
        <x:v/>
      </x:c>
      <x:c r="X163" s="98" t="str">
        <x:v/>
      </x:c>
    </x:row>
    <x:row r="164" spans="1:25" s="12" x14ac:dyDescent="0.25">
      <x:c r="A164" s="90" t="str">
        <x:v>150</x:v>
      </x:c>
      <x:c r="B164" s="191" t="str">
        <x:v>FPR58157</x:v>
      </x:c>
      <x:c r="C164" s="191" t="str">
        <x:v>Ricoh MP C3004</x:v>
      </x:c>
      <x:c r="D164" s="191" t="str">
        <x:v>Color Copier Color Pages</x:v>
      </x:c>
      <x:c r="E164" s="191" t="str">
        <x:v>C718M210528</x:v>
      </x:c>
      <x:c r="F164" s="191" t="str">
        <x:v>Active</x:v>
      </x:c>
      <x:c r="G164" s="191" t="str">
        <x:v>Jackson, GA Treatment Center</x:v>
      </x:c>
      <x:c r="H164" s="191" t="str">
        <x:v/>
      </x:c>
      <x:c r="I164" s="191" t="str">
        <x:v/>
      </x:c>
      <x:c r="J164" s="191" t="str">
        <x:v/>
      </x:c>
      <x:c r="K164" s="191" t="str">
        <x:v/>
      </x:c>
      <x:c r="L164" s="191" t="str">
        <x:v/>
      </x:c>
      <x:c r="M164" s="191" t="str">
        <x:v>12/1/2018</x:v>
      </x:c>
      <x:c r="N164" s="189" t="n">
        <x:v>12109.00</x:v>
      </x:c>
      <x:c r="O164" s="191" t="str">
        <x:v>12/31/2018</x:v>
      </x:c>
      <x:c r="P164" s="189" t="n">
        <x:v>12970.00</x:v>
      </x:c>
      <x:c r="Q164" s="206" t="n">
        <x:v>0.0023</x:v>
      </x:c>
      <x:c r="R164" s="206" t="n">
        <x:v>0.0203</x:v>
      </x:c>
      <x:c r="S164" s="189" t="n">
        <x:v>8776.00</x:v>
      </x:c>
      <x:c r="T164" s="187" t="n">
        <x:f ca="1">=IF(AND(U164=0,S164&gt;0),-100%,IF(OR(S164=0,S164="-"),"-",IF(AND(S164=0,U164=0),0%,IF(S164&lt;U164,SUM(U164-S164)/S164,IF(S164&gt;U164,SUM(-1*(S164-U164)/S164),"")))))</x:f>
        <x:v/>
      </x:c>
      <x:c r="U164" s="189" t="n">
        <x:v>861.00</x:v>
      </x:c>
      <x:c r="V164" s="189" t="n">
        <x:f ca="1">=SUM(U164/ ((O164- M164)/30.42))</x:f>
        <x:v/>
      </x:c>
      <x:c r="W164" s="195">
        <x:f ca="1">=IF(T164="","",IF(T164="-","",IF(U164=0,"",IF(OR(T164&gt;AA4,T164&lt;-AA4),"*",""))))</x:f>
        <x:v/>
      </x:c>
      <x:c r="X164" s="91" t="str">
        <x:v/>
      </x:c>
    </x:row>
    <x:row r="165" spans="1:25" s="12" x14ac:dyDescent="0.25">
      <x:c r="A165" s="96" t="str">
        <x:v>151</x:v>
      </x:c>
      <x:c r="B165" s="192" t="str">
        <x:v>13945928</x:v>
      </x:c>
      <x:c r="C165" s="192" t="str">
        <x:v>Ricoh MP C3004</x:v>
      </x:c>
      <x:c r="D165" s="192" t="str">
        <x:v>Color Copier Color Pages</x:v>
      </x:c>
      <x:c r="E165" s="192" t="str">
        <x:v>G696MB60360</x:v>
      </x:c>
      <x:c r="F165" s="192" t="str">
        <x:v>Active</x:v>
      </x:c>
      <x:c r="G165" s="192" t="str">
        <x:v>Springfield North Treatment Center</x:v>
      </x:c>
      <x:c r="H165" s="192" t="str">
        <x:v/>
      </x:c>
      <x:c r="I165" s="192" t="str">
        <x:v/>
      </x:c>
      <x:c r="J165" s="192" t="str">
        <x:v>1</x:v>
      </x:c>
      <x:c r="K165" s="192" t="str">
        <x:v>Marlin Martin</x:v>
      </x:c>
      <x:c r="L165" s="192" t="str">
        <x:v/>
      </x:c>
      <x:c r="M165" s="192" t="str">
        <x:v>12/1/2018</x:v>
      </x:c>
      <x:c r="N165" s="183" t="n">
        <x:v>24683.00</x:v>
      </x:c>
      <x:c r="O165" s="192" t="str">
        <x:v>12/31/2018</x:v>
      </x:c>
      <x:c r="P165" s="183" t="n">
        <x:v>25503.00</x:v>
      </x:c>
      <x:c r="Q165" s="207" t="n">
        <x:v>0.0022</x:v>
      </x:c>
      <x:c r="R165" s="207" t="n">
        <x:v>0.0193</x:v>
      </x:c>
      <x:c r="S165" s="183" t="n">
        <x:v>730.00</x:v>
      </x:c>
      <x:c r="T165" s="182" t="n">
        <x:f ca="1">=IF(AND(U165=0,S165&gt;0),-100%,IF(OR(S165=0,S165="-"),"-",IF(AND(S165=0,U165=0),0%,IF(S165&lt;U165,SUM(U165-S165)/S165,IF(S165&gt;U165,SUM(-1*(S165-U165)/S165),"")))))</x:f>
        <x:v/>
      </x:c>
      <x:c r="U165" s="183" t="n">
        <x:v>820.00</x:v>
      </x:c>
      <x:c r="V165" s="183" t="n">
        <x:f ca="1">=SUM(U165/ ((O165- M165)/30.42))</x:f>
        <x:v/>
      </x:c>
      <x:c r="W165" s="196">
        <x:f ca="1">=IF(T165="","",IF(T165="-","",IF(U165=0,"",IF(OR(T165&gt;AA4,T165&lt;-AA4),"*",""))))</x:f>
        <x:v/>
      </x:c>
      <x:c r="X165" s="98" t="str">
        <x:v/>
      </x:c>
    </x:row>
    <x:row r="166" spans="1:25" s="12" x14ac:dyDescent="0.25">
      <x:c r="A166" s="90" t="str">
        <x:v>152</x:v>
      </x:c>
      <x:c r="B166" s="191" t="str">
        <x:v>20044592</x:v>
      </x:c>
      <x:c r="C166" s="191" t="str">
        <x:v>Ricoh MP C2051</x:v>
      </x:c>
      <x:c r="D166" s="191" t="str">
        <x:v>Color Copier Color Pages</x:v>
      </x:c>
      <x:c r="E166" s="191" t="str">
        <x:v>V9715101674</x:v>
      </x:c>
      <x:c r="F166" s="191" t="str">
        <x:v>Active</x:v>
      </x:c>
      <x:c r="G166" s="191" t="str">
        <x:v>Dallas Corporate Office</x:v>
      </x:c>
      <x:c r="H166" s="191" t="str">
        <x:v/>
      </x:c>
      <x:c r="I166" s="191" t="str">
        <x:v/>
      </x:c>
      <x:c r="J166" s="191" t="str">
        <x:v>2</x:v>
      </x:c>
      <x:c r="K166" s="191" t="str">
        <x:v>Accounting</x:v>
      </x:c>
      <x:c r="L166" s="191" t="str">
        <x:v/>
      </x:c>
      <x:c r="M166" s="191" t="str">
        <x:v>12/1/2018</x:v>
      </x:c>
      <x:c r="N166" s="189" t="n">
        <x:v>95725.00</x:v>
      </x:c>
      <x:c r="O166" s="191" t="str">
        <x:v>12/31/2018</x:v>
      </x:c>
      <x:c r="P166" s="189" t="n">
        <x:v>96530.00</x:v>
      </x:c>
      <x:c r="Q166" s="206" t="n">
        <x:v>0.0022</x:v>
      </x:c>
      <x:c r="R166" s="206" t="n">
        <x:v>0.0189</x:v>
      </x:c>
      <x:c r="S166" s="189" t="n">
        <x:v>789.00</x:v>
      </x:c>
      <x:c r="T166" s="187" t="n">
        <x:f ca="1">=IF(AND(U166=0,S166&gt;0),-100%,IF(OR(S166=0,S166="-"),"-",IF(AND(S166=0,U166=0),0%,IF(S166&lt;U166,SUM(U166-S166)/S166,IF(S166&gt;U166,SUM(-1*(S166-U166)/S166),"")))))</x:f>
        <x:v/>
      </x:c>
      <x:c r="U166" s="189" t="n">
        <x:v>805.00</x:v>
      </x:c>
      <x:c r="V166" s="189" t="n">
        <x:f ca="1">=SUM(U166/ ((O166- M166)/30.42))</x:f>
        <x:v/>
      </x:c>
      <x:c r="W166" s="195">
        <x:f ca="1">=IF(T166="","",IF(T166="-","",IF(U166=0,"",IF(OR(T166&gt;AA4,T166&lt;-AA4),"*",""))))</x:f>
        <x:v/>
      </x:c>
      <x:c r="X166" s="91" t="str">
        <x:v/>
      </x:c>
    </x:row>
    <x:row r="167" spans="1:25" s="12" x14ac:dyDescent="0.25">
      <x:c r="A167" s="96" t="str">
        <x:v>153</x:v>
      </x:c>
      <x:c r="B167" s="192" t="str">
        <x:v>14099434</x:v>
      </x:c>
      <x:c r="C167" s="192" t="str">
        <x:v>Ricoh MP C3004</x:v>
      </x:c>
      <x:c r="D167" s="192" t="str">
        <x:v>Color Copier Color Pages</x:v>
      </x:c>
      <x:c r="E167" s="192" t="str">
        <x:v>C717M300110</x:v>
      </x:c>
      <x:c r="F167" s="192" t="str">
        <x:v>Active</x:v>
      </x:c>
      <x:c r="G167" s="192" t="str">
        <x:v>Berea Treatment Center</x:v>
      </x:c>
      <x:c r="H167" s="192" t="str">
        <x:v/>
      </x:c>
      <x:c r="I167" s="192" t="str">
        <x:v/>
      </x:c>
      <x:c r="J167" s="192" t="str">
        <x:v/>
      </x:c>
      <x:c r="K167" s="192" t="str">
        <x:v>Bobby Shumate</x:v>
      </x:c>
      <x:c r="L167" s="192" t="str">
        <x:v/>
      </x:c>
      <x:c r="M167" s="192" t="str">
        <x:v>12/1/2018</x:v>
      </x:c>
      <x:c r="N167" s="183" t="n">
        <x:v>5637.00</x:v>
      </x:c>
      <x:c r="O167" s="192" t="str">
        <x:v>12/31/2018</x:v>
      </x:c>
      <x:c r="P167" s="183" t="n">
        <x:v>6358.00</x:v>
      </x:c>
      <x:c r="Q167" s="207" t="n">
        <x:v>0.0019</x:v>
      </x:c>
      <x:c r="R167" s="207" t="n">
        <x:v>0.017</x:v>
      </x:c>
      <x:c r="S167" s="183" t="n">
        <x:v>353.00</x:v>
      </x:c>
      <x:c r="T167" s="182" t="n">
        <x:f ca="1">=IF(AND(U167=0,S167&gt;0),-100%,IF(OR(S167=0,S167="-"),"-",IF(AND(S167=0,U167=0),0%,IF(S167&lt;U167,SUM(U167-S167)/S167,IF(S167&gt;U167,SUM(-1*(S167-U167)/S167),"")))))</x:f>
        <x:v/>
      </x:c>
      <x:c r="U167" s="183" t="n">
        <x:v>721.00</x:v>
      </x:c>
      <x:c r="V167" s="183" t="n">
        <x:f ca="1">=SUM(U167/ ((O167- M167)/30.42))</x:f>
        <x:v/>
      </x:c>
      <x:c r="W167" s="196">
        <x:f ca="1">=IF(T167="","",IF(T167="-","",IF(U167=0,"",IF(OR(T167&gt;AA4,T167&lt;-AA4),"*",""))))</x:f>
        <x:v/>
      </x:c>
      <x:c r="X167" s="98" t="str">
        <x:v/>
      </x:c>
    </x:row>
    <x:row r="168" spans="1:25" s="12" x14ac:dyDescent="0.25">
      <x:c r="A168" s="90" t="str">
        <x:v>154</x:v>
      </x:c>
      <x:c r="B168" s="191" t="str">
        <x:v>13217640</x:v>
      </x:c>
      <x:c r="C168" s="191" t="str">
        <x:v>Ricoh MP C2503</x:v>
      </x:c>
      <x:c r="D168" s="191" t="str">
        <x:v>Color Copier Color Pages</x:v>
      </x:c>
      <x:c r="E168" s="191" t="str">
        <x:v>E214R200807</x:v>
      </x:c>
      <x:c r="F168" s="191" t="str">
        <x:v>Active</x:v>
      </x:c>
      <x:c r="G168" s="191" t="str">
        <x:v>Corbin Treatment Center</x:v>
      </x:c>
      <x:c r="H168" s="191" t="str">
        <x:v/>
      </x:c>
      <x:c r="I168" s="191" t="str">
        <x:v/>
      </x:c>
      <x:c r="J168" s="191" t="str">
        <x:v>2</x:v>
      </x:c>
      <x:c r="K168" s="191" t="str">
        <x:v/>
      </x:c>
      <x:c r="L168" s="191" t="str">
        <x:v/>
      </x:c>
      <x:c r="M168" s="191" t="str">
        <x:v>12/1/2018</x:v>
      </x:c>
      <x:c r="N168" s="189" t="n">
        <x:v>131398.00</x:v>
      </x:c>
      <x:c r="O168" s="191" t="str">
        <x:v>12/31/2018</x:v>
      </x:c>
      <x:c r="P168" s="189" t="n">
        <x:v>132109.00</x:v>
      </x:c>
      <x:c r="Q168" s="206" t="n">
        <x:v>0.0019</x:v>
      </x:c>
      <x:c r="R168" s="206" t="n">
        <x:v>0.0167</x:v>
      </x:c>
      <x:c r="S168" s="189" t="n">
        <x:v>986.00</x:v>
      </x:c>
      <x:c r="T168" s="187" t="n">
        <x:f ca="1">=IF(AND(U168=0,S168&gt;0),-100%,IF(OR(S168=0,S168="-"),"-",IF(AND(S168=0,U168=0),0%,IF(S168&lt;U168,SUM(U168-S168)/S168,IF(S168&gt;U168,SUM(-1*(S168-U168)/S168),"")))))</x:f>
        <x:v/>
      </x:c>
      <x:c r="U168" s="189" t="n">
        <x:v>711.00</x:v>
      </x:c>
      <x:c r="V168" s="189" t="n">
        <x:f ca="1">=SUM(U168/ ((O168- M168)/30.42))</x:f>
        <x:v/>
      </x:c>
      <x:c r="W168" s="195">
        <x:f ca="1">=IF(T168="","",IF(T168="-","",IF(U168=0,"",IF(OR(T168&gt;AA4,T168&lt;-AA4),"*",""))))</x:f>
        <x:v/>
      </x:c>
      <x:c r="X168" s="91" t="str">
        <x:v/>
      </x:c>
    </x:row>
    <x:row r="169" spans="1:25" s="12" x14ac:dyDescent="0.25">
      <x:c r="A169" s="96" t="str">
        <x:v>155</x:v>
      </x:c>
      <x:c r="B169" s="192" t="str">
        <x:v>FPR58217</x:v>
      </x:c>
      <x:c r="C169" s="192" t="str">
        <x:v>Ricoh MP C3004</x:v>
      </x:c>
      <x:c r="D169" s="192" t="str">
        <x:v>Color Copier Color Pages</x:v>
      </x:c>
      <x:c r="E169" s="192" t="str">
        <x:v>C718M210033</x:v>
      </x:c>
      <x:c r="F169" s="192" t="str">
        <x:v>Active</x:v>
      </x:c>
      <x:c r="G169" s="192" t="str">
        <x:v>Sheffield Treatment Center</x:v>
      </x:c>
      <x:c r="H169" s="192" t="str">
        <x:v/>
      </x:c>
      <x:c r="I169" s="192" t="str">
        <x:v/>
      </x:c>
      <x:c r="J169" s="192" t="str">
        <x:v/>
      </x:c>
      <x:c r="K169" s="192" t="str">
        <x:v>Heath Haddock</x:v>
      </x:c>
      <x:c r="L169" s="192" t="str">
        <x:v/>
      </x:c>
      <x:c r="M169" s="192" t="str">
        <x:v>12/1/2018</x:v>
      </x:c>
      <x:c r="N169" s="183" t="n">
        <x:v>4492.00</x:v>
      </x:c>
      <x:c r="O169" s="192" t="str">
        <x:v>12/31/2018</x:v>
      </x:c>
      <x:c r="P169" s="183" t="n">
        <x:v>5180.00</x:v>
      </x:c>
      <x:c r="Q169" s="207" t="n">
        <x:v>0.0019</x:v>
      </x:c>
      <x:c r="R169" s="207" t="n">
        <x:v>0.0162</x:v>
      </x:c>
      <x:c r="S169" s="183" t="n">
        <x:v>2111.00</x:v>
      </x:c>
      <x:c r="T169" s="182" t="n">
        <x:f ca="1">=IF(AND(U169=0,S169&gt;0),-100%,IF(OR(S169=0,S169="-"),"-",IF(AND(S169=0,U169=0),0%,IF(S169&lt;U169,SUM(U169-S169)/S169,IF(S169&gt;U169,SUM(-1*(S169-U169)/S169),"")))))</x:f>
        <x:v/>
      </x:c>
      <x:c r="U169" s="183" t="n">
        <x:v>688.00</x:v>
      </x:c>
      <x:c r="V169" s="183" t="n">
        <x:f ca="1">=SUM(U169/ ((O169- M169)/30.42))</x:f>
        <x:v/>
      </x:c>
      <x:c r="W169" s="196">
        <x:f ca="1">=IF(T169="","",IF(T169="-","",IF(U169=0,"",IF(OR(T169&gt;AA4,T169&lt;-AA4),"*",""))))</x:f>
        <x:v/>
      </x:c>
      <x:c r="X169" s="98" t="str">
        <x:v/>
      </x:c>
    </x:row>
    <x:row r="170" spans="1:25" s="12" x14ac:dyDescent="0.25">
      <x:c r="A170" s="90" t="str">
        <x:v>156</x:v>
      </x:c>
      <x:c r="B170" s="191" t="str">
        <x:v>20099657</x:v>
      </x:c>
      <x:c r="C170" s="191" t="str">
        <x:v>Ricoh MP C2051</x:v>
      </x:c>
      <x:c r="D170" s="191" t="str">
        <x:v>Color Copier Color Pages</x:v>
      </x:c>
      <x:c r="E170" s="191" t="str">
        <x:v>V9706000018</x:v>
      </x:c>
      <x:c r="F170" s="191" t="str">
        <x:v>Active</x:v>
      </x:c>
      <x:c r="G170" s="191" t="str">
        <x:v>Lake Charles Treatment Center</x:v>
      </x:c>
      <x:c r="H170" s="191" t="str">
        <x:v/>
      </x:c>
      <x:c r="I170" s="191" t="str">
        <x:v/>
      </x:c>
      <x:c r="J170" s="191" t="str">
        <x:v/>
      </x:c>
      <x:c r="K170" s="191" t="str">
        <x:v/>
      </x:c>
      <x:c r="L170" s="191" t="str">
        <x:v/>
      </x:c>
      <x:c r="M170" s="191" t="str">
        <x:v>11/29/2018</x:v>
      </x:c>
      <x:c r="N170" s="189" t="n">
        <x:v>64809.00</x:v>
      </x:c>
      <x:c r="O170" s="191" t="str">
        <x:v>12/31/2018</x:v>
      </x:c>
      <x:c r="P170" s="189" t="n">
        <x:v>65488.00</x:v>
      </x:c>
      <x:c r="Q170" s="206" t="n">
        <x:v>0.0018</x:v>
      </x:c>
      <x:c r="R170" s="206" t="n">
        <x:v>0.016</x:v>
      </x:c>
      <x:c r="S170" s="189" t="n">
        <x:v>60.00</x:v>
      </x:c>
      <x:c r="T170" s="187" t="n">
        <x:f ca="1">=IF(AND(U170=0,S170&gt;0),-100%,IF(OR(S170=0,S170="-"),"-",IF(AND(S170=0,U170=0),0%,IF(S170&lt;U170,SUM(U170-S170)/S170,IF(S170&gt;U170,SUM(-1*(S170-U170)/S170),"")))))</x:f>
        <x:v/>
      </x:c>
      <x:c r="U170" s="189" t="n">
        <x:v>679.00</x:v>
      </x:c>
      <x:c r="V170" s="189" t="n">
        <x:f ca="1">=SUM(U170/ ((O170- M170)/30.42))</x:f>
        <x:v/>
      </x:c>
      <x:c r="W170" s="195">
        <x:f ca="1">=IF(T170="","",IF(T170="-","",IF(U170=0,"",IF(OR(T170&gt;AA4,T170&lt;-AA4),"*",""))))</x:f>
        <x:v/>
      </x:c>
      <x:c r="X170" s="91" t="str">
        <x:v/>
      </x:c>
    </x:row>
    <x:row r="171" spans="1:25" s="12" x14ac:dyDescent="0.25">
      <x:c r="A171" s="96" t="str">
        <x:v>157</x:v>
      </x:c>
      <x:c r="B171" s="192" t="str">
        <x:v>20048184</x:v>
      </x:c>
      <x:c r="C171" s="192" t="str">
        <x:v>Ricoh MP C2051</x:v>
      </x:c>
      <x:c r="D171" s="192" t="str">
        <x:v>Color Copier Color Pages</x:v>
      </x:c>
      <x:c r="E171" s="192" t="str">
        <x:v>V9706000024</x:v>
      </x:c>
      <x:c r="F171" s="192" t="str">
        <x:v>Active</x:v>
      </x:c>
      <x:c r="G171" s="192" t="str">
        <x:v>Longmont Treatment Center</x:v>
      </x:c>
      <x:c r="H171" s="192" t="str">
        <x:v/>
      </x:c>
      <x:c r="I171" s="192" t="str">
        <x:v/>
      </x:c>
      <x:c r="J171" s="192" t="str">
        <x:v>7</x:v>
      </x:c>
      <x:c r="K171" s="192" t="str">
        <x:v/>
      </x:c>
      <x:c r="L171" s="192" t="str">
        <x:v/>
      </x:c>
      <x:c r="M171" s="192" t="str">
        <x:v>12/1/2018</x:v>
      </x:c>
      <x:c r="N171" s="183" t="n">
        <x:v>209965.00</x:v>
      </x:c>
      <x:c r="O171" s="192" t="str">
        <x:v>12/31/2018</x:v>
      </x:c>
      <x:c r="P171" s="183" t="n">
        <x:v>210639.00</x:v>
      </x:c>
      <x:c r="Q171" s="207" t="n">
        <x:v>0.0018</x:v>
      </x:c>
      <x:c r="R171" s="207" t="n">
        <x:v>0.0159</x:v>
      </x:c>
      <x:c r="S171" s="183" t="n">
        <x:v>371.00</x:v>
      </x:c>
      <x:c r="T171" s="182" t="n">
        <x:f ca="1">=IF(AND(U171=0,S171&gt;0),-100%,IF(OR(S171=0,S171="-"),"-",IF(AND(S171=0,U171=0),0%,IF(S171&lt;U171,SUM(U171-S171)/S171,IF(S171&gt;U171,SUM(-1*(S171-U171)/S171),"")))))</x:f>
        <x:v/>
      </x:c>
      <x:c r="U171" s="183" t="n">
        <x:v>674.00</x:v>
      </x:c>
      <x:c r="V171" s="183" t="n">
        <x:f ca="1">=SUM(U171/ ((O171- M171)/30.42))</x:f>
        <x:v/>
      </x:c>
      <x:c r="W171" s="196">
        <x:f ca="1">=IF(T171="","",IF(T171="-","",IF(U171=0,"",IF(OR(T171&gt;AA4,T171&lt;-AA4),"*",""))))</x:f>
        <x:v/>
      </x:c>
      <x:c r="X171" s="98" t="str">
        <x:v/>
      </x:c>
    </x:row>
    <x:row r="172" spans="1:25" s="12" x14ac:dyDescent="0.25">
      <x:c r="A172" s="90" t="str">
        <x:v>158</x:v>
      </x:c>
      <x:c r="B172" s="191" t="str">
        <x:v>12884503</x:v>
      </x:c>
      <x:c r="C172" s="191" t="str">
        <x:v>Ricoh MPC 2551</x:v>
      </x:c>
      <x:c r="D172" s="191" t="str">
        <x:v>Color Copier Color Pages</x:v>
      </x:c>
      <x:c r="E172" s="191" t="str">
        <x:v>V9834900201</x:v>
      </x:c>
      <x:c r="F172" s="191" t="str">
        <x:v>Active</x:v>
      </x:c>
      <x:c r="G172" s="191" t="str">
        <x:v>Paintsville Treatment Center</x:v>
      </x:c>
      <x:c r="H172" s="191" t="str">
        <x:v/>
      </x:c>
      <x:c r="I172" s="191" t="str">
        <x:v/>
      </x:c>
      <x:c r="J172" s="191" t="str">
        <x:v/>
      </x:c>
      <x:c r="K172" s="191" t="str">
        <x:v/>
      </x:c>
      <x:c r="L172" s="191" t="str">
        <x:v/>
      </x:c>
      <x:c r="M172" s="191" t="str">
        <x:v>12/1/2018</x:v>
      </x:c>
      <x:c r="N172" s="189" t="n">
        <x:v>30880.00</x:v>
      </x:c>
      <x:c r="O172" s="191" t="str">
        <x:v>12/29/2018</x:v>
      </x:c>
      <x:c r="P172" s="189" t="n">
        <x:v>31496.00</x:v>
      </x:c>
      <x:c r="Q172" s="206" t="n">
        <x:v>0.0017</x:v>
      </x:c>
      <x:c r="R172" s="206" t="n">
        <x:v>0.0145</x:v>
      </x:c>
      <x:c r="S172" s="189" t="n">
        <x:v>212.00</x:v>
      </x:c>
      <x:c r="T172" s="187" t="n">
        <x:f ca="1">=IF(AND(U172=0,S172&gt;0),-100%,IF(OR(S172=0,S172="-"),"-",IF(AND(S172=0,U172=0),0%,IF(S172&lt;U172,SUM(U172-S172)/S172,IF(S172&gt;U172,SUM(-1*(S172-U172)/S172),"")))))</x:f>
        <x:v/>
      </x:c>
      <x:c r="U172" s="189" t="n">
        <x:v>616.00</x:v>
      </x:c>
      <x:c r="V172" s="189" t="n">
        <x:f ca="1">=SUM(U172/ ((O172- M172)/30.42))</x:f>
        <x:v/>
      </x:c>
      <x:c r="W172" s="195">
        <x:f ca="1">=IF(T172="","",IF(T172="-","",IF(U172=0,"",IF(OR(T172&gt;AA4,T172&lt;-AA4),"*",""))))</x:f>
        <x:v/>
      </x:c>
      <x:c r="X172" s="91" t="str">
        <x:v/>
      </x:c>
    </x:row>
    <x:row r="173" spans="1:25" s="12" x14ac:dyDescent="0.25">
      <x:c r="A173" s="96" t="str">
        <x:v>159</x:v>
      </x:c>
      <x:c r="B173" s="192" t="str">
        <x:v>20314978</x:v>
      </x:c>
      <x:c r="C173" s="192" t="str">
        <x:v>Ricoh MP C2051</x:v>
      </x:c>
      <x:c r="D173" s="192" t="str">
        <x:v>Color Copier Color Pages</x:v>
      </x:c>
      <x:c r="E173" s="192" t="str">
        <x:v>V9715800453</x:v>
      </x:c>
      <x:c r="F173" s="192" t="str">
        <x:v>Active</x:v>
      </x:c>
      <x:c r="G173" s="192" t="str">
        <x:v>Paris Treatment Center</x:v>
      </x:c>
      <x:c r="H173" s="192" t="str">
        <x:v/>
      </x:c>
      <x:c r="I173" s="192" t="str">
        <x:v/>
      </x:c>
      <x:c r="J173" s="192" t="str">
        <x:v>1</x:v>
      </x:c>
      <x:c r="K173" s="192" t="str">
        <x:v/>
      </x:c>
      <x:c r="L173" s="192" t="str">
        <x:v/>
      </x:c>
      <x:c r="M173" s="192" t="str">
        <x:v>12/1/2018</x:v>
      </x:c>
      <x:c r="N173" s="183" t="n">
        <x:v>44690.00</x:v>
      </x:c>
      <x:c r="O173" s="192" t="str">
        <x:v>12/31/2018</x:v>
      </x:c>
      <x:c r="P173" s="183" t="n">
        <x:v>45267.00</x:v>
      </x:c>
      <x:c r="Q173" s="207" t="n">
        <x:v>0.0016</x:v>
      </x:c>
      <x:c r="R173" s="207" t="n">
        <x:v>0.0136</x:v>
      </x:c>
      <x:c r="S173" s="183" t="n">
        <x:v>677.00</x:v>
      </x:c>
      <x:c r="T173" s="182" t="n">
        <x:f ca="1">=IF(AND(U173=0,S173&gt;0),-100%,IF(OR(S173=0,S173="-"),"-",IF(AND(S173=0,U173=0),0%,IF(S173&lt;U173,SUM(U173-S173)/S173,IF(S173&gt;U173,SUM(-1*(S173-U173)/S173),"")))))</x:f>
        <x:v/>
      </x:c>
      <x:c r="U173" s="183" t="n">
        <x:v>577.00</x:v>
      </x:c>
      <x:c r="V173" s="183" t="n">
        <x:f ca="1">=SUM(U173/ ((O173- M173)/30.42))</x:f>
        <x:v/>
      </x:c>
      <x:c r="W173" s="196">
        <x:f ca="1">=IF(T173="","",IF(T173="-","",IF(U173=0,"",IF(OR(T173&gt;AA4,T173&lt;-AA4),"*",""))))</x:f>
        <x:v/>
      </x:c>
      <x:c r="X173" s="98" t="str">
        <x:v/>
      </x:c>
    </x:row>
    <x:row r="174" spans="1:25" s="12" x14ac:dyDescent="0.25">
      <x:c r="A174" s="90" t="str">
        <x:v>160</x:v>
      </x:c>
      <x:c r="B174" s="191" t="str">
        <x:v>14055690</x:v>
      </x:c>
      <x:c r="C174" s="191" t="str">
        <x:v>Ricoh MP C3004</x:v>
      </x:c>
      <x:c r="D174" s="191" t="str">
        <x:v>Color Copier Color Pages</x:v>
      </x:c>
      <x:c r="E174" s="191" t="str">
        <x:v>C717M610889</x:v>
      </x:c>
      <x:c r="F174" s="191" t="str">
        <x:v>Active</x:v>
      </x:c>
      <x:c r="G174" s="191" t="str">
        <x:v>Chesapeake Treatment Center</x:v>
      </x:c>
      <x:c r="H174" s="191" t="str">
        <x:v/>
      </x:c>
      <x:c r="I174" s="191" t="str">
        <x:v/>
      </x:c>
      <x:c r="J174" s="191" t="str">
        <x:v>1</x:v>
      </x:c>
      <x:c r="K174" s="191" t="str">
        <x:v>John Garner</x:v>
      </x:c>
      <x:c r="L174" s="191" t="str">
        <x:v/>
      </x:c>
      <x:c r="M174" s="191" t="str">
        <x:v>12/1/2018</x:v>
      </x:c>
      <x:c r="N174" s="189" t="n">
        <x:v>20479.00</x:v>
      </x:c>
      <x:c r="O174" s="191" t="str">
        <x:v>12/31/2018</x:v>
      </x:c>
      <x:c r="P174" s="189" t="n">
        <x:v>21055.00</x:v>
      </x:c>
      <x:c r="Q174" s="206" t="n">
        <x:v>0.0015</x:v>
      </x:c>
      <x:c r="R174" s="206" t="n">
        <x:v>0.0136</x:v>
      </x:c>
      <x:c r="S174" s="189" t="n">
        <x:v>268.00</x:v>
      </x:c>
      <x:c r="T174" s="187" t="n">
        <x:f ca="1">=IF(AND(U174=0,S174&gt;0),-100%,IF(OR(S174=0,S174="-"),"-",IF(AND(S174=0,U174=0),0%,IF(S174&lt;U174,SUM(U174-S174)/S174,IF(S174&gt;U174,SUM(-1*(S174-U174)/S174),"")))))</x:f>
        <x:v/>
      </x:c>
      <x:c r="U174" s="189" t="n">
        <x:v>576.00</x:v>
      </x:c>
      <x:c r="V174" s="189" t="n">
        <x:f ca="1">=SUM(U174/ ((O174- M174)/30.42))</x:f>
        <x:v/>
      </x:c>
      <x:c r="W174" s="195">
        <x:f ca="1">=IF(T174="","",IF(T174="-","",IF(U174=0,"",IF(OR(T174&gt;AA4,T174&lt;-AA4),"*",""))))</x:f>
        <x:v/>
      </x:c>
      <x:c r="X174" s="91" t="str">
        <x:v/>
      </x:c>
    </x:row>
    <x:row r="175" spans="1:25" s="12" x14ac:dyDescent="0.25">
      <x:c r="A175" s="96" t="str">
        <x:v>161</x:v>
      </x:c>
      <x:c r="B175" s="192" t="str">
        <x:v>13002018</x:v>
      </x:c>
      <x:c r="C175" s="192" t="str">
        <x:v>Ricoh MP C2051</x:v>
      </x:c>
      <x:c r="D175" s="192" t="str">
        <x:v>Color Copier Color Pages</x:v>
      </x:c>
      <x:c r="E175" s="192" t="str">
        <x:v>V9715100230</x:v>
      </x:c>
      <x:c r="F175" s="192" t="str">
        <x:v>Active</x:v>
      </x:c>
      <x:c r="G175" s="192" t="str">
        <x:v>Overland Park Treatment Center</x:v>
      </x:c>
      <x:c r="H175" s="192" t="str">
        <x:v/>
      </x:c>
      <x:c r="I175" s="192" t="str">
        <x:v/>
      </x:c>
      <x:c r="J175" s="192" t="str">
        <x:v>1</x:v>
      </x:c>
      <x:c r="K175" s="192" t="str">
        <x:v/>
      </x:c>
      <x:c r="L175" s="192" t="str">
        <x:v/>
      </x:c>
      <x:c r="M175" s="192" t="str">
        <x:v>12/1/2018</x:v>
      </x:c>
      <x:c r="N175" s="183" t="n">
        <x:v>28816.00</x:v>
      </x:c>
      <x:c r="O175" s="192" t="str">
        <x:v>12/31/2018</x:v>
      </x:c>
      <x:c r="P175" s="183" t="n">
        <x:v>29361.00</x:v>
      </x:c>
      <x:c r="Q175" s="207" t="n">
        <x:v>0.0015</x:v>
      </x:c>
      <x:c r="R175" s="207" t="n">
        <x:v>0.0128</x:v>
      </x:c>
      <x:c r="S175" s="183" t="n">
        <x:v>437.00</x:v>
      </x:c>
      <x:c r="T175" s="182" t="n">
        <x:f ca="1">=IF(AND(U175=0,S175&gt;0),-100%,IF(OR(S175=0,S175="-"),"-",IF(AND(S175=0,U175=0),0%,IF(S175&lt;U175,SUM(U175-S175)/S175,IF(S175&gt;U175,SUM(-1*(S175-U175)/S175),"")))))</x:f>
        <x:v/>
      </x:c>
      <x:c r="U175" s="183" t="n">
        <x:v>545.00</x:v>
      </x:c>
      <x:c r="V175" s="183" t="n">
        <x:f ca="1">=SUM(U175/ ((O175- M175)/30.42))</x:f>
        <x:v/>
      </x:c>
      <x:c r="W175" s="196">
        <x:f ca="1">=IF(T175="","",IF(T175="-","",IF(U175=0,"",IF(OR(T175&gt;AA4,T175&lt;-AA4),"*",""))))</x:f>
        <x:v/>
      </x:c>
      <x:c r="X175" s="98" t="str">
        <x:v/>
      </x:c>
    </x:row>
    <x:row r="176" spans="1:25" s="12" x14ac:dyDescent="0.25">
      <x:c r="A176" s="90" t="str">
        <x:v>162</x:v>
      </x:c>
      <x:c r="B176" s="191" t="str">
        <x:v>13981633</x:v>
      </x:c>
      <x:c r="C176" s="191" t="str">
        <x:v>Ricoh MP C3004</x:v>
      </x:c>
      <x:c r="D176" s="191" t="str">
        <x:v>Color Copier Color Pages</x:v>
      </x:c>
      <x:c r="E176" s="191" t="str">
        <x:v>G696M710057</x:v>
      </x:c>
      <x:c r="F176" s="191" t="str">
        <x:v>Active</x:v>
      </x:c>
      <x:c r="G176" s="191" t="str">
        <x:v>Aiken Treatment Center</x:v>
      </x:c>
      <x:c r="H176" s="191" t="str">
        <x:v/>
      </x:c>
      <x:c r="I176" s="191" t="str">
        <x:v/>
      </x:c>
      <x:c r="J176" s="191" t="str">
        <x:v/>
      </x:c>
      <x:c r="K176" s="191" t="str">
        <x:v/>
      </x:c>
      <x:c r="L176" s="191" t="str">
        <x:v/>
      </x:c>
      <x:c r="M176" s="191" t="str">
        <x:v>12/1/2018</x:v>
      </x:c>
      <x:c r="N176" s="189" t="n">
        <x:v>34807.00</x:v>
      </x:c>
      <x:c r="O176" s="191" t="str">
        <x:v>12/31/2018</x:v>
      </x:c>
      <x:c r="P176" s="189" t="n">
        <x:v>35349.00</x:v>
      </x:c>
      <x:c r="Q176" s="206" t="n">
        <x:v>0.0015</x:v>
      </x:c>
      <x:c r="R176" s="206" t="n">
        <x:v>0.0128</x:v>
      </x:c>
      <x:c r="S176" s="189" t="n">
        <x:v>434.00</x:v>
      </x:c>
      <x:c r="T176" s="187" t="n">
        <x:f ca="1">=IF(AND(U176=0,S176&gt;0),-100%,IF(OR(S176=0,S176="-"),"-",IF(AND(S176=0,U176=0),0%,IF(S176&lt;U176,SUM(U176-S176)/S176,IF(S176&gt;U176,SUM(-1*(S176-U176)/S176),"")))))</x:f>
        <x:v/>
      </x:c>
      <x:c r="U176" s="189" t="n">
        <x:v>542.00</x:v>
      </x:c>
      <x:c r="V176" s="189" t="n">
        <x:f ca="1">=SUM(U176/ ((O176- M176)/30.42))</x:f>
        <x:v/>
      </x:c>
      <x:c r="W176" s="195">
        <x:f ca="1">=IF(T176="","",IF(T176="-","",IF(U176=0,"",IF(OR(T176&gt;AA4,T176&lt;-AA4),"*",""))))</x:f>
        <x:v/>
      </x:c>
      <x:c r="X176" s="91" t="str">
        <x:v/>
      </x:c>
    </x:row>
    <x:row r="177" spans="1:25" s="12" x14ac:dyDescent="0.25">
      <x:c r="A177" s="96" t="str">
        <x:v>163</x:v>
      </x:c>
      <x:c r="B177" s="192" t="str">
        <x:v>12210848</x:v>
      </x:c>
      <x:c r="C177" s="192" t="str">
        <x:v>Ricoh MP C2051</x:v>
      </x:c>
      <x:c r="D177" s="192" t="str">
        <x:v>Color Copier Color Pages</x:v>
      </x:c>
      <x:c r="E177" s="192" t="str">
        <x:v>V9715101329</x:v>
      </x:c>
      <x:c r="F177" s="192" t="str">
        <x:v>Active</x:v>
      </x:c>
      <x:c r="G177" s="192" t="str">
        <x:v>Columbia, MO Treatment Center</x:v>
      </x:c>
      <x:c r="H177" s="192" t="str">
        <x:v/>
      </x:c>
      <x:c r="I177" s="192" t="str">
        <x:v/>
      </x:c>
      <x:c r="J177" s="192" t="str">
        <x:v/>
      </x:c>
      <x:c r="K177" s="192" t="str">
        <x:v/>
      </x:c>
      <x:c r="L177" s="192" t="str">
        <x:v/>
      </x:c>
      <x:c r="M177" s="192" t="str">
        <x:v>12/1/2018</x:v>
      </x:c>
      <x:c r="N177" s="183" t="n">
        <x:v>29888.00</x:v>
      </x:c>
      <x:c r="O177" s="192" t="str">
        <x:v>12/31/2018</x:v>
      </x:c>
      <x:c r="P177" s="183" t="n">
        <x:v>30417.00</x:v>
      </x:c>
      <x:c r="Q177" s="207" t="n">
        <x:v>0.0014</x:v>
      </x:c>
      <x:c r="R177" s="207" t="n">
        <x:v>0.0124</x:v>
      </x:c>
      <x:c r="S177" s="183" t="n">
        <x:v>260.00</x:v>
      </x:c>
      <x:c r="T177" s="182" t="n">
        <x:f ca="1">=IF(AND(U177=0,S177&gt;0),-100%,IF(OR(S177=0,S177="-"),"-",IF(AND(S177=0,U177=0),0%,IF(S177&lt;U177,SUM(U177-S177)/S177,IF(S177&gt;U177,SUM(-1*(S177-U177)/S177),"")))))</x:f>
        <x:v/>
      </x:c>
      <x:c r="U177" s="183" t="n">
        <x:v>529.00</x:v>
      </x:c>
      <x:c r="V177" s="183" t="n">
        <x:f ca="1">=SUM(U177/ ((O177- M177)/30.42))</x:f>
        <x:v/>
      </x:c>
      <x:c r="W177" s="196">
        <x:f ca="1">=IF(T177="","",IF(T177="-","",IF(U177=0,"",IF(OR(T177&gt;AA4,T177&lt;-AA4),"*",""))))</x:f>
        <x:v/>
      </x:c>
      <x:c r="X177" s="98" t="str">
        <x:v/>
      </x:c>
    </x:row>
    <x:row r="178" spans="1:25" s="12" x14ac:dyDescent="0.25">
      <x:c r="A178" s="90" t="str">
        <x:v>164</x:v>
      </x:c>
      <x:c r="B178" s="191" t="str">
        <x:v>13927820</x:v>
      </x:c>
      <x:c r="C178" s="191" t="str">
        <x:v>Ricoh MP C3004</x:v>
      </x:c>
      <x:c r="D178" s="191" t="str">
        <x:v>Color Copier Color Pages</x:v>
      </x:c>
      <x:c r="E178" s="191" t="str">
        <x:v>G696MC60349</x:v>
      </x:c>
      <x:c r="F178" s="191" t="str">
        <x:v>Active</x:v>
      </x:c>
      <x:c r="G178" s="191" t="str">
        <x:v>Centennial Treatment Center</x:v>
      </x:c>
      <x:c r="H178" s="191" t="str">
        <x:v/>
      </x:c>
      <x:c r="I178" s="191" t="str">
        <x:v/>
      </x:c>
      <x:c r="J178" s="191" t="str">
        <x:v>1</x:v>
      </x:c>
      <x:c r="K178" s="191" t="str">
        <x:v>Amanda Malone</x:v>
      </x:c>
      <x:c r="L178" s="191" t="str">
        <x:v/>
      </x:c>
      <x:c r="M178" s="191" t="str">
        <x:v>12/1/2018</x:v>
      </x:c>
      <x:c r="N178" s="189" t="n">
        <x:v>12542.00</x:v>
      </x:c>
      <x:c r="O178" s="191" t="str">
        <x:v>12/31/2018</x:v>
      </x:c>
      <x:c r="P178" s="189" t="n">
        <x:v>13051.00</x:v>
      </x:c>
      <x:c r="Q178" s="206" t="n">
        <x:v>0.0014</x:v>
      </x:c>
      <x:c r="R178" s="206" t="n">
        <x:v>0.012</x:v>
      </x:c>
      <x:c r="S178" s="189" t="n">
        <x:v>464.00</x:v>
      </x:c>
      <x:c r="T178" s="187" t="n">
        <x:f ca="1">=IF(AND(U178=0,S178&gt;0),-100%,IF(OR(S178=0,S178="-"),"-",IF(AND(S178=0,U178=0),0%,IF(S178&lt;U178,SUM(U178-S178)/S178,IF(S178&gt;U178,SUM(-1*(S178-U178)/S178),"")))))</x:f>
        <x:v/>
      </x:c>
      <x:c r="U178" s="189" t="n">
        <x:v>509.00</x:v>
      </x:c>
      <x:c r="V178" s="189" t="n">
        <x:f ca="1">=SUM(U178/ ((O178- M178)/30.42))</x:f>
        <x:v/>
      </x:c>
      <x:c r="W178" s="195">
        <x:f ca="1">=IF(T178="","",IF(T178="-","",IF(U178=0,"",IF(OR(T178&gt;AA4,T178&lt;-AA4),"*",""))))</x:f>
        <x:v/>
      </x:c>
      <x:c r="X178" s="91" t="str">
        <x:v/>
      </x:c>
    </x:row>
    <x:row r="179" spans="1:25" s="12" x14ac:dyDescent="0.25">
      <x:c r="A179" s="96" t="str">
        <x:v>165</x:v>
      </x:c>
      <x:c r="B179" s="192" t="str">
        <x:v>12974503</x:v>
      </x:c>
      <x:c r="C179" s="192" t="str">
        <x:v>Ricoh MP C2051</x:v>
      </x:c>
      <x:c r="D179" s="192" t="str">
        <x:v>Color Copier Color Pages</x:v>
      </x:c>
      <x:c r="E179" s="192" t="str">
        <x:v>V9715101687</x:v>
      </x:c>
      <x:c r="F179" s="192" t="str">
        <x:v>Active</x:v>
      </x:c>
      <x:c r="G179" s="192" t="str">
        <x:v>Westminster Treament Center</x:v>
      </x:c>
      <x:c r="H179" s="192" t="str">
        <x:v/>
      </x:c>
      <x:c r="I179" s="192" t="str">
        <x:v/>
      </x:c>
      <x:c r="J179" s="192" t="str">
        <x:v>8</x:v>
      </x:c>
      <x:c r="K179" s="192" t="str">
        <x:v/>
      </x:c>
      <x:c r="L179" s="192" t="str">
        <x:v/>
      </x:c>
      <x:c r="M179" s="192" t="str">
        <x:v>12/1/2018</x:v>
      </x:c>
      <x:c r="N179" s="183" t="n">
        <x:v>48126.00</x:v>
      </x:c>
      <x:c r="O179" s="192" t="str">
        <x:v>12/31/2018</x:v>
      </x:c>
      <x:c r="P179" s="183" t="n">
        <x:v>48593.00</x:v>
      </x:c>
      <x:c r="Q179" s="207" t="n">
        <x:v>0.0013</x:v>
      </x:c>
      <x:c r="R179" s="207" t="n">
        <x:v>0.011</x:v>
      </x:c>
      <x:c r="S179" s="183" t="n">
        <x:v>132.00</x:v>
      </x:c>
      <x:c r="T179" s="182" t="n">
        <x:f ca="1">=IF(AND(U179=0,S179&gt;0),-100%,IF(OR(S179=0,S179="-"),"-",IF(AND(S179=0,U179=0),0%,IF(S179&lt;U179,SUM(U179-S179)/S179,IF(S179&gt;U179,SUM(-1*(S179-U179)/S179),"")))))</x:f>
        <x:v/>
      </x:c>
      <x:c r="U179" s="183" t="n">
        <x:v>467.00</x:v>
      </x:c>
      <x:c r="V179" s="183" t="n">
        <x:f ca="1">=SUM(U179/ ((O179- M179)/30.42))</x:f>
        <x:v/>
      </x:c>
      <x:c r="W179" s="196">
        <x:f ca="1">=IF(T179="","",IF(T179="-","",IF(U179=0,"",IF(OR(T179&gt;AA4,T179&lt;-AA4),"*",""))))</x:f>
        <x:v/>
      </x:c>
      <x:c r="X179" s="98" t="str">
        <x:v/>
      </x:c>
    </x:row>
    <x:row r="180" spans="1:25" s="12" x14ac:dyDescent="0.25">
      <x:c r="A180" s="90" t="str">
        <x:v>166</x:v>
      </x:c>
      <x:c r="B180" s="191" t="str">
        <x:v>12543517</x:v>
      </x:c>
      <x:c r="C180" s="191" t="str">
        <x:v>Ricoh MP C2051</x:v>
      </x:c>
      <x:c r="D180" s="191" t="str">
        <x:v>Color Copier Color Pages</x:v>
      </x:c>
      <x:c r="E180" s="191" t="str">
        <x:v>V9715301575</x:v>
      </x:c>
      <x:c r="F180" s="191" t="str">
        <x:v>Active</x:v>
      </x:c>
      <x:c r="G180" s="191" t="str">
        <x:v>Joplin Treatment Center</x:v>
      </x:c>
      <x:c r="H180" s="191" t="str">
        <x:v/>
      </x:c>
      <x:c r="I180" s="191" t="str">
        <x:v/>
      </x:c>
      <x:c r="J180" s="191" t="str">
        <x:v>1</x:v>
      </x:c>
      <x:c r="K180" s="191" t="str">
        <x:v/>
      </x:c>
      <x:c r="L180" s="191" t="str">
        <x:v/>
      </x:c>
      <x:c r="M180" s="191" t="str">
        <x:v>12/1/2018</x:v>
      </x:c>
      <x:c r="N180" s="189" t="n">
        <x:v>62081.00</x:v>
      </x:c>
      <x:c r="O180" s="191" t="str">
        <x:v>12/31/2018</x:v>
      </x:c>
      <x:c r="P180" s="189" t="n">
        <x:v>62533.00</x:v>
      </x:c>
      <x:c r="Q180" s="206" t="n">
        <x:v>0.0012</x:v>
      </x:c>
      <x:c r="R180" s="206" t="n">
        <x:v>0.0106</x:v>
      </x:c>
      <x:c r="S180" s="189" t="n">
        <x:v>297.00</x:v>
      </x:c>
      <x:c r="T180" s="187" t="n">
        <x:f ca="1">=IF(AND(U180=0,S180&gt;0),-100%,IF(OR(S180=0,S180="-"),"-",IF(AND(S180=0,U180=0),0%,IF(S180&lt;U180,SUM(U180-S180)/S180,IF(S180&gt;U180,SUM(-1*(S180-U180)/S180),"")))))</x:f>
        <x:v/>
      </x:c>
      <x:c r="U180" s="189" t="n">
        <x:v>452.00</x:v>
      </x:c>
      <x:c r="V180" s="189" t="n">
        <x:f ca="1">=SUM(U180/ ((O180- M180)/30.42))</x:f>
        <x:v/>
      </x:c>
      <x:c r="W180" s="195">
        <x:f ca="1">=IF(T180="","",IF(T180="-","",IF(U180=0,"",IF(OR(T180&gt;AA4,T180&lt;-AA4),"*",""))))</x:f>
        <x:v/>
      </x:c>
      <x:c r="X180" s="91" t="str">
        <x:v/>
      </x:c>
    </x:row>
    <x:row r="181" spans="1:25" s="12" x14ac:dyDescent="0.25">
      <x:c r="A181" s="96" t="str">
        <x:v>167</x:v>
      </x:c>
      <x:c r="B181" s="192" t="str">
        <x:v>20166029</x:v>
      </x:c>
      <x:c r="C181" s="192" t="str">
        <x:v>Ricoh MP C2051</x:v>
      </x:c>
      <x:c r="D181" s="192" t="str">
        <x:v>Color Copier Color Pages</x:v>
      </x:c>
      <x:c r="E181" s="192" t="str">
        <x:v>V9715800783</x:v>
      </x:c>
      <x:c r="F181" s="192" t="str">
        <x:v>Active</x:v>
      </x:c>
      <x:c r="G181" s="192" t="str">
        <x:v>Jackson, TN Treatment Center</x:v>
      </x:c>
      <x:c r="H181" s="192" t="str">
        <x:v/>
      </x:c>
      <x:c r="I181" s="192" t="str">
        <x:v/>
      </x:c>
      <x:c r="J181" s="192" t="str">
        <x:v/>
      </x:c>
      <x:c r="K181" s="192" t="str">
        <x:v/>
      </x:c>
      <x:c r="L181" s="192" t="str">
        <x:v/>
      </x:c>
      <x:c r="M181" s="192" t="str">
        <x:v>12/1/2018</x:v>
      </x:c>
      <x:c r="N181" s="183" t="n">
        <x:v>48302.00</x:v>
      </x:c>
      <x:c r="O181" s="192" t="str">
        <x:v>12/31/2018</x:v>
      </x:c>
      <x:c r="P181" s="183" t="n">
        <x:v>48750.00</x:v>
      </x:c>
      <x:c r="Q181" s="207" t="n">
        <x:v>0.0012</x:v>
      </x:c>
      <x:c r="R181" s="207" t="n">
        <x:v>0.0105</x:v>
      </x:c>
      <x:c r="S181" s="183" t="n">
        <x:v>705.00</x:v>
      </x:c>
      <x:c r="T181" s="182" t="n">
        <x:f ca="1">=IF(AND(U181=0,S181&gt;0),-100%,IF(OR(S181=0,S181="-"),"-",IF(AND(S181=0,U181=0),0%,IF(S181&lt;U181,SUM(U181-S181)/S181,IF(S181&gt;U181,SUM(-1*(S181-U181)/S181),"")))))</x:f>
        <x:v/>
      </x:c>
      <x:c r="U181" s="183" t="n">
        <x:v>448.00</x:v>
      </x:c>
      <x:c r="V181" s="183" t="n">
        <x:f ca="1">=SUM(U181/ ((O181- M181)/30.42))</x:f>
        <x:v/>
      </x:c>
      <x:c r="W181" s="196">
        <x:f ca="1">=IF(T181="","",IF(T181="-","",IF(U181=0,"",IF(OR(T181&gt;AA4,T181&lt;-AA4),"*",""))))</x:f>
        <x:v/>
      </x:c>
      <x:c r="X181" s="98" t="str">
        <x:v/>
      </x:c>
    </x:row>
    <x:row r="182" spans="1:25" s="12" x14ac:dyDescent="0.25">
      <x:c r="A182" s="90" t="str">
        <x:v>168</x:v>
      </x:c>
      <x:c r="B182" s="191" t="str">
        <x:v>12884371</x:v>
      </x:c>
      <x:c r="C182" s="191" t="str">
        <x:v>Ricoh MPC 2551</x:v>
      </x:c>
      <x:c r="D182" s="191" t="str">
        <x:v>Color Copier Color Pages</x:v>
      </x:c>
      <x:c r="E182" s="191" t="str">
        <x:v>V9834900458</x:v>
      </x:c>
      <x:c r="F182" s="191" t="str">
        <x:v>Active</x:v>
      </x:c>
      <x:c r="G182" s="191" t="str">
        <x:v>Pikeville Treatment Center</x:v>
      </x:c>
      <x:c r="H182" s="191" t="str">
        <x:v/>
      </x:c>
      <x:c r="I182" s="191" t="str">
        <x:v/>
      </x:c>
      <x:c r="J182" s="191" t="str">
        <x:v>1</x:v>
      </x:c>
      <x:c r="K182" s="191" t="str">
        <x:v/>
      </x:c>
      <x:c r="L182" s="191" t="str">
        <x:v/>
      </x:c>
      <x:c r="M182" s="191" t="str">
        <x:v>12/1/2018</x:v>
      </x:c>
      <x:c r="N182" s="189" t="n">
        <x:v>35251.00</x:v>
      </x:c>
      <x:c r="O182" s="191" t="str">
        <x:v>12/31/2018</x:v>
      </x:c>
      <x:c r="P182" s="189" t="n">
        <x:v>35661.00</x:v>
      </x:c>
      <x:c r="Q182" s="206" t="n">
        <x:v>0.0011</x:v>
      </x:c>
      <x:c r="R182" s="206" t="n">
        <x:v>0.0096</x:v>
      </x:c>
      <x:c r="S182" s="189" t="n">
        <x:v>350.00</x:v>
      </x:c>
      <x:c r="T182" s="187" t="n">
        <x:f ca="1">=IF(AND(U182=0,S182&gt;0),-100%,IF(OR(S182=0,S182="-"),"-",IF(AND(S182=0,U182=0),0%,IF(S182&lt;U182,SUM(U182-S182)/S182,IF(S182&gt;U182,SUM(-1*(S182-U182)/S182),"")))))</x:f>
        <x:v/>
      </x:c>
      <x:c r="U182" s="189" t="n">
        <x:v>410.00</x:v>
      </x:c>
      <x:c r="V182" s="189" t="n">
        <x:f ca="1">=SUM(U182/ ((O182- M182)/30.42))</x:f>
        <x:v/>
      </x:c>
      <x:c r="W182" s="195">
        <x:f ca="1">=IF(T182="","",IF(T182="-","",IF(U182=0,"",IF(OR(T182&gt;AA4,T182&lt;-AA4),"*",""))))</x:f>
        <x:v/>
      </x:c>
      <x:c r="X182" s="91" t="str">
        <x:v/>
      </x:c>
    </x:row>
    <x:row r="183" spans="1:25" s="12" x14ac:dyDescent="0.25">
      <x:c r="A183" s="96" t="str">
        <x:v>169</x:v>
      </x:c>
      <x:c r="B183" s="192" t="str">
        <x:v>12988166</x:v>
      </x:c>
      <x:c r="C183" s="192" t="str">
        <x:v>Ricoh MPC 2551</x:v>
      </x:c>
      <x:c r="D183" s="192" t="str">
        <x:v>Color Copier Color Pages</x:v>
      </x:c>
      <x:c r="E183" s="192" t="str">
        <x:v>V9835900257</x:v>
      </x:c>
      <x:c r="F183" s="192" t="str">
        <x:v>Active</x:v>
      </x:c>
      <x:c r="G183" s="192" t="str">
        <x:v>Poplar Bluff Treatment Center</x:v>
      </x:c>
      <x:c r="H183" s="192" t="str">
        <x:v/>
      </x:c>
      <x:c r="I183" s="192" t="str">
        <x:v/>
      </x:c>
      <x:c r="J183" s="192" t="str">
        <x:v/>
      </x:c>
      <x:c r="K183" s="192" t="str">
        <x:v/>
      </x:c>
      <x:c r="L183" s="192" t="str">
        <x:v/>
      </x:c>
      <x:c r="M183" s="192" t="str">
        <x:v>12/1/2018</x:v>
      </x:c>
      <x:c r="N183" s="183" t="n">
        <x:v>76626.00</x:v>
      </x:c>
      <x:c r="O183" s="192" t="str">
        <x:v>12/31/2018</x:v>
      </x:c>
      <x:c r="P183" s="183" t="n">
        <x:v>77030.00</x:v>
      </x:c>
      <x:c r="Q183" s="207" t="n">
        <x:v>0.0011</x:v>
      </x:c>
      <x:c r="R183" s="207" t="n">
        <x:v>0.0095</x:v>
      </x:c>
      <x:c r="S183" s="183" t="n">
        <x:v>292.00</x:v>
      </x:c>
      <x:c r="T183" s="182" t="n">
        <x:f ca="1">=IF(AND(U183=0,S183&gt;0),-100%,IF(OR(S183=0,S183="-"),"-",IF(AND(S183=0,U183=0),0%,IF(S183&lt;U183,SUM(U183-S183)/S183,IF(S183&gt;U183,SUM(-1*(S183-U183)/S183),"")))))</x:f>
        <x:v/>
      </x:c>
      <x:c r="U183" s="183" t="n">
        <x:v>404.00</x:v>
      </x:c>
      <x:c r="V183" s="183" t="n">
        <x:f ca="1">=SUM(U183/ ((O183- M183)/30.42))</x:f>
        <x:v/>
      </x:c>
      <x:c r="W183" s="196">
        <x:f ca="1">=IF(T183="","",IF(T183="-","",IF(U183=0,"",IF(OR(T183&gt;AA4,T183&lt;-AA4),"*",""))))</x:f>
        <x:v/>
      </x:c>
      <x:c r="X183" s="98" t="str">
        <x:v/>
      </x:c>
    </x:row>
    <x:row r="184" spans="1:25" s="12" x14ac:dyDescent="0.25">
      <x:c r="A184" s="90" t="str">
        <x:v>170</x:v>
      </x:c>
      <x:c r="B184" s="191" t="str">
        <x:v>13954551</x:v>
      </x:c>
      <x:c r="C184" s="191" t="str">
        <x:v>Ricoh MP C3004</x:v>
      </x:c>
      <x:c r="D184" s="191" t="str">
        <x:v>Color Copier Color Pages</x:v>
      </x:c>
      <x:c r="E184" s="191" t="str">
        <x:v>G696MB60082</x:v>
      </x:c>
      <x:c r="F184" s="191" t="str">
        <x:v>Active</x:v>
      </x:c>
      <x:c r="G184" s="191" t="str">
        <x:v>Asheville</x:v>
      </x:c>
      <x:c r="H184" s="191" t="str">
        <x:v/>
      </x:c>
      <x:c r="I184" s="191" t="str">
        <x:v/>
      </x:c>
      <x:c r="J184" s="191" t="str">
        <x:v/>
      </x:c>
      <x:c r="K184" s="191" t="str">
        <x:v>Rhonda Ingle</x:v>
      </x:c>
      <x:c r="L184" s="191" t="str">
        <x:v/>
      </x:c>
      <x:c r="M184" s="191" t="str">
        <x:v>12/1/2018</x:v>
      </x:c>
      <x:c r="N184" s="189" t="n">
        <x:v>37358.00</x:v>
      </x:c>
      <x:c r="O184" s="191" t="str">
        <x:v>12/31/2018</x:v>
      </x:c>
      <x:c r="P184" s="189" t="n">
        <x:v>37745.00</x:v>
      </x:c>
      <x:c r="Q184" s="206" t="n">
        <x:v>0.001</x:v>
      </x:c>
      <x:c r="R184" s="206" t="n">
        <x:v>0.0091</x:v>
      </x:c>
      <x:c r="S184" s="189" t="n">
        <x:v>800.00</x:v>
      </x:c>
      <x:c r="T184" s="187" t="n">
        <x:f ca="1">=IF(AND(U184=0,S184&gt;0),-100%,IF(OR(S184=0,S184="-"),"-",IF(AND(S184=0,U184=0),0%,IF(S184&lt;U184,SUM(U184-S184)/S184,IF(S184&gt;U184,SUM(-1*(S184-U184)/S184),"")))))</x:f>
        <x:v/>
      </x:c>
      <x:c r="U184" s="189" t="n">
        <x:v>387.00</x:v>
      </x:c>
      <x:c r="V184" s="189" t="n">
        <x:f ca="1">=SUM(U184/ ((O184- M184)/30.42))</x:f>
        <x:v/>
      </x:c>
      <x:c r="W184" s="195">
        <x:f ca="1">=IF(T184="","",IF(T184="-","",IF(U184=0,"",IF(OR(T184&gt;AA4,T184&lt;-AA4),"*",""))))</x:f>
        <x:v/>
      </x:c>
      <x:c r="X184" s="91" t="str">
        <x:v/>
      </x:c>
    </x:row>
    <x:row r="185" spans="1:25" s="12" x14ac:dyDescent="0.25">
      <x:c r="A185" s="96" t="str">
        <x:v>171</x:v>
      </x:c>
      <x:c r="B185" s="192" t="str">
        <x:v>13313781</x:v>
      </x:c>
      <x:c r="C185" s="192" t="str">
        <x:v>Ricoh MP C2051</x:v>
      </x:c>
      <x:c r="D185" s="192" t="str">
        <x:v>Color Copier Color Pages</x:v>
      </x:c>
      <x:c r="E185" s="192" t="str">
        <x:v>V9706000117</x:v>
      </x:c>
      <x:c r="F185" s="192" t="str">
        <x:v>Active</x:v>
      </x:c>
      <x:c r="G185" s="192" t="str">
        <x:v>New Orleans Westbank Treatment Center</x:v>
      </x:c>
      <x:c r="H185" s="192" t="str">
        <x:v/>
      </x:c>
      <x:c r="I185" s="192" t="str">
        <x:v/>
      </x:c>
      <x:c r="J185" s="192" t="str">
        <x:v/>
      </x:c>
      <x:c r="K185" s="192" t="str">
        <x:v/>
      </x:c>
      <x:c r="L185" s="192" t="str">
        <x:v/>
      </x:c>
      <x:c r="M185" s="192" t="str">
        <x:v>12/1/2018</x:v>
      </x:c>
      <x:c r="N185" s="183" t="n">
        <x:v>103897.00</x:v>
      </x:c>
      <x:c r="O185" s="192" t="str">
        <x:v>12/31/2018</x:v>
      </x:c>
      <x:c r="P185" s="183" t="n">
        <x:v>104279.00</x:v>
      </x:c>
      <x:c r="Q185" s="207" t="n">
        <x:v>0.001</x:v>
      </x:c>
      <x:c r="R185" s="207" t="n">
        <x:v>0.009</x:v>
      </x:c>
      <x:c r="S185" s="183" t="n">
        <x:v>295.00</x:v>
      </x:c>
      <x:c r="T185" s="182" t="n">
        <x:f ca="1">=IF(AND(U185=0,S185&gt;0),-100%,IF(OR(S185=0,S185="-"),"-",IF(AND(S185=0,U185=0),0%,IF(S185&lt;U185,SUM(U185-S185)/S185,IF(S185&gt;U185,SUM(-1*(S185-U185)/S185),"")))))</x:f>
        <x:v/>
      </x:c>
      <x:c r="U185" s="183" t="n">
        <x:v>382.00</x:v>
      </x:c>
      <x:c r="V185" s="183" t="n">
        <x:f ca="1">=SUM(U185/ ((O185- M185)/30.42))</x:f>
        <x:v/>
      </x:c>
      <x:c r="W185" s="196">
        <x:f ca="1">=IF(T185="","",IF(T185="-","",IF(U185=0,"",IF(OR(T185&gt;AA4,T185&lt;-AA4),"*",""))))</x:f>
        <x:v/>
      </x:c>
      <x:c r="X185" s="98" t="str">
        <x:v/>
      </x:c>
    </x:row>
    <x:row r="186" spans="1:25" s="12" x14ac:dyDescent="0.25">
      <x:c r="A186" s="90" t="str">
        <x:v>172</x:v>
      </x:c>
      <x:c r="B186" s="191" t="str">
        <x:v>20185736</x:v>
      </x:c>
      <x:c r="C186" s="191" t="str">
        <x:v>Ricoh MP C2051</x:v>
      </x:c>
      <x:c r="D186" s="191" t="str">
        <x:v>Color Copier Color Pages</x:v>
      </x:c>
      <x:c r="E186" s="191" t="str">
        <x:v>V9714900367</x:v>
      </x:c>
      <x:c r="F186" s="191" t="str">
        <x:v>Active</x:v>
      </x:c>
      <x:c r="G186" s="191" t="str">
        <x:v>Knoxville Bernard Treatment Center</x:v>
      </x:c>
      <x:c r="H186" s="191" t="str">
        <x:v/>
      </x:c>
      <x:c r="I186" s="191" t="str">
        <x:v/>
      </x:c>
      <x:c r="J186" s="191" t="str">
        <x:v>1</x:v>
      </x:c>
      <x:c r="K186" s="191" t="str">
        <x:v/>
      </x:c>
      <x:c r="L186" s="191" t="str">
        <x:v/>
      </x:c>
      <x:c r="M186" s="191" t="str">
        <x:v>12/1/2018</x:v>
      </x:c>
      <x:c r="N186" s="189" t="n">
        <x:v>21285.00</x:v>
      </x:c>
      <x:c r="O186" s="191" t="str">
        <x:v>12/31/2018</x:v>
      </x:c>
      <x:c r="P186" s="189" t="n">
        <x:v>21640.00</x:v>
      </x:c>
      <x:c r="Q186" s="206" t="n">
        <x:v>0.001</x:v>
      </x:c>
      <x:c r="R186" s="206" t="n">
        <x:v>0.0084</x:v>
      </x:c>
      <x:c r="S186" s="189" t="n">
        <x:v>111.00</x:v>
      </x:c>
      <x:c r="T186" s="187" t="n">
        <x:f ca="1">=IF(AND(U186=0,S186&gt;0),-100%,IF(OR(S186=0,S186="-"),"-",IF(AND(S186=0,U186=0),0%,IF(S186&lt;U186,SUM(U186-S186)/S186,IF(S186&gt;U186,SUM(-1*(S186-U186)/S186),"")))))</x:f>
        <x:v/>
      </x:c>
      <x:c r="U186" s="189" t="n">
        <x:v>355.00</x:v>
      </x:c>
      <x:c r="V186" s="189" t="n">
        <x:f ca="1">=SUM(U186/ ((O186- M186)/30.42))</x:f>
        <x:v/>
      </x:c>
      <x:c r="W186" s="195">
        <x:f ca="1">=IF(T186="","",IF(T186="-","",IF(U186=0,"",IF(OR(T186&gt;AA4,T186&lt;-AA4),"*",""))))</x:f>
        <x:v/>
      </x:c>
      <x:c r="X186" s="91" t="str">
        <x:v/>
      </x:c>
    </x:row>
    <x:row r="187" spans="1:25" s="12" x14ac:dyDescent="0.25">
      <x:c r="A187" s="96" t="str">
        <x:v>173</x:v>
      </x:c>
      <x:c r="B187" s="192" t="str">
        <x:v>FPR60836</x:v>
      </x:c>
      <x:c r="C187" s="192" t="str">
        <x:v>Ricoh MP C3004</x:v>
      </x:c>
      <x:c r="D187" s="192" t="str">
        <x:v>Color Copier Color Pages</x:v>
      </x:c>
      <x:c r="E187" s="192" t="str">
        <x:v>C718M411173</x:v>
      </x:c>
      <x:c r="F187" s="192" t="str">
        <x:v>Active</x:v>
      </x:c>
      <x:c r="G187" s="192" t="str">
        <x:v>Gadsden Treatment Center</x:v>
      </x:c>
      <x:c r="H187" s="192" t="str">
        <x:v/>
      </x:c>
      <x:c r="I187" s="192" t="str">
        <x:v/>
      </x:c>
      <x:c r="J187" s="192" t="str">
        <x:v/>
      </x:c>
      <x:c r="K187" s="192" t="str">
        <x:v>Copy Room / Laura Browder</x:v>
      </x:c>
      <x:c r="L187" s="192" t="str">
        <x:v/>
      </x:c>
      <x:c r="M187" s="192" t="str">
        <x:v>12/1/2018</x:v>
      </x:c>
      <x:c r="N187" s="183" t="n">
        <x:v>945.00</x:v>
      </x:c>
      <x:c r="O187" s="192" t="str">
        <x:v>12/31/2018</x:v>
      </x:c>
      <x:c r="P187" s="183" t="n">
        <x:v>1241.00</x:v>
      </x:c>
      <x:c r="Q187" s="207" t="n">
        <x:v>0.0008</x:v>
      </x:c>
      <x:c r="R187" s="207" t="n">
        <x:v>0.007</x:v>
      </x:c>
      <x:c r="S187" s="183" t="n">
        <x:v>64.00</x:v>
      </x:c>
      <x:c r="T187" s="182" t="n">
        <x:f ca="1">=IF(AND(U187=0,S187&gt;0),-100%,IF(OR(S187=0,S187="-"),"-",IF(AND(S187=0,U187=0),0%,IF(S187&lt;U187,SUM(U187-S187)/S187,IF(S187&gt;U187,SUM(-1*(S187-U187)/S187),"")))))</x:f>
        <x:v/>
      </x:c>
      <x:c r="U187" s="183" t="n">
        <x:v>296.00</x:v>
      </x:c>
      <x:c r="V187" s="183" t="n">
        <x:f ca="1">=SUM(U187/ ((O187- M187)/30.42))</x:f>
        <x:v/>
      </x:c>
      <x:c r="W187" s="196">
        <x:f ca="1">=IF(T187="","",IF(T187="-","",IF(U187=0,"",IF(OR(T187&gt;AA4,T187&lt;-AA4),"*",""))))</x:f>
        <x:v/>
      </x:c>
      <x:c r="X187" s="98" t="str">
        <x:v/>
      </x:c>
    </x:row>
    <x:row r="188" spans="1:25" s="12" x14ac:dyDescent="0.25">
      <x:c r="A188" s="90" t="str">
        <x:v>174</x:v>
      </x:c>
      <x:c r="B188" s="191" t="str">
        <x:v>12884505</x:v>
      </x:c>
      <x:c r="C188" s="191" t="str">
        <x:v>Ricoh MPC 2551</x:v>
      </x:c>
      <x:c r="D188" s="191" t="str">
        <x:v>Color Copier Color Pages</x:v>
      </x:c>
      <x:c r="E188" s="191" t="str">
        <x:v>V9834900469</x:v>
      </x:c>
      <x:c r="F188" s="191" t="str">
        <x:v>Active</x:v>
      </x:c>
      <x:c r="G188" s="191" t="str">
        <x:v>Hazard Treatment Center</x:v>
      </x:c>
      <x:c r="H188" s="191" t="str">
        <x:v/>
      </x:c>
      <x:c r="I188" s="191" t="str">
        <x:v/>
      </x:c>
      <x:c r="J188" s="191" t="str">
        <x:v/>
      </x:c>
      <x:c r="K188" s="191" t="str">
        <x:v/>
      </x:c>
      <x:c r="L188" s="191" t="str">
        <x:v/>
      </x:c>
      <x:c r="M188" s="191" t="str">
        <x:v>12/1/2018</x:v>
      </x:c>
      <x:c r="N188" s="189" t="n">
        <x:v>44322.00</x:v>
      </x:c>
      <x:c r="O188" s="191" t="str">
        <x:v>12/31/2018</x:v>
      </x:c>
      <x:c r="P188" s="189" t="n">
        <x:v>44604.00</x:v>
      </x:c>
      <x:c r="Q188" s="206" t="n">
        <x:v>0.0008</x:v>
      </x:c>
      <x:c r="R188" s="206" t="n">
        <x:v>0.0066</x:v>
      </x:c>
      <x:c r="S188" s="189" t="n">
        <x:v>263.00</x:v>
      </x:c>
      <x:c r="T188" s="187" t="n">
        <x:f ca="1">=IF(AND(U188=0,S188&gt;0),-100%,IF(OR(S188=0,S188="-"),"-",IF(AND(S188=0,U188=0),0%,IF(S188&lt;U188,SUM(U188-S188)/S188,IF(S188&gt;U188,SUM(-1*(S188-U188)/S188),"")))))</x:f>
        <x:v/>
      </x:c>
      <x:c r="U188" s="189" t="n">
        <x:v>282.00</x:v>
      </x:c>
      <x:c r="V188" s="189" t="n">
        <x:f ca="1">=SUM(U188/ ((O188- M188)/30.42))</x:f>
        <x:v/>
      </x:c>
      <x:c r="W188" s="195">
        <x:f ca="1">=IF(T188="","",IF(T188="-","",IF(U188=0,"",IF(OR(T188&gt;AA4,T188&lt;-AA4),"*",""))))</x:f>
        <x:v/>
      </x:c>
      <x:c r="X188" s="91" t="str">
        <x:v/>
      </x:c>
    </x:row>
    <x:row r="189" spans="1:25" s="12" x14ac:dyDescent="0.25">
      <x:c r="A189" s="96" t="str">
        <x:v>175</x:v>
      </x:c>
      <x:c r="B189" s="192" t="str">
        <x:v>20314961</x:v>
      </x:c>
      <x:c r="C189" s="192" t="str">
        <x:v>Ricoh MP C2051</x:v>
      </x:c>
      <x:c r="D189" s="192" t="str">
        <x:v>Color Copier Color Pages</x:v>
      </x:c>
      <x:c r="E189" s="192" t="str">
        <x:v>V9706000065</x:v>
      </x:c>
      <x:c r="F189" s="192" t="str">
        <x:v>Active</x:v>
      </x:c>
      <x:c r="G189" s="192" t="str">
        <x:v>Memphis South Treatment Center</x:v>
      </x:c>
      <x:c r="H189" s="192" t="str">
        <x:v/>
      </x:c>
      <x:c r="I189" s="192" t="str">
        <x:v/>
      </x:c>
      <x:c r="J189" s="192" t="str">
        <x:v/>
      </x:c>
      <x:c r="K189" s="192" t="str">
        <x:v/>
      </x:c>
      <x:c r="L189" s="192" t="str">
        <x:v/>
      </x:c>
      <x:c r="M189" s="192" t="str">
        <x:v>12/1/2018</x:v>
      </x:c>
      <x:c r="N189" s="183" t="n">
        <x:v>23477.00</x:v>
      </x:c>
      <x:c r="O189" s="192" t="str">
        <x:v>12/31/2018</x:v>
      </x:c>
      <x:c r="P189" s="183" t="n">
        <x:v>23704.00</x:v>
      </x:c>
      <x:c r="Q189" s="207" t="n">
        <x:v>0.0006</x:v>
      </x:c>
      <x:c r="R189" s="207" t="n">
        <x:v>0.0053</x:v>
      </x:c>
      <x:c r="S189" s="183" t="n">
        <x:v>172.00</x:v>
      </x:c>
      <x:c r="T189" s="182" t="n">
        <x:f ca="1">=IF(AND(U189=0,S189&gt;0),-100%,IF(OR(S189=0,S189="-"),"-",IF(AND(S189=0,U189=0),0%,IF(S189&lt;U189,SUM(U189-S189)/S189,IF(S189&gt;U189,SUM(-1*(S189-U189)/S189),"")))))</x:f>
        <x:v/>
      </x:c>
      <x:c r="U189" s="183" t="n">
        <x:v>227.00</x:v>
      </x:c>
      <x:c r="V189" s="183" t="n">
        <x:f ca="1">=SUM(U189/ ((O189- M189)/30.42))</x:f>
        <x:v/>
      </x:c>
      <x:c r="W189" s="196">
        <x:f ca="1">=IF(T189="","",IF(T189="-","",IF(U189=0,"",IF(OR(T189&gt;AA4,T189&lt;-AA4),"*",""))))</x:f>
        <x:v/>
      </x:c>
      <x:c r="X189" s="98" t="str">
        <x:v/>
      </x:c>
    </x:row>
    <x:row r="190" spans="1:25" s="12" x14ac:dyDescent="0.25">
      <x:c r="A190" s="90" t="str">
        <x:v>176</x:v>
      </x:c>
      <x:c r="B190" s="191" t="str">
        <x:v>14099437</x:v>
      </x:c>
      <x:c r="C190" s="191" t="str">
        <x:v>Ricoh MP C3004</x:v>
      </x:c>
      <x:c r="D190" s="191" t="str">
        <x:v>Color Copier Color Pages</x:v>
      </x:c>
      <x:c r="E190" s="191" t="str">
        <x:v>C717M300109</x:v>
      </x:c>
      <x:c r="F190" s="191" t="str">
        <x:v>Active</x:v>
      </x:c>
      <x:c r="G190" s="191" t="str">
        <x:v>Tifton Treatment Center</x:v>
      </x:c>
      <x:c r="H190" s="191" t="str">
        <x:v/>
      </x:c>
      <x:c r="I190" s="191" t="str">
        <x:v/>
      </x:c>
      <x:c r="J190" s="191" t="str">
        <x:v/>
      </x:c>
      <x:c r="K190" s="191" t="str">
        <x:v>Travis Hall</x:v>
      </x:c>
      <x:c r="L190" s="191" t="str">
        <x:v/>
      </x:c>
      <x:c r="M190" s="191" t="str">
        <x:v>12/1/2018</x:v>
      </x:c>
      <x:c r="N190" s="189" t="n">
        <x:v>12684.00</x:v>
      </x:c>
      <x:c r="O190" s="191" t="str">
        <x:v>12/31/2018</x:v>
      </x:c>
      <x:c r="P190" s="189" t="n">
        <x:v>12902.00</x:v>
      </x:c>
      <x:c r="Q190" s="206" t="n">
        <x:v>0.0006</x:v>
      </x:c>
      <x:c r="R190" s="206" t="n">
        <x:v>0.0051</x:v>
      </x:c>
      <x:c r="S190" s="189" t="n">
        <x:v>505.00</x:v>
      </x:c>
      <x:c r="T190" s="187" t="n">
        <x:f ca="1">=IF(AND(U190=0,S190&gt;0),-100%,IF(OR(S190=0,S190="-"),"-",IF(AND(S190=0,U190=0),0%,IF(S190&lt;U190,SUM(U190-S190)/S190,IF(S190&gt;U190,SUM(-1*(S190-U190)/S190),"")))))</x:f>
        <x:v/>
      </x:c>
      <x:c r="U190" s="189" t="n">
        <x:v>218.00</x:v>
      </x:c>
      <x:c r="V190" s="189" t="n">
        <x:f ca="1">=SUM(U190/ ((O190- M190)/30.42))</x:f>
        <x:v/>
      </x:c>
      <x:c r="W190" s="195">
        <x:f ca="1">=IF(T190="","",IF(T190="-","",IF(U190=0,"",IF(OR(T190&gt;AA4,T190&lt;-AA4),"*",""))))</x:f>
        <x:v/>
      </x:c>
      <x:c r="X190" s="91" t="str">
        <x:v/>
      </x:c>
    </x:row>
    <x:row r="191" spans="1:25" s="12" x14ac:dyDescent="0.25">
      <x:c r="A191" s="96" t="str">
        <x:v>177</x:v>
      </x:c>
      <x:c r="B191" s="192" t="str">
        <x:v>20166239</x:v>
      </x:c>
      <x:c r="C191" s="192" t="str">
        <x:v>Ricoh MP C2051</x:v>
      </x:c>
      <x:c r="D191" s="192" t="str">
        <x:v>Color Copier Color Pages</x:v>
      </x:c>
      <x:c r="E191" s="192" t="str">
        <x:v>V9706000050</x:v>
      </x:c>
      <x:c r="F191" s="192" t="str">
        <x:v>Active</x:v>
      </x:c>
      <x:c r="G191" s="192" t="str">
        <x:v>Memphis Mid-Town Treatment Center</x:v>
      </x:c>
      <x:c r="H191" s="192" t="str">
        <x:v/>
      </x:c>
      <x:c r="I191" s="192" t="str">
        <x:v/>
      </x:c>
      <x:c r="J191" s="192" t="str">
        <x:v>2</x:v>
      </x:c>
      <x:c r="K191" s="192" t="str">
        <x:v/>
      </x:c>
      <x:c r="L191" s="192" t="str">
        <x:v/>
      </x:c>
      <x:c r="M191" s="192" t="str">
        <x:v>12/1/2018</x:v>
      </x:c>
      <x:c r="N191" s="183" t="n">
        <x:v>34621.00</x:v>
      </x:c>
      <x:c r="O191" s="192" t="str">
        <x:v>12/31/2018</x:v>
      </x:c>
      <x:c r="P191" s="183" t="n">
        <x:v>34834.00</x:v>
      </x:c>
      <x:c r="Q191" s="207" t="n">
        <x:v>0.0006</x:v>
      </x:c>
      <x:c r="R191" s="207" t="n">
        <x:v>0.005</x:v>
      </x:c>
      <x:c r="S191" s="183" t="n">
        <x:v>463.00</x:v>
      </x:c>
      <x:c r="T191" s="182" t="n">
        <x:f ca="1">=IF(AND(U191=0,S191&gt;0),-100%,IF(OR(S191=0,S191="-"),"-",IF(AND(S191=0,U191=0),0%,IF(S191&lt;U191,SUM(U191-S191)/S191,IF(S191&gt;U191,SUM(-1*(S191-U191)/S191),"")))))</x:f>
        <x:v/>
      </x:c>
      <x:c r="U191" s="183" t="n">
        <x:v>213.00</x:v>
      </x:c>
      <x:c r="V191" s="183" t="n">
        <x:f ca="1">=SUM(U191/ ((O191- M191)/30.42))</x:f>
        <x:v/>
      </x:c>
      <x:c r="W191" s="196">
        <x:f ca="1">=IF(T191="","",IF(T191="-","",IF(U191=0,"",IF(OR(T191&gt;AA4,T191&lt;-AA4),"*",""))))</x:f>
        <x:v/>
      </x:c>
      <x:c r="X191" s="98" t="str">
        <x:v/>
      </x:c>
    </x:row>
    <x:row r="192" spans="1:25" s="12" x14ac:dyDescent="0.25">
      <x:c r="A192" s="90" t="str">
        <x:v>178</x:v>
      </x:c>
      <x:c r="B192" s="191" t="str">
        <x:v>20086075</x:v>
      </x:c>
      <x:c r="C192" s="191" t="str">
        <x:v>Ricoh MP C2051</x:v>
      </x:c>
      <x:c r="D192" s="191" t="str">
        <x:v>Color Copier Color Pages</x:v>
      </x:c>
      <x:c r="E192" s="191" t="str">
        <x:v>V9706000022</x:v>
      </x:c>
      <x:c r="F192" s="191" t="str">
        <x:v>Active</x:v>
      </x:c>
      <x:c r="G192" s="191" t="str">
        <x:v>Denver Treatment Center</x:v>
      </x:c>
      <x:c r="H192" s="191" t="str">
        <x:v/>
      </x:c>
      <x:c r="I192" s="191" t="str">
        <x:v/>
      </x:c>
      <x:c r="J192" s="191" t="str">
        <x:v>1</x:v>
      </x:c>
      <x:c r="K192" s="191" t="str">
        <x:v/>
      </x:c>
      <x:c r="L192" s="191" t="str">
        <x:v/>
      </x:c>
      <x:c r="M192" s="191" t="str">
        <x:v>12/1/2018</x:v>
      </x:c>
      <x:c r="N192" s="189" t="n">
        <x:v>20916.00</x:v>
      </x:c>
      <x:c r="O192" s="191" t="str">
        <x:v>12/31/2018</x:v>
      </x:c>
      <x:c r="P192" s="189" t="n">
        <x:v>21095.00</x:v>
      </x:c>
      <x:c r="Q192" s="206" t="n">
        <x:v>0.0005</x:v>
      </x:c>
      <x:c r="R192" s="206" t="n">
        <x:v>0.0042</x:v>
      </x:c>
      <x:c r="S192" s="189" t="n">
        <x:v>254.00</x:v>
      </x:c>
      <x:c r="T192" s="187" t="n">
        <x:f ca="1">=IF(AND(U192=0,S192&gt;0),-100%,IF(OR(S192=0,S192="-"),"-",IF(AND(S192=0,U192=0),0%,IF(S192&lt;U192,SUM(U192-S192)/S192,IF(S192&gt;U192,SUM(-1*(S192-U192)/S192),"")))))</x:f>
        <x:v/>
      </x:c>
      <x:c r="U192" s="189" t="n">
        <x:v>179.00</x:v>
      </x:c>
      <x:c r="V192" s="189" t="n">
        <x:f ca="1">=SUM(U192/ ((O192- M192)/30.42))</x:f>
        <x:v/>
      </x:c>
      <x:c r="W192" s="195">
        <x:f ca="1">=IF(T192="","",IF(T192="-","",IF(U192=0,"",IF(OR(T192&gt;AA4,T192&lt;-AA4),"*",""))))</x:f>
        <x:v/>
      </x:c>
      <x:c r="X192" s="91" t="str">
        <x:v/>
      </x:c>
    </x:row>
    <x:row r="193" spans="1:25" s="12" x14ac:dyDescent="0.25">
      <x:c r="A193" s="96" t="str">
        <x:v>179</x:v>
      </x:c>
      <x:c r="B193" s="192" t="str">
        <x:v>12612610</x:v>
      </x:c>
      <x:c r="C193" s="192" t="str">
        <x:v>Ricoh MP C2051</x:v>
      </x:c>
      <x:c r="D193" s="192" t="str">
        <x:v>Color Copier Color Pages</x:v>
      </x:c>
      <x:c r="E193" s="192" t="str">
        <x:v>V9715000254</x:v>
      </x:c>
      <x:c r="F193" s="192" t="str">
        <x:v>Active</x:v>
      </x:c>
      <x:c r="G193" s="192" t="str">
        <x:v>Nashville Treatment Center</x:v>
      </x:c>
      <x:c r="H193" s="192" t="str">
        <x:v/>
      </x:c>
      <x:c r="I193" s="192" t="str">
        <x:v/>
      </x:c>
      <x:c r="J193" s="192" t="str">
        <x:v>1</x:v>
      </x:c>
      <x:c r="K193" s="192" t="str">
        <x:v/>
      </x:c>
      <x:c r="L193" s="192" t="str">
        <x:v/>
      </x:c>
      <x:c r="M193" s="192" t="str">
        <x:v>12/1/2018</x:v>
      </x:c>
      <x:c r="N193" s="183" t="n">
        <x:v>49569.00</x:v>
      </x:c>
      <x:c r="O193" s="192" t="str">
        <x:v>12/31/2018</x:v>
      </x:c>
      <x:c r="P193" s="183" t="n">
        <x:v>49696.00</x:v>
      </x:c>
      <x:c r="Q193" s="207" t="n">
        <x:v>0.0003</x:v>
      </x:c>
      <x:c r="R193" s="207" t="n">
        <x:v>0.003</x:v>
      </x:c>
      <x:c r="S193" s="183" t="n">
        <x:v>142.00</x:v>
      </x:c>
      <x:c r="T193" s="182" t="n">
        <x:f ca="1">=IF(AND(U193=0,S193&gt;0),-100%,IF(OR(S193=0,S193="-"),"-",IF(AND(S193=0,U193=0),0%,IF(S193&lt;U193,SUM(U193-S193)/S193,IF(S193&gt;U193,SUM(-1*(S193-U193)/S193),"")))))</x:f>
        <x:v/>
      </x:c>
      <x:c r="U193" s="183" t="n">
        <x:v>127.00</x:v>
      </x:c>
      <x:c r="V193" s="183" t="n">
        <x:f ca="1">=SUM(U193/ ((O193- M193)/30.42))</x:f>
        <x:v/>
      </x:c>
      <x:c r="W193" s="196">
        <x:f ca="1">=IF(T193="","",IF(T193="-","",IF(U193=0,"",IF(OR(T193&gt;AA4,T193&lt;-AA4),"*",""))))</x:f>
        <x:v/>
      </x:c>
      <x:c r="X193" s="98" t="str">
        <x:v/>
      </x:c>
    </x:row>
    <x:row r="194" spans="1:25" s="12" x14ac:dyDescent="0.25">
      <x:c r="A194" s="90" t="str">
        <x:v>180</x:v>
      </x:c>
      <x:c r="B194" s="191" t="str">
        <x:v>13089714</x:v>
      </x:c>
      <x:c r="C194" s="191" t="str">
        <x:v>Ricoh MP C2051</x:v>
      </x:c>
      <x:c r="D194" s="191" t="str">
        <x:v>Color Copier Color Pages</x:v>
      </x:c>
      <x:c r="E194" s="191" t="str">
        <x:v>V9715101381</x:v>
      </x:c>
      <x:c r="F194" s="191" t="str">
        <x:v>Active</x:v>
      </x:c>
      <x:c r="G194" s="191" t="str">
        <x:v>Westminster Treament Center</x:v>
      </x:c>
      <x:c r="H194" s="191" t="str">
        <x:v/>
      </x:c>
      <x:c r="I194" s="191" t="str">
        <x:v/>
      </x:c>
      <x:c r="J194" s="191" t="str">
        <x:v>6</x:v>
      </x:c>
      <x:c r="K194" s="191" t="str">
        <x:v/>
      </x:c>
      <x:c r="L194" s="191" t="str">
        <x:v/>
      </x:c>
      <x:c r="M194" s="191" t="str">
        <x:v>12/1/2018</x:v>
      </x:c>
      <x:c r="N194" s="189" t="n">
        <x:v>8719.00</x:v>
      </x:c>
      <x:c r="O194" s="191" t="str">
        <x:v>12/31/2018</x:v>
      </x:c>
      <x:c r="P194" s="189" t="n">
        <x:v>8841.00</x:v>
      </x:c>
      <x:c r="Q194" s="206" t="n">
        <x:v>0.0003</x:v>
      </x:c>
      <x:c r="R194" s="206" t="n">
        <x:v>0.0029</x:v>
      </x:c>
      <x:c r="S194" s="189" t="n">
        <x:v>57.00</x:v>
      </x:c>
      <x:c r="T194" s="187" t="n">
        <x:f ca="1">=IF(AND(U194=0,S194&gt;0),-100%,IF(OR(S194=0,S194="-"),"-",IF(AND(S194=0,U194=0),0%,IF(S194&lt;U194,SUM(U194-S194)/S194,IF(S194&gt;U194,SUM(-1*(S194-U194)/S194),"")))))</x:f>
        <x:v/>
      </x:c>
      <x:c r="U194" s="189" t="n">
        <x:v>122.00</x:v>
      </x:c>
      <x:c r="V194" s="189" t="n">
        <x:f ca="1">=SUM(U194/ ((O194- M194)/30.42))</x:f>
        <x:v/>
      </x:c>
      <x:c r="W194" s="195">
        <x:f ca="1">=IF(T194="","",IF(T194="-","",IF(U194=0,"",IF(OR(T194&gt;AA4,T194&lt;-AA4),"*",""))))</x:f>
        <x:v/>
      </x:c>
      <x:c r="X194" s="91" t="str">
        <x:v/>
      </x:c>
    </x:row>
    <x:row r="195" spans="1:25" s="12" x14ac:dyDescent="0.25">
      <x:c r="A195" s="96" t="str">
        <x:v>181</x:v>
      </x:c>
      <x:c r="B195" s="192" t="str">
        <x:v>13755307</x:v>
      </x:c>
      <x:c r="C195" s="192" t="str">
        <x:v>Ricoh MP C3003</x:v>
      </x:c>
      <x:c r="D195" s="192" t="str">
        <x:v>Color Copier Color Pages</x:v>
      </x:c>
      <x:c r="E195" s="192" t="str">
        <x:v>E155MB61881</x:v>
      </x:c>
      <x:c r="F195" s="192" t="str">
        <x:v>Active</x:v>
      </x:c>
      <x:c r="G195" s="192" t="str">
        <x:v>Kansas City North Treatment Center</x:v>
      </x:c>
      <x:c r="H195" s="192" t="str">
        <x:v/>
      </x:c>
      <x:c r="I195" s="192" t="str">
        <x:v/>
      </x:c>
      <x:c r="J195" s="192" t="str">
        <x:v/>
      </x:c>
      <x:c r="K195" s="192" t="str">
        <x:v/>
      </x:c>
      <x:c r="L195" s="192" t="str">
        <x:v/>
      </x:c>
      <x:c r="M195" s="192" t="str">
        <x:v>12/1/2018</x:v>
      </x:c>
      <x:c r="N195" s="183" t="n">
        <x:v>52162.00</x:v>
      </x:c>
      <x:c r="O195" s="192" t="str">
        <x:v>12/31/2018</x:v>
      </x:c>
      <x:c r="P195" s="183" t="n">
        <x:v>52283.00</x:v>
      </x:c>
      <x:c r="Q195" s="207" t="n">
        <x:v>0.0003</x:v>
      </x:c>
      <x:c r="R195" s="207" t="n">
        <x:v>0.0028</x:v>
      </x:c>
      <x:c r="S195" s="183" t="n">
        <x:v>235.00</x:v>
      </x:c>
      <x:c r="T195" s="182" t="n">
        <x:f ca="1">=IF(AND(U195=0,S195&gt;0),-100%,IF(OR(S195=0,S195="-"),"-",IF(AND(S195=0,U195=0),0%,IF(S195&lt;U195,SUM(U195-S195)/S195,IF(S195&gt;U195,SUM(-1*(S195-U195)/S195),"")))))</x:f>
        <x:v/>
      </x:c>
      <x:c r="U195" s="183" t="n">
        <x:v>121.00</x:v>
      </x:c>
      <x:c r="V195" s="183" t="n">
        <x:f ca="1">=SUM(U195/ ((O195- M195)/30.42))</x:f>
        <x:v/>
      </x:c>
      <x:c r="W195" s="196">
        <x:f ca="1">=IF(T195="","",IF(T195="-","",IF(U195=0,"",IF(OR(T195&gt;AA4,T195&lt;-AA4),"*",""))))</x:f>
        <x:v/>
      </x:c>
      <x:c r="X195" s="98" t="str">
        <x:v/>
      </x:c>
    </x:row>
    <x:row r="196" spans="1:25" s="12" x14ac:dyDescent="0.25">
      <x:c r="A196" s="90" t="str">
        <x:v>182</x:v>
      </x:c>
      <x:c r="B196" s="191" t="str">
        <x:v>20240742</x:v>
      </x:c>
      <x:c r="C196" s="191" t="str">
        <x:v>Ricoh MP C2051</x:v>
      </x:c>
      <x:c r="D196" s="191" t="str">
        <x:v>Color Copier Color Pages</x:v>
      </x:c>
      <x:c r="E196" s="191" t="str">
        <x:v>V9715101354</x:v>
      </x:c>
      <x:c r="F196" s="191" t="str">
        <x:v>Active</x:v>
      </x:c>
      <x:c r="G196" s="191" t="str">
        <x:v>Kansas City Treatment Center</x:v>
      </x:c>
      <x:c r="H196" s="191" t="str">
        <x:v/>
      </x:c>
      <x:c r="I196" s="191" t="str">
        <x:v/>
      </x:c>
      <x:c r="J196" s="191" t="str">
        <x:v/>
      </x:c>
      <x:c r="K196" s="191" t="str">
        <x:v/>
      </x:c>
      <x:c r="L196" s="191" t="str">
        <x:v/>
      </x:c>
      <x:c r="M196" s="191" t="str">
        <x:v>12/1/2018</x:v>
      </x:c>
      <x:c r="N196" s="189" t="n">
        <x:v>7764.00</x:v>
      </x:c>
      <x:c r="O196" s="191" t="str">
        <x:v>12/31/2018</x:v>
      </x:c>
      <x:c r="P196" s="189" t="n">
        <x:v>7868.00</x:v>
      </x:c>
      <x:c r="Q196" s="206" t="n">
        <x:v>0.0003</x:v>
      </x:c>
      <x:c r="R196" s="206" t="n">
        <x:v>0.0024</x:v>
      </x:c>
      <x:c r="S196" s="189" t="n">
        <x:v>19.00</x:v>
      </x:c>
      <x:c r="T196" s="187" t="n">
        <x:f ca="1">=IF(AND(U196=0,S196&gt;0),-100%,IF(OR(S196=0,S196="-"),"-",IF(AND(S196=0,U196=0),0%,IF(S196&lt;U196,SUM(U196-S196)/S196,IF(S196&gt;U196,SUM(-1*(S196-U196)/S196),"")))))</x:f>
        <x:v/>
      </x:c>
      <x:c r="U196" s="189" t="n">
        <x:v>104.00</x:v>
      </x:c>
      <x:c r="V196" s="189" t="n">
        <x:f ca="1">=SUM(U196/ ((O196- M196)/30.42))</x:f>
        <x:v/>
      </x:c>
      <x:c r="W196" s="195">
        <x:f ca="1">=IF(T196="","",IF(T196="-","",IF(U196=0,"",IF(OR(T196&gt;AA4,T196&lt;-AA4),"*",""))))</x:f>
        <x:v/>
      </x:c>
      <x:c r="X196" s="91" t="str">
        <x:v/>
      </x:c>
    </x:row>
    <x:row r="197" spans="1:25" s="12" x14ac:dyDescent="0.25">
      <x:c r="A197" s="96" t="str">
        <x:v>183</x:v>
      </x:c>
      <x:c r="B197" s="192" t="str">
        <x:v>14099381</x:v>
      </x:c>
      <x:c r="C197" s="192" t="str">
        <x:v>Ricoh MP C3004</x:v>
      </x:c>
      <x:c r="D197" s="192" t="str">
        <x:v>Color Copier Color Pages</x:v>
      </x:c>
      <x:c r="E197" s="192" t="str">
        <x:v>C717M400843</x:v>
      </x:c>
      <x:c r="F197" s="192" t="str">
        <x:v>Active</x:v>
      </x:c>
      <x:c r="G197" s="192" t="str">
        <x:v>Albany Treatment Center</x:v>
      </x:c>
      <x:c r="H197" s="192" t="str">
        <x:v/>
      </x:c>
      <x:c r="I197" s="192" t="str">
        <x:v/>
      </x:c>
      <x:c r="J197" s="192" t="str">
        <x:v/>
      </x:c>
      <x:c r="K197" s="192" t="str">
        <x:v>Tametrice Jones</x:v>
      </x:c>
      <x:c r="L197" s="192" t="str">
        <x:v/>
      </x:c>
      <x:c r="M197" s="192" t="str">
        <x:v>12/1/2018</x:v>
      </x:c>
      <x:c r="N197" s="183" t="n">
        <x:v>15225.00</x:v>
      </x:c>
      <x:c r="O197" s="192" t="str">
        <x:v>12/31/2018</x:v>
      </x:c>
      <x:c r="P197" s="183" t="n">
        <x:v>15329.00</x:v>
      </x:c>
      <x:c r="Q197" s="207" t="n">
        <x:v>0.0003</x:v>
      </x:c>
      <x:c r="R197" s="207" t="n">
        <x:v>0.0024</x:v>
      </x:c>
      <x:c r="S197" s="183" t="n">
        <x:v>203.00</x:v>
      </x:c>
      <x:c r="T197" s="182" t="n">
        <x:f ca="1">=IF(AND(U197=0,S197&gt;0),-100%,IF(OR(S197=0,S197="-"),"-",IF(AND(S197=0,U197=0),0%,IF(S197&lt;U197,SUM(U197-S197)/S197,IF(S197&gt;U197,SUM(-1*(S197-U197)/S197),"")))))</x:f>
        <x:v/>
      </x:c>
      <x:c r="U197" s="183" t="n">
        <x:v>104.00</x:v>
      </x:c>
      <x:c r="V197" s="183" t="n">
        <x:f ca="1">=SUM(U197/ ((O197- M197)/30.42))</x:f>
        <x:v/>
      </x:c>
      <x:c r="W197" s="196">
        <x:f ca="1">=IF(T197="","",IF(T197="-","",IF(U197=0,"",IF(OR(T197&gt;AA4,T197&lt;-AA4),"*",""))))</x:f>
        <x:v/>
      </x:c>
      <x:c r="X197" s="98" t="str">
        <x:v/>
      </x:c>
    </x:row>
    <x:row r="198" spans="1:25" s="12" x14ac:dyDescent="0.25">
      <x:c r="A198" s="90" t="str">
        <x:v>184</x:v>
      </x:c>
      <x:c r="B198" s="191" t="str">
        <x:v>13107064</x:v>
      </x:c>
      <x:c r="C198" s="191" t="str">
        <x:v>Ricoh MPC 2551</x:v>
      </x:c>
      <x:c r="D198" s="191" t="str">
        <x:v>Color Copier Color Pages</x:v>
      </x:c>
      <x:c r="E198" s="191" t="str">
        <x:v>V9835800894</x:v>
      </x:c>
      <x:c r="F198" s="191" t="str">
        <x:v>Active</x:v>
      </x:c>
      <x:c r="G198" s="191" t="str">
        <x:v>Dyersburg Treatment Center</x:v>
      </x:c>
      <x:c r="H198" s="191" t="str">
        <x:v/>
      </x:c>
      <x:c r="I198" s="191" t="str">
        <x:v/>
      </x:c>
      <x:c r="J198" s="191" t="str">
        <x:v/>
      </x:c>
      <x:c r="K198" s="191" t="str">
        <x:v/>
      </x:c>
      <x:c r="L198" s="191" t="str">
        <x:v/>
      </x:c>
      <x:c r="M198" s="191" t="str">
        <x:v>12/1/2018</x:v>
      </x:c>
      <x:c r="N198" s="189" t="n">
        <x:v>189727.00</x:v>
      </x:c>
      <x:c r="O198" s="191" t="str">
        <x:v>12/31/2018</x:v>
      </x:c>
      <x:c r="P198" s="189" t="n">
        <x:v>189821.00</x:v>
      </x:c>
      <x:c r="Q198" s="206" t="n">
        <x:v>0.0003</x:v>
      </x:c>
      <x:c r="R198" s="206" t="n">
        <x:v>0.0022</x:v>
      </x:c>
      <x:c r="S198" s="189" t="n">
        <x:v>140.00</x:v>
      </x:c>
      <x:c r="T198" s="187" t="n">
        <x:f ca="1">=IF(AND(U198=0,S198&gt;0),-100%,IF(OR(S198=0,S198="-"),"-",IF(AND(S198=0,U198=0),0%,IF(S198&lt;U198,SUM(U198-S198)/S198,IF(S198&gt;U198,SUM(-1*(S198-U198)/S198),"")))))</x:f>
        <x:v/>
      </x:c>
      <x:c r="U198" s="189" t="n">
        <x:v>94.00</x:v>
      </x:c>
      <x:c r="V198" s="189" t="n">
        <x:f ca="1">=SUM(U198/ ((O198- M198)/30.42))</x:f>
        <x:v/>
      </x:c>
      <x:c r="W198" s="195">
        <x:f ca="1">=IF(T198="","",IF(T198="-","",IF(U198=0,"",IF(OR(T198&gt;AA4,T198&lt;-AA4),"*",""))))</x:f>
        <x:v/>
      </x:c>
      <x:c r="X198" s="91" t="str">
        <x:v/>
      </x:c>
    </x:row>
    <x:row r="199" spans="1:25" s="12" x14ac:dyDescent="0.25">
      <x:c r="A199" s="96" t="str">
        <x:v>185</x:v>
      </x:c>
      <x:c r="B199" s="192" t="str">
        <x:v>13142160</x:v>
      </x:c>
      <x:c r="C199" s="192" t="str">
        <x:v>Ricoh MPC 2551</x:v>
      </x:c>
      <x:c r="D199" s="192" t="str">
        <x:v>Color Copier Color Pages</x:v>
      </x:c>
      <x:c r="E199" s="192" t="str">
        <x:v>V9836000408</x:v>
      </x:c>
      <x:c r="F199" s="192" t="str">
        <x:v>Active</x:v>
      </x:c>
      <x:c r="G199" s="192" t="str">
        <x:v>Fort Collins Treatment Center</x:v>
      </x:c>
      <x:c r="H199" s="192" t="str">
        <x:v/>
      </x:c>
      <x:c r="I199" s="192" t="str">
        <x:v/>
      </x:c>
      <x:c r="J199" s="192" t="str">
        <x:v/>
      </x:c>
      <x:c r="K199" s="192" t="str">
        <x:v/>
      </x:c>
      <x:c r="L199" s="192" t="str">
        <x:v/>
      </x:c>
      <x:c r="M199" s="192" t="str">
        <x:v>11/29/2018</x:v>
      </x:c>
      <x:c r="N199" s="183" t="n">
        <x:v>91200.00</x:v>
      </x:c>
      <x:c r="O199" s="192" t="str">
        <x:v>12/31/2018</x:v>
      </x:c>
      <x:c r="P199" s="183" t="n">
        <x:v>91292.00</x:v>
      </x:c>
      <x:c r="Q199" s="207" t="n">
        <x:v>0.0002</x:v>
      </x:c>
      <x:c r="R199" s="207" t="n">
        <x:v>0.0022</x:v>
      </x:c>
      <x:c r="S199" s="183" t="n">
        <x:v>193.00</x:v>
      </x:c>
      <x:c r="T199" s="182" t="n">
        <x:f ca="1">=IF(AND(U199=0,S199&gt;0),-100%,IF(OR(S199=0,S199="-"),"-",IF(AND(S199=0,U199=0),0%,IF(S199&lt;U199,SUM(U199-S199)/S199,IF(S199&gt;U199,SUM(-1*(S199-U199)/S199),"")))))</x:f>
        <x:v/>
      </x:c>
      <x:c r="U199" s="183" t="n">
        <x:v>92.00</x:v>
      </x:c>
      <x:c r="V199" s="183" t="n">
        <x:f ca="1">=SUM(U199/ ((O199- M199)/30.42))</x:f>
        <x:v/>
      </x:c>
      <x:c r="W199" s="196">
        <x:f ca="1">=IF(T199="","",IF(T199="-","",IF(U199=0,"",IF(OR(T199&gt;AA4,T199&lt;-AA4),"*",""))))</x:f>
        <x:v/>
      </x:c>
      <x:c r="X199" s="98" t="str">
        <x:v/>
      </x:c>
    </x:row>
    <x:row r="200" spans="1:25" s="12" x14ac:dyDescent="0.25">
      <x:c r="A200" s="90" t="str">
        <x:v>186</x:v>
      </x:c>
      <x:c r="B200" s="191" t="str">
        <x:v>17120447</x:v>
      </x:c>
      <x:c r="C200" s="191" t="str">
        <x:v>Ricoh MPC 2551</x:v>
      </x:c>
      <x:c r="D200" s="191" t="str">
        <x:v>Color Copier Color Pages</x:v>
      </x:c>
      <x:c r="E200" s="191" t="str">
        <x:v>V9835100353</x:v>
      </x:c>
      <x:c r="F200" s="191" t="str">
        <x:v>Active</x:v>
      </x:c>
      <x:c r="G200" s="191" t="str">
        <x:v>Nashville Treatment Center</x:v>
      </x:c>
      <x:c r="H200" s="191" t="str">
        <x:v/>
      </x:c>
      <x:c r="I200" s="191" t="str">
        <x:v/>
      </x:c>
      <x:c r="J200" s="191" t="str">
        <x:v>1</x:v>
      </x:c>
      <x:c r="K200" s="191" t="str">
        <x:v/>
      </x:c>
      <x:c r="L200" s="191" t="str">
        <x:v/>
      </x:c>
      <x:c r="M200" s="191" t="str">
        <x:v>12/1/2018</x:v>
      </x:c>
      <x:c r="N200" s="189" t="n">
        <x:v>66047.00</x:v>
      </x:c>
      <x:c r="O200" s="191" t="str">
        <x:v>12/31/2018</x:v>
      </x:c>
      <x:c r="P200" s="189" t="n">
        <x:v>66116.00</x:v>
      </x:c>
      <x:c r="Q200" s="206" t="n">
        <x:v>0.0002</x:v>
      </x:c>
      <x:c r="R200" s="206" t="n">
        <x:v>0.0016</x:v>
      </x:c>
      <x:c r="S200" s="189" t="n">
        <x:v>103.00</x:v>
      </x:c>
      <x:c r="T200" s="187" t="n">
        <x:f ca="1">=IF(AND(U200=0,S200&gt;0),-100%,IF(OR(S200=0,S200="-"),"-",IF(AND(S200=0,U200=0),0%,IF(S200&lt;U200,SUM(U200-S200)/S200,IF(S200&gt;U200,SUM(-1*(S200-U200)/S200),"")))))</x:f>
        <x:v/>
      </x:c>
      <x:c r="U200" s="189" t="n">
        <x:v>69.00</x:v>
      </x:c>
      <x:c r="V200" s="189" t="n">
        <x:f ca="1">=SUM(U200/ ((O200- M200)/30.42))</x:f>
        <x:v/>
      </x:c>
      <x:c r="W200" s="195">
        <x:f ca="1">=IF(T200="","",IF(T200="-","",IF(U200=0,"",IF(OR(T200&gt;AA4,T200&lt;-AA4),"*",""))))</x:f>
        <x:v/>
      </x:c>
      <x:c r="X200" s="91" t="str">
        <x:v/>
      </x:c>
    </x:row>
    <x:row r="201" spans="1:25" s="12" x14ac:dyDescent="0.25">
      <x:c r="A201" s="96" t="str">
        <x:v>187</x:v>
      </x:c>
      <x:c r="B201" s="192" t="str">
        <x:v>20221908</x:v>
      </x:c>
      <x:c r="C201" s="192" t="str">
        <x:v>Ricoh MP C2051</x:v>
      </x:c>
      <x:c r="D201" s="192" t="str">
        <x:v>Color Copier Color Pages</x:v>
      </x:c>
      <x:c r="E201" s="192" t="str">
        <x:v>V9715101692</x:v>
      </x:c>
      <x:c r="F201" s="192" t="str">
        <x:v>Active</x:v>
      </x:c>
      <x:c r="G201" s="192" t="str">
        <x:v>West Plains Treatment Center</x:v>
      </x:c>
      <x:c r="H201" s="192" t="str">
        <x:v/>
      </x:c>
      <x:c r="I201" s="192" t="str">
        <x:v/>
      </x:c>
      <x:c r="J201" s="192" t="str">
        <x:v/>
      </x:c>
      <x:c r="K201" s="192" t="str">
        <x:v/>
      </x:c>
      <x:c r="L201" s="192" t="str">
        <x:v/>
      </x:c>
      <x:c r="M201" s="192" t="str">
        <x:v>12/1/2018</x:v>
      </x:c>
      <x:c r="N201" s="183" t="n">
        <x:v>92243.00</x:v>
      </x:c>
      <x:c r="O201" s="192" t="str">
        <x:v>12/31/2018</x:v>
      </x:c>
      <x:c r="P201" s="183" t="n">
        <x:v>92278.00</x:v>
      </x:c>
      <x:c r="Q201" s="207" t="n">
        <x:v>0.0001</x:v>
      </x:c>
      <x:c r="R201" s="207" t="n">
        <x:v>0.0008</x:v>
      </x:c>
      <x:c r="S201" s="183" t="n">
        <x:v>448.00</x:v>
      </x:c>
      <x:c r="T201" s="182" t="n">
        <x:f ca="1">=IF(AND(U201=0,S201&gt;0),-100%,IF(OR(S201=0,S201="-"),"-",IF(AND(S201=0,U201=0),0%,IF(S201&lt;U201,SUM(U201-S201)/S201,IF(S201&gt;U201,SUM(-1*(S201-U201)/S201),"")))))</x:f>
        <x:v/>
      </x:c>
      <x:c r="U201" s="183" t="n">
        <x:v>35.00</x:v>
      </x:c>
      <x:c r="V201" s="183" t="n">
        <x:f ca="1">=SUM(U201/ ((O201- M201)/30.42))</x:f>
        <x:v/>
      </x:c>
      <x:c r="W201" s="196">
        <x:f ca="1">=IF(T201="","",IF(T201="-","",IF(U201=0,"",IF(OR(T201&gt;AA4,T201&lt;-AA4),"*",""))))</x:f>
        <x:v/>
      </x:c>
      <x:c r="X201" s="98" t="str">
        <x:v/>
      </x:c>
    </x:row>
    <x:row r="202" spans="1:25" s="12" x14ac:dyDescent="0.25">
      <x:c r="A202" s="90" t="str">
        <x:v>188</x:v>
      </x:c>
      <x:c r="B202" s="191" t="str">
        <x:v>A14382151</x:v>
      </x:c>
      <x:c r="C202" s="191" t="str">
        <x:v>Ricoh MP C3004</x:v>
      </x:c>
      <x:c r="D202" s="191" t="str">
        <x:v>Color Copier Color Pages</x:v>
      </x:c>
      <x:c r="E202" s="191" t="str">
        <x:v>C718M810635</x:v>
      </x:c>
      <x:c r="F202" s="191" t="str">
        <x:v>Inactive</x:v>
      </x:c>
      <x:c r="G202" s="191" t="str">
        <x:v>Franklin Traetment Center</x:v>
      </x:c>
      <x:c r="H202" s="191" t="str">
        <x:v/>
      </x:c>
      <x:c r="I202" s="191" t="str">
        <x:v/>
      </x:c>
      <x:c r="J202" s="191" t="str">
        <x:v/>
      </x:c>
      <x:c r="K202" s="191" t="str">
        <x:v/>
      </x:c>
      <x:c r="L202" s="191" t="str">
        <x:v/>
      </x:c>
      <x:c r="M202" s="191" t="str">
        <x:v>11/30/2018</x:v>
      </x:c>
      <x:c r="N202" s="189" t="n">
        <x:v>0.00</x:v>
      </x:c>
      <x:c r="O202" s="191" t="str">
        <x:v>12/31/2018</x:v>
      </x:c>
      <x:c r="P202" s="189" t="n">
        <x:v>0.00</x:v>
      </x:c>
      <x:c r="Q202" s="206" t="n">
        <x:v>0.00</x:v>
      </x:c>
      <x:c r="R202" s="206" t="n">
        <x:v>0.00</x:v>
      </x:c>
      <x:c r="S202" s="189" t="n">
        <x:v>0.00</x:v>
      </x:c>
      <x:c r="T202" s="187" t="n">
        <x:f ca="1">=IF(AND(U202=0,S202&gt;0),-100%,IF(OR(S202=0,S202="-"),"-",IF(AND(S202=0,U202=0),0%,IF(S202&lt;U202,SUM(U202-S202)/S202,IF(S202&gt;U202,SUM(-1*(S202-U202)/S202),"")))))</x:f>
        <x:v/>
      </x:c>
      <x:c r="U202" s="189" t="n">
        <x:v>0.00</x:v>
      </x:c>
      <x:c r="V202" s="189" t="n">
        <x:f ca="1">=SUM(U202/ ((O202- M202)/30.42))</x:f>
        <x:v/>
      </x:c>
      <x:c r="W202" s="195">
        <x:f ca="1">=IF(T202="","",IF(T202="-","",IF(U202=0,"",IF(OR(T202&gt;AA4,T202&lt;-AA4),"*",""))))</x:f>
        <x:v/>
      </x:c>
      <x:c r="X202" s="91" t="str">
        <x:v/>
      </x:c>
    </x:row>
    <x:row r="203" spans="1:25" s="12" x14ac:dyDescent="0.25">
      <x:c r="A203" s="96" t="str">
        <x:v>189</x:v>
      </x:c>
      <x:c r="B203" s="192" t="str">
        <x:v>20250330</x:v>
      </x:c>
      <x:c r="C203" s="192" t="str">
        <x:v>Ricoh MP C2051</x:v>
      </x:c>
      <x:c r="D203" s="192" t="str">
        <x:v>Color Copier Color Pages</x:v>
      </x:c>
      <x:c r="E203" s="192" t="str">
        <x:v>V9715101689</x:v>
      </x:c>
      <x:c r="F203" s="192" t="str">
        <x:v>Active</x:v>
      </x:c>
      <x:c r="G203" s="192" t="str">
        <x:v>Lexington Treatment Center</x:v>
      </x:c>
      <x:c r="H203" s="192" t="str">
        <x:v/>
      </x:c>
      <x:c r="I203" s="192" t="str">
        <x:v/>
      </x:c>
      <x:c r="J203" s="192" t="str">
        <x:v/>
      </x:c>
      <x:c r="K203" s="192" t="str">
        <x:v/>
      </x:c>
      <x:c r="L203" s="192" t="str">
        <x:v/>
      </x:c>
      <x:c r="M203" s="192" t="str">
        <x:v>12/1/2018</x:v>
      </x:c>
      <x:c r="N203" s="183" t="n">
        <x:v>17500.00</x:v>
      </x:c>
      <x:c r="O203" s="192" t="str">
        <x:v>12/31/2018</x:v>
      </x:c>
      <x:c r="P203" s="183" t="n">
        <x:v>17500.00</x:v>
      </x:c>
      <x:c r="Q203" s="207" t="n">
        <x:v>0.00</x:v>
      </x:c>
      <x:c r="R203" s="207" t="n">
        <x:v>0.00</x:v>
      </x:c>
      <x:c r="S203" s="183" t="n">
        <x:v/>
      </x:c>
      <x:c r="T203" s="182" t="n">
        <x:f ca="1">=IF(AND(U203=0,S203&gt;0),-100%,IF(OR(S203=0,S203="-"),"-",IF(AND(S203=0,U203=0),0%,IF(S203&lt;U203,SUM(U203-S203)/S203,IF(S203&gt;U203,SUM(-1*(S203-U203)/S203),"")))))</x:f>
        <x:v/>
      </x:c>
      <x:c r="U203" s="183" t="n">
        <x:v>0.00</x:v>
      </x:c>
      <x:c r="V203" s="183" t="n">
        <x:f ca="1">=SUM(U203/ ((O203- M203)/30.42))</x:f>
        <x:v/>
      </x:c>
      <x:c r="W203" s="196">
        <x:f ca="1">=IF(T203="","",IF(T203="-","",IF(U203=0,"",IF(OR(T203&gt;AA4,T203&lt;-AA4),"*",""))))</x:f>
        <x:v/>
      </x:c>
      <x:c r="X203" s="98" t="str">
        <x:v/>
      </x:c>
    </x:row>
    <x:row r="204" spans="1:25" s="12" x14ac:dyDescent="0.25">
      <x:c r="A204" s="90" t="str">
        <x:v>190</x:v>
      </x:c>
      <x:c r="B204" s="191" t="str">
        <x:v>FPR61039</x:v>
      </x:c>
      <x:c r="C204" s="191" t="str">
        <x:v>Ricoh MP C3004</x:v>
      </x:c>
      <x:c r="D204" s="191" t="str">
        <x:v>Color Copier Color Pages</x:v>
      </x:c>
      <x:c r="E204" s="191" t="str">
        <x:v>C717MB10518</x:v>
      </x:c>
      <x:c r="F204" s="191" t="str">
        <x:v>Active</x:v>
      </x:c>
      <x:c r="G204" s="191" t="str">
        <x:v>Bessemer Treatment Center</x:v>
      </x:c>
      <x:c r="H204" s="191" t="str">
        <x:v/>
      </x:c>
      <x:c r="I204" s="191" t="str">
        <x:v/>
      </x:c>
      <x:c r="J204" s="191" t="str">
        <x:v/>
      </x:c>
      <x:c r="K204" s="191" t="str">
        <x:v>Robert Beeler</x:v>
      </x:c>
      <x:c r="L204" s="191" t="str">
        <x:v/>
      </x:c>
      <x:c r="M204" s="191" t="str">
        <x:v>11/30/2018</x:v>
      </x:c>
      <x:c r="N204" s="189" t="n">
        <x:v>0.00</x:v>
      </x:c>
      <x:c r="O204" s="191" t="str">
        <x:v>12/31/2018</x:v>
      </x:c>
      <x:c r="P204" s="189" t="n">
        <x:v>0.00</x:v>
      </x:c>
      <x:c r="Q204" s="206" t="n">
        <x:v>0.00</x:v>
      </x:c>
      <x:c r="R204" s="206" t="n">
        <x:v>0.00</x:v>
      </x:c>
      <x:c r="S204" s="189" t="n">
        <x:v>0.00</x:v>
      </x:c>
      <x:c r="T204" s="187" t="n">
        <x:f ca="1">=IF(AND(U204=0,S204&gt;0),-100%,IF(OR(S204=0,S204="-"),"-",IF(AND(S204=0,U204=0),0%,IF(S204&lt;U204,SUM(U204-S204)/S204,IF(S204&gt;U204,SUM(-1*(S204-U204)/S204),"")))))</x:f>
        <x:v/>
      </x:c>
      <x:c r="U204" s="189" t="n">
        <x:v>0.00</x:v>
      </x:c>
      <x:c r="V204" s="189" t="n">
        <x:f ca="1">=SUM(U204/ ((O204- M204)/30.42))</x:f>
        <x:v/>
      </x:c>
      <x:c r="W204" s="195">
        <x:f ca="1">=IF(T204="","",IF(T204="-","",IF(U204=0,"",IF(OR(T204&gt;AA4,T204&lt;-AA4),"*",""))))</x:f>
        <x:v/>
      </x:c>
      <x:c r="X204" s="91" t="str">
        <x:v/>
      </x:c>
    </x:row>
    <x:row r="205" spans="1:25" x14ac:dyDescent="0.25">
      <x:c r="A205" s="174"/>
      <x:c r="B205" s="174"/>
      <x:c r="C205" s="174"/>
      <x:c r="D205" s="174"/>
      <x:c r="E205" s="174"/>
      <x:c r="F205" s="174"/>
      <x:c r="G205" s="174"/>
      <x:c r="H205" s="174"/>
      <x:c r="I205" s="174"/>
      <x:c r="J205" s="174"/>
      <x:c r="K205" s="174"/>
      <x:c r="L205" s="174"/>
      <x:c r="M205" s="174"/>
      <x:c r="N205" s="174"/>
      <x:c r="O205" s="174"/>
      <x:c r="P205" s="174"/>
      <x:c r="Q205" s="174"/>
      <x:c r="R205" s="174"/>
      <x:c r="S205" s="205" t="n">
        <x:f ca="1">=SUM(S148:S204)</x:f>
      </x:c>
      <x:c r="T205" s="193"/>
      <x:c r="U205" s="205" t="n">
        <x:f ca="1">=SUM(U148:U204)</x:f>
      </x:c>
      <x:c r="V205" s="205" t="n">
        <x:f ca="1">=SUM(V148:V204)</x:f>
      </x:c>
      <x:c r="W205" s="174"/>
      <x:c r="X205" s="174"/>
    </x:row>
    <x:row r="206" spans="1:25" x14ac:dyDescent="0.25">
      <x:c r="A206" s="195" t="str">
        <x:f ca="1">="* All devices with a net volume change of " &amp; SUM(AA4 * 100) &amp; "% are indicated with a red asterisk (*)."</x:f>
      </x:c>
      <x:c r="B206" s="19"/>
      <x:c r="C206" s="19"/>
      <x:c r="D206" s="19"/>
      <x:c r="E206" s="19"/>
      <x:c r="F206" s="19"/>
      <x:c r="G206" s="19"/>
      <x:c r="H206" s="19"/>
      <x:c r="I206" s="19"/>
      <x:c r="J206" s="19"/>
      <x:c r="K206" s="19"/>
      <x:c r="L206" s="19"/>
      <x:c r="M206" s="19"/>
      <x:c r="N206" s="19"/>
      <x:c r="O206" s="19"/>
      <x:c r="P206" s="19"/>
      <x:c r="Q206" s="19"/>
      <x:c r="R206" s="19"/>
      <x:c r="S206" s="19"/>
      <x:c r="T206" s="19"/>
      <x:c r="U206" s="19"/>
      <x:c r="V206" s="19"/>
      <x:c r="W206" s="19"/>
      <x:c r="X206" s="19"/>
      <x:c r="Y206" s="19"/>
    </x:row>
  </x:sheetData>
  <x:mergeCells count="3">
    <x:mergeCell ref="A1:X1"/>
    <x:mergeCell ref="A2:X2"/>
    <x:mergeCell ref="V5:W5"/>
  </x:mergeCells>
  <x:dataValidations count="1">
    <x:dataValidation allowBlank="1" showInputMessage="1" sqref="C7:D27"/>
  </x:dataValidations>
  <x:pageMargins left="0.25" right="0.25" top="0.85" bottom="0.94791666666666663" header="0.2" footer="0.3"/>
  <x:pageSetup scale="64" fitToWidth="1" fitToHeight="0" orientation="landscape" r:id="rId1"/>
  <x:headerFooter>
    <x:oddHeader>&amp;C&amp;G</x:oddHeader>
    <x:oddFooter>&amp;C&amp;G</x:oddFooter>
  </x:headerFooter>
  <x:legacyDrawing r:id="rId2"/>
  <x:legacyDrawingHF r:id="rId3"/>
</x:worksheet>
</file>

<file path=xl/worksheets/sheet2.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8"/>
  <x:dimension ref="A1:J30"/>
  <x:sheetViews>
    <x:sheetView showGridLines="0" view="pageLayout" zoomScaleNormal="100" workbookViewId="0">
      <x:selection activeCell="B7" sqref="B7"/>
    </x:sheetView>
  </x:sheetViews>
  <x:sheetFormatPr defaultRowHeight="15" x14ac:dyDescent="0.25"/>
  <x:cols>
    <x:col min="1" max="1" width="8.140625" style="1" customWidth="1"/>
    <x:col min="2" max="2" width="12.5703125" style="1" customWidth="1"/>
    <x:col min="3" max="3" width="16" style="1" customWidth="1"/>
    <x:col min="4" max="4" width="15.5703125" style="1" customWidth="1"/>
    <x:col min="5" max="6" width="9.5703125" style="1" customWidth="1"/>
    <x:col min="7" max="7" width="28.140625" style="5" customWidth="1"/>
    <x:col min="8" max="8" width="10.5703125" style="16" customWidth="1"/>
    <x:col min="9" max="9" width="16.28515625" style="1" customWidth="1"/>
    <x:col min="10" max="10" width="1.42578125" style="1" customWidth="1"/>
    <x:col min="11" max="16384" width="9.140625" style="1"/>
  </x:cols>
  <x:sheetData>
    <x:row r="1" spans="1:10" ht="15.75" x14ac:dyDescent="0.25">
      <x:c r="A1" s="125" t="str">
        <x:f ca="1">SETUP!$B$2</x:f>
        <x:v>?</x:v>
      </x:c>
      <x:c r="B1" s="126"/>
      <x:c r="C1" s="126"/>
      <x:c r="D1" s="126"/>
      <x:c r="E1" s="126"/>
      <x:c r="F1" s="126"/>
      <x:c r="G1" s="126"/>
      <x:c r="H1" s="126"/>
      <x:c r="I1" s="126"/>
      <x:c r="J1" s="129"/>
    </x:row>
    <x:row r="2" spans="1:10" x14ac:dyDescent="0.25">
      <x:c r="A2" s="123" t="str">
        <x:f ca="1">=IF(B7="","",IF(B8="","Cost Avoidance Summary for Period Ending "&amp;(TEXT(SETUP!$B$4,"MMMMMMMMM DD, YYYY"))&amp;"",IF(B7="","","Cost Avoidance Summary from "&amp;(TEXT(MIN($B$7:$B$498),"MMMMMMMMM DD, YYYY")&amp;" to "&amp;(TEXT(MAX($B$7:$B$498),"MMMMMMMMM DD, YYYY")&amp;"")))))</x:f>
        <x:v>?</x:v>
      </x:c>
      <x:c r="B2" s="124"/>
      <x:c r="C2" s="124"/>
      <x:c r="D2" s="124"/>
      <x:c r="E2" s="124"/>
      <x:c r="F2" s="124"/>
      <x:c r="G2" s="124"/>
      <x:c r="H2" s="124"/>
      <x:c r="I2" s="124"/>
      <x:c r="J2" s="129"/>
    </x:row>
    <x:row r="3" spans="1:10" ht="30.75" customHeight="1" x14ac:dyDescent="0.25">
      <x:c r="A3" s="19"/>
      <x:c r="B3" s="199" t="str">
        <x:v>Below, you will find a summary of the different areas where FPR was able to deliver solutions resulting in cost-avoidance.  Some examples of cost-avoidance solutions include color reduction/elimination strategies, vendor re-negotiation opportunities, and many others.</x:v>
      </x:c>
      <x:c r="C3" s="131"/>
      <x:c r="D3" s="131"/>
      <x:c r="E3" s="131"/>
      <x:c r="F3" s="131"/>
      <x:c r="G3" s="131"/>
      <x:c r="H3" s="131"/>
      <x:c r="I3" s="131"/>
      <x:c r="J3" s="131"/>
    </x:row>
    <x:row r="4" spans="1:10" ht="3" customHeight="1" x14ac:dyDescent="0.25">
      <x:c r="A4" s="19"/>
      <x:c r="B4" s="19"/>
      <x:c r="C4" s="19"/>
      <x:c r="D4" s="19"/>
      <x:c r="E4" s="19"/>
      <x:c r="F4" s="19"/>
      <x:c r="G4" s="19"/>
      <x:c r="H4" s="19"/>
      <x:c r="I4" s="19"/>
    </x:row>
    <x:row r="5" spans="1:10" ht="3" customHeight="1" x14ac:dyDescent="0.25">
      <x:c r="I5" s="10">
        <x:f ca="1">SUM(I7:I27)</x:f>
        <x:v>0</x:v>
      </x:c>
    </x:row>
    <x:row r="6" spans="1:10" ht="27.75" customHeight="1" x14ac:dyDescent="0.25">
      <x:c r="B6" s="47" t="s">
        <x:v>3</x:v>
      </x:c>
      <x:c r="C6" s="45" t="s">
        <x:v>11</x:v>
      </x:c>
      <x:c r="D6" s="45" t="s">
        <x:v>10</x:v>
      </x:c>
      <x:c r="E6" s="45" t="s">
        <x:v>1</x:v>
      </x:c>
      <x:c r="F6" s="45" t="s">
        <x:v>2</x:v>
      </x:c>
      <x:c r="G6" s="48" t="s">
        <x:v>5</x:v>
      </x:c>
      <x:c r="H6" s="67" t="s">
        <x:v>24</x:v>
      </x:c>
      <x:c r="I6" s="46" t="s">
        <x:v>12</x:v>
      </x:c>
    </x:row>
    <x:row r="7" spans="1:10" x14ac:dyDescent="0.25">
      <x:c r="B7" s="106" t="str">
        <x:v>There are no Cost Avoidance to report.</x:v>
      </x:c>
      <x:c r="C7" s="73" t="str">
        <x:v/>
      </x:c>
      <x:c r="D7" s="73" t="str">
        <x:v/>
      </x:c>
      <x:c r="E7" s="74" t="d">
        <x:v/>
      </x:c>
      <x:c r="F7" s="74" t="d">
        <x:v/>
      </x:c>
      <x:c r="G7" s="51" t="str">
        <x:v/>
      </x:c>
      <x:c r="H7" s="75" t="n">
        <x:v/>
      </x:c>
      <x:c r="I7" s="61" t="str">
        <x:v/>
      </x:c>
    </x:row>
    <x:row r="8" spans="1:8" x14ac:dyDescent="0.25">
      <x:c r="B8" s="60"/>
      <x:c r="C8" s="54"/>
      <x:c r="D8" s="54"/>
      <x:c r="E8" s="54"/>
      <x:c r="F8" s="54"/>
      <x:c r="G8" s="54"/>
      <x:c r="H8" s="54"/>
      <x:c r="I8" s="61"/>
    </x:row>
    <x:row r="9" spans="1:8" x14ac:dyDescent="0.25">
      <x:c r="B9" s="60"/>
      <x:c r="C9" s="54"/>
      <x:c r="D9" s="54"/>
      <x:c r="E9" s="54"/>
      <x:c r="F9" s="54"/>
      <x:c r="G9" s="54"/>
      <x:c r="H9" s="54"/>
      <x:c r="I9" s="61"/>
    </x:row>
    <x:row r="10" spans="1:8" ht="14.25" customHeight="1" x14ac:dyDescent="0.25">
      <x:c r="B10" s="58"/>
      <x:c r="C10" s="26"/>
      <x:c r="D10" s="21"/>
      <x:c r="E10" s="21"/>
      <x:c r="F10" s="8"/>
      <x:c r="G10" s="8">
        <x:v/>
      </x:c>
      <x:c r="H10" s="8"/>
      <x:c r="I10" s="59"/>
    </x:row>
    <x:row r="11" spans="1:8" ht="14.25" customHeight="1" x14ac:dyDescent="0.25">
      <x:c r="B11" s="58"/>
      <x:c r="C11" s="26"/>
      <x:c r="D11" s="21"/>
      <x:c r="E11" s="21"/>
      <x:c r="F11" s="8"/>
      <x:c r="G11" s="8">
        <x:v/>
      </x:c>
      <x:c r="H11" s="8"/>
      <x:c r="I11" s="59"/>
    </x:row>
    <x:row r="12" spans="1:8" x14ac:dyDescent="0.25">
      <x:c r="B12" s="60"/>
      <x:c r="C12" s="54"/>
      <x:c r="D12" s="54"/>
      <x:c r="E12" s="54"/>
      <x:c r="F12" s="54"/>
      <x:c r="G12" s="54"/>
      <x:c r="H12" s="54"/>
      <x:c r="I12" s="61"/>
    </x:row>
    <x:row r="13" spans="1:8" x14ac:dyDescent="0.25">
      <x:c r="B13" s="60"/>
      <x:c r="C13" s="54"/>
      <x:c r="D13" s="54"/>
      <x:c r="E13" s="54"/>
      <x:c r="F13" s="54"/>
      <x:c r="G13" s="54"/>
      <x:c r="H13" s="54"/>
      <x:c r="I13" s="61"/>
    </x:row>
    <x:row r="14" spans="1:8" ht="14.25" customHeight="1" x14ac:dyDescent="0.25">
      <x:c r="B14" s="58"/>
      <x:c r="C14" s="26"/>
      <x:c r="D14" s="21"/>
      <x:c r="E14" s="21"/>
      <x:c r="F14" s="8"/>
      <x:c r="G14" s="8">
        <x:v/>
      </x:c>
      <x:c r="H14" s="8"/>
      <x:c r="I14" s="59"/>
    </x:row>
    <x:row r="15" spans="1:8" ht="14.25" customHeight="1" x14ac:dyDescent="0.25">
      <x:c r="B15" s="58"/>
      <x:c r="C15" s="26"/>
      <x:c r="D15" s="21"/>
      <x:c r="E15" s="21"/>
      <x:c r="F15" s="8"/>
      <x:c r="G15" s="8">
        <x:v/>
      </x:c>
      <x:c r="H15" s="8"/>
      <x:c r="I15" s="59"/>
    </x:row>
    <x:row r="16" spans="1:8" x14ac:dyDescent="0.25">
      <x:c r="B16" s="60"/>
      <x:c r="C16" s="54"/>
      <x:c r="D16" s="54"/>
      <x:c r="E16" s="54"/>
      <x:c r="F16" s="54"/>
      <x:c r="G16" s="54"/>
      <x:c r="H16" s="54"/>
      <x:c r="I16" s="61"/>
    </x:row>
    <x:row r="17" spans="1:8" x14ac:dyDescent="0.25">
      <x:c r="B17" s="60"/>
      <x:c r="C17" s="54"/>
      <x:c r="D17" s="54"/>
      <x:c r="E17" s="54"/>
      <x:c r="F17" s="54"/>
      <x:c r="G17" s="54"/>
      <x:c r="H17" s="54"/>
      <x:c r="I17" s="61"/>
    </x:row>
    <x:row r="18" spans="1:8" ht="14.25" customHeight="1" x14ac:dyDescent="0.25">
      <x:c r="B18" s="58"/>
      <x:c r="C18" s="26"/>
      <x:c r="D18" s="21"/>
      <x:c r="E18" s="21"/>
      <x:c r="F18" s="8"/>
      <x:c r="G18" s="8">
        <x:v/>
      </x:c>
      <x:c r="H18" s="8"/>
      <x:c r="I18" s="59"/>
    </x:row>
    <x:row r="19" spans="1:8" ht="14.25" customHeight="1" x14ac:dyDescent="0.25">
      <x:c r="B19" s="58"/>
      <x:c r="C19" s="26"/>
      <x:c r="D19" s="21"/>
      <x:c r="E19" s="21"/>
      <x:c r="F19" s="8"/>
      <x:c r="G19" s="8">
        <x:v/>
      </x:c>
      <x:c r="H19" s="8"/>
      <x:c r="I19" s="59"/>
    </x:row>
    <x:row r="20" spans="1:8" x14ac:dyDescent="0.25">
      <x:c r="B20" s="60"/>
      <x:c r="C20" s="54"/>
      <x:c r="D20" s="54"/>
      <x:c r="E20" s="54"/>
      <x:c r="F20" s="54"/>
      <x:c r="G20" s="54"/>
      <x:c r="H20" s="54"/>
      <x:c r="I20" s="61"/>
    </x:row>
    <x:row r="21" spans="1:8" x14ac:dyDescent="0.25">
      <x:c r="B21" s="60"/>
      <x:c r="C21" s="54"/>
      <x:c r="D21" s="54"/>
      <x:c r="E21" s="54"/>
      <x:c r="F21" s="54"/>
      <x:c r="G21" s="54"/>
      <x:c r="H21" s="54"/>
      <x:c r="I21" s="61"/>
    </x:row>
    <x:row r="22" spans="1:8" ht="14.25" customHeight="1" x14ac:dyDescent="0.25">
      <x:c r="B22" s="58"/>
      <x:c r="C22" s="26"/>
      <x:c r="D22" s="21"/>
      <x:c r="E22" s="21"/>
      <x:c r="F22" s="8"/>
      <x:c r="G22" s="8">
        <x:v/>
      </x:c>
      <x:c r="H22" s="8"/>
      <x:c r="I22" s="59"/>
    </x:row>
    <x:row r="23" spans="1:8" ht="14.25" customHeight="1" x14ac:dyDescent="0.25">
      <x:c r="B23" s="58"/>
      <x:c r="C23" s="26"/>
      <x:c r="D23" s="21"/>
      <x:c r="E23" s="21"/>
      <x:c r="F23" s="8"/>
      <x:c r="G23" s="8">
        <x:v/>
      </x:c>
      <x:c r="H23" s="8"/>
      <x:c r="I23" s="59"/>
    </x:row>
    <x:row r="24" spans="1:8" x14ac:dyDescent="0.25">
      <x:c r="B24" s="60"/>
      <x:c r="C24" s="54"/>
      <x:c r="D24" s="54"/>
      <x:c r="E24" s="54"/>
      <x:c r="F24" s="54"/>
      <x:c r="G24" s="54"/>
      <x:c r="H24" s="54"/>
      <x:c r="I24" s="61"/>
    </x:row>
    <x:row r="25" spans="1:8" x14ac:dyDescent="0.25">
      <x:c r="B25" s="60"/>
      <x:c r="C25" s="54"/>
      <x:c r="D25" s="54"/>
      <x:c r="E25" s="54"/>
      <x:c r="F25" s="54"/>
      <x:c r="G25" s="54"/>
      <x:c r="H25" s="54"/>
      <x:c r="I25" s="61"/>
    </x:row>
    <x:row r="26" spans="1:8" ht="14.25" customHeight="1" x14ac:dyDescent="0.25">
      <x:c r="B26" s="58"/>
      <x:c r="C26" s="26"/>
      <x:c r="D26" s="21"/>
      <x:c r="E26" s="21"/>
      <x:c r="F26" s="8"/>
      <x:c r="G26" s="8">
        <x:v/>
      </x:c>
      <x:c r="H26" s="8"/>
      <x:c r="I26" s="59"/>
    </x:row>
    <x:row r="27" spans="1:8" ht="14.25" customHeight="1" x14ac:dyDescent="0.25">
      <x:c r="B27" s="58"/>
      <x:c r="C27" s="26"/>
      <x:c r="D27" s="21"/>
      <x:c r="E27" s="21"/>
      <x:c r="F27" s="8"/>
      <x:c r="G27" s="8">
        <x:v/>
      </x:c>
      <x:c r="H27" s="8"/>
      <x:c r="I27" s="59"/>
    </x:row>
    <x:row r="28" spans="1:8" x14ac:dyDescent="0.25">
      <x:c r="B28" s="60"/>
      <x:c r="C28" s="54"/>
      <x:c r="D28" s="54"/>
      <x:c r="E28" s="54"/>
      <x:c r="F28" s="54"/>
      <x:c r="G28" s="54"/>
      <x:c r="H28" s="54"/>
      <x:c r="I28" s="61"/>
    </x:row>
    <x:row r="29" spans="1:8" x14ac:dyDescent="0.25">
      <x:c r="B29" s="60"/>
      <x:c r="C29" s="54"/>
      <x:c r="D29" s="54"/>
      <x:c r="E29" s="54"/>
      <x:c r="F29" s="54"/>
      <x:c r="G29" s="54"/>
      <x:c r="H29" s="54"/>
      <x:c r="I29" s="61"/>
    </x:row>
    <x:row r="30" spans="1:8" ht="14.25" customHeight="1" x14ac:dyDescent="0.25">
      <x:c r="B30" s="58"/>
      <x:c r="C30" s="26"/>
      <x:c r="D30" s="21"/>
      <x:c r="E30" s="21"/>
      <x:c r="F30" s="8"/>
      <x:c r="G30" s="8">
        <x:v/>
      </x:c>
      <x:c r="H30" s="8"/>
      <x:c r="I30" s="59"/>
    </x:row>
    <x:row r="31" spans="1:7" x14ac:dyDescent="0.25">
      <x:c r="B31" s="92"/>
      <x:c r="C31" s="119"/>
      <x:c r="D31" s="120"/>
      <x:c r="E31" s="120"/>
      <x:c r="F31" s="120"/>
      <x:c r="G31" s="120"/>
      <x:c r="H31" s="120"/>
      <x:c r="I31" s="121"/>
    </x:row>
    <x:row r="32" spans="1:7" x14ac:dyDescent="0.25">
      <x:c r="B32" s="14"/>
      <x:c r="C32" s="14"/>
      <x:c r="D32" s="14"/>
      <x:c r="E32" s="14"/>
      <x:c r="F32" s="14"/>
      <x:c r="G32" s="14"/>
      <x:c r="H32" s="164">
        <x:v>Total Cost Avoidance:</x:v>
      </x:c>
      <x:c r="I32" s="167">
        <x:f>SUM(I7:I31)</x:f>
      </x:c>
    </x:row>
  </x:sheetData>
  <x:mergeCells count="3">
    <x:mergeCell ref="B7:C7"/>
    <x:mergeCell ref="A1:J1"/>
    <x:mergeCell ref="A2:J2"/>
    <x:mergeCell ref="B3:J3"/>
  </x:mergeCells>
  <x:dataValidations count="1">
    <x:dataValidation allowBlank="1" showInputMessage="1" sqref="C7:D27"/>
  </x:dataValidations>
  <x:pageMargins left="0.333" right="0.333" top="1.3958333333333333" bottom="0.94791666666666663" header="0.3" footer="0.3"/>
  <x:pageSetup orientation="landscape" r:id="rId1"/>
  <x:headerFooter>
    <x:oddHeader>&amp;C&amp;G</x:oddHeader>
    <x:oddFooter>&amp;C&amp;G</x:oddFooter>
  </x:headerFooter>
  <x:legacyDrawing r:id="rId2"/>
  <x:legacyDrawingHF r:id="rId3"/>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7"/>
  <x:dimension ref="A1:H28"/>
  <x:sheetViews>
    <x:sheetView showGridLines="0" view="pageLayout" zoomScaleNormal="100" workbookViewId="0">
      <x:selection activeCell="B8" sqref="B8"/>
    </x:sheetView>
  </x:sheetViews>
  <x:sheetFormatPr defaultRowHeight="15" x14ac:dyDescent="0.25"/>
  <x:cols>
    <x:col min="1" max="2" width="9.140625" style="1"/>
    <x:col min="3" max="3" width="23.85546875" style="1" customWidth="1"/>
    <x:col min="4" max="4" width="22.85546875" style="1" customWidth="1"/>
    <x:col min="5" max="5" width="14" style="1" customWidth="1"/>
    <x:col min="6" max="6" width="27.85546875" style="5" customWidth="1"/>
    <x:col min="7" max="7" width="15.28515625" style="1" customWidth="1"/>
    <x:col min="8" max="8" width="7.5703125" style="1" customWidth="1"/>
    <x:col min="9" max="16384" width="9.140625" style="1"/>
  </x:cols>
  <x:sheetData>
    <x:row r="1" spans="1:8" ht="15.75" x14ac:dyDescent="0.25">
      <x:c r="A1" s="125" t="str">
        <x:f ca="1">SETUP!$B$2</x:f>
        <x:v>?</x:v>
      </x:c>
      <x:c r="B1" s="126"/>
      <x:c r="C1" s="126"/>
      <x:c r="D1" s="126"/>
      <x:c r="E1" s="126"/>
      <x:c r="F1" s="126"/>
      <x:c r="G1" s="126"/>
      <x:c r="H1" s="126"/>
    </x:row>
    <x:row r="2" spans="1:8" x14ac:dyDescent="0.25">
      <x:c r="A2" s="123" t="str">
        <x:f ca="1">IF(B8="","","Asset Replacement Summary Through Period Ending "&amp;TEXT(SETUP!B4,"MMMMMMMMM DD, YYYY")&amp;"")</x:f>
        <x:v/>
      </x:c>
      <x:c r="B2" s="124"/>
      <x:c r="C2" s="124"/>
      <x:c r="D2" s="124"/>
      <x:c r="E2" s="124"/>
      <x:c r="F2" s="124"/>
      <x:c r="G2" s="124"/>
      <x:c r="H2" s="124"/>
    </x:row>
    <x:row r="3" spans="1:8" ht="6.75" customHeight="1" x14ac:dyDescent="0.25">
      <x:c r="C3" s="18"/>
    </x:row>
    <x:row r="4" spans="1:8" ht="27" customHeight="1" x14ac:dyDescent="0.25">
      <x:c r="B4" s="199" t="str">
        <x:f ca="1">"The summary below details the assets replaced by FPR with the respective asset replacement cost that would have been incurred by "&amp;SETUP!$B$2&amp;" to refresh the non-functioning asset."</x:f>
        <x:v>The summary below details the assets replaced by FPR with the respective asset replacement cost that would have been incurred by ? to refresh the non-functioning asset.</x:v>
      </x:c>
      <x:c r="C4" s="128"/>
      <x:c r="D4" s="128"/>
      <x:c r="E4" s="128"/>
      <x:c r="F4" s="128"/>
      <x:c r="G4" s="128"/>
    </x:row>
    <x:row r="5" spans="1:8" ht="3.75" customHeight="1" x14ac:dyDescent="0.25">
      <x:c r="B5" s="20"/>
      <x:c r="C5" s="18"/>
    </x:row>
    <x:row r="6" spans="1:8" ht="3" customHeight="1" x14ac:dyDescent="0.25">
      <x:c r="G6" s="10">
        <x:f ca="1">SUM(G8:G30)</x:f>
        <x:v>0</x:v>
      </x:c>
    </x:row>
    <x:row r="7" spans="1:8" ht="28.5" customHeight="1" x14ac:dyDescent="0.25">
      <x:c r="B7" s="47" t="s">
        <x:v>3</x:v>
      </x:c>
      <x:c r="C7" s="45" t="s">
        <x:v>40</x:v>
      </x:c>
      <x:c r="D7" s="45" t="s">
        <x:v>39</x:v>
      </x:c>
      <x:c r="E7" s="45" t="s">
        <x:v>41</x:v>
      </x:c>
      <x:c r="F7" s="48" t="s">
        <x:v>5</x:v>
      </x:c>
      <x:c r="G7" s="46" t="s">
        <x:v>4</x:v>
      </x:c>
    </x:row>
    <x:row r="8" spans="1:8" x14ac:dyDescent="0.25">
      <x:c r="B8" s="216" t="str">
        <x:v>There are no replacements to report.</x:v>
      </x:c>
      <x:c r="C8" s="54">
        <x:v/>
      </x:c>
      <x:c r="D8" s="54">
        <x:v/>
      </x:c>
      <x:c r="E8" s="54" t="str">
        <x:v/>
      </x:c>
      <x:c r="F8" s="51">
        <x:v/>
      </x:c>
      <x:c r="G8" s="61" t="n">
        <x:v/>
      </x:c>
    </x:row>
    <x:row r="9" spans="1:8" x14ac:dyDescent="0.25">
      <x:c r="B9" s="60"/>
      <x:c r="C9" s="54"/>
      <x:c r="D9" s="54"/>
      <x:c r="E9" s="54"/>
      <x:c r="F9" s="54"/>
      <x:c r="G9" s="61"/>
    </x:row>
    <x:row r="10" spans="1:8" x14ac:dyDescent="0.25">
      <x:c r="B10" s="60"/>
      <x:c r="C10" s="54"/>
      <x:c r="D10" s="54"/>
      <x:c r="E10" s="54"/>
      <x:c r="F10" s="54"/>
      <x:c r="G10" s="61"/>
    </x:row>
    <x:row r="11" spans="1:8" ht="14.25" customHeight="1" x14ac:dyDescent="0.25">
      <x:c r="B11" s="58"/>
      <x:c r="C11" s="26"/>
      <x:c r="D11" s="21"/>
      <x:c r="E11" s="21"/>
      <x:c r="F11" s="8"/>
      <x:c r="G11" s="59" t="str">
        <x:f/>
        <x:v/>
      </x:c>
    </x:row>
    <x:row r="12" spans="1:8" ht="14.25" customHeight="1" x14ac:dyDescent="0.25">
      <x:c r="B12" s="58"/>
      <x:c r="C12" s="26"/>
      <x:c r="D12" s="21"/>
      <x:c r="E12" s="21"/>
      <x:c r="F12" s="8"/>
      <x:c r="G12" s="59" t="str">
        <x:f/>
        <x:v/>
      </x:c>
    </x:row>
    <x:row r="13" spans="1:8" x14ac:dyDescent="0.25">
      <x:c r="B13" s="60"/>
      <x:c r="C13" s="54"/>
      <x:c r="D13" s="54"/>
      <x:c r="E13" s="54"/>
      <x:c r="F13" s="54"/>
      <x:c r="G13" s="61"/>
    </x:row>
    <x:row r="14" spans="1:8" x14ac:dyDescent="0.25">
      <x:c r="B14" s="60"/>
      <x:c r="C14" s="54"/>
      <x:c r="D14" s="54"/>
      <x:c r="E14" s="54"/>
      <x:c r="F14" s="54"/>
      <x:c r="G14" s="61"/>
    </x:row>
    <x:row r="15" spans="1:8" ht="14.25" customHeight="1" x14ac:dyDescent="0.25">
      <x:c r="B15" s="58"/>
      <x:c r="C15" s="26"/>
      <x:c r="D15" s="21"/>
      <x:c r="E15" s="21"/>
      <x:c r="F15" s="8"/>
      <x:c r="G15" s="59" t="str">
        <x:f/>
        <x:v/>
      </x:c>
    </x:row>
    <x:row r="16" spans="1:8" ht="14.25" customHeight="1" x14ac:dyDescent="0.25">
      <x:c r="B16" s="58"/>
      <x:c r="C16" s="26"/>
      <x:c r="D16" s="21"/>
      <x:c r="E16" s="21"/>
      <x:c r="F16" s="8"/>
      <x:c r="G16" s="59" t="str">
        <x:f/>
        <x:v/>
      </x:c>
    </x:row>
    <x:row r="17" spans="1:8" x14ac:dyDescent="0.25">
      <x:c r="B17" s="60"/>
      <x:c r="C17" s="54"/>
      <x:c r="D17" s="54"/>
      <x:c r="E17" s="54"/>
      <x:c r="F17" s="54"/>
      <x:c r="G17" s="61"/>
    </x:row>
    <x:row r="18" spans="1:8" x14ac:dyDescent="0.25">
      <x:c r="B18" s="60"/>
      <x:c r="C18" s="54"/>
      <x:c r="D18" s="54"/>
      <x:c r="E18" s="54"/>
      <x:c r="F18" s="54"/>
      <x:c r="G18" s="61"/>
    </x:row>
    <x:row r="19" spans="1:8" ht="14.25" customHeight="1" x14ac:dyDescent="0.25">
      <x:c r="B19" s="58"/>
      <x:c r="C19" s="26"/>
      <x:c r="D19" s="21"/>
      <x:c r="E19" s="21"/>
      <x:c r="F19" s="8"/>
      <x:c r="G19" s="59" t="str">
        <x:f/>
        <x:v/>
      </x:c>
    </x:row>
    <x:row r="20" spans="1:8" ht="14.25" customHeight="1" x14ac:dyDescent="0.25">
      <x:c r="B20" s="58"/>
      <x:c r="C20" s="26"/>
      <x:c r="D20" s="21"/>
      <x:c r="E20" s="21"/>
      <x:c r="F20" s="8"/>
      <x:c r="G20" s="59" t="str">
        <x:f/>
        <x:v/>
      </x:c>
    </x:row>
    <x:row r="21" spans="1:8" x14ac:dyDescent="0.25">
      <x:c r="B21" s="60"/>
      <x:c r="C21" s="54"/>
      <x:c r="D21" s="54"/>
      <x:c r="E21" s="54"/>
      <x:c r="F21" s="54"/>
      <x:c r="G21" s="61"/>
    </x:row>
    <x:row r="22" spans="1:8" x14ac:dyDescent="0.25">
      <x:c r="B22" s="60"/>
      <x:c r="C22" s="54"/>
      <x:c r="D22" s="54"/>
      <x:c r="E22" s="54"/>
      <x:c r="F22" s="54"/>
      <x:c r="G22" s="61"/>
    </x:row>
    <x:row r="23" spans="1:8" ht="14.25" customHeight="1" x14ac:dyDescent="0.25">
      <x:c r="B23" s="58"/>
      <x:c r="C23" s="26"/>
      <x:c r="D23" s="21"/>
      <x:c r="E23" s="21"/>
      <x:c r="F23" s="8"/>
      <x:c r="G23" s="59" t="str">
        <x:f/>
        <x:v/>
      </x:c>
    </x:row>
    <x:row r="24" spans="1:8" ht="14.25" customHeight="1" x14ac:dyDescent="0.25">
      <x:c r="B24" s="58"/>
      <x:c r="C24" s="26"/>
      <x:c r="D24" s="21"/>
      <x:c r="E24" s="21"/>
      <x:c r="F24" s="8"/>
      <x:c r="G24" s="59" t="str">
        <x:f/>
        <x:v/>
      </x:c>
    </x:row>
    <x:row r="25" spans="1:8" x14ac:dyDescent="0.25">
      <x:c r="B25" s="60"/>
      <x:c r="C25" s="54"/>
      <x:c r="D25" s="54"/>
      <x:c r="E25" s="54"/>
      <x:c r="F25" s="54"/>
      <x:c r="G25" s="61"/>
    </x:row>
    <x:row r="26" spans="1:8" x14ac:dyDescent="0.25">
      <x:c r="B26" s="60"/>
      <x:c r="C26" s="54"/>
      <x:c r="D26" s="54"/>
      <x:c r="E26" s="54"/>
      <x:c r="F26" s="54"/>
      <x:c r="G26" s="61"/>
    </x:row>
    <x:row r="27" spans="1:8" ht="14.25" customHeight="1" x14ac:dyDescent="0.25">
      <x:c r="B27" s="58"/>
      <x:c r="C27" s="26"/>
      <x:c r="D27" s="21"/>
      <x:c r="E27" s="21"/>
      <x:c r="F27" s="8"/>
      <x:c r="G27" s="59" t="str">
        <x:f/>
        <x:v/>
      </x:c>
    </x:row>
    <x:row r="28" spans="1:8" ht="14.25" customHeight="1" x14ac:dyDescent="0.25">
      <x:c r="B28" s="58"/>
      <x:c r="C28" s="26"/>
      <x:c r="D28" s="21"/>
      <x:c r="E28" s="21"/>
      <x:c r="F28" s="8"/>
      <x:c r="G28" s="59" t="str">
        <x:f/>
        <x:v/>
      </x:c>
    </x:row>
    <x:row r="29" spans="1:8" x14ac:dyDescent="0.25">
      <x:c r="B29" s="60"/>
      <x:c r="C29" s="54"/>
      <x:c r="D29" s="54"/>
      <x:c r="E29" s="54"/>
      <x:c r="F29" s="54"/>
      <x:c r="G29" s="61"/>
    </x:row>
    <x:row r="30" spans="1:8" x14ac:dyDescent="0.25">
      <x:c r="B30" s="60"/>
      <x:c r="C30" s="54"/>
      <x:c r="D30" s="54"/>
      <x:c r="E30" s="54"/>
      <x:c r="F30" s="54"/>
      <x:c r="G30" s="61"/>
    </x:row>
    <x:row r="31" spans="1:8" ht="14.25" customHeight="1" x14ac:dyDescent="0.25">
      <x:c r="B31" s="58"/>
      <x:c r="C31" s="26"/>
      <x:c r="D31" s="21"/>
      <x:c r="E31" s="21"/>
      <x:c r="F31" s="8"/>
      <x:c r="G31" s="59" t="str">
        <x:f/>
        <x:v/>
      </x:c>
    </x:row>
    <x:row r="32" spans="1:7" x14ac:dyDescent="0.25">
      <x:c r="B32" s="92"/>
      <x:c r="C32" s="119"/>
      <x:c r="D32" s="120"/>
      <x:c r="E32" s="120"/>
      <x:c r="F32" s="120"/>
      <x:c r="G32" s="121"/>
    </x:row>
    <x:row r="33" spans="1:7" x14ac:dyDescent="0.25">
      <x:c r="B33" s="164"/>
      <x:c r="C33" s="164"/>
      <x:c r="D33" s="164"/>
      <x:c r="E33" s="164"/>
      <x:c r="F33" s="164">
        <x:v>Total Replacement Value:</x:v>
      </x:c>
      <x:c r="G33" s="167">
        <x:f>=Sum(G8:G32)</x:f>
      </x:c>
    </x:row>
  </x:sheetData>
  <x:mergeCells count="3">
    <x:mergeCell ref="A2:H2"/>
    <x:mergeCell ref="A1:H1"/>
    <x:mergeCell ref="B4:G4"/>
  </x:mergeCells>
  <x:dataValidations count="1">
    <x:dataValidation allowBlank="1" showInputMessage="1" sqref="D8:D30"/>
  </x:dataValidations>
  <x:pageMargins left="0.333" right="0.333" top="1.3333333333333333" bottom="0.9375" header="0.3" footer="0.3"/>
  <x:pageSetup orientation="landscape" r:id="rId1"/>
  <x:headerFooter>
    <x:oddHeader>&amp;C&amp;G</x:oddHeader>
    <x:oddFooter>&amp;C&amp;G</x:oddFooter>
  </x:headerFooter>
  <x:legacyDrawingHF r:id="rId2"/>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2"/>
  <x:dimension ref="A1:C25"/>
  <x:sheetViews>
    <x:sheetView view="pageLayout" zoomScaleNormal="100" workbookViewId="0">
      <x:selection activeCell="B2" sqref="B2"/>
    </x:sheetView>
  </x:sheetViews>
  <x:sheetFormatPr defaultRowHeight="15" x14ac:dyDescent="0.25"/>
  <x:cols>
    <x:col min="1" max="1" width="33" style="3" customWidth="1"/>
    <x:col min="2" max="2" width="48.85546875" style="5" customWidth="1"/>
    <x:col min="3" max="20" width="9.140625" style="1"/>
    <x:col min="21" max="21" width="0" style="1" hidden="1" customWidth="1"/>
    <x:col min="22" max="16384" width="9.140625" style="1"/>
  </x:cols>
  <x:sheetData>
    <x:row r="1" spans="1:3" ht="15.75" x14ac:dyDescent="0.25">
      <x:c r="B1" s="11" t="s">
        <x:v>8</x:v>
      </x:c>
    </x:row>
    <x:row r="2" spans="1:3" x14ac:dyDescent="0.25">
      <x:c r="A2" s="4" t="s">
        <x:v>6</x:v>
      </x:c>
      <x:c r="B2" s="103" t="s">
        <x:v>VCPHCS, L.P.</x:v>
      </x:c>
    </x:row>
    <x:row r="3" spans="1:3" x14ac:dyDescent="0.25">
      <x:c r="A3" s="4" t="s">
        <x:v>9</x:v>
      </x:c>
      <x:c r="B3" s="103" t="s">
        <x:v>02/01/2016</x:v>
      </x:c>
    </x:row>
    <x:row r="4" spans="1:3" x14ac:dyDescent="0.25">
      <x:c r="A4" s="4" t="s">
        <x:v>7</x:v>
      </x:c>
      <x:c r="B4" s="103" t="s">
        <x:v>02/28/2019</x:v>
      </x:c>
    </x:row>
    <x:row r="6" spans="1:3" x14ac:dyDescent="0.25">
      <x:c r="A6" s="4"/>
    </x:row>
    <x:row r="8" spans="1:3" ht="15.75" thickBot="1" x14ac:dyDescent="0.3">
      <x:c r="A8" s="22" t="s">
        <x:v>27</x:v>
      </x:c>
    </x:row>
    <x:row r="9" spans="1:3" ht="22.5" customHeight="1" thickBot="1" x14ac:dyDescent="0.3">
      <x:c r="A9" s="101" t="s">
        <x:v>0</x:v>
      </x:c>
      <x:c r="B9" s="102" t="s">
        <x:v>28</x:v>
      </x:c>
      <x:c r="C9" s="122" t="str">
        <x:v/>
      </x:c>
    </x:row>
    <x:row r="10" spans="1:3" x14ac:dyDescent="0.25">
      <x:c r="A10" s="106" t="str">
        <x:v>B/W Copies</x:v>
      </x:c>
      <x:c r="B10" s="197" t="n">
        <x:v>0.01600</x:v>
      </x:c>
    </x:row>
    <x:row r="11" spans="1:3" x14ac:dyDescent="0.25">
      <x:c r="A11" s="43" t="str">
        <x:v>Color Copier B/W Pages</x:v>
      </x:c>
      <x:c r="B11" s="198" t="n">
        <x:v>0.01600</x:v>
      </x:c>
    </x:row>
    <x:row r="12" spans="1:3" x14ac:dyDescent="0.25">
      <x:c r="A12" s="106" t="str">
        <x:v>B/W Laser Prints</x:v>
      </x:c>
      <x:c r="B12" s="197" t="n">
        <x:v>0.02140</x:v>
      </x:c>
    </x:row>
    <x:row r="13" spans="1:3" x14ac:dyDescent="0.25">
      <x:c r="A13" s="43" t="str">
        <x:v>Color Copier Color Pages</x:v>
      </x:c>
      <x:c r="B13" s="198" t="n">
        <x:v>0.11100</x:v>
      </x:c>
    </x:row>
    <x:row r="14" spans="1:3" x14ac:dyDescent="0.25">
      <x:c r="A14" s="106" t="str">
        <x:v/>
      </x:c>
      <x:c r="B14" s="197" t="str">
        <x:v> </x:v>
      </x:c>
    </x:row>
    <x:row r="15" spans="1:3" x14ac:dyDescent="0.25">
      <x:c r="A15" s="43" t="str">
        <x:v/>
      </x:c>
      <x:c r="B15" s="198" t="str">
        <x:v> </x:v>
      </x:c>
    </x:row>
    <x:row r="16" spans="1:3" x14ac:dyDescent="0.25">
      <x:c r="A16" s="106" t="str">
        <x:v/>
      </x:c>
      <x:c r="B16" s="197" t="str">
        <x:v> </x:v>
      </x:c>
    </x:row>
    <x:row r="17" spans="1:3" x14ac:dyDescent="0.25">
      <x:c r="A17" s="43" t="str">
        <x:v/>
      </x:c>
      <x:c r="B17" s="198" t="str">
        <x:v> </x:v>
      </x:c>
    </x:row>
    <x:row r="18" spans="1:3" x14ac:dyDescent="0.25">
      <x:c r="A18" s="106" t="str">
        <x:v/>
      </x:c>
      <x:c r="B18" s="197" t="str">
        <x:v> </x:v>
      </x:c>
    </x:row>
    <x:row r="19" spans="1:3" x14ac:dyDescent="0.25">
      <x:c r="A19" s="43" t="str">
        <x:v/>
      </x:c>
      <x:c r="B19" s="198" t="str">
        <x:v> </x:v>
      </x:c>
    </x:row>
    <x:row r="20" spans="1:3" x14ac:dyDescent="0.25">
      <x:c r="A20" s="106" t="str">
        <x:v/>
      </x:c>
      <x:c r="B20" s="197" t="str">
        <x:v> </x:v>
      </x:c>
    </x:row>
    <x:row r="21" spans="1:3" x14ac:dyDescent="0.25">
      <x:c r="A21" s="43" t="str">
        <x:v/>
      </x:c>
      <x:c r="B21" s="198" t="str">
        <x:v> </x:v>
      </x:c>
    </x:row>
    <x:row r="22" spans="1:3" x14ac:dyDescent="0.25">
      <x:c r="A22" s="106" t="str">
        <x:v/>
      </x:c>
      <x:c r="B22" s="197" t="str">
        <x:v> </x:v>
      </x:c>
    </x:row>
    <x:row r="23" spans="1:3" x14ac:dyDescent="0.25">
      <x:c r="A23" s="43" t="str">
        <x:v/>
      </x:c>
      <x:c r="B23" s="198" t="str">
        <x:v> </x:v>
      </x:c>
    </x:row>
    <x:row r="24" spans="1:3" x14ac:dyDescent="0.25">
      <x:c r="A24" s="106" t="str">
        <x:v/>
      </x:c>
      <x:c r="B24" s="197" t="str">
        <x:v> </x:v>
      </x:c>
    </x:row>
    <x:row r="25" spans="1:2" ht="15.75" thickBot="1" x14ac:dyDescent="0.3">
      <x:c r="A25" s="108"/>
      <x:c r="B25" s="109"/>
    </x:row>
  </x:sheetData>
  <x:pageMargins left="0.25" right="0.25" top="1.2916666666666667" bottom="0.75" header="0.3" footer="0.3"/>
  <x:pageSetup orientation="landscape" r:id="rId1"/>
  <x:headerFooter>
    <x:oddHeader>&amp;C&amp;G</x:oddHeader>
    <x:oddFooter>&amp;C&amp;G</x:oddFooter>
  </x:headerFooter>
  <x:legacyDrawingHF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2"/>
  <x:dimension ref="A1:N21"/>
  <x:sheetViews>
    <x:sheetView view="pageLayout" topLeftCell="A4" zoomScaleNormal="100" workbookViewId="0">
      <x:selection activeCell="D4" sqref="D4"/>
    </x:sheetView>
  </x:sheetViews>
  <x:sheetFormatPr defaultRowHeight="15" x14ac:dyDescent="0.25"/>
  <x:cols>
    <x:col min="1" max="3" width="9.140625" style="1"/>
    <x:col min="4" max="4" width="15" style="1" customWidth="1"/>
    <x:col min="5" max="14" width="7.7109375" style="1" customWidth="1"/>
    <x:col min="15" max="16384" width="9.140625" style="1"/>
  </x:cols>
  <x:sheetData>
    <x:row r="1" spans="1:14" ht="18" x14ac:dyDescent="0.25">
      <x:c r="A1" s="141" t="str">
        <x:f ca="1">SETUP!B2</x:f>
        <x:v>?</x:v>
      </x:c>
      <x:c r="B1" s="142"/>
      <x:c r="C1" s="142"/>
      <x:c r="D1" s="142"/>
      <x:c r="E1" s="142"/>
      <x:c r="F1" s="142"/>
      <x:c r="G1" s="142"/>
      <x:c r="H1" s="142"/>
      <x:c r="I1" s="142"/>
      <x:c r="J1" s="142"/>
      <x:c r="K1" s="142"/>
      <x:c r="L1" s="142"/>
      <x:c r="M1" s="142"/>
      <x:c r="N1" s="142"/>
    </x:row>
    <x:row r="2" spans="1:14" x14ac:dyDescent="0.25">
      <x:c r="A2" s="123" t="str">
        <x:f ca="1">"FPR Service Support Survey for Period Ending  "&amp;TEXT(SETUP!$B$4,"MMMMMMMM DD, YYYY")&amp;""</x:f>
        <x:v>FPR Service Support Survey for Period Ending  ?</x:v>
      </x:c>
      <x:c r="B2" s="144"/>
      <x:c r="C2" s="144"/>
      <x:c r="D2" s="144"/>
      <x:c r="E2" s="144"/>
      <x:c r="F2" s="144"/>
      <x:c r="G2" s="144"/>
      <x:c r="H2" s="144"/>
      <x:c r="I2" s="144"/>
      <x:c r="J2" s="144"/>
      <x:c r="K2" s="144"/>
      <x:c r="L2" s="144"/>
      <x:c r="M2" s="144"/>
      <x:c r="N2" s="144"/>
    </x:row>
    <x:row r="4" spans="1:14" ht="18.75" customHeight="1" x14ac:dyDescent="0.25">
      <x:c r="C4" s="29" t="s">
        <x:v>30</x:v>
      </x:c>
      <x:c r="D4" s="27">
        <x:v/>
      </x:c>
      <x:c r="E4" s="28"/>
      <x:c r="F4" s="28"/>
      <x:c r="G4" s="28"/>
      <x:c r="H4" s="28"/>
      <x:c r="I4" s="28"/>
      <x:c r="J4" s="28"/>
      <x:c r="K4" s="28"/>
      <x:c r="L4" s="2"/>
    </x:row>
    <x:row r="5" spans="1:14" ht="18.75" customHeight="1" x14ac:dyDescent="0.25">
      <x:c r="C5" s="29" t="s">
        <x:v>31</x:v>
      </x:c>
      <x:c r="D5" s="27">
        <x:v/>
      </x:c>
      <x:c r="E5" s="28"/>
      <x:c r="F5" s="28"/>
      <x:c r="G5" s="28"/>
      <x:c r="H5" s="28"/>
      <x:c r="I5" s="28"/>
      <x:c r="J5" s="28"/>
      <x:c r="K5" s="28"/>
      <x:c r="L5" s="2"/>
    </x:row>
    <x:row r="6" spans="1:14" ht="18.75" customHeight="1" x14ac:dyDescent="0.25">
      <x:c r="C6" s="29" t="s">
        <x:v>32</x:v>
      </x:c>
      <x:c r="D6" s="27">
        <x:v/>
      </x:c>
      <x:c r="E6" s="28"/>
      <x:c r="F6" s="28"/>
      <x:c r="G6" s="28"/>
      <x:c r="H6" s="28"/>
      <x:c r="I6" s="28"/>
      <x:c r="J6" s="28"/>
      <x:c r="K6" s="28"/>
      <x:c r="L6" s="2"/>
    </x:row>
    <x:row r="7" spans="1:14" ht="15.75" thickBot="1" x14ac:dyDescent="0.3">
      <x:c r="B7" s="151"/>
      <x:c r="C7" s="152"/>
      <x:c r="D7" s="152"/>
      <x:c r="E7" s="152"/>
      <x:c r="F7" s="152"/>
      <x:c r="G7" s="152"/>
      <x:c r="H7" s="152"/>
      <x:c r="I7" s="152"/>
      <x:c r="J7" s="152"/>
      <x:c r="K7" s="152"/>
      <x:c r="L7" s="152"/>
      <x:c r="M7" s="152"/>
      <x:c r="N7" s="152"/>
    </x:row>
    <x:row r="8" spans="1:14" ht="15.75" thickBot="1" x14ac:dyDescent="0.3">
      <x:c r="B8" s="145" t="s">
        <x:v>33</x:v>
      </x:c>
      <x:c r="C8" s="146"/>
      <x:c r="D8" s="147"/>
      <x:c r="E8" s="99">
        <x:v>1</x:v>
      </x:c>
      <x:c r="F8" s="99">
        <x:v>2</x:v>
      </x:c>
      <x:c r="G8" s="99">
        <x:v>3</x:v>
      </x:c>
      <x:c r="H8" s="99">
        <x:v>4</x:v>
      </x:c>
      <x:c r="I8" s="99">
        <x:v>5</x:v>
      </x:c>
      <x:c r="J8" s="99">
        <x:v>6</x:v>
      </x:c>
      <x:c r="K8" s="99">
        <x:v>7</x:v>
      </x:c>
      <x:c r="L8" s="99">
        <x:v>8</x:v>
      </x:c>
      <x:c r="M8" s="99">
        <x:v>9</x:v>
      </x:c>
      <x:c r="N8" s="100">
        <x:v>10</x:v>
      </x:c>
    </x:row>
    <x:row r="9" spans="1:14" ht="22.5" customHeight="1" x14ac:dyDescent="0.25">
      <x:c r="B9" s="148" t="s">
        <x:v>13</x:v>
      </x:c>
      <x:c r="C9" s="149"/>
      <x:c r="D9" s="150"/>
      <x:c r="E9" s="114">
        <x:v/>
      </x:c>
      <x:c r="F9" s="114">
        <x:v/>
      </x:c>
      <x:c r="G9" s="114">
        <x:v/>
      </x:c>
      <x:c r="H9" s="114">
        <x:v/>
      </x:c>
      <x:c r="I9" s="114">
        <x:v/>
      </x:c>
      <x:c r="J9" s="114">
        <x:v/>
      </x:c>
      <x:c r="K9" s="114">
        <x:v/>
      </x:c>
      <x:c r="L9" s="114">
        <x:v/>
      </x:c>
      <x:c r="M9" s="114">
        <x:v/>
      </x:c>
      <x:c r="N9" s="115">
        <x:v/>
      </x:c>
    </x:row>
    <x:row r="10" spans="1:14" ht="30" customHeight="1" x14ac:dyDescent="0.25">
      <x:c r="B10" s="30"/>
      <x:c r="C10" s="28"/>
      <x:c r="D10" s="37" t="s">
        <x:v>36</x:v>
      </x:c>
      <x:c r="E10" s="31">
        <x:v/>
      </x:c>
      <x:c r="F10" s="32"/>
      <x:c r="G10" s="32"/>
      <x:c r="H10" s="32"/>
      <x:c r="I10" s="32"/>
      <x:c r="J10" s="32"/>
      <x:c r="K10" s="32"/>
      <x:c r="L10" s="32"/>
      <x:c r="M10" s="32"/>
      <x:c r="N10" s="33"/>
    </x:row>
    <x:row r="11" spans="1:14" ht="22.5" customHeight="1" x14ac:dyDescent="0.25">
      <x:c r="B11" s="133" t="s">
        <x:v>14</x:v>
      </x:c>
      <x:c r="C11" s="134"/>
      <x:c r="D11" s="135"/>
      <x:c r="E11" s="112">
        <x:v/>
      </x:c>
      <x:c r="F11" s="112">
        <x:v/>
      </x:c>
      <x:c r="G11" s="112">
        <x:v/>
      </x:c>
      <x:c r="H11" s="112">
        <x:v/>
      </x:c>
      <x:c r="I11" s="112">
        <x:v/>
      </x:c>
      <x:c r="J11" s="112">
        <x:v/>
      </x:c>
      <x:c r="K11" s="112">
        <x:v/>
      </x:c>
      <x:c r="L11" s="112">
        <x:v/>
      </x:c>
      <x:c r="M11" s="112">
        <x:v/>
      </x:c>
      <x:c r="N11" s="113">
        <x:v/>
      </x:c>
    </x:row>
    <x:row r="12" spans="1:14" ht="30" customHeight="1" x14ac:dyDescent="0.25">
      <x:c r="B12" s="30"/>
      <x:c r="C12" s="28"/>
      <x:c r="D12" s="37" t="s">
        <x:v>36</x:v>
      </x:c>
      <x:c r="E12" s="31">
        <x:v/>
      </x:c>
      <x:c r="F12" s="32"/>
      <x:c r="G12" s="32"/>
      <x:c r="H12" s="32"/>
      <x:c r="I12" s="32"/>
      <x:c r="J12" s="32"/>
      <x:c r="K12" s="32"/>
      <x:c r="L12" s="32"/>
      <x:c r="M12" s="32"/>
      <x:c r="N12" s="33"/>
    </x:row>
    <x:row r="13" spans="1:14" ht="22.5" customHeight="1" x14ac:dyDescent="0.25">
      <x:c r="B13" s="133" t="s">
        <x:v>34</x:v>
      </x:c>
      <x:c r="C13" s="134"/>
      <x:c r="D13" s="135"/>
      <x:c r="E13" s="110">
        <x:v/>
      </x:c>
      <x:c r="F13" s="110">
        <x:v/>
      </x:c>
      <x:c r="G13" s="110">
        <x:v/>
      </x:c>
      <x:c r="H13" s="110">
        <x:v/>
      </x:c>
      <x:c r="I13" s="110">
        <x:v/>
      </x:c>
      <x:c r="J13" s="110">
        <x:v/>
      </x:c>
      <x:c r="K13" s="110">
        <x:v/>
      </x:c>
      <x:c r="L13" s="110">
        <x:v/>
      </x:c>
      <x:c r="M13" s="110">
        <x:v/>
      </x:c>
      <x:c r="N13" s="111">
        <x:v/>
      </x:c>
    </x:row>
    <x:row r="14" spans="1:14" ht="37.5" customHeight="1" x14ac:dyDescent="0.25">
      <x:c r="B14" s="30"/>
      <x:c r="C14" s="28"/>
      <x:c r="D14" s="37" t="s">
        <x:v>36</x:v>
      </x:c>
      <x:c r="E14" s="31">
        <x:v/>
      </x:c>
      <x:c r="F14" s="32"/>
      <x:c r="G14" s="32"/>
      <x:c r="H14" s="32"/>
      <x:c r="I14" s="32"/>
      <x:c r="J14" s="32"/>
      <x:c r="K14" s="32"/>
      <x:c r="L14" s="32"/>
      <x:c r="M14" s="32"/>
      <x:c r="N14" s="33"/>
    </x:row>
    <x:row r="15" spans="1:14" ht="22.5" customHeight="1" x14ac:dyDescent="0.25">
      <x:c r="B15" s="133" t="s">
        <x:v>35</x:v>
      </x:c>
      <x:c r="C15" s="134"/>
      <x:c r="D15" s="135"/>
      <x:c r="E15" s="110">
        <x:v/>
      </x:c>
      <x:c r="F15" s="110">
        <x:v/>
      </x:c>
      <x:c r="G15" s="110">
        <x:v/>
      </x:c>
      <x:c r="H15" s="110">
        <x:v/>
      </x:c>
      <x:c r="I15" s="110">
        <x:v/>
      </x:c>
      <x:c r="J15" s="110">
        <x:v/>
      </x:c>
      <x:c r="K15" s="110">
        <x:v/>
      </x:c>
      <x:c r="L15" s="110">
        <x:v/>
      </x:c>
      <x:c r="M15" s="110">
        <x:v/>
      </x:c>
      <x:c r="N15" s="111">
        <x:v/>
      </x:c>
    </x:row>
    <x:row r="16" spans="1:14" ht="30" customHeight="1" x14ac:dyDescent="0.25">
      <x:c r="B16" s="30"/>
      <x:c r="C16" s="28"/>
      <x:c r="D16" s="37" t="s">
        <x:v>36</x:v>
      </x:c>
      <x:c r="E16" s="31">
        <x:v/>
      </x:c>
      <x:c r="F16" s="32"/>
      <x:c r="G16" s="32"/>
      <x:c r="H16" s="32"/>
      <x:c r="I16" s="32"/>
      <x:c r="J16" s="32"/>
      <x:c r="K16" s="32"/>
      <x:c r="L16" s="32"/>
      <x:c r="M16" s="32"/>
      <x:c r="N16" s="33"/>
    </x:row>
    <x:row r="17" spans="1:14" ht="22.5" customHeight="1" x14ac:dyDescent="0.25">
      <x:c r="B17" s="133" t="s">
        <x:v>17</x:v>
      </x:c>
      <x:c r="C17" s="134"/>
      <x:c r="D17" s="135"/>
      <x:c r="E17" s="110">
        <x:v/>
      </x:c>
      <x:c r="F17" s="110">
        <x:v/>
      </x:c>
      <x:c r="G17" s="110">
        <x:v/>
      </x:c>
      <x:c r="H17" s="110">
        <x:v/>
      </x:c>
      <x:c r="I17" s="110">
        <x:v/>
      </x:c>
      <x:c r="J17" s="110">
        <x:v/>
      </x:c>
      <x:c r="K17" s="110">
        <x:v/>
      </x:c>
      <x:c r="L17" s="110">
        <x:v/>
      </x:c>
      <x:c r="M17" s="110">
        <x:v/>
      </x:c>
      <x:c r="N17" s="111">
        <x:v/>
      </x:c>
    </x:row>
    <x:row r="18" spans="1:14" ht="30" customHeight="1" x14ac:dyDescent="0.25">
      <x:c r="B18" s="30"/>
      <x:c r="C18" s="28"/>
      <x:c r="D18" s="37" t="s">
        <x:v>36</x:v>
      </x:c>
      <x:c r="E18" s="31">
        <x:v/>
      </x:c>
      <x:c r="F18" s="32"/>
      <x:c r="G18" s="32"/>
      <x:c r="H18" s="32"/>
      <x:c r="I18" s="32"/>
      <x:c r="J18" s="32"/>
      <x:c r="K18" s="32"/>
      <x:c r="L18" s="32"/>
      <x:c r="M18" s="32"/>
      <x:c r="N18" s="33"/>
    </x:row>
    <x:row r="19" spans="1:14" ht="50.25" customHeight="1" thickBot="1" x14ac:dyDescent="0.3">
      <x:c r="B19" s="136" t="s">
        <x:v>45</x:v>
      </x:c>
      <x:c r="C19" s="137"/>
      <x:c r="D19" s="138"/>
      <x:c r="E19" s="34"/>
      <x:c r="F19" s="35">
        <x:v/>
      </x:c>
      <x:c r="G19" s="35"/>
      <x:c r="H19" s="35"/>
      <x:c r="I19" s="35"/>
      <x:c r="J19" s="35"/>
      <x:c r="K19" s="35"/>
      <x:c r="L19" s="35"/>
      <x:c r="M19" s="35"/>
      <x:c r="N19" s="36"/>
    </x:row>
    <x:row r="20" spans="1:14" ht="5.25" customHeight="1" x14ac:dyDescent="0.25"/>
    <x:row r="21" spans="1:14" ht="10.5" customHeight="1" x14ac:dyDescent="0.25">
      <x:c r="A21" s="139" t="s">
        <x:v>44</x:v>
      </x:c>
      <x:c r="B21" s="140"/>
      <x:c r="C21" s="140"/>
      <x:c r="D21" s="140"/>
      <x:c r="E21" s="140"/>
      <x:c r="F21" s="140"/>
      <x:c r="G21" s="140"/>
      <x:c r="H21" s="140"/>
      <x:c r="I21" s="140"/>
      <x:c r="J21" s="140"/>
      <x:c r="K21" s="140"/>
      <x:c r="L21" s="140"/>
      <x:c r="M21" s="140"/>
      <x:c r="N21" s="140"/>
    </x:row>
  </x:sheetData>
  <x:mergeCells count="11">
    <x:mergeCell ref="B15:D15"/>
    <x:mergeCell ref="B17:D17"/>
    <x:mergeCell ref="B19:D19"/>
    <x:mergeCell ref="A21:O21"/>
    <x:mergeCell ref="A1:O1"/>
    <x:mergeCell ref="A2:O2"/>
    <x:mergeCell ref="B8:D8"/>
    <x:mergeCell ref="B9:D9"/>
    <x:mergeCell ref="B11:D11"/>
    <x:mergeCell ref="B13:D13"/>
    <x:mergeCell ref="B7:N7"/>
  </x:mergeCells>
  <x:pageMargins left="0.333" right="0.333" top="1.2708333333333333" bottom="0.82291666666666663" header="0.3" footer="0.3"/>
  <x:pageSetup orientation="landscape" r:id="rId1"/>
  <x:headerFooter>
    <x:oddHeader>&amp;C&amp;G</x:oddHeader>
    <x:oddFooter>&amp;C&amp;G</x:oddFooter>
  </x:headerFooter>
  <x:legacyDrawingHF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10"/>
  <x:dimension ref="A1:G29"/>
  <x:sheetViews>
    <x:sheetView view="pageLayout" zoomScaleNormal="100" workbookViewId="0">
      <x:selection activeCell="A7" sqref="A7"/>
    </x:sheetView>
  </x:sheetViews>
  <x:sheetFormatPr defaultRowHeight="15" x14ac:dyDescent="0.25"/>
  <x:cols>
    <x:col min="1" max="1" width="19.28515625" style="1" customWidth="1"/>
    <x:col min="2" max="2" width="24.140625" style="1" customWidth="1"/>
    <x:col min="3" max="7" width="14.85546875" style="12" customWidth="1"/>
    <x:col min="8" max="16384" width="9.140625" style="1"/>
  </x:cols>
  <x:sheetData>
    <x:row r="1" spans="1:7" ht="15.75" x14ac:dyDescent="0.25">
      <x:c r="A1" s="125" t="str">
        <x:f ca="1">SETUP!$B$2</x:f>
        <x:v>?</x:v>
      </x:c>
      <x:c r="B1" s="132"/>
      <x:c r="C1" s="132"/>
      <x:c r="D1" s="132"/>
      <x:c r="E1" s="132"/>
      <x:c r="F1" s="132"/>
      <x:c r="G1" s="132"/>
    </x:row>
    <x:row r="3" spans="1:7" x14ac:dyDescent="0.25">
      <x:c r="A3" s="19"/>
      <x:c r="B3" s="12"/>
    </x:row>
    <x:row r="4" spans="1:7" ht="22.75" customHeight="1" x14ac:dyDescent="0.25">
      <x:c r="B4" s="199" t="str">
        <x:v>Each period, FPR petitions your feedback regarding our overall delivery of service.  The historical results provided to us are detailed below.  On a scale from 5 (worst) to 100 (best), the results below indicate how you have rated us in the past, for the respective categories.</x:v>
      </x:c>
      <x:c r="B4" s="128"/>
      <x:c r="C4" s="128"/>
      <x:c r="D4" s="128"/>
      <x:c r="E4" s="128"/>
      <x:c r="F4" s="128"/>
      <x:c r="G4" s="128"/>
    </x:row>
    <x:row r="6" spans="1:7" ht="34.5" x14ac:dyDescent="0.25">
      <x:c r="A6" s="47" t="s">
        <x:v>29</x:v>
      </x:c>
      <x:c r="B6" s="45" t="s">
        <x:v>18</x:v>
      </x:c>
      <x:c r="C6" s="45" t="s">
        <x:v>13</x:v>
      </x:c>
      <x:c r="D6" s="45" t="s">
        <x:v>14</x:v>
      </x:c>
      <x:c r="E6" s="45" t="s">
        <x:v>15</x:v>
      </x:c>
      <x:c r="F6" s="45" t="s">
        <x:v>16</x:v>
      </x:c>
      <x:c r="G6" s="46" t="s">
        <x:v>17</x:v>
      </x:c>
    </x:row>
    <x:row r="7" spans="1:8" x14ac:dyDescent="0.25">
      <x:c r="A7" s="60"/>
      <x:c r="B7" s="54"/>
      <x:c r="C7" s="54"/>
      <x:c r="D7" s="54"/>
      <x:c r="E7" s="54"/>
      <x:c r="F7" s="54"/>
      <x:c r="G7" s="98"/>
    </x:row>
    <x:row r="8" spans="1:8" x14ac:dyDescent="0.25">
      <x:c r="A8" s="60"/>
      <x:c r="B8" s="54"/>
      <x:c r="C8" s="54"/>
      <x:c r="D8" s="54"/>
      <x:c r="E8" s="54"/>
      <x:c r="F8" s="54"/>
      <x:c r="G8" s="98"/>
    </x:row>
    <x:row r="9" spans="1:8" ht="14.25" customHeight="1" x14ac:dyDescent="0.25">
      <x:c r="A9" s="58"/>
      <x:c r="B9" s="26"/>
      <x:c r="C9" s="21"/>
      <x:c r="D9" s="21"/>
      <x:c r="E9" s="8"/>
      <x:c r="F9" s="8">
        <x:v/>
      </x:c>
      <x:c r="G9" s="59"/>
    </x:row>
    <x:row r="10" spans="1:8" ht="14.25" customHeight="1" x14ac:dyDescent="0.25">
      <x:c r="A10" s="58"/>
      <x:c r="B10" s="26"/>
      <x:c r="C10" s="21"/>
      <x:c r="D10" s="21"/>
      <x:c r="E10" s="8"/>
      <x:c r="F10" s="8">
        <x:v/>
      </x:c>
      <x:c r="G10" s="59"/>
    </x:row>
    <x:row r="11" spans="1:8" x14ac:dyDescent="0.25">
      <x:c r="A11" s="60"/>
      <x:c r="B11" s="54"/>
      <x:c r="C11" s="54"/>
      <x:c r="D11" s="54"/>
      <x:c r="E11" s="54"/>
      <x:c r="F11" s="54"/>
      <x:c r="G11" s="98"/>
    </x:row>
    <x:row r="12" spans="1:8" x14ac:dyDescent="0.25">
      <x:c r="A12" s="60"/>
      <x:c r="B12" s="54"/>
      <x:c r="C12" s="54"/>
      <x:c r="D12" s="54"/>
      <x:c r="E12" s="54"/>
      <x:c r="F12" s="54"/>
      <x:c r="G12" s="98"/>
    </x:row>
    <x:row r="13" spans="1:8" ht="14.25" customHeight="1" x14ac:dyDescent="0.25">
      <x:c r="A13" s="58"/>
      <x:c r="B13" s="26"/>
      <x:c r="C13" s="21"/>
      <x:c r="D13" s="21"/>
      <x:c r="E13" s="8"/>
      <x:c r="F13" s="8">
        <x:v/>
      </x:c>
      <x:c r="G13" s="59"/>
    </x:row>
    <x:row r="14" spans="1:8" ht="14.25" customHeight="1" x14ac:dyDescent="0.25">
      <x:c r="A14" s="58"/>
      <x:c r="B14" s="26"/>
      <x:c r="C14" s="21"/>
      <x:c r="D14" s="21"/>
      <x:c r="E14" s="8"/>
      <x:c r="F14" s="8">
        <x:v/>
      </x:c>
      <x:c r="G14" s="59"/>
    </x:row>
    <x:row r="15" spans="1:8" x14ac:dyDescent="0.25">
      <x:c r="A15" s="60"/>
      <x:c r="B15" s="54"/>
      <x:c r="C15" s="54"/>
      <x:c r="D15" s="54"/>
      <x:c r="E15" s="54"/>
      <x:c r="F15" s="54"/>
      <x:c r="G15" s="98"/>
    </x:row>
    <x:row r="16" spans="1:8" x14ac:dyDescent="0.25">
      <x:c r="A16" s="60"/>
      <x:c r="B16" s="54"/>
      <x:c r="C16" s="54"/>
      <x:c r="D16" s="54"/>
      <x:c r="E16" s="54"/>
      <x:c r="F16" s="54"/>
      <x:c r="G16" s="98"/>
    </x:row>
    <x:row r="17" spans="1:8" ht="14.25" customHeight="1" x14ac:dyDescent="0.25">
      <x:c r="A17" s="58"/>
      <x:c r="B17" s="26"/>
      <x:c r="C17" s="21"/>
      <x:c r="D17" s="21"/>
      <x:c r="E17" s="8"/>
      <x:c r="F17" s="8">
        <x:v/>
      </x:c>
      <x:c r="G17" s="59"/>
    </x:row>
    <x:row r="18" spans="1:8" ht="14.25" customHeight="1" x14ac:dyDescent="0.25">
      <x:c r="A18" s="58"/>
      <x:c r="B18" s="26"/>
      <x:c r="C18" s="21"/>
      <x:c r="D18" s="21"/>
      <x:c r="E18" s="8"/>
      <x:c r="F18" s="8">
        <x:v/>
      </x:c>
      <x:c r="G18" s="59"/>
    </x:row>
    <x:row r="19" spans="1:8" x14ac:dyDescent="0.25">
      <x:c r="A19" s="60"/>
      <x:c r="B19" s="54"/>
      <x:c r="C19" s="54"/>
      <x:c r="D19" s="54"/>
      <x:c r="E19" s="54"/>
      <x:c r="F19" s="54"/>
      <x:c r="G19" s="98"/>
    </x:row>
    <x:row r="20" spans="1:8" x14ac:dyDescent="0.25">
      <x:c r="A20" s="60"/>
      <x:c r="B20" s="54"/>
      <x:c r="C20" s="54"/>
      <x:c r="D20" s="54"/>
      <x:c r="E20" s="54"/>
      <x:c r="F20" s="54"/>
      <x:c r="G20" s="98"/>
    </x:row>
    <x:row r="21" spans="1:8" ht="14.25" customHeight="1" x14ac:dyDescent="0.25">
      <x:c r="A21" s="58"/>
      <x:c r="B21" s="26"/>
      <x:c r="C21" s="21"/>
      <x:c r="D21" s="21"/>
      <x:c r="E21" s="8"/>
      <x:c r="F21" s="8">
        <x:v/>
      </x:c>
      <x:c r="G21" s="59"/>
    </x:row>
    <x:row r="22" spans="1:8" ht="14.25" customHeight="1" x14ac:dyDescent="0.25">
      <x:c r="A22" s="58"/>
      <x:c r="B22" s="26"/>
      <x:c r="C22" s="21"/>
      <x:c r="D22" s="21"/>
      <x:c r="E22" s="8"/>
      <x:c r="F22" s="8">
        <x:v/>
      </x:c>
      <x:c r="G22" s="59"/>
    </x:row>
    <x:row r="23" spans="1:8" x14ac:dyDescent="0.25">
      <x:c r="A23" s="60"/>
      <x:c r="B23" s="54"/>
      <x:c r="C23" s="54"/>
      <x:c r="D23" s="54"/>
      <x:c r="E23" s="54"/>
      <x:c r="F23" s="54"/>
      <x:c r="G23" s="98"/>
    </x:row>
    <x:row r="24" spans="1:8" x14ac:dyDescent="0.25">
      <x:c r="A24" s="60"/>
      <x:c r="B24" s="54"/>
      <x:c r="C24" s="54"/>
      <x:c r="D24" s="54"/>
      <x:c r="E24" s="54"/>
      <x:c r="F24" s="54"/>
      <x:c r="G24" s="98"/>
    </x:row>
    <x:row r="25" spans="1:8" ht="14.25" customHeight="1" x14ac:dyDescent="0.25">
      <x:c r="A25" s="58"/>
      <x:c r="B25" s="26"/>
      <x:c r="C25" s="21"/>
      <x:c r="D25" s="21"/>
      <x:c r="E25" s="8"/>
      <x:c r="F25" s="8">
        <x:v/>
      </x:c>
      <x:c r="G25" s="59"/>
    </x:row>
    <x:row r="26" spans="1:8" ht="14.25" customHeight="1" x14ac:dyDescent="0.25">
      <x:c r="A26" s="58"/>
      <x:c r="B26" s="26"/>
      <x:c r="C26" s="21"/>
      <x:c r="D26" s="21"/>
      <x:c r="E26" s="8"/>
      <x:c r="F26" s="8">
        <x:v/>
      </x:c>
      <x:c r="G26" s="59"/>
    </x:row>
    <x:row r="27" spans="1:8" x14ac:dyDescent="0.25">
      <x:c r="A27" s="60"/>
      <x:c r="B27" s="54"/>
      <x:c r="C27" s="54"/>
      <x:c r="D27" s="54"/>
      <x:c r="E27" s="54"/>
      <x:c r="F27" s="54"/>
      <x:c r="G27" s="98"/>
    </x:row>
    <x:row r="28" spans="1:8" x14ac:dyDescent="0.25">
      <x:c r="A28" s="60"/>
      <x:c r="B28" s="54"/>
      <x:c r="C28" s="54"/>
      <x:c r="D28" s="54"/>
      <x:c r="E28" s="54"/>
      <x:c r="F28" s="54"/>
      <x:c r="G28" s="98"/>
    </x:row>
    <x:row r="29" spans="1:8" ht="14.25" customHeight="1" x14ac:dyDescent="0.25">
      <x:c r="A29" s="58"/>
      <x:c r="B29" s="26"/>
      <x:c r="C29" s="21"/>
      <x:c r="D29" s="21"/>
      <x:c r="E29" s="8"/>
      <x:c r="F29" s="8">
        <x:v/>
      </x:c>
      <x:c r="G29" s="59"/>
    </x:row>
    <x:row r="30" spans="1:8" ht="14.25" customHeight="1" x14ac:dyDescent="0.25">
      <x:c r="A30" s="58"/>
      <x:c r="B30" s="26"/>
      <x:c r="C30" s="21"/>
      <x:c r="D30" s="21"/>
      <x:c r="E30" s="8"/>
      <x:c r="F30" s="8">
        <x:v/>
      </x:c>
      <x:c r="G30" s="59"/>
    </x:row>
    <x:row r="31" spans="1:8" x14ac:dyDescent="0.25">
      <x:c r="A31" s="60"/>
      <x:c r="B31" s="54"/>
      <x:c r="C31" s="54"/>
      <x:c r="D31" s="54"/>
      <x:c r="E31" s="54"/>
      <x:c r="F31" s="54"/>
      <x:c r="G31" s="98"/>
    </x:row>
    <x:row r="32" spans="1:7" x14ac:dyDescent="0.25">
      <x:c r="A32" s="92"/>
      <x:c r="B32" s="119"/>
      <x:c r="C32" s="120"/>
      <x:c r="D32" s="120"/>
      <x:c r="E32" s="120"/>
      <x:c r="F32" s="120"/>
      <x:c r="G32" s="121"/>
    </x:row>
  </x:sheetData>
  <x:mergeCells count="3">
    <x:mergeCell ref="A1:H1"/>
    <x:mergeCell ref="A2:H2"/>
    <x:mergeCell ref="B4:G4"/>
  </x:mergeCells>
  <x:conditionalFormatting sqref="C7">
    <x:cfRule type="cellIs" dxfId="19" priority="116" operator="equal">
      <x:formula>"F"</x:formula>
    </x:cfRule>
    <x:cfRule type="cellIs" dxfId="18" priority="117" operator="equal">
      <x:formula>"D"</x:formula>
    </x:cfRule>
    <x:cfRule type="cellIs" dxfId="17" priority="118" operator="equal">
      <x:formula>"C"</x:formula>
    </x:cfRule>
    <x:cfRule type="cellIs" dxfId="16" priority="119" operator="equal">
      <x:formula>"B"</x:formula>
    </x:cfRule>
    <x:cfRule type="cellIs" dxfId="15" priority="120" operator="equal">
      <x:formula>"A"</x:formula>
    </x:cfRule>
  </x:conditionalFormatting>
  <x:conditionalFormatting sqref="D7:G7">
    <x:cfRule type="cellIs" dxfId="14" priority="111" operator="equal">
      <x:formula>"F"</x:formula>
    </x:cfRule>
    <x:cfRule type="cellIs" dxfId="13" priority="112" operator="equal">
      <x:formula>"D"</x:formula>
    </x:cfRule>
    <x:cfRule type="cellIs" dxfId="12" priority="113" operator="equal">
      <x:formula>"C"</x:formula>
    </x:cfRule>
    <x:cfRule type="cellIs" dxfId="11" priority="114" operator="equal">
      <x:formula>"B"</x:formula>
    </x:cfRule>
    <x:cfRule type="cellIs" dxfId="10" priority="115" operator="equal">
      <x:formula>"A"</x:formula>
    </x:cfRule>
  </x:conditionalFormatting>
  <x:conditionalFormatting sqref="D8:G26">
    <x:cfRule type="cellIs" dxfId="9" priority="6" operator="equal">
      <x:formula>"F"</x:formula>
    </x:cfRule>
    <x:cfRule type="cellIs" dxfId="8" priority="7" operator="equal">
      <x:formula>"D"</x:formula>
    </x:cfRule>
    <x:cfRule type="cellIs" dxfId="7" priority="8" operator="equal">
      <x:formula>"C"</x:formula>
    </x:cfRule>
    <x:cfRule type="cellIs" dxfId="6" priority="9" operator="equal">
      <x:formula>"B"</x:formula>
    </x:cfRule>
    <x:cfRule type="cellIs" dxfId="5" priority="10" operator="equal">
      <x:formula>"A"</x:formula>
    </x:cfRule>
  </x:conditionalFormatting>
  <x:conditionalFormatting sqref="C8:C26">
    <x:cfRule type="cellIs" dxfId="4" priority="1" operator="equal">
      <x:formula>"F"</x:formula>
    </x:cfRule>
    <x:cfRule type="cellIs" dxfId="3" priority="2" operator="equal">
      <x:formula>"D"</x:formula>
    </x:cfRule>
    <x:cfRule type="cellIs" dxfId="2" priority="3" operator="equal">
      <x:formula>"C"</x:formula>
    </x:cfRule>
    <x:cfRule type="cellIs" dxfId="1" priority="4" operator="equal">
      <x:formula>"B"</x:formula>
    </x:cfRule>
    <x:cfRule type="cellIs" dxfId="0" priority="5" operator="equal">
      <x:formula>"A"</x:formula>
    </x:cfRule>
  </x:conditionalFormatting>
  <x:printOptions horizontalCentered="1"/>
  <x:pageMargins left="0.55" right="0.25" top="1.3958333333333333" bottom="0.75" header="0.3" footer="0.3"/>
  <x:pageSetup orientation="landscape" r:id="rId1"/>
  <x:headerFooter>
    <x:oddHeader>&amp;C&amp;G</x:oddHeader>
    <x:oddFooter>&amp;C&amp;G</x:oddFooter>
  </x:headerFooter>
  <x:legacyDrawingHF r:id="rId2"/>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dimension ref="A1:E29"/>
  <x:sheetViews>
    <x:sheetView showGridLines="0" view="pageLayout" zoomScaleNormal="100" workbookViewId="0">
      <x:selection activeCell="F1" sqref="F1"/>
    </x:sheetView>
  </x:sheetViews>
  <x:sheetFormatPr defaultRowHeight="15" x14ac:dyDescent="0.25"/>
  <x:cols>
    <x:col min="1" max="1" width="10.28515625" style="42" customWidth="1"/>
    <x:col min="2" max="2" width="28.7109375" style="1" customWidth="1"/>
    <x:col min="3" max="3" width="16.28515625" style="1" customWidth="1"/>
    <x:col min="4" max="4" width="1.1" style="12" customWidth="1"/>
    <x:col min="5" max="5" width="30.140625" style="12" customWidth="1"/>
    <x:col min="6" max="6" width="9.140625" style="1"/>
  </x:cols>
  <x:sheetData>
    <x:row r="1" spans="1:5" ht="15.75" x14ac:dyDescent="0.25">
      <x:c r="A1" s="125" t="str">
        <x:f ca="1">SETUP!$B$2</x:f>
        <x:v>?</x:v>
      </x:c>
      <x:c r="B1" s="132"/>
      <x:c r="C1" s="132"/>
      <x:c r="D1" s="132"/>
      <x:c r="E1" s="132"/>
    </x:row>
    <x:row r="2" spans="1:5" x14ac:dyDescent="0.25">
      <x:c r="A2" s="123" t="str">
        <x:f ca="1">="Easylink Usage by User for Period Ending "&amp;(TEXT(SETUP!B4,"MMMMMMMMM DD, YYYY")&amp;"")</x:f>
        <x:v/>
      </x:c>
      <x:c r="B2" s="132"/>
      <x:c r="C2" s="132"/>
      <x:c r="D2" s="132"/>
      <x:c r="E2" s="132"/>
    </x:row>
    <x:row r="3" spans="1:5" ht="8.25" customHeight="1" x14ac:dyDescent="0.25">
      <x:c r="A3" s="41"/>
      <x:c r="B3" s="20"/>
      <x:c r="C3" s="20"/>
      <x:c r="D3" s="20"/>
      <x:c r="E3" s="20"/>
    </x:row>
    <x:row r="4" spans="1:5" ht="27.25" customHeight="1" x14ac:dyDescent="0.25">
      <x:c r="B4" s="199" t="s">
        <x:v>26</x:v>
      </x:c>
    </x:row>
    <x:row r="5" spans="1:5" ht="6.75" customHeight="1" x14ac:dyDescent="0.25">
      <x:c r="A5" s="41"/>
      <x:c r="B5" s="20"/>
      <x:c r="C5" s="20"/>
      <x:c r="D5" s="20"/>
      <x:c r="E5" s="20"/>
    </x:row>
    <x:row r="6" spans="1:5" x14ac:dyDescent="0.25">
      <x:c r="B6" s="13" t="s">
        <x:v>22</x:v>
      </x:c>
      <x:c r="C6" s="14">
        <x:f ca="1">IF(B9="There is currently no Easylink usage.",0,SUM(A9:A8))</x:f>
        <x:v>0</x:v>
      </x:c>
      <x:c r="D6" s="1"/>
    </x:row>
    <x:row r="7" spans="1:5" x14ac:dyDescent="0.25">
      <x:c r="B7" s="13" t="s">
        <x:v>23</x:v>
      </x:c>
      <x:c r="C7" s="38">
        <x:f ca="1">SUM(E9:E8)</x:f>
        <x:v>0</x:v>
      </x:c>
      <x:c r="D7" s="1"/>
    </x:row>
    <x:row r="8" spans="1:5" ht="30" customHeight="1" x14ac:dyDescent="0.25">
      <x:c r="B8" s="47" t="s">
        <x:v>19</x:v>
      </x:c>
      <x:c r="C8" s="45" t="str">
        <x:v>Fax Number</x:v>
      </x:c>
      <x:c r="D8" s="45" t="str">
        <x:v/>
      </x:c>
      <x:c r="E8" s="46" t="s">
        <x:v>21</x:v>
      </x:c>
    </x:row>
    <x:row r="9" spans="1:5" x14ac:dyDescent="0.25">
      <x:c r="A9" s="42">
        <x:v/>
      </x:c>
      <x:c r="B9" s="60" t="str">
        <x:v>There is currently no Easylink usage.</x:v>
      </x:c>
      <x:c r="C9" s="84"/>
      <x:c r="D9" s="85"/>
      <x:c r="E9" s="86">
        <x:v/>
      </x:c>
    </x:row>
    <x:row r="10" spans="1:7" x14ac:dyDescent="0.25">
      <x:c r="B10" s="92"/>
      <x:c r="C10" s="120"/>
      <x:c r="D10" s="120"/>
      <x:c r="E10" s="121"/>
    </x:row>
  </x:sheetData>
  <x:mergeCells count="3">
    <x:mergeCell ref="A1:I1"/>
    <x:mergeCell ref="A2:I2"/>
    <x:mergeCell ref="B4:I4"/>
  </x:mergeCells>
  <x:printOptions horizontalCentered="1"/>
  <x:pageMargins left="0.553" right="0.333" top="1.3541666666666667" bottom="1.0208333333333333" header="0.3" footer="0.3"/>
  <x:pageSetup orientation="landscape" r:id="rId1"/>
  <x:headerFooter>
    <x:oddHeader>&amp;C&amp;G</x:oddHeader>
    <x:oddFooter>&amp;C&amp;G</x:oddFooter>
  </x:headerFooter>
  <x:legacyDrawingHF r:id="rId2"/>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codeName="Sheet9">
    <x:pageSetUpPr fitToPage="1"/>
  </x:sheetPr>
  <x:dimension ref="A1:I29"/>
  <x:sheetViews>
    <x:sheetView showGridLines="0" view="pageLayout" zoomScaleNormal="78" workbookViewId="0">
      <x:selection activeCell="B7" sqref="B7"/>
    </x:sheetView>
  </x:sheetViews>
  <x:sheetFormatPr defaultRowHeight="15" x14ac:dyDescent="0.25"/>
  <x:cols>
    <x:col min="1" max="1" width="3.28515625" style="1" customWidth="1"/>
    <x:col min="2" max="2" width="12.66" style="1" customWidth="1"/>
    <x:col min="3" max="3" width="9.11" style="1" customWidth="1"/>
    <x:col min="4" max="4" width="11.75" style="1" customWidth="1"/>
    <x:col min="5" max="5" width="15" style="1" customWidth="1"/>
    <x:col min="6" max="6" width="15" style="1" customWidth="1"/>
    <x:col min="7" max="7" width="16.33" style="1" customWidth="1"/>
    <x:col min="8" max="8" width="22.33" style="1" customWidth="1"/>
    <x:col min="9" max="9" width="22.285" style="1" customWidth="1"/>
    <x:col min="10" max="10" width="3.285" style="1" customWidth="1"/>
  </x:cols>
  <x:sheetData>
    <x:row r="1" spans="1:7" ht="15.75" x14ac:dyDescent="0.25">
      <x:c r="A1" s="125" t="str">
        <x:f ca="1">SETUP!$B$2</x:f>
        <x:v>?</x:v>
      </x:c>
      <x:c r="A1" s="132"/>
      <x:c r="C1" s="132"/>
      <x:c r="D1" s="132"/>
      <x:c r="E1" s="132"/>
      <x:c r="F1" s="132"/>
      <x:c r="G1" s="132"/>
      <x:c r="H1" s="132"/>
    </x:row>
    <x:row r="2" spans="1:7" ht="11.75" x14ac:dyDescent="0.25">
      <x:c r="A2" s="123" t="str">
        <x:f ca="1">="Service History For the Period Ending "&amp;TEXT(SETUP!$B$4,"MMMMMMMM DD, YYYY")&amp;""</x:f>
        <x:v>?</x:v>
      </x:c>
      <x:c r="A2" s="132"/>
      <x:c r="C2" s="132"/>
      <x:c r="D2" s="132"/>
      <x:c r="E2" s="132"/>
      <x:c r="F2" s="132"/>
      <x:c r="G2" s="132"/>
      <x:c r="H2" s="132"/>
    </x:row>
    <x:row r="4" spans="1:7" ht="23.75" customHeight="1" x14ac:dyDescent="0.25">
      <x:c r="A4" s="132"/>
      <x:c r="B4" s="199" t="str">
        <x:f ca="1">="The summary below details the "&amp;SETUP!$B$2&amp;" service calls for the assets managed by FPR for the current period.  The assets are sorted by Device ID#, to highlight potentially problematic devices.  For the period reviewed, there were 35 service calls."</x:f>
        <x:v>="The summary below details the "&amp;SETUP!$B$2&amp;" service calls for the assets managed by FPR for the current period.  The assets are sorted by Device ID#, to highlight potentially problematic devices (in RED).  For the period reviewed, there were "&amp;TEXT($I$6,"#,###")&amp;" service calls."</x:v>
      </x:c>
      <x:c r="C4" s="132"/>
      <x:c r="D4" s="132"/>
      <x:c r="E4" s="132"/>
      <x:c r="F4" s="132"/>
      <x:c r="G4" s="132"/>
      <x:c r="H4" s="132"/>
    </x:row>
    <x:row r="6" spans="1:7" ht="24.5" customHeight="1" x14ac:dyDescent="0.25">
      <x:c r="B6" s="194" t="str">
        <x:v>Service Call Summary</x:v>
      </x:c>
    </x:row>
    <x:row r="7" spans="1:3" x14ac:dyDescent="0.25">
      <x:c r="B7" s="99" t="str">
        <x:v>Feb. 2019</x:v>
      </x:c>
      <x:c r="C7" s="45" t="str">
        <x:v>Jan. 2019</x:v>
      </x:c>
      <x:c r="D7" s="45" t="str">
        <x:v>Dec. 2018</x:v>
      </x:c>
      <x:c r="E7" s="45" t="str">
        <x:v>Nov. 2018</x:v>
      </x:c>
      <x:c r="F7" s="45" t="str">
        <x:v>Oct. 2018</x:v>
      </x:c>
      <x:c r="G7" s="45" t="str">
        <x:v>Sep. 2018</x:v>
      </x:c>
      <x:c r="H7" s="45" t="str">
        <x:v>Aug. 2018</x:v>
      </x:c>
      <x:c r="I7" s="46" t="str">
        <x:v>Jul. 2018</x:v>
      </x:c>
    </x:row>
    <x:row r="8" spans="1:4" x14ac:dyDescent="0.25">
      <x:c r="B8" s="215" t="str">
        <x:v>19</x:v>
      </x:c>
      <x:c r="C8" s="120">
        <x:v>7</x:v>
      </x:c>
      <x:c r="D8" s="120">
        <x:v>6</x:v>
      </x:c>
      <x:c r="E8" s="120">
        <x:v>7</x:v>
      </x:c>
      <x:c r="F8" s="120">
        <x:v>13</x:v>
      </x:c>
      <x:c r="G8" s="120">
        <x:v>13</x:v>
      </x:c>
      <x:c r="H8" s="120">
        <x:v>14</x:v>
      </x:c>
      <x:c r="I8" s="121">
        <x:v>10</x:v>
      </x:c>
    </x:row>
    <x:row r="11" spans="1:7" ht="34.5" x14ac:dyDescent="0.25">
      <x:c r="B11" s="47" t="str">
        <x:v>Issue Date</x:v>
      </x:c>
      <x:c r="C11" s="45" t="str">
        <x:v>Submitted By</x:v>
      </x:c>
      <x:c r="D11" s="45" t="str">
        <x:v>Device ID#</x:v>
      </x:c>
      <x:c r="E11" s="45" t="str">
        <x:v>Model</x:v>
      </x:c>
      <x:c r="F11" s="45" t="str">
        <x:v>Asset Location</x:v>
      </x:c>
      <x:c r="G11" s="45" t="str">
        <x:v>Average Mo. Volume</x:v>
      </x:c>
      <x:c r="H11" s="45" t="str">
        <x:v>Issue</x:v>
      </x:c>
      <x:c r="I11" s="46" t="str">
        <x:v>Resolution Notes</x:v>
      </x:c>
    </x:row>
    <x:row r="12" spans="1:7" x14ac:dyDescent="0.25">
      <x:c r="B12" s="96">
        <x:v>1/17/2019</x:v>
      </x:c>
      <x:c r="C12" s="97">
        <x:v>Sherry Rader(417-865-8045/tsmitherman@fprus.com)</x:v>
      </x:c>
      <x:c r="D12" s="97" t="str">
        <x:v>11046658</x:v>
      </x:c>
      <x:c r="E12" s="97">
        <x:v>Ricoh MP C2051</x:v>
      </x:c>
      <x:c r="F12" s="97">
        <x:v>Springfield Treatment Center</x:v>
      </x:c>
      <x:c r="G12" s="97" t="str">
        <x:v>2,866</x:v>
      </x:c>
      <x:c r="H12" s="97" t="str">
        <x:v>Colored lines on copies This device is functioning</x:v>
      </x:c>
      <x:c r="I12" s="98" t="str">
        <x:v>1/18/2019: Ricoh; issue resolved.  Unable to rach Sherry.  Call complete. </x:v>
      </x:c>
    </x:row>
    <x:row r="13" spans="1:7" x14ac:dyDescent="0.25">
      <x:c r="B13" s="90">
        <x:v>1/31/2019</x:v>
      </x:c>
      <x:c r="C13" s="26">
        <x:v>Sherry Rader(417-865-8045/sbrasfield@fprus.com)</x:v>
      </x:c>
      <x:c r="D13" s="26" t="str">
        <x:v>11046658</x:v>
      </x:c>
      <x:c r="E13" s="26">
        <x:v>Ricoh MP C2051</x:v>
      </x:c>
      <x:c r="F13" s="26">
        <x:v>Springfield Treatment Center</x:v>
      </x:c>
      <x:c r="G13" s="26" t="n">
        <x:v>2866.000000</x:v>
      </x:c>
      <x:c r="H13" s="26" t="str">
        <x:v>Jamming with no visible jam This device is functioning</x:v>
      </x:c>
      <x:c r="I13" s="91" t="str">
        <x:v>2/1/2019: Ricoh; issue resolved.  Left VM for Sherry.  Call complete. </x:v>
      </x:c>
    </x:row>
    <x:row r="14" spans="1:7" x14ac:dyDescent="0.25">
      <x:c r="B14" s="96">
        <x:v>12/13/2018</x:v>
      </x:c>
      <x:c r="C14" s="97">
        <x:v>Zoe Blankenmeyer(972-391-4206/sbrasfield@fprus.com)</x:v>
      </x:c>
      <x:c r="D14" s="97" t="str">
        <x:v>12612610</x:v>
      </x:c>
      <x:c r="E14" s="97">
        <x:v>Ricoh MP C2051</x:v>
      </x:c>
      <x:c r="F14" s="97">
        <x:v>Nashville Treatment Center</x:v>
      </x:c>
      <x:c r="G14" s="97" t="str">
        <x:v>4,660</x:v>
      </x:c>
      <x:c r="H14" s="97" t="str">
        <x:v>sc990 error code. device is not working.  This device is functioning</x:v>
      </x:c>
      <x:c r="I14" s="98" t="str">
        <x:v>12/20/2018: Ricoh; issue resolved. Unable to reach or leave VM for Zoe.  Call complete. </x:v>
      </x:c>
    </x:row>
    <x:row r="15" spans="1:7" x14ac:dyDescent="0.25">
      <x:c r="B15" s="90">
        <x:v>2/6/2019</x:v>
      </x:c>
      <x:c r="C15" s="26">
        <x:v>Chelsea Ragaf(9723914451/vnaik@fprus.com)</x:v>
      </x:c>
      <x:c r="D15" s="26" t="str">
        <x:v>12672104</x:v>
      </x:c>
      <x:c r="E15" s="26">
        <x:v>Ricoh MP 2851</x:v>
      </x:c>
      <x:c r="F15" s="26">
        <x:v>New Orleans Downtown Treatment Center</x:v>
      </x:c>
      <x:c r="G15" s="26" t="n">
        <x:v>3098.000000</x:v>
      </x:c>
      <x:c r="H15" s="26" t="str">
        <x:v>Splotches on prints and smudging.  This device is not functioning</x:v>
      </x:c>
      <x:c r="I15" s="91" t="str">
        <x:v>2/7/2019: Ricoh; pending. 2/11/2019: Emailed tech for an update.  2/12/2019: Ricoh; issue resolved.  Left message for Chelsea.  Call complete. </x:v>
      </x:c>
    </x:row>
    <x:row r="16" spans="1:7" x14ac:dyDescent="0.25">
      <x:c r="B16" s="96">
        <x:v>2/25/2019</x:v>
      </x:c>
      <x:c r="C16" s="97">
        <x:v>Rachel Trahan(859-276-0533/rachel.trahan@bhgrecovery.com)</x:v>
      </x:c>
      <x:c r="D16" s="97" t="str">
        <x:v>12988200</x:v>
      </x:c>
      <x:c r="E16" s="97">
        <x:v>Ricoh MPC 2551</x:v>
      </x:c>
      <x:c r="F16" s="97">
        <x:v>Lexington Treatment Center</x:v>
      </x:c>
      <x:c r="G16" s="97" t="str">
        <x:v>4,000</x:v>
      </x:c>
      <x:c r="H16" s="97" t="str">
        <x:v>Streaks and fading when printing.
Please provide an ETA.
Closing at 2pm (TS) This device is functioning</x:v>
      </x:c>
      <x:c r="I16" s="98" t="str">
        <x:v>2/25/2019: Ricoh; pending -emailed tech for an update. </x:v>
      </x:c>
    </x:row>
    <x:row r="17" spans="1:7" x14ac:dyDescent="0.25">
      <x:c r="B17" s="90">
        <x:v>1/23/2019</x:v>
      </x:c>
      <x:c r="C17" s="26">
        <x:v>Deirdra Richard(337-433-8281/Deirdra.Richard@bhgrecovery.com)</x:v>
      </x:c>
      <x:c r="D17" s="26" t="str">
        <x:v>13079217</x:v>
      </x:c>
      <x:c r="E17" s="26">
        <x:v>Ricoh MP 2851</x:v>
      </x:c>
      <x:c r="F17" s="26">
        <x:v>Lake Charles Treatment Center</x:v>
      </x:c>
      <x:c r="G17" s="26" t="n">
        <x:v>2094.000000</x:v>
      </x:c>
      <x:c r="H17" s="26" t="str">
        <x:v>Not printing This device is functioning</x:v>
      </x:c>
      <x:c r="I17" s="91" t="str">
        <x:v>1/24/2019: Ricoh; issue resolved. Emailed Deirdra.  Call complete. </x:v>
      </x:c>
    </x:row>
    <x:row r="18" spans="1:7" x14ac:dyDescent="0.25">
      <x:c r="B18" s="96">
        <x:v>2/11/2019</x:v>
      </x:c>
      <x:c r="C18" s="97">
        <x:v>TaNajee Charles(5043471120/tanajee.charles@bhgrecovery.com)</x:v>
      </x:c>
      <x:c r="D18" s="97" t="str">
        <x:v>13313762</x:v>
      </x:c>
      <x:c r="E18" s="97">
        <x:v>Ricoh SP 4210N</x:v>
      </x:c>
      <x:c r="F18" s="97">
        <x:v>New Orleans Westbank Treatment Center</x:v>
      </x:c>
      <x:c r="G18" s="97" t="str">
        <x:v>654</x:v>
      </x:c>
      <x:c r="H18" s="97" t="str">
        <x:v>printer keeps jamming when trying to print
first tray of printer cannot put paper in because  it jams as it prints This device is functioning</x:v>
      </x:c>
      <x:c r="I18" s="98" t="str">
        <x:v>2/12/2019: Ricoh; issue resolved.  Emailed TaNajee.  Call complete. </x:v>
      </x:c>
    </x:row>
    <x:row r="19" spans="1:7" x14ac:dyDescent="0.25">
      <x:c r="B19" s="90">
        <x:v>12/26/2018</x:v>
      </x:c>
      <x:c r="C19" s="26">
        <x:v>TaNajee Charles(5043471120/tanajee.charles@bhgrecovery.com)</x:v>
      </x:c>
      <x:c r="D19" s="26" t="str">
        <x:v>13313781</x:v>
      </x:c>
      <x:c r="E19" s="26">
        <x:v>Ricoh MP C2051</x:v>
      </x:c>
      <x:c r="F19" s="26">
        <x:v>New Orleans Westbank Treatment Center</x:v>
      </x:c>
      <x:c r="G19" s="26" t="n">
        <x:v>4950.000000</x:v>
      </x:c>
      <x:c r="H19" s="26" t="str">
        <x:v>fax not working This device is not functioning</x:v>
      </x:c>
      <x:c r="I19" s="91" t="str">
        <x:v>12/26/2018: Ricoh; issue resolved.  Emailed TaNajee.  Call complete. </x:v>
      </x:c>
    </x:row>
    <x:row r="20" spans="1:7" x14ac:dyDescent="0.25">
      <x:c r="B20" s="96">
        <x:v>2/20/2019</x:v>
      </x:c>
      <x:c r="C20" s="97">
        <x:v>Nicholette Martinez(303-824-5866/Nicholette.martinez@BHGrecovery.com)</x:v>
      </x:c>
      <x:c r="D20" s="97" t="str">
        <x:v>13927574</x:v>
      </x:c>
      <x:c r="E20" s="97">
        <x:v>Ricoh SP 4510DN</x:v>
      </x:c>
      <x:c r="F20" s="97">
        <x:v>Centennial Treatment Center</x:v>
      </x:c>
      <x:c r="G20" s="97" t="str">
        <x:v>844</x:v>
      </x:c>
      <x:c r="H20" s="97" t="str">
        <x:v>needs overall maintenance.  Keeps jamming, bending paper, and printing blank sheets.   This device is functioning</x:v>
      </x:c>
      <x:c r="I20" s="98" t="str">
        <x:v>2/21/2019: Ricoh; issue resolved. Emailed Nicholette.  Call complete. </x:v>
      </x:c>
    </x:row>
    <x:row r="21" spans="1:7" x14ac:dyDescent="0.25">
      <x:c r="B21" s="90">
        <x:v>2/20/2019</x:v>
      </x:c>
      <x:c r="C21" s="26">
        <x:v>Nicholette Martinez(303-824-5866/Nicholette.martinez@BHGrecovery.com)</x:v>
      </x:c>
      <x:c r="D21" s="26" t="str">
        <x:v>13927820</x:v>
      </x:c>
      <x:c r="E21" s="26">
        <x:v>Ricoh MP C3004</x:v>
      </x:c>
      <x:c r="F21" s="26">
        <x:v>Centennial Treatment Center</x:v>
      </x:c>
      <x:c r="G21" s="26" t="n">
        <x:v>1933.000000</x:v>
      </x:c>
      <x:c r="H21" s="26" t="str">
        <x:v>Jamming in rollers when pulling paper from the tray.  This device is functioning</x:v>
      </x:c>
      <x:c r="I21" s="91" t="str">
        <x:v>2/21/2019: Ricoh; issue resolved. Emailed Nicholette.  Call complete. </x:v>
      </x:c>
    </x:row>
    <x:row r="22" spans="1:7" x14ac:dyDescent="0.25">
      <x:c r="B22" s="96">
        <x:v>1/31/2019</x:v>
      </x:c>
      <x:c r="C22" s="97">
        <x:v>Andy Gordon(214-365-6154/sbrasfield@fprus.com)</x:v>
      </x:c>
      <x:c r="D22" s="97" t="str">
        <x:v>20044592</x:v>
      </x:c>
      <x:c r="E22" s="97">
        <x:v>Ricoh MP C2051</x:v>
      </x:c>
      <x:c r="F22" s="97">
        <x:v>Dallas Corporate Office</x:v>
      </x:c>
      <x:c r="G22" s="97" t="str">
        <x:v>5,064</x:v>
      </x:c>
      <x:c r="H22" s="97" t="str">
        <x:v>Rollers are very loud when printing This device is functioning</x:v>
      </x:c>
      <x:c r="I22" s="98" t="str">
        <x:v>2/4/2019: Ricoh; issue resolved.  Emailed Any.  Call complete. </x:v>
      </x:c>
    </x:row>
    <x:row r="23" spans="1:7" x14ac:dyDescent="0.25">
      <x:c r="B23" s="90">
        <x:v>12/5/2018</x:v>
      </x:c>
      <x:c r="C23" s="26">
        <x:v>Andy Gordon(214-365-6154/vnaik@fprus.com)</x:v>
      </x:c>
      <x:c r="D23" s="26" t="str">
        <x:v>20047265</x:v>
      </x:c>
      <x:c r="E23" s="26">
        <x:v>Ricoh SP 4210N</x:v>
      </x:c>
      <x:c r="F23" s="26">
        <x:v>Dallas Corporate Office</x:v>
      </x:c>
      <x:c r="G23" s="26" t="n">
        <x:v>3059.000000</x:v>
      </x:c>
      <x:c r="H23" s="26" t="str">
        <x:v>Need maint kit replaced  This device is not functioning</x:v>
      </x:c>
      <x:c r="I23" s="91" t="str">
        <x:v>12/6/2018: Ricoh; issue resolved.  Emailed Andy.  Call complete. </x:v>
      </x:c>
    </x:row>
    <x:row r="24" spans="1:7" x14ac:dyDescent="0.25">
      <x:c r="B24" s="96">
        <x:v>12/27/2018</x:v>
      </x:c>
      <x:c r="C24" s="97">
        <x:v>Kristine Coffin(303-245-0123/kristine.coffin@bhgrecovery.com)</x:v>
      </x:c>
      <x:c r="D24" s="97" t="str">
        <x:v>20048184</x:v>
      </x:c>
      <x:c r="E24" s="97">
        <x:v>Ricoh MP C2051</x:v>
      </x:c>
      <x:c r="F24" s="97">
        <x:v>Longmont Treatment Center</x:v>
      </x:c>
      <x:c r="G24" s="97" t="str">
        <x:v>5,143</x:v>
      </x:c>
      <x:c r="H24" s="97" t="str">
        <x:v>Drawer #1 jams. We had to pull out the drawer in order for copier to work. 
We also need the copier cleaned, it is leaving light black lines on copies and scans This device is functioning</x:v>
      </x:c>
      <x:c r="I24" s="98" t="str">
        <x:v>1/2/2019: Ricoh; pending.  Part should be in Monday. 1/10/19 - Ricoh has closed this call.  Emailed Kristine.  Call complete. </x:v>
      </x:c>
    </x:row>
    <x:row r="25" spans="1:7" x14ac:dyDescent="0.25">
      <x:c r="B25" s="90">
        <x:v>1/22/2019</x:v>
      </x:c>
      <x:c r="C25" s="26">
        <x:v>Kristine Coffin(303-245-0123/kristine.coffin@bhgrecovery.com)</x:v>
      </x:c>
      <x:c r="D25" s="26" t="str">
        <x:v>20048184</x:v>
      </x:c>
      <x:c r="E25" s="26">
        <x:v>Ricoh MP C2051</x:v>
      </x:c>
      <x:c r="F25" s="26">
        <x:v>Longmont Treatment Center</x:v>
      </x:c>
      <x:c r="G25" s="26" t="n">
        <x:v>5143.000000</x:v>
      </x:c>
      <x:c r="H25" s="26" t="str">
        <x:v>copies and scans have many lines throughout the copies and scans This device is functioning</x:v>
      </x:c>
      <x:c r="I25" s="91" t="str">
        <x:v>1/23/2019: Ricoh; pending - emailed tech for an update.  2/5/2019: Ricoh; issue resolved.  Emailed Kristine.  Call complete. </x:v>
      </x:c>
    </x:row>
    <x:row r="26" spans="1:7" x14ac:dyDescent="0.25">
      <x:c r="B26" s="96">
        <x:v>1/22/2019</x:v>
      </x:c>
      <x:c r="C26" s="97">
        <x:v>Kristine Coffin(303-245-0123/kristine.coffin@bhgrecovery.com)</x:v>
      </x:c>
      <x:c r="D26" s="97" t="str">
        <x:v>20048184</x:v>
      </x:c>
      <x:c r="E26" s="97">
        <x:v>Ricoh MP C2051</x:v>
      </x:c>
      <x:c r="F26" s="97">
        <x:v>Longmont Treatment Center</x:v>
      </x:c>
      <x:c r="G26" s="97" t="str">
        <x:v>5,143</x:v>
      </x:c>
      <x:c r="H26" s="97" t="str">
        <x:v>copies and scans have lines throughout the documents This device is functioning</x:v>
      </x:c>
      <x:c r="I26" s="98" t="str">
        <x:v>No Work Order Remarks</x:v>
      </x:c>
    </x:row>
    <x:row r="27" spans="1:7" x14ac:dyDescent="0.25">
      <x:c r="B27" s="90">
        <x:v>2/5/2019</x:v>
      </x:c>
      <x:c r="C27" s="26">
        <x:v>Elvia Silva (3036295293/elvia.silva@bhgrecovery.com)</x:v>
      </x:c>
      <x:c r="D27" s="26" t="str">
        <x:v>20086075</x:v>
      </x:c>
      <x:c r="E27" s="26">
        <x:v>Ricoh MP C2051</x:v>
      </x:c>
      <x:c r="F27" s="26">
        <x:v>Denver Treatment Center</x:v>
      </x:c>
      <x:c r="G27" s="26" t="n">
        <x:v>7137.000000</x:v>
      </x:c>
      <x:c r="H27" s="26" t="str">
        <x:v>Error Message / Non Functioning  This device is not functioning</x:v>
      </x:c>
      <x:c r="I27" s="91" t="str">
        <x:v>2/7/2019: Ricoh; issue resolved.  Emailed Elvia.  Call complete. </x:v>
      </x:c>
    </x:row>
    <x:row r="28" spans="1:7" x14ac:dyDescent="0.25">
      <x:c r="B28" s="96">
        <x:v>2/19/2019</x:v>
      </x:c>
      <x:c r="C28" s="97">
        <x:v>Elvia Silva (3036295293/Elvia.silva@bhgrecovery.com)</x:v>
      </x:c>
      <x:c r="D28" s="97" t="str">
        <x:v>20086075</x:v>
      </x:c>
      <x:c r="E28" s="97">
        <x:v>Ricoh MP C2051</x:v>
      </x:c>
      <x:c r="F28" s="97">
        <x:v>Denver Treatment Center</x:v>
      </x:c>
      <x:c r="G28" s="97" t="str">
        <x:v>7,137</x:v>
      </x:c>
      <x:c r="H28" s="97" t="str">
        <x:v>Not Printing Properly   This device is not functioning</x:v>
      </x:c>
      <x:c r="I28" s="98" t="str">
        <x:v>2/20/2019: Ricoh; pending. 2/22/2019: Ricoh; pending - emailed tech.  2/25/2019: Emailed Andrew for an update.  2/26/2019: Ricoh; issue resolved. Emailed Elvia.  Call complete. </x:v>
      </x:c>
    </x:row>
    <x:row r="29" spans="1:7" x14ac:dyDescent="0.25">
      <x:c r="B29" s="90">
        <x:v>2/4/2019</x:v>
      </x:c>
      <x:c r="C29" s="26">
        <x:v>Deirdra Richard(337-433-8281/Deirdra.Richard@bhgrecovery.com)</x:v>
      </x:c>
      <x:c r="D29" s="26" t="str">
        <x:v>20099657</x:v>
      </x:c>
      <x:c r="E29" s="26">
        <x:v>Ricoh MP C2051</x:v>
      </x:c>
      <x:c r="F29" s="26">
        <x:v>Lake Charles Treatment Center</x:v>
      </x:c>
      <x:c r="G29" s="26" t="n">
        <x:v>4512.000000</x:v>
      </x:c>
      <x:c r="H29" s="26" t="str">
        <x:v>Fax not working This device is functioning</x:v>
      </x:c>
      <x:c r="I29" s="91" t="str">
        <x:v>2/5/2019: Ricoh; issue resolved.  Emailed Deidra.  Call complete.  </x:v>
      </x:c>
    </x:row>
    <x:row r="30" spans="1:7" x14ac:dyDescent="0.25">
      <x:c r="B30" s="96">
        <x:v>12/10/2018</x:v>
      </x:c>
      <x:c r="C30" s="97">
        <x:v>Deirdra Richard(337-433-8281/Deirdra.Richard@bhgrecovery.com)</x:v>
      </x:c>
      <x:c r="D30" s="97" t="str">
        <x:v>20099657</x:v>
      </x:c>
      <x:c r="E30" s="97">
        <x:v>Ricoh MP C2051</x:v>
      </x:c>
      <x:c r="F30" s="97">
        <x:v>Lake Charles Treatment Center</x:v>
      </x:c>
      <x:c r="G30" s="97" t="str">
        <x:v>4,512</x:v>
      </x:c>
      <x:c r="H30" s="97" t="str">
        <x:v>Fax not working again, keeps giving instructions to shut machine down This device is not functioning</x:v>
      </x:c>
      <x:c r="I30" s="98" t="str">
        <x:v>12/11/2018: Ricoh; issue resolved.  Emailed Deirdra.  Call complete. </x:v>
      </x:c>
    </x:row>
    <x:row r="31" spans="1:7" x14ac:dyDescent="0.25">
      <x:c r="B31" s="90">
        <x:v>1/23/2019</x:v>
      </x:c>
      <x:c r="C31" s="26">
        <x:v>Deirdra Richard(337-433-8281/Deirdra.Richard@bhgrecovery.com)</x:v>
      </x:c>
      <x:c r="D31" s="26" t="str">
        <x:v>20099657</x:v>
      </x:c>
      <x:c r="E31" s="26">
        <x:v>Ricoh MP C2051</x:v>
      </x:c>
      <x:c r="F31" s="26">
        <x:v>Lake Charles Treatment Center</x:v>
      </x:c>
      <x:c r="G31" s="26" t="n">
        <x:v>4512.000000</x:v>
      </x:c>
      <x:c r="H31" s="26" t="str">
        <x:v>2nd drawer does not allow you to put paper in it . Jamming. This device is functioning</x:v>
      </x:c>
      <x:c r="I31" s="91" t="str">
        <x:v>1/24/2019: Ricoh; issue resolved. Emailed Deirdra.  Call complete. </x:v>
      </x:c>
    </x:row>
    <x:row r="32" spans="1:7" x14ac:dyDescent="0.25">
      <x:c r="B32" s="96">
        <x:v>1/30/2019</x:v>
      </x:c>
      <x:c r="C32" s="97">
        <x:v>Cynthia Baker(731-660-0880/sbrasfield@fprus.com)</x:v>
      </x:c>
      <x:c r="D32" s="97" t="str">
        <x:v>20166029</x:v>
      </x:c>
      <x:c r="E32" s="97">
        <x:v>Ricoh MP C2051</x:v>
      </x:c>
      <x:c r="F32" s="97">
        <x:v>Jackson, TN Treatment Center</x:v>
      </x:c>
      <x:c r="G32" s="97" t="str">
        <x:v>1,857</x:v>
      </x:c>
      <x:c r="H32" s="97" t="str">
        <x:v>ext 123234. Fax is not working. Can send but cannot receive. business closes at 12:30 pm This device is functioning</x:v>
      </x:c>
      <x:c r="I32" s="98" t="str">
        <x:v>1/31/2019: Ricoh; issue resolved.  Unable to reach Cynthia.  Call complete. </x:v>
      </x:c>
    </x:row>
    <x:row r="33" spans="1:7" x14ac:dyDescent="0.25">
      <x:c r="B33" s="90">
        <x:v>2/18/2019</x:v>
      </x:c>
      <x:c r="C33" s="26">
        <x:v>Jason Wells(972-391-4349/jason.wells@bhgrecovery.com)</x:v>
      </x:c>
      <x:c r="D33" s="26" t="str">
        <x:v>20185736</x:v>
      </x:c>
      <x:c r="E33" s="26">
        <x:v>Ricoh MP C2051</x:v>
      </x:c>
      <x:c r="F33" s="26">
        <x:v>Knoxville Bernard Treatment Center</x:v>
      </x:c>
      <x:c r="G33" s="26" t="n">
        <x:v>3315.000000</x:v>
      </x:c>
      <x:c r="H33" s="26" t="str">
        <x:v>Top tray keeps jamming.  Have asked numerous times to have this fixed, but it is still not working correctly.  Also giving error that scanning glass needs to be cleaned This device is functioning</x:v>
      </x:c>
      <x:c r="I33" s="91" t="str">
        <x:v>2/19/2019: Ricoh; issue resolved.  Emailed Jason. Call complete. </x:v>
      </x:c>
    </x:row>
    <x:row r="34" spans="1:7" x14ac:dyDescent="0.25">
      <x:c r="B34" s="96">
        <x:v>2/15/2019</x:v>
      </x:c>
      <x:c r="C34" s="97">
        <x:v>Matthew Dorton(8655220661/matthew.dorton@bhgrecovery.com)</x:v>
      </x:c>
      <x:c r="D34" s="97" t="str">
        <x:v>20187228</x:v>
      </x:c>
      <x:c r="E34" s="97">
        <x:v>Ricoh MP 2851</x:v>
      </x:c>
      <x:c r="F34" s="97">
        <x:v>Knoxville Citico Treatment Center</x:v>
      </x:c>
      <x:c r="G34" s="97" t="str">
        <x:v>3,776</x:v>
      </x:c>
      <x:c r="H34" s="97" t="str">
        <x:v>Not sensing toner - says it's empty but was 1/2 full, switched to new one but not sensing the new toner.  This device is not functioning</x:v>
      </x:c>
      <x:c r="I34" s="98" t="str">
        <x:v>2/18/2019: Ricoh; issue resolved.  Emailed Matthew.  Call complete. </x:v>
      </x:c>
    </x:row>
    <x:row r="35" spans="1:7" x14ac:dyDescent="0.25">
      <x:c r="B35" s="90">
        <x:v>2/7/2019</x:v>
      </x:c>
      <x:c r="C35" s="26">
        <x:v>Matthew Dorton(8655220661/matthew.dorton@bhgrecovery.com)</x:v>
      </x:c>
      <x:c r="D35" s="26" t="str">
        <x:v>20187228</x:v>
      </x:c>
      <x:c r="E35" s="26">
        <x:v>Ricoh MP 2851</x:v>
      </x:c>
      <x:c r="F35" s="26">
        <x:v>Knoxville Citico Treatment Center</x:v>
      </x:c>
      <x:c r="G35" s="26" t="n">
        <x:v>3776.000000</x:v>
      </x:c>
      <x:c r="H35" s="26" t="str">
        <x:v>2nd Ticket: Copier not scanning. Discussed and worked with BHG IT Dept. Andy. We will need to coordinate the ticket at FPR time of arrival with Andy from BHG IT.  This device is functioning</x:v>
      </x:c>
      <x:c r="I35" s="91" t="str">
        <x:v>2/8/2019: Ricoh; issue resolved.  Emailed Matthew.  Call complete. </x:v>
      </x:c>
    </x:row>
    <x:row r="36" spans="1:7" x14ac:dyDescent="0.25">
      <x:c r="B36" s="96">
        <x:v>1/24/2019</x:v>
      </x:c>
      <x:c r="C36" s="97">
        <x:v>Matthew Dorton(8655220661/matthew.dorton@bhgrecovery.com)</x:v>
      </x:c>
      <x:c r="D36" s="97" t="str">
        <x:v>20187228</x:v>
      </x:c>
      <x:c r="E36" s="97">
        <x:v>Ricoh MP 2851</x:v>
      </x:c>
      <x:c r="F36" s="97">
        <x:v>Knoxville Citico Treatment Center</x:v>
      </x:c>
      <x:c r="G36" s="97" t="str">
        <x:v>3,776</x:v>
      </x:c>
      <x:c r="H36" s="97" t="str">
        <x:v>Not scanning - producing error  This device is not functioning</x:v>
      </x:c>
      <x:c r="I36" s="98" t="str">
        <x:v>1/25/2019: Ricoh; pending. 1/28/2019: Ricoh; issue resolved. Emailed Matthew.  Call complete. </x:v>
      </x:c>
    </x:row>
    <x:row r="37" spans="1:7" x14ac:dyDescent="0.25">
      <x:c r="B37" s="90">
        <x:v>2/7/2019</x:v>
      </x:c>
      <x:c r="C37" s="26">
        <x:v>Matthew Dorton(8655220661/matthew.dorton@bhgrecovery.com)</x:v>
      </x:c>
      <x:c r="D37" s="26" t="str">
        <x:v>20187231</x:v>
      </x:c>
      <x:c r="E37" s="26">
        <x:v>Ricoh MP 2851</x:v>
      </x:c>
      <x:c r="F37" s="26">
        <x:v>Knoxville Citico Treatment Center</x:v>
      </x:c>
      <x:c r="G37" s="26" t="n">
        <x:v>4067.000000</x:v>
      </x:c>
      <x:c r="H37" s="26" t="str">
        <x:v>General maintenance needed - poor copy quality and toner debris on prints This device is functioning</x:v>
      </x:c>
      <x:c r="I37" s="91" t="str">
        <x:v>2/8/2019: Ricoh; issue resolved.  Emailed Matthew.  Call complete. </x:v>
      </x:c>
    </x:row>
    <x:row r="38" spans="1:7" x14ac:dyDescent="0.25">
      <x:c r="B38" s="96">
        <x:v>2/6/2019</x:v>
      </x:c>
      <x:c r="C38" s="97">
        <x:v>Chelsea Ragaf(972-391-4451/vnaik@fprus.com)</x:v>
      </x:c>
      <x:c r="D38" s="97" t="str">
        <x:v>20219274</x:v>
      </x:c>
      <x:c r="E38" s="97">
        <x:v>Ricoh MP C2051</x:v>
      </x:c>
      <x:c r="F38" s="97">
        <x:v>New Orleans Downtown Treatment Center</x:v>
      </x:c>
      <x:c r="G38" s="97" t="str">
        <x:v>4,450</x:v>
      </x:c>
      <x:c r="H38" s="97" t="str">
        <x:v>Top feeder is broken - piece came off and unable to use. (Cell phone 504-920-4824) This device is not functioning</x:v>
      </x:c>
      <x:c r="I38" s="98" t="str">
        <x:v>2/7/2019: Ricoh; issue resolved.  Unable to reach Chelsea.  Call complete. </x:v>
      </x:c>
    </x:row>
    <x:row r="39" spans="1:7" x14ac:dyDescent="0.25">
      <x:c r="B39" s="90">
        <x:v>2/25/2019</x:v>
      </x:c>
      <x:c r="C39" s="26">
        <x:v>Rachel Trahan(859-276-0533/rachel.trahan@bhgrecovery.com)</x:v>
      </x:c>
      <x:c r="D39" s="26" t="str">
        <x:v>20250330</x:v>
      </x:c>
      <x:c r="E39" s="26">
        <x:v>Ricoh MP C2051</x:v>
      </x:c>
      <x:c r="F39" s="26">
        <x:v>Lexington Treatment Center</x:v>
      </x:c>
      <x:c r="G39" s="26" t="n">
        <x:v>7147.000000</x:v>
      </x:c>
      <x:c r="H39" s="26" t="str">
        <x:v>Jamming every few pages.
Please provide an ETA.
Closing at 2pm (TS) This device is functioning</x:v>
      </x:c>
      <x:c r="I39" s="91" t="str">
        <x:v>2/25/2019: Ricoh; issue resolved. Emailed Rachel.  Call complete. </x:v>
      </x:c>
    </x:row>
    <x:row r="40" spans="1:7" x14ac:dyDescent="0.25">
      <x:c r="B40" s="96">
        <x:v>12/6/2018</x:v>
      </x:c>
      <x:c r="C40" s="97">
        <x:v>Michelle Meadows(731-641-4545/sbrasfield@fprus.com)</x:v>
      </x:c>
      <x:c r="D40" s="97" t="str">
        <x:v>20314978</x:v>
      </x:c>
      <x:c r="E40" s="97">
        <x:v>Ricoh MP C2051</x:v>
      </x:c>
      <x:c r="F40" s="97">
        <x:v>Paris Treatment Center</x:v>
      </x:c>
      <x:c r="G40" s="97" t="str">
        <x:v>2,952</x:v>
      </x:c>
      <x:c r="H40" s="97" t="str">
        <x:v>error code sc400 This device is functioning</x:v>
      </x:c>
      <x:c r="I40" s="98" t="str">
        <x:v>12/7/2018: Ricoh; pending - emailed tech for an update. 12/10/2018: Ricoh; pending - emailed for an update. 12/11/2018: Ricoh; issue resolved. Unable to reach Michelle. Call complete. </x:v>
      </x:c>
    </x:row>
    <x:row r="41" spans="1:7" x14ac:dyDescent="0.25">
      <x:c r="B41" s="90">
        <x:v>1/31/2019</x:v>
      </x:c>
      <x:c r="C41" s="26">
        <x:v>Andy Gordon(214-365-6154/sbrasfield@fprus.com)</x:v>
      </x:c>
      <x:c r="D41" s="26" t="str">
        <x:v>20422992</x:v>
      </x:c>
      <x:c r="E41" s="26">
        <x:v>Ricoh MP C2051</x:v>
      </x:c>
      <x:c r="F41" s="26">
        <x:v>Dallas Corporate Office</x:v>
      </x:c>
      <x:c r="G41" s="26" t="n">
        <x:v>7207.000000</x:v>
      </x:c>
      <x:c r="H41" s="26" t="str">
        <x:v>Black spots on the paper when printing This device is functioning</x:v>
      </x:c>
      <x:c r="I41" s="91" t="str">
        <x:v>2/1/2019: Ricoh; issue resolved.  Emailed Andy.  Call complete. </x:v>
      </x:c>
    </x:row>
    <x:row r="42" spans="1:7" x14ac:dyDescent="0.25">
      <x:c r="B42" s="96">
        <x:v>2/15/2019</x:v>
      </x:c>
      <x:c r="C42" s="97">
        <x:v>Andy Gordon(214-365-6154/andrew.gordon@bhgrecovery.com)</x:v>
      </x:c>
      <x:c r="D42" s="97" t="str">
        <x:v>20422992</x:v>
      </x:c>
      <x:c r="E42" s="97">
        <x:v>Ricoh MP C2051</x:v>
      </x:c>
      <x:c r="F42" s="97">
        <x:v>Dallas Corporate Office</x:v>
      </x:c>
      <x:c r="G42" s="97" t="str">
        <x:v>7,207</x:v>
      </x:c>
      <x:c r="H42" s="97" t="str">
        <x:v>Getting a scanning error with a flashing red light and disables the device.  The scan still goes to e-mail though. (sm) This device is not functioning</x:v>
      </x:c>
      <x:c r="I42" s="98" t="str">
        <x:v>2/18/2019: Ricoh; issue resolved. Emailed Andy.  Call complete. </x:v>
      </x:c>
    </x:row>
    <x:row r="43" spans="1:7" x14ac:dyDescent="0.25">
      <x:c r="B43" s="90">
        <x:v>2/5/2019</x:v>
      </x:c>
      <x:c r="C43" s="26">
        <x:v>Tanajee Charles(504-347-1120/sbrasfield@fprus.com)</x:v>
      </x:c>
      <x:c r="D43" s="26" t="str">
        <x:v>A12672099</x:v>
      </x:c>
      <x:c r="E43" s="26">
        <x:v>Ricoh SP 4210N</x:v>
      </x:c>
      <x:c r="F43" s="26">
        <x:v>New Orleans Westbank Treatment Center</x:v>
      </x:c>
      <x:c r="G43" s="26" t="n">
        <x:v>0.000000</x:v>
      </x:c>
      <x:c r="H43" s="26" t="str">
        <x:v>displaying error code sc541. power off and on not working. Please retrieve meter reading count This device is functioning</x:v>
      </x:c>
      <x:c r="I43" s="91" t="str">
        <x:v>2/6/2019: Ricoh; issue resolved.  Left VM for Tanajee.  Call complete. </x:v>
      </x:c>
    </x:row>
    <x:row r="44" spans="1:7" x14ac:dyDescent="0.25">
      <x:c r="B44" s="96">
        <x:v>2/19/2019</x:v>
      </x:c>
      <x:c r="C44" s="97">
        <x:v>Andy Gordon(214-365-6154/Andrew.gordon@bhgrecovery.com)</x:v>
      </x:c>
      <x:c r="D44" s="97" t="str">
        <x:v>FPR58125</x:v>
      </x:c>
      <x:c r="E44" s="97">
        <x:v>Ricoh MP C3004</x:v>
      </x:c>
      <x:c r="F44" s="97">
        <x:v>Tuscaloosa Treatment Center</x:v>
      </x:c>
      <x:c r="G44" s="97" t="str">
        <x:v>7,821</x:v>
      </x:c>
      <x:c r="H44" s="97" t="str">
        <x:v>Copy icon was deleted off the control panel. Need help assisting how to keep icon on. Please have tech call before arriving. (sb) This device is functioning</x:v>
      </x:c>
      <x:c r="I44" s="98" t="str">
        <x:v>2/20/2019: Ricoh; pending. 2/22/2019: Ricoh; pending - emailed tech. 2/25/2019: Ricoh; issue resolved.  Emailed Brenda.  Call complete. </x:v>
      </x:c>
    </x:row>
    <x:row r="45" spans="1:7" x14ac:dyDescent="0.25">
      <x:c r="B45" s="90">
        <x:v>2/27/2019</x:v>
      </x:c>
      <x:c r="C45" s="26">
        <x:v>Jason Wells(972-391-4350/jason.wells@bhgrecovery.com)</x:v>
      </x:c>
      <x:c r="D45" s="26" t="str">
        <x:v>FPR60979</x:v>
      </x:c>
      <x:c r="E45" s="26">
        <x:v>Ricoh 4001</x:v>
      </x:c>
      <x:c r="F45" s="26">
        <x:v>Knoxville Bernard Treatment Center</x:v>
      </x:c>
      <x:c r="G45" s="26" t="n">
        <x:v>3420.000000</x:v>
      </x:c>
      <x:c r="H45" s="26" t="str">
        <x:v>Jams when pulling from bypass - piece broken on tray causing jams.  This device is not functioning</x:v>
      </x:c>
      <x:c r="I45" s="91" t="str">
        <x:v>2/28/2019: Ricoh; pending - emailed tech for an update. </x:v>
      </x:c>
    </x:row>
    <x:row r="46" spans="1:7" x14ac:dyDescent="0.25">
      <x:c r="B46" s="96">
        <x:v>2/18/2019</x:v>
      </x:c>
      <x:c r="C46" s="97">
        <x:v>Jason Wells(972-391-4349/jason.wells@bhgrecovery.com)</x:v>
      </x:c>
      <x:c r="D46" s="97" t="str">
        <x:v>FPR60979</x:v>
      </x:c>
      <x:c r="E46" s="97">
        <x:v>Ricoh 4001</x:v>
      </x:c>
      <x:c r="F46" s="97">
        <x:v>Knoxville Bernard Treatment Center</x:v>
      </x:c>
      <x:c r="G46" s="97" t="str">
        <x:v>3,420</x:v>
      </x:c>
      <x:c r="H46" s="97" t="str">
        <x:v>Top scanner keeps jamming.  Also would like to know how to delete old user emails from device This device is functioning</x:v>
      </x:c>
      <x:c r="I46" s="98" t="str">
        <x:v>2/19/2019: Ricoh; issue resolved.  Emailed Jason. Call complete. </x:v>
      </x:c>
    </x:row>
    <x:row r="47" spans="1:7" x14ac:dyDescent="0.25">
      <x:c r="B47" s="92">
        <x:v/>
      </x:c>
      <x:c r="C47" s="119"/>
      <x:c r="D47" s="120"/>
      <x:c r="E47" s="120"/>
      <x:c r="F47" s="120"/>
      <x:c r="G47" s="120"/>
      <x:c r="H47" s="120"/>
      <x:c r="I47" s="121"/>
    </x:row>
  </x:sheetData>
  <x:mergeCells count="3">
    <x:mergeCell ref="A1:J1"/>
    <x:mergeCell ref="A2:J2"/>
    <x:mergeCell ref="A3:J3"/>
    <x:mergeCell ref="B4:I4"/>
  </x:mergeCells>
  <x:printOptions horizontalCentered="1"/>
  <x:pageMargins left="0.55" right="0.25" top="1.3958333333333333" bottom="0.75" header="0.25" footer="0.25"/>
  <x:pageSetup scale="100" fitToWidth="1" fitToHeight="0" orientation="landscape" r:id="rId1"/>
  <x:headerFooter>
    <x:oddHeader>&amp;C&amp;G</x:oddHeader>
    <x:oddFooter>&amp;C&amp;G</x:oddFooter>
  </x:headerFooter>
  <x:legacyDrawingHF r:id="rId2"/>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J140"/>
  <x:sheetViews>
    <x:sheetView showGridLines="0" view="pageLayout" zoomScaleNormal="100" workbookViewId="0">
      <x:selection activeCell="B7" sqref="B7"/>
    </x:sheetView>
  </x:sheetViews>
  <x:sheetFormatPr defaultRowHeight="15" x14ac:dyDescent="0.25"/>
  <x:cols>
    <x:col min="1" max="1" width="1.140625" style="1" customWidth="1"/>
    <x:col min="2" max="2" width="26.6" style="1" customWidth="1"/>
    <x:col min="3" max="3" width="12" style="1" customWidth="1"/>
    <x:col min="4" max="4" width="12.5703125" style="1" customWidth="1"/>
    <x:col min="5" max="6" width="18.57" style="1" customWidth="1"/>
    <x:col min="7" max="7" width="12.140625" style="1" customWidth="1"/>
    <x:col min="8" max="8" width="12.5703125" style="16" customWidth="1"/>
    <x:col min="9" max="9" width="12.28515625" style="1" customWidth="1"/>
    <x:col min="10" max="10" width="13.42578125" style="1" customWidth="1"/>
    <x:col min="11" max="16384" width="12.140625" style="1"/>
  </x:cols>
  <x:sheetData>
    <x:row r="1" spans="1:10" ht="15.75" x14ac:dyDescent="0.25">
      <x:c r="A1" s="125" t="str">
        <x:f ca="1">SETUP!$B$2</x:f>
        <x:v>?</x:v>
      </x:c>
      <x:c r="B1" s="126"/>
      <x:c r="C1" s="126"/>
      <x:c r="D1" s="126"/>
      <x:c r="E1" s="126"/>
      <x:c r="F1" s="126"/>
      <x:c r="G1" s="126"/>
      <x:c r="H1" s="126"/>
      <x:c r="I1" s="126"/>
      <x:c r="J1" s="129"/>
    </x:row>
    <x:row r="2" spans="1:10" ht="15.75" x14ac:dyDescent="0.25">
      <x:c r="A2" s="123" t="str">
        <x:f ca="1">="Quarterly History Through Period Ending "&amp;TEXT(SETUP!$B$4,"MMMMMMMMM DD, YYYY")&amp;""</x:f>
        <x:v>?</x:v>
      </x:c>
      <x:c r="B2" s="126"/>
      <x:c r="C2" s="126"/>
      <x:c r="D2" s="126"/>
      <x:c r="E2" s="126"/>
      <x:c r="F2" s="126"/>
      <x:c r="G2" s="126"/>
      <x:c r="H2" s="126"/>
      <x:c r="I2" s="126"/>
      <x:c r="J2" s="129"/>
    </x:row>
    <x:row r="3" spans="1:10" ht="30.75" customHeight="1" x14ac:dyDescent="0.25">
      <x:c r="A3" s="199" t="str">
        <x:f ca="1">="Below, you will find quarterly volume trend summaries for " &amp;SETUP!$B$2&amp;" (by Meter Group). The value of this data, allows you to review historical trends by meter group."</x:f>
        <x:v>Below is the historical quarterly volume trend summaries for  (by Meter Group). The value of this data, allows you to review historical trends by meter group.</x:v>
      </x:c>
      <x:c r="C3" s="124"/>
      <x:c r="D3" s="124"/>
      <x:c r="E3" s="124"/>
      <x:c r="F3" s="124"/>
      <x:c r="G3" s="124"/>
      <x:c r="H3" s="124"/>
      <x:c r="I3" s="124"/>
      <x:c r="J3" s="124"/>
    </x:row>
    <x:row r="4" spans="1:10" ht="15.5" customHeight="1" x14ac:dyDescent="0.25">
      <x:c r="A4" s="19"/>
      <x:c r="B4" s="19"/>
      <x:c r="C4" s="19"/>
      <x:c r="D4" s="19"/>
      <x:c r="E4" s="19"/>
      <x:c r="F4" s="19"/>
      <x:c r="G4" s="19"/>
      <x:c r="H4" s="19">
        <x:v/>
      </x:c>
      <x:c r="I4" s="19">
        <x:f ca="1"/>
      </x:c>
    </x:row>
    <x:row r="5" spans="1:10" ht="25.5" customHeight="1" x14ac:dyDescent="0.25">
      <x:c r="A5" s="19"/>
      <x:c r="B5" s="14">
        <x:v>February 2019 - February 2019</x:v>
      </x:c>
      <x:c r="C5" s="19"/>
      <x:c r="D5" s="19"/>
      <x:c r="E5" s="19"/>
      <x:c r="F5" s="19"/>
      <x:c r="G5" s="19"/>
      <x:c r="H5" s="19"/>
      <x:c r="I5" s="19"/>
    </x:row>
    <x:row r="6" spans="1:10" ht="35.75" customHeight="1" x14ac:dyDescent="0.25">
      <x:c r="B6" s="47" t="str">
        <x:v>Meter Group</x:v>
      </x:c>
      <x:c r="C6" s="45" t="str">
        <x:v>Quarterly Contracted Volume</x:v>
      </x:c>
      <x:c r="D6" s="45" t="str">
        <x:v>Actual Volume For Period</x:v>
      </x:c>
      <x:c r="E6" s="45" t="str">
        <x:v>Overage/(Underage) For Period</x:v>
      </x:c>
      <x:c r="F6" s="45" t="str">
        <x:v>Accrued Rollover Pages</x:v>
      </x:c>
      <x:c r="G6" s="45" t="str">
        <x:v>Net Overage (Underage)</x:v>
      </x:c>
      <x:c r="H6" s="45" t="str">
        <x:v>Excess CPP</x:v>
      </x:c>
      <x:c r="I6" s="46" t="str">
        <x:v>Overage Expense</x:v>
      </x:c>
    </x:row>
    <x:row r="7" spans="1:10" x14ac:dyDescent="0.25">
      <x:c r="B7" s="60" t="str">
        <x:v>B/W Copies</x:v>
      </x:c>
      <x:c r="C7" s="73" t="str">
        <x:v>0</x:v>
      </x:c>
      <x:c r="D7" s="73" t="str">
        <x:v>52,873</x:v>
      </x:c>
      <x:c r="E7" s="177" t="n">
        <x:f ca="1">=SUM(D7 - C7)</x:f>
      </x:c>
      <x:c r="F7" s="73" t="n">
        <x:v>0</x:v>
      </x:c>
      <x:c r="G7" s="177" t="n">
        <x:f ca="1">=SUM(E7 - F7)</x:f>
      </x:c>
      <x:c r="H7" s="200" t="n">
        <x:v>0.011700</x:v>
      </x:c>
      <x:c r="I7" s="213" t="n">
        <x:f ca="1">=IF(SUM(G7 * H7) &lt; 0, 0,SUM(G7 * H7))</x:f>
      </x:c>
    </x:row>
    <x:row r="8" spans="1:10" x14ac:dyDescent="0.25">
      <x:c r="B8" s="60" t="str">
        <x:v>B/W Laser Prints</x:v>
      </x:c>
      <x:c r="C8" s="73" t="str">
        <x:v>0</x:v>
      </x:c>
      <x:c r="D8" s="73" t="str">
        <x:v>54,052</x:v>
      </x:c>
      <x:c r="E8" s="177" t="n">
        <x:f ca="1">=SUM(D8 - C8)</x:f>
      </x:c>
      <x:c r="F8" s="73" t="n">
        <x:v>0</x:v>
      </x:c>
      <x:c r="G8" s="177" t="n">
        <x:f ca="1">=SUM(E8 - F8)</x:f>
      </x:c>
      <x:c r="H8" s="200" t="n">
        <x:v>0.019700</x:v>
      </x:c>
      <x:c r="I8" s="213" t="n">
        <x:f ca="1">=IF(SUM(G8 * H8) &lt; 0, 0,SUM(G8 * H8))</x:f>
      </x:c>
    </x:row>
    <x:row r="9" spans="1:10" x14ac:dyDescent="0.25">
      <x:c r="B9" s="58" t="str">
        <x:v>Color Copier B/W Pages</x:v>
      </x:c>
      <x:c r="C9" s="6" t="str">
        <x:v>0</x:v>
      </x:c>
      <x:c r="D9" s="6" t="str">
        <x:v>223,819</x:v>
      </x:c>
      <x:c r="E9" s="176" t="n">
        <x:f ca="1">=SUM(D9 - C9)</x:f>
      </x:c>
      <x:c r="F9" s="6" t="n">
        <x:v>0</x:v>
      </x:c>
      <x:c r="G9" s="176" t="n">
        <x:f ca="1">=SUM(E9 - F9)</x:f>
      </x:c>
      <x:c r="H9" s="201" t="n">
        <x:v>0.014700</x:v>
      </x:c>
      <x:c r="I9" s="212" t="str">
        <x:f ca="1">=IF(SUM(G9 * H9) &lt; 0, 0,SUM(G9 * H9))</x:f>
      </x:c>
    </x:row>
    <x:row r="10" spans="1:10" x14ac:dyDescent="0.25">
      <x:c r="B10" s="58" t="str">
        <x:v>Color Copier Color Pages</x:v>
      </x:c>
      <x:c r="C10" s="6" t="str">
        <x:v>0</x:v>
      </x:c>
      <x:c r="D10" s="6" t="str">
        <x:v>52,200</x:v>
      </x:c>
      <x:c r="E10" s="176" t="n">
        <x:f ca="1">=SUM(D10 - C10)</x:f>
      </x:c>
      <x:c r="F10" s="6" t="n">
        <x:v>0</x:v>
      </x:c>
      <x:c r="G10" s="176" t="n">
        <x:f ca="1">=SUM(E10 - F10)</x:f>
      </x:c>
      <x:c r="H10" s="201" t="n">
        <x:v>0.084700</x:v>
      </x:c>
      <x:c r="I10" s="212" t="str">
        <x:f ca="1">=IF(SUM(G10 * H10) &lt; 0, 0,SUM(G10 * H10))</x:f>
      </x:c>
    </x:row>
    <x:row r="11" spans="1:10" ht="15.5" customHeight="1" x14ac:dyDescent="0.25">
      <x:c r="A11" s="19"/>
      <x:c r="B11" s="209"/>
      <x:c r="C11" s="209"/>
      <x:c r="D11" s="209"/>
      <x:c r="E11" s="209"/>
      <x:c r="F11" s="209"/>
      <x:c r="G11" s="209"/>
      <x:c r="H11" s="209">
        <x:v>Total Overage Expense:</x:v>
      </x:c>
      <x:c r="I11" s="209">
        <x:f ca="1">=SUM(I7:I10)</x:f>
      </x:c>
    </x:row>
    <x:row r="12" spans="1:10" ht="25.5" customHeight="1" x14ac:dyDescent="0.25">
      <x:c r="A12" s="19"/>
      <x:c r="B12" s="14">
        <x:v>January 2019 - January 2019</x:v>
      </x:c>
      <x:c r="C12" s="19"/>
      <x:c r="D12" s="19"/>
      <x:c r="E12" s="19"/>
      <x:c r="F12" s="19"/>
      <x:c r="G12" s="19"/>
      <x:c r="H12" s="19"/>
      <x:c r="I12" s="19"/>
    </x:row>
    <x:row r="13" spans="1:10" ht="35.75" customHeight="1" x14ac:dyDescent="0.25">
      <x:c r="B13" s="47" t="str">
        <x:v>Meter Group</x:v>
      </x:c>
      <x:c r="C13" s="45" t="str">
        <x:v>Quarterly Contracted Volume</x:v>
      </x:c>
      <x:c r="D13" s="45" t="str">
        <x:v>Actual Volume For Period</x:v>
      </x:c>
      <x:c r="E13" s="45" t="str">
        <x:v>Overage/(Underage) For Period</x:v>
      </x:c>
      <x:c r="F13" s="45" t="str">
        <x:v>Accrued Rollover Pages</x:v>
      </x:c>
      <x:c r="G13" s="45" t="str">
        <x:v>Net Overage (Underage)</x:v>
      </x:c>
      <x:c r="H13" s="45" t="str">
        <x:v>Excess CPP</x:v>
      </x:c>
      <x:c r="I13" s="46" t="str">
        <x:v>Overage Expense</x:v>
      </x:c>
    </x:row>
    <x:row r="14" spans="1:10" x14ac:dyDescent="0.25">
      <x:c r="B14" s="60" t="str">
        <x:v>B/W Copies</x:v>
      </x:c>
      <x:c r="C14" s="73" t="str">
        <x:v>0</x:v>
      </x:c>
      <x:c r="D14" s="73" t="str">
        <x:v>58,775</x:v>
      </x:c>
      <x:c r="E14" s="177" t="n">
        <x:f ca="1">=SUM(D14 - C14)</x:f>
      </x:c>
      <x:c r="F14" s="73" t="n">
        <x:v>0</x:v>
      </x:c>
      <x:c r="G14" s="177" t="n">
        <x:f ca="1">=SUM(E14 - F14)</x:f>
      </x:c>
      <x:c r="H14" s="200" t="n">
        <x:v>0.011710</x:v>
      </x:c>
      <x:c r="I14" s="213" t="n">
        <x:f ca="1">=IF(SUM(G14 * H14) &lt; 0, 0,SUM(G14 * H14))</x:f>
      </x:c>
    </x:row>
    <x:row r="15" spans="1:10" x14ac:dyDescent="0.25">
      <x:c r="B15" s="60" t="str">
        <x:v>B/W Laser Prints</x:v>
      </x:c>
      <x:c r="C15" s="73" t="str">
        <x:v>0</x:v>
      </x:c>
      <x:c r="D15" s="73" t="str">
        <x:v>75,694</x:v>
      </x:c>
      <x:c r="E15" s="177" t="n">
        <x:f ca="1">=SUM(D15 - C15)</x:f>
      </x:c>
      <x:c r="F15" s="73" t="n">
        <x:v>0</x:v>
      </x:c>
      <x:c r="G15" s="177" t="n">
        <x:f ca="1">=SUM(E15 - F15)</x:f>
      </x:c>
      <x:c r="H15" s="200" t="n">
        <x:v>0.019710</x:v>
      </x:c>
      <x:c r="I15" s="213" t="n">
        <x:f ca="1">=IF(SUM(G15 * H15) &lt; 0, 0,SUM(G15 * H15))</x:f>
      </x:c>
    </x:row>
    <x:row r="16" spans="1:10" x14ac:dyDescent="0.25">
      <x:c r="B16" s="58" t="str">
        <x:v>Color Copier B/W Pages</x:v>
      </x:c>
      <x:c r="C16" s="6" t="str">
        <x:v>0</x:v>
      </x:c>
      <x:c r="D16" s="6" t="str">
        <x:v>295,842</x:v>
      </x:c>
      <x:c r="E16" s="176" t="n">
        <x:f ca="1">=SUM(D16 - C16)</x:f>
      </x:c>
      <x:c r="F16" s="6" t="n">
        <x:v>0</x:v>
      </x:c>
      <x:c r="G16" s="176" t="n">
        <x:f ca="1">=SUM(E16 - F16)</x:f>
      </x:c>
      <x:c r="H16" s="201" t="n">
        <x:v>0.014710</x:v>
      </x:c>
      <x:c r="I16" s="212" t="str">
        <x:f ca="1">=IF(SUM(G16 * H16) &lt; 0, 0,SUM(G16 * H16))</x:f>
      </x:c>
    </x:row>
    <x:row r="17" spans="1:10" x14ac:dyDescent="0.25">
      <x:c r="B17" s="58" t="str">
        <x:v>Color Copier Color Pages</x:v>
      </x:c>
      <x:c r="C17" s="6" t="str">
        <x:v>0</x:v>
      </x:c>
      <x:c r="D17" s="6" t="str">
        <x:v>94,808</x:v>
      </x:c>
      <x:c r="E17" s="176" t="n">
        <x:f ca="1">=SUM(D17 - C17)</x:f>
      </x:c>
      <x:c r="F17" s="6" t="n">
        <x:v>0</x:v>
      </x:c>
      <x:c r="G17" s="176" t="n">
        <x:f ca="1">=SUM(E17 - F17)</x:f>
      </x:c>
      <x:c r="H17" s="201" t="n">
        <x:v>0.084710</x:v>
      </x:c>
      <x:c r="I17" s="212" t="str">
        <x:f ca="1">=IF(SUM(G17 * H17) &lt; 0, 0,SUM(G17 * H17))</x:f>
      </x:c>
    </x:row>
    <x:row r="18" spans="1:10" ht="15.5" customHeight="1" x14ac:dyDescent="0.25">
      <x:c r="A18" s="19"/>
      <x:c r="B18" s="209"/>
      <x:c r="C18" s="209"/>
      <x:c r="D18" s="209"/>
      <x:c r="E18" s="209"/>
      <x:c r="F18" s="209"/>
      <x:c r="G18" s="209"/>
      <x:c r="H18" s="209">
        <x:v>Total Overage Expense:</x:v>
      </x:c>
      <x:c r="I18" s="209">
        <x:f ca="1">=SUM(I14:I17)</x:f>
      </x:c>
    </x:row>
    <x:row r="19" spans="1:10" ht="25.5" customHeight="1" x14ac:dyDescent="0.25">
      <x:c r="A19" s="19"/>
      <x:c r="B19" s="14">
        <x:v>December 2018 - December 2018</x:v>
      </x:c>
      <x:c r="C19" s="19"/>
      <x:c r="D19" s="19"/>
      <x:c r="E19" s="19"/>
      <x:c r="F19" s="19"/>
      <x:c r="G19" s="19"/>
      <x:c r="H19" s="19"/>
      <x:c r="I19" s="19"/>
    </x:row>
    <x:row r="20" spans="1:10" ht="35.75" customHeight="1" x14ac:dyDescent="0.25">
      <x:c r="B20" s="47" t="str">
        <x:v>Meter Group</x:v>
      </x:c>
      <x:c r="C20" s="45" t="str">
        <x:v>Quarterly Contracted Volume</x:v>
      </x:c>
      <x:c r="D20" s="45" t="str">
        <x:v>Actual Volume For Period</x:v>
      </x:c>
      <x:c r="E20" s="45" t="str">
        <x:v>Overage/(Underage) For Period</x:v>
      </x:c>
      <x:c r="F20" s="45" t="str">
        <x:v>Accrued Rollover Pages</x:v>
      </x:c>
      <x:c r="G20" s="45" t="str">
        <x:v>Net Overage (Underage)</x:v>
      </x:c>
      <x:c r="H20" s="45" t="str">
        <x:v>Excess CPP</x:v>
      </x:c>
      <x:c r="I20" s="46" t="str">
        <x:v>Overage Expense</x:v>
      </x:c>
    </x:row>
    <x:row r="21" spans="1:10" x14ac:dyDescent="0.25">
      <x:c r="B21" s="60" t="str">
        <x:v>B/W Copies</x:v>
      </x:c>
      <x:c r="C21" s="73" t="str">
        <x:v>0</x:v>
      </x:c>
      <x:c r="D21" s="73" t="str">
        <x:v>62,296</x:v>
      </x:c>
      <x:c r="E21" s="177" t="n">
        <x:f ca="1">=SUM(D21 - C21)</x:f>
      </x:c>
      <x:c r="F21" s="73" t="n">
        <x:v>0</x:v>
      </x:c>
      <x:c r="G21" s="177" t="n">
        <x:f ca="1">=SUM(E21 - F21)</x:f>
      </x:c>
      <x:c r="H21" s="200" t="n">
        <x:v>0.011710</x:v>
      </x:c>
      <x:c r="I21" s="213" t="n">
        <x:f ca="1">=IF(SUM(G21 * H21) &lt; 0, 0,SUM(G21 * H21))</x:f>
      </x:c>
    </x:row>
    <x:row r="22" spans="1:10" x14ac:dyDescent="0.25">
      <x:c r="B22" s="60" t="str">
        <x:v>B/W Laser Prints</x:v>
      </x:c>
      <x:c r="C22" s="73" t="str">
        <x:v>0</x:v>
      </x:c>
      <x:c r="D22" s="73" t="str">
        <x:v>51,525</x:v>
      </x:c>
      <x:c r="E22" s="177" t="n">
        <x:f ca="1">=SUM(D22 - C22)</x:f>
      </x:c>
      <x:c r="F22" s="73" t="n">
        <x:v>0</x:v>
      </x:c>
      <x:c r="G22" s="177" t="n">
        <x:f ca="1">=SUM(E22 - F22)</x:f>
      </x:c>
      <x:c r="H22" s="200" t="n">
        <x:v>0.019710</x:v>
      </x:c>
      <x:c r="I22" s="213" t="n">
        <x:f ca="1">=IF(SUM(G22 * H22) &lt; 0, 0,SUM(G22 * H22))</x:f>
      </x:c>
    </x:row>
    <x:row r="23" spans="1:10" x14ac:dyDescent="0.25">
      <x:c r="B23" s="58" t="str">
        <x:v>Color Copier B/W Pages</x:v>
      </x:c>
      <x:c r="C23" s="6" t="str">
        <x:v>0</x:v>
      </x:c>
      <x:c r="D23" s="6" t="str">
        <x:v>215,443</x:v>
      </x:c>
      <x:c r="E23" s="176" t="n">
        <x:f ca="1">=SUM(D23 - C23)</x:f>
      </x:c>
      <x:c r="F23" s="6" t="n">
        <x:v>0</x:v>
      </x:c>
      <x:c r="G23" s="176" t="n">
        <x:f ca="1">=SUM(E23 - F23)</x:f>
      </x:c>
      <x:c r="H23" s="201" t="n">
        <x:v>0.014710</x:v>
      </x:c>
      <x:c r="I23" s="212" t="str">
        <x:f ca="1">=IF(SUM(G23 * H23) &lt; 0, 0,SUM(G23 * H23))</x:f>
      </x:c>
    </x:row>
    <x:row r="24" spans="1:10" x14ac:dyDescent="0.25">
      <x:c r="B24" s="58" t="str">
        <x:v>Color Copier Color Pages</x:v>
      </x:c>
      <x:c r="C24" s="6" t="str">
        <x:v>0</x:v>
      </x:c>
      <x:c r="D24" s="6" t="str">
        <x:v>42,499</x:v>
      </x:c>
      <x:c r="E24" s="176" t="n">
        <x:f ca="1">=SUM(D24 - C24)</x:f>
      </x:c>
      <x:c r="F24" s="6" t="n">
        <x:v>0</x:v>
      </x:c>
      <x:c r="G24" s="176" t="n">
        <x:f ca="1">=SUM(E24 - F24)</x:f>
      </x:c>
      <x:c r="H24" s="201" t="n">
        <x:v>0.084710</x:v>
      </x:c>
      <x:c r="I24" s="212" t="str">
        <x:f ca="1">=IF(SUM(G24 * H24) &lt; 0, 0,SUM(G24 * H24))</x:f>
      </x:c>
    </x:row>
    <x:row r="25" spans="1:10" ht="15.5" customHeight="1" x14ac:dyDescent="0.25">
      <x:c r="A25" s="19"/>
      <x:c r="B25" s="209"/>
      <x:c r="C25" s="209"/>
      <x:c r="D25" s="209"/>
      <x:c r="E25" s="209"/>
      <x:c r="F25" s="209"/>
      <x:c r="G25" s="209"/>
      <x:c r="H25" s="209">
        <x:v>Total Overage Expense:</x:v>
      </x:c>
      <x:c r="I25" s="209">
        <x:f ca="1">=SUM(I21:I24)</x:f>
      </x:c>
    </x:row>
    <x:row r="26" spans="1:10" ht="25.5" customHeight="1" x14ac:dyDescent="0.25">
      <x:c r="A26" s="19"/>
      <x:c r="B26" s="14">
        <x:v>November 2018 - November 2018</x:v>
      </x:c>
      <x:c r="C26" s="19"/>
      <x:c r="D26" s="19"/>
      <x:c r="E26" s="19"/>
      <x:c r="F26" s="19"/>
      <x:c r="G26" s="19"/>
      <x:c r="H26" s="19"/>
      <x:c r="I26" s="19"/>
    </x:row>
    <x:row r="27" spans="1:10" ht="35.75" customHeight="1" x14ac:dyDescent="0.25">
      <x:c r="B27" s="47" t="str">
        <x:v>Meter Group</x:v>
      </x:c>
      <x:c r="C27" s="45" t="str">
        <x:v>Quarterly Contracted Volume</x:v>
      </x:c>
      <x:c r="D27" s="45" t="str">
        <x:v>Actual Volume For Period</x:v>
      </x:c>
      <x:c r="E27" s="45" t="str">
        <x:v>Overage/(Underage) For Period</x:v>
      </x:c>
      <x:c r="F27" s="45" t="str">
        <x:v>Accrued Rollover Pages</x:v>
      </x:c>
      <x:c r="G27" s="45" t="str">
        <x:v>Net Overage (Underage)</x:v>
      </x:c>
      <x:c r="H27" s="45" t="str">
        <x:v>Excess CPP</x:v>
      </x:c>
      <x:c r="I27" s="46" t="str">
        <x:v>Overage Expense</x:v>
      </x:c>
    </x:row>
    <x:row r="28" spans="1:10" x14ac:dyDescent="0.25">
      <x:c r="B28" s="60" t="str">
        <x:v>B/W Copies</x:v>
      </x:c>
      <x:c r="C28" s="73" t="str">
        <x:v>0</x:v>
      </x:c>
      <x:c r="D28" s="73" t="str">
        <x:v>60,565</x:v>
      </x:c>
      <x:c r="E28" s="177" t="n">
        <x:f ca="1">=SUM(D28 - C28)</x:f>
      </x:c>
      <x:c r="F28" s="73" t="n">
        <x:v>0</x:v>
      </x:c>
      <x:c r="G28" s="177" t="n">
        <x:f ca="1">=SUM(E28 - F28)</x:f>
      </x:c>
      <x:c r="H28" s="200" t="n">
        <x:v>0.011710</x:v>
      </x:c>
      <x:c r="I28" s="213" t="n">
        <x:f ca="1">=IF(SUM(G28 * H28) &lt; 0, 0,SUM(G28 * H28))</x:f>
      </x:c>
    </x:row>
    <x:row r="29" spans="1:10" x14ac:dyDescent="0.25">
      <x:c r="B29" s="60" t="str">
        <x:v>B/W Laser Prints</x:v>
      </x:c>
      <x:c r="C29" s="73" t="str">
        <x:v>0</x:v>
      </x:c>
      <x:c r="D29" s="73" t="str">
        <x:v>57,490</x:v>
      </x:c>
      <x:c r="E29" s="177" t="n">
        <x:f ca="1">=SUM(D29 - C29)</x:f>
      </x:c>
      <x:c r="F29" s="73" t="n">
        <x:v>0</x:v>
      </x:c>
      <x:c r="G29" s="177" t="n">
        <x:f ca="1">=SUM(E29 - F29)</x:f>
      </x:c>
      <x:c r="H29" s="200" t="n">
        <x:v>0.019710</x:v>
      </x:c>
      <x:c r="I29" s="213" t="n">
        <x:f ca="1">=IF(SUM(G29 * H29) &lt; 0, 0,SUM(G29 * H29))</x:f>
      </x:c>
    </x:row>
    <x:row r="30" spans="1:10" x14ac:dyDescent="0.25">
      <x:c r="B30" s="58" t="str">
        <x:v>Color Copier B/W Pages</x:v>
      </x:c>
      <x:c r="C30" s="6" t="str">
        <x:v>0</x:v>
      </x:c>
      <x:c r="D30" s="6" t="str">
        <x:v>233,361</x:v>
      </x:c>
      <x:c r="E30" s="176" t="n">
        <x:f ca="1">=SUM(D30 - C30)</x:f>
      </x:c>
      <x:c r="F30" s="6" t="n">
        <x:v>0</x:v>
      </x:c>
      <x:c r="G30" s="176" t="n">
        <x:f ca="1">=SUM(E30 - F30)</x:f>
      </x:c>
      <x:c r="H30" s="201" t="n">
        <x:v>0.014710</x:v>
      </x:c>
      <x:c r="I30" s="212" t="str">
        <x:f ca="1">=IF(SUM(G30 * H30) &lt; 0, 0,SUM(G30 * H30))</x:f>
      </x:c>
    </x:row>
    <x:row r="31" spans="1:10" x14ac:dyDescent="0.25">
      <x:c r="B31" s="58" t="str">
        <x:v>Color Copier Color Pages</x:v>
      </x:c>
      <x:c r="C31" s="6" t="str">
        <x:v>0</x:v>
      </x:c>
      <x:c r="D31" s="6" t="str">
        <x:v>54,359</x:v>
      </x:c>
      <x:c r="E31" s="176" t="n">
        <x:f ca="1">=SUM(D31 - C31)</x:f>
      </x:c>
      <x:c r="F31" s="6" t="n">
        <x:v>0</x:v>
      </x:c>
      <x:c r="G31" s="176" t="n">
        <x:f ca="1">=SUM(E31 - F31)</x:f>
      </x:c>
      <x:c r="H31" s="201" t="n">
        <x:v>0.084710</x:v>
      </x:c>
      <x:c r="I31" s="212" t="str">
        <x:f ca="1">=IF(SUM(G31 * H31) &lt; 0, 0,SUM(G31 * H31))</x:f>
      </x:c>
    </x:row>
    <x:row r="32" spans="1:10" ht="15.5" customHeight="1" x14ac:dyDescent="0.25">
      <x:c r="A32" s="19"/>
      <x:c r="B32" s="209"/>
      <x:c r="C32" s="209"/>
      <x:c r="D32" s="209"/>
      <x:c r="E32" s="209"/>
      <x:c r="F32" s="209"/>
      <x:c r="G32" s="209"/>
      <x:c r="H32" s="209">
        <x:v>Total Overage Expense:</x:v>
      </x:c>
      <x:c r="I32" s="209">
        <x:f ca="1">=SUM(I28:I31)</x:f>
      </x:c>
    </x:row>
    <x:row r="33" spans="1:10" ht="25.5" customHeight="1" x14ac:dyDescent="0.25">
      <x:c r="A33" s="19"/>
      <x:c r="B33" s="14">
        <x:v>October 2018 - October 2018</x:v>
      </x:c>
      <x:c r="C33" s="19"/>
      <x:c r="D33" s="19"/>
      <x:c r="E33" s="19"/>
      <x:c r="F33" s="19"/>
      <x:c r="G33" s="19"/>
      <x:c r="H33" s="19"/>
      <x:c r="I33" s="19"/>
    </x:row>
    <x:row r="34" spans="1:10" ht="35.75" customHeight="1" x14ac:dyDescent="0.25">
      <x:c r="B34" s="47" t="str">
        <x:v>Meter Group</x:v>
      </x:c>
      <x:c r="C34" s="45" t="str">
        <x:v>Quarterly Contracted Volume</x:v>
      </x:c>
      <x:c r="D34" s="45" t="str">
        <x:v>Actual Volume For Period</x:v>
      </x:c>
      <x:c r="E34" s="45" t="str">
        <x:v>Overage/(Underage) For Period</x:v>
      </x:c>
      <x:c r="F34" s="45" t="str">
        <x:v>Accrued Rollover Pages</x:v>
      </x:c>
      <x:c r="G34" s="45" t="str">
        <x:v>Net Overage (Underage)</x:v>
      </x:c>
      <x:c r="H34" s="45" t="str">
        <x:v>Excess CPP</x:v>
      </x:c>
      <x:c r="I34" s="46" t="str">
        <x:v>Overage Expense</x:v>
      </x:c>
    </x:row>
    <x:row r="35" spans="1:10" x14ac:dyDescent="0.25">
      <x:c r="B35" s="60" t="str">
        <x:v>B/W Copies</x:v>
      </x:c>
      <x:c r="C35" s="73" t="str">
        <x:v>0</x:v>
      </x:c>
      <x:c r="D35" s="73" t="str">
        <x:v>65,668</x:v>
      </x:c>
      <x:c r="E35" s="177" t="n">
        <x:f ca="1">=SUM(D35 - C35)</x:f>
      </x:c>
      <x:c r="F35" s="73" t="n">
        <x:v>0</x:v>
      </x:c>
      <x:c r="G35" s="177" t="n">
        <x:f ca="1">=SUM(E35 - F35)</x:f>
      </x:c>
      <x:c r="H35" s="200" t="n">
        <x:v>0.011710</x:v>
      </x:c>
      <x:c r="I35" s="213" t="n">
        <x:f ca="1">=IF(SUM(G35 * H35) &lt; 0, 0,SUM(G35 * H35))</x:f>
      </x:c>
    </x:row>
    <x:row r="36" spans="1:10" x14ac:dyDescent="0.25">
      <x:c r="B36" s="60" t="str">
        <x:v>B/W Laser Prints</x:v>
      </x:c>
      <x:c r="C36" s="73" t="str">
        <x:v>0</x:v>
      </x:c>
      <x:c r="D36" s="73" t="str">
        <x:v>64,779</x:v>
      </x:c>
      <x:c r="E36" s="177" t="n">
        <x:f ca="1">=SUM(D36 - C36)</x:f>
      </x:c>
      <x:c r="F36" s="73" t="n">
        <x:v>0</x:v>
      </x:c>
      <x:c r="G36" s="177" t="n">
        <x:f ca="1">=SUM(E36 - F36)</x:f>
      </x:c>
      <x:c r="H36" s="200" t="n">
        <x:v>0.019710</x:v>
      </x:c>
      <x:c r="I36" s="213" t="n">
        <x:f ca="1">=IF(SUM(G36 * H36) &lt; 0, 0,SUM(G36 * H36))</x:f>
      </x:c>
    </x:row>
    <x:row r="37" spans="1:10" x14ac:dyDescent="0.25">
      <x:c r="B37" s="58" t="str">
        <x:v>Color Copier B/W Pages</x:v>
      </x:c>
      <x:c r="C37" s="6" t="str">
        <x:v>0</x:v>
      </x:c>
      <x:c r="D37" s="6" t="str">
        <x:v>300,778</x:v>
      </x:c>
      <x:c r="E37" s="176" t="n">
        <x:f ca="1">=SUM(D37 - C37)</x:f>
      </x:c>
      <x:c r="F37" s="6" t="n">
        <x:v>0</x:v>
      </x:c>
      <x:c r="G37" s="176" t="n">
        <x:f ca="1">=SUM(E37 - F37)</x:f>
      </x:c>
      <x:c r="H37" s="201" t="n">
        <x:v>0.014710</x:v>
      </x:c>
      <x:c r="I37" s="212" t="str">
        <x:f ca="1">=IF(SUM(G37 * H37) &lt; 0, 0,SUM(G37 * H37))</x:f>
      </x:c>
    </x:row>
    <x:row r="38" spans="1:10" x14ac:dyDescent="0.25">
      <x:c r="B38" s="58" t="str">
        <x:v>Color Copier Color Pages</x:v>
      </x:c>
      <x:c r="C38" s="6" t="str">
        <x:v>0</x:v>
      </x:c>
      <x:c r="D38" s="6" t="str">
        <x:v>61,182</x:v>
      </x:c>
      <x:c r="E38" s="176" t="n">
        <x:f ca="1">=SUM(D38 - C38)</x:f>
      </x:c>
      <x:c r="F38" s="6" t="n">
        <x:v>0</x:v>
      </x:c>
      <x:c r="G38" s="176" t="n">
        <x:f ca="1">=SUM(E38 - F38)</x:f>
      </x:c>
      <x:c r="H38" s="201" t="n">
        <x:v>0.084710</x:v>
      </x:c>
      <x:c r="I38" s="212" t="str">
        <x:f ca="1">=IF(SUM(G38 * H38) &lt; 0, 0,SUM(G38 * H38))</x:f>
      </x:c>
    </x:row>
    <x:row r="39" spans="1:10" ht="15.5" customHeight="1" x14ac:dyDescent="0.25">
      <x:c r="A39" s="19"/>
      <x:c r="B39" s="209"/>
      <x:c r="C39" s="209"/>
      <x:c r="D39" s="209"/>
      <x:c r="E39" s="209"/>
      <x:c r="F39" s="209"/>
      <x:c r="G39" s="209"/>
      <x:c r="H39" s="209">
        <x:v>Total Overage Expense:</x:v>
      </x:c>
      <x:c r="I39" s="209">
        <x:f ca="1">=SUM(I35:I38)</x:f>
      </x:c>
    </x:row>
    <x:row r="40" spans="1:10" ht="25.5" customHeight="1" x14ac:dyDescent="0.25">
      <x:c r="A40" s="19"/>
      <x:c r="B40" s="14">
        <x:v>September 2018 - September 2018</x:v>
      </x:c>
      <x:c r="C40" s="19"/>
      <x:c r="D40" s="19"/>
      <x:c r="E40" s="19"/>
      <x:c r="F40" s="19"/>
      <x:c r="G40" s="19"/>
      <x:c r="H40" s="19"/>
      <x:c r="I40" s="19"/>
    </x:row>
    <x:row r="41" spans="1:10" ht="35.75" customHeight="1" x14ac:dyDescent="0.25">
      <x:c r="B41" s="47" t="str">
        <x:v>Meter Group</x:v>
      </x:c>
      <x:c r="C41" s="45" t="str">
        <x:v>Quarterly Contracted Volume</x:v>
      </x:c>
      <x:c r="D41" s="45" t="str">
        <x:v>Actual Volume For Period</x:v>
      </x:c>
      <x:c r="E41" s="45" t="str">
        <x:v>Overage/(Underage) For Period</x:v>
      </x:c>
      <x:c r="F41" s="45" t="str">
        <x:v>Accrued Rollover Pages</x:v>
      </x:c>
      <x:c r="G41" s="45" t="str">
        <x:v>Net Overage (Underage)</x:v>
      </x:c>
      <x:c r="H41" s="45" t="str">
        <x:v>Excess CPP</x:v>
      </x:c>
      <x:c r="I41" s="46" t="str">
        <x:v>Overage Expense</x:v>
      </x:c>
    </x:row>
    <x:row r="42" spans="1:10" x14ac:dyDescent="0.25">
      <x:c r="B42" s="60" t="str">
        <x:v>B/W Copies</x:v>
      </x:c>
      <x:c r="C42" s="73" t="str">
        <x:v>0</x:v>
      </x:c>
      <x:c r="D42" s="73" t="str">
        <x:v>40,801</x:v>
      </x:c>
      <x:c r="E42" s="177" t="n">
        <x:f ca="1">=SUM(D42 - C42)</x:f>
      </x:c>
      <x:c r="F42" s="73" t="n">
        <x:v>0</x:v>
      </x:c>
      <x:c r="G42" s="177" t="n">
        <x:f ca="1">=SUM(E42 - F42)</x:f>
      </x:c>
      <x:c r="H42" s="200" t="n">
        <x:v>0.011710</x:v>
      </x:c>
      <x:c r="I42" s="213" t="n">
        <x:f ca="1">=IF(SUM(G42 * H42) &lt; 0, 0,SUM(G42 * H42))</x:f>
      </x:c>
    </x:row>
    <x:row r="43" spans="1:10" x14ac:dyDescent="0.25">
      <x:c r="B43" s="60" t="str">
        <x:v>B/W Laser Prints</x:v>
      </x:c>
      <x:c r="C43" s="73" t="str">
        <x:v>0</x:v>
      </x:c>
      <x:c r="D43" s="73" t="str">
        <x:v>61,872</x:v>
      </x:c>
      <x:c r="E43" s="177" t="n">
        <x:f ca="1">=SUM(D43 - C43)</x:f>
      </x:c>
      <x:c r="F43" s="73" t="n">
        <x:v>0</x:v>
      </x:c>
      <x:c r="G43" s="177" t="n">
        <x:f ca="1">=SUM(E43 - F43)</x:f>
      </x:c>
      <x:c r="H43" s="200" t="n">
        <x:v>0.019710</x:v>
      </x:c>
      <x:c r="I43" s="213" t="n">
        <x:f ca="1">=IF(SUM(G43 * H43) &lt; 0, 0,SUM(G43 * H43))</x:f>
      </x:c>
    </x:row>
    <x:row r="44" spans="1:10" x14ac:dyDescent="0.25">
      <x:c r="B44" s="58" t="str">
        <x:v>Color Copier B/W Pages</x:v>
      </x:c>
      <x:c r="C44" s="6" t="str">
        <x:v>0</x:v>
      </x:c>
      <x:c r="D44" s="6" t="str">
        <x:v>204,460</x:v>
      </x:c>
      <x:c r="E44" s="176" t="n">
        <x:f ca="1">=SUM(D44 - C44)</x:f>
      </x:c>
      <x:c r="F44" s="6" t="n">
        <x:v>0</x:v>
      </x:c>
      <x:c r="G44" s="176" t="n">
        <x:f ca="1">=SUM(E44 - F44)</x:f>
      </x:c>
      <x:c r="H44" s="201" t="n">
        <x:v>0.014710</x:v>
      </x:c>
      <x:c r="I44" s="212" t="str">
        <x:f ca="1">=IF(SUM(G44 * H44) &lt; 0, 0,SUM(G44 * H44))</x:f>
      </x:c>
    </x:row>
    <x:row r="45" spans="1:10" x14ac:dyDescent="0.25">
      <x:c r="B45" s="58" t="str">
        <x:v>Color Copier Color Pages</x:v>
      </x:c>
      <x:c r="C45" s="6" t="str">
        <x:v>0</x:v>
      </x:c>
      <x:c r="D45" s="6" t="str">
        <x:v>37,300</x:v>
      </x:c>
      <x:c r="E45" s="176" t="n">
        <x:f ca="1">=SUM(D45 - C45)</x:f>
      </x:c>
      <x:c r="F45" s="6" t="n">
        <x:v>0</x:v>
      </x:c>
      <x:c r="G45" s="176" t="n">
        <x:f ca="1">=SUM(E45 - F45)</x:f>
      </x:c>
      <x:c r="H45" s="201" t="n">
        <x:v>0.084710</x:v>
      </x:c>
      <x:c r="I45" s="212" t="str">
        <x:f ca="1">=IF(SUM(G45 * H45) &lt; 0, 0,SUM(G45 * H45))</x:f>
      </x:c>
    </x:row>
    <x:row r="46" spans="1:10" ht="15.5" customHeight="1" x14ac:dyDescent="0.25">
      <x:c r="A46" s="19"/>
      <x:c r="B46" s="209"/>
      <x:c r="C46" s="209"/>
      <x:c r="D46" s="209"/>
      <x:c r="E46" s="209"/>
      <x:c r="F46" s="209"/>
      <x:c r="G46" s="209"/>
      <x:c r="H46" s="209">
        <x:v>Total Overage Expense:</x:v>
      </x:c>
      <x:c r="I46" s="209">
        <x:f ca="1">=SUM(I42:I45)</x:f>
      </x:c>
    </x:row>
    <x:row r="47" spans="1:10" ht="25.5" customHeight="1" x14ac:dyDescent="0.25">
      <x:c r="A47" s="19"/>
      <x:c r="B47" s="14">
        <x:v>August 2018 - August 2018</x:v>
      </x:c>
      <x:c r="C47" s="19"/>
      <x:c r="D47" s="19"/>
      <x:c r="E47" s="19"/>
      <x:c r="F47" s="19"/>
      <x:c r="G47" s="19"/>
      <x:c r="H47" s="19"/>
      <x:c r="I47" s="19"/>
    </x:row>
    <x:row r="48" spans="1:10" ht="35.75" customHeight="1" x14ac:dyDescent="0.25">
      <x:c r="B48" s="47" t="str">
        <x:v>Meter Group</x:v>
      </x:c>
      <x:c r="C48" s="45" t="str">
        <x:v>Quarterly Contracted Volume</x:v>
      </x:c>
      <x:c r="D48" s="45" t="str">
        <x:v>Actual Volume For Period</x:v>
      </x:c>
      <x:c r="E48" s="45" t="str">
        <x:v>Overage/(Underage) For Period</x:v>
      </x:c>
      <x:c r="F48" s="45" t="str">
        <x:v>Accrued Rollover Pages</x:v>
      </x:c>
      <x:c r="G48" s="45" t="str">
        <x:v>Net Overage (Underage)</x:v>
      </x:c>
      <x:c r="H48" s="45" t="str">
        <x:v>Excess CPP</x:v>
      </x:c>
      <x:c r="I48" s="46" t="str">
        <x:v>Overage Expense</x:v>
      </x:c>
    </x:row>
    <x:row r="49" spans="1:10" x14ac:dyDescent="0.25">
      <x:c r="B49" s="60" t="str">
        <x:v>B/W Copies</x:v>
      </x:c>
      <x:c r="C49" s="73" t="str">
        <x:v>0</x:v>
      </x:c>
      <x:c r="D49" s="73" t="str">
        <x:v>72,068</x:v>
      </x:c>
      <x:c r="E49" s="177" t="n">
        <x:f ca="1">=SUM(D49 - C49)</x:f>
      </x:c>
      <x:c r="F49" s="73" t="n">
        <x:v>0</x:v>
      </x:c>
      <x:c r="G49" s="177" t="n">
        <x:f ca="1">=SUM(E49 - F49)</x:f>
      </x:c>
      <x:c r="H49" s="200" t="n">
        <x:v>0.011710</x:v>
      </x:c>
      <x:c r="I49" s="213" t="n">
        <x:f ca="1">=IF(SUM(G49 * H49) &lt; 0, 0,SUM(G49 * H49))</x:f>
      </x:c>
    </x:row>
    <x:row r="50" spans="1:10" x14ac:dyDescent="0.25">
      <x:c r="B50" s="60" t="str">
        <x:v>B/W Laser Prints</x:v>
      </x:c>
      <x:c r="C50" s="73" t="str">
        <x:v>0</x:v>
      </x:c>
      <x:c r="D50" s="73" t="str">
        <x:v>65,744</x:v>
      </x:c>
      <x:c r="E50" s="177" t="n">
        <x:f ca="1">=SUM(D50 - C50)</x:f>
      </x:c>
      <x:c r="F50" s="73" t="n">
        <x:v>0</x:v>
      </x:c>
      <x:c r="G50" s="177" t="n">
        <x:f ca="1">=SUM(E50 - F50)</x:f>
      </x:c>
      <x:c r="H50" s="200" t="n">
        <x:v>0.019710</x:v>
      </x:c>
      <x:c r="I50" s="213" t="n">
        <x:f ca="1">=IF(SUM(G50 * H50) &lt; 0, 0,SUM(G50 * H50))</x:f>
      </x:c>
    </x:row>
    <x:row r="51" spans="1:10" x14ac:dyDescent="0.25">
      <x:c r="B51" s="58" t="str">
        <x:v>Color Copier B/W Pages</x:v>
      </x:c>
      <x:c r="C51" s="6" t="str">
        <x:v>0</x:v>
      </x:c>
      <x:c r="D51" s="6" t="str">
        <x:v>295,675</x:v>
      </x:c>
      <x:c r="E51" s="176" t="n">
        <x:f ca="1">=SUM(D51 - C51)</x:f>
      </x:c>
      <x:c r="F51" s="6" t="n">
        <x:v>0</x:v>
      </x:c>
      <x:c r="G51" s="176" t="n">
        <x:f ca="1">=SUM(E51 - F51)</x:f>
      </x:c>
      <x:c r="H51" s="201" t="n">
        <x:v>0.014710</x:v>
      </x:c>
      <x:c r="I51" s="212" t="str">
        <x:f ca="1">=IF(SUM(G51 * H51) &lt; 0, 0,SUM(G51 * H51))</x:f>
      </x:c>
    </x:row>
    <x:row r="52" spans="1:10" x14ac:dyDescent="0.25">
      <x:c r="B52" s="58" t="str">
        <x:v>Color Copier Color Pages</x:v>
      </x:c>
      <x:c r="C52" s="6" t="str">
        <x:v>0</x:v>
      </x:c>
      <x:c r="D52" s="6" t="str">
        <x:v>51,602</x:v>
      </x:c>
      <x:c r="E52" s="176" t="n">
        <x:f ca="1">=SUM(D52 - C52)</x:f>
      </x:c>
      <x:c r="F52" s="6" t="n">
        <x:v>0</x:v>
      </x:c>
      <x:c r="G52" s="176" t="n">
        <x:f ca="1">=SUM(E52 - F52)</x:f>
      </x:c>
      <x:c r="H52" s="201" t="n">
        <x:v>0.084710</x:v>
      </x:c>
      <x:c r="I52" s="212" t="str">
        <x:f ca="1">=IF(SUM(G52 * H52) &lt; 0, 0,SUM(G52 * H52))</x:f>
      </x:c>
    </x:row>
    <x:row r="53" spans="1:10" ht="15.5" customHeight="1" x14ac:dyDescent="0.25">
      <x:c r="A53" s="19"/>
      <x:c r="B53" s="209"/>
      <x:c r="C53" s="209"/>
      <x:c r="D53" s="209"/>
      <x:c r="E53" s="209"/>
      <x:c r="F53" s="209"/>
      <x:c r="G53" s="209"/>
      <x:c r="H53" s="209">
        <x:v>Total Overage Expense:</x:v>
      </x:c>
      <x:c r="I53" s="209">
        <x:f ca="1">=SUM(I49:I52)</x:f>
      </x:c>
    </x:row>
    <x:row r="54" spans="1:10" ht="25.5" customHeight="1" x14ac:dyDescent="0.25">
      <x:c r="A54" s="19"/>
      <x:c r="B54" s="14">
        <x:v>July 2018 - July 2018</x:v>
      </x:c>
      <x:c r="C54" s="19"/>
      <x:c r="D54" s="19"/>
      <x:c r="E54" s="19"/>
      <x:c r="F54" s="19"/>
      <x:c r="G54" s="19"/>
      <x:c r="H54" s="19"/>
      <x:c r="I54" s="19"/>
    </x:row>
    <x:row r="55" spans="1:10" ht="35.75" customHeight="1" x14ac:dyDescent="0.25">
      <x:c r="B55" s="47" t="str">
        <x:v>Meter Group</x:v>
      </x:c>
      <x:c r="C55" s="45" t="str">
        <x:v>Quarterly Contracted Volume</x:v>
      </x:c>
      <x:c r="D55" s="45" t="str">
        <x:v>Actual Volume For Period</x:v>
      </x:c>
      <x:c r="E55" s="45" t="str">
        <x:v>Overage/(Underage) For Period</x:v>
      </x:c>
      <x:c r="F55" s="45" t="str">
        <x:v>Accrued Rollover Pages</x:v>
      </x:c>
      <x:c r="G55" s="45" t="str">
        <x:v>Net Overage (Underage)</x:v>
      </x:c>
      <x:c r="H55" s="45" t="str">
        <x:v>Excess CPP</x:v>
      </x:c>
      <x:c r="I55" s="46" t="str">
        <x:v>Overage Expense</x:v>
      </x:c>
    </x:row>
    <x:row r="56" spans="1:10" x14ac:dyDescent="0.25">
      <x:c r="B56" s="60" t="str">
        <x:v>B/W Copies</x:v>
      </x:c>
      <x:c r="C56" s="73" t="str">
        <x:v>0</x:v>
      </x:c>
      <x:c r="D56" s="73" t="str">
        <x:v>47,334</x:v>
      </x:c>
      <x:c r="E56" s="177" t="n">
        <x:f ca="1">=SUM(D56 - C56)</x:f>
      </x:c>
      <x:c r="F56" s="73" t="n">
        <x:v>0</x:v>
      </x:c>
      <x:c r="G56" s="177" t="n">
        <x:f ca="1">=SUM(E56 - F56)</x:f>
      </x:c>
      <x:c r="H56" s="200" t="n">
        <x:v>0.011710</x:v>
      </x:c>
      <x:c r="I56" s="213" t="n">
        <x:f ca="1">=IF(SUM(G56 * H56) &lt; 0, 0,SUM(G56 * H56))</x:f>
      </x:c>
    </x:row>
    <x:row r="57" spans="1:10" x14ac:dyDescent="0.25">
      <x:c r="B57" s="60" t="str">
        <x:v>B/W Laser Prints</x:v>
      </x:c>
      <x:c r="C57" s="73" t="str">
        <x:v>0</x:v>
      </x:c>
      <x:c r="D57" s="73" t="str">
        <x:v>39,556</x:v>
      </x:c>
      <x:c r="E57" s="177" t="n">
        <x:f ca="1">=SUM(D57 - C57)</x:f>
      </x:c>
      <x:c r="F57" s="73" t="n">
        <x:v>0</x:v>
      </x:c>
      <x:c r="G57" s="177" t="n">
        <x:f ca="1">=SUM(E57 - F57)</x:f>
      </x:c>
      <x:c r="H57" s="200" t="n">
        <x:v>0.019710</x:v>
      </x:c>
      <x:c r="I57" s="213" t="n">
        <x:f ca="1">=IF(SUM(G57 * H57) &lt; 0, 0,SUM(G57 * H57))</x:f>
      </x:c>
    </x:row>
    <x:row r="58" spans="1:10" x14ac:dyDescent="0.25">
      <x:c r="B58" s="58" t="str">
        <x:v>Color Copier B/W Pages</x:v>
      </x:c>
      <x:c r="C58" s="6" t="str">
        <x:v>0</x:v>
      </x:c>
      <x:c r="D58" s="6" t="str">
        <x:v>162,078</x:v>
      </x:c>
      <x:c r="E58" s="176" t="n">
        <x:f ca="1">=SUM(D58 - C58)</x:f>
      </x:c>
      <x:c r="F58" s="6" t="n">
        <x:v>0</x:v>
      </x:c>
      <x:c r="G58" s="176" t="n">
        <x:f ca="1">=SUM(E58 - F58)</x:f>
      </x:c>
      <x:c r="H58" s="201" t="n">
        <x:v>0.014710</x:v>
      </x:c>
      <x:c r="I58" s="212" t="str">
        <x:f ca="1">=IF(SUM(G58 * H58) &lt; 0, 0,SUM(G58 * H58))</x:f>
      </x:c>
    </x:row>
    <x:row r="59" spans="1:10" x14ac:dyDescent="0.25">
      <x:c r="B59" s="58" t="str">
        <x:v>Color Copier Color Pages</x:v>
      </x:c>
      <x:c r="C59" s="6" t="str">
        <x:v>0</x:v>
      </x:c>
      <x:c r="D59" s="6" t="str">
        <x:v>30,752</x:v>
      </x:c>
      <x:c r="E59" s="176" t="n">
        <x:f ca="1">=SUM(D59 - C59)</x:f>
      </x:c>
      <x:c r="F59" s="6" t="n">
        <x:v>0</x:v>
      </x:c>
      <x:c r="G59" s="176" t="n">
        <x:f ca="1">=SUM(E59 - F59)</x:f>
      </x:c>
      <x:c r="H59" s="201" t="n">
        <x:v>0.084710</x:v>
      </x:c>
      <x:c r="I59" s="212" t="str">
        <x:f ca="1">=IF(SUM(G59 * H59) &lt; 0, 0,SUM(G59 * H59))</x:f>
      </x:c>
    </x:row>
    <x:row r="60" spans="1:10" ht="15.5" customHeight="1" x14ac:dyDescent="0.25">
      <x:c r="A60" s="19"/>
      <x:c r="B60" s="209"/>
      <x:c r="C60" s="209"/>
      <x:c r="D60" s="209"/>
      <x:c r="E60" s="209"/>
      <x:c r="F60" s="209"/>
      <x:c r="G60" s="209"/>
      <x:c r="H60" s="209">
        <x:v>Total Overage Expense:</x:v>
      </x:c>
      <x:c r="I60" s="209">
        <x:f ca="1">=SUM(I56:I59)</x:f>
      </x:c>
    </x:row>
    <x:row r="61" spans="1:10" ht="25.5" customHeight="1" x14ac:dyDescent="0.25">
      <x:c r="A61" s="19"/>
      <x:c r="B61" s="14">
        <x:v>June 2018 - June 2018</x:v>
      </x:c>
      <x:c r="C61" s="19"/>
      <x:c r="D61" s="19"/>
      <x:c r="E61" s="19"/>
      <x:c r="F61" s="19"/>
      <x:c r="G61" s="19"/>
      <x:c r="H61" s="19"/>
      <x:c r="I61" s="19"/>
    </x:row>
    <x:row r="62" spans="1:10" ht="35.75" customHeight="1" x14ac:dyDescent="0.25">
      <x:c r="B62" s="47" t="str">
        <x:v>Meter Group</x:v>
      </x:c>
      <x:c r="C62" s="45" t="str">
        <x:v>Quarterly Contracted Volume</x:v>
      </x:c>
      <x:c r="D62" s="45" t="str">
        <x:v>Actual Volume For Period</x:v>
      </x:c>
      <x:c r="E62" s="45" t="str">
        <x:v>Overage/(Underage) For Period</x:v>
      </x:c>
      <x:c r="F62" s="45" t="str">
        <x:v>Accrued Rollover Pages</x:v>
      </x:c>
      <x:c r="G62" s="45" t="str">
        <x:v>Net Overage (Underage)</x:v>
      </x:c>
      <x:c r="H62" s="45" t="str">
        <x:v>Excess CPP</x:v>
      </x:c>
      <x:c r="I62" s="46" t="str">
        <x:v>Overage Expense</x:v>
      </x:c>
    </x:row>
    <x:row r="63" spans="1:10" x14ac:dyDescent="0.25">
      <x:c r="B63" s="60" t="str">
        <x:v>B/W Copies</x:v>
      </x:c>
      <x:c r="C63" s="73" t="str">
        <x:v>0</x:v>
      </x:c>
      <x:c r="D63" s="73" t="str">
        <x:v>62,892</x:v>
      </x:c>
      <x:c r="E63" s="177" t="n">
        <x:f ca="1">=SUM(D63 - C63)</x:f>
      </x:c>
      <x:c r="F63" s="73" t="n">
        <x:v>0</x:v>
      </x:c>
      <x:c r="G63" s="177" t="n">
        <x:f ca="1">=SUM(E63 - F63)</x:f>
      </x:c>
      <x:c r="H63" s="200" t="n">
        <x:v>0.011710</x:v>
      </x:c>
      <x:c r="I63" s="213" t="n">
        <x:f ca="1">=IF(SUM(G63 * H63) &lt; 0, 0,SUM(G63 * H63))</x:f>
      </x:c>
    </x:row>
    <x:row r="64" spans="1:10" x14ac:dyDescent="0.25">
      <x:c r="B64" s="60" t="str">
        <x:v>B/W Laser Prints</x:v>
      </x:c>
      <x:c r="C64" s="73" t="str">
        <x:v>0</x:v>
      </x:c>
      <x:c r="D64" s="73" t="str">
        <x:v>53,287</x:v>
      </x:c>
      <x:c r="E64" s="177" t="n">
        <x:f ca="1">=SUM(D64 - C64)</x:f>
      </x:c>
      <x:c r="F64" s="73" t="n">
        <x:v>0</x:v>
      </x:c>
      <x:c r="G64" s="177" t="n">
        <x:f ca="1">=SUM(E64 - F64)</x:f>
      </x:c>
      <x:c r="H64" s="200" t="n">
        <x:v>0.019710</x:v>
      </x:c>
      <x:c r="I64" s="213" t="n">
        <x:f ca="1">=IF(SUM(G64 * H64) &lt; 0, 0,SUM(G64 * H64))</x:f>
      </x:c>
    </x:row>
    <x:row r="65" spans="1:10" x14ac:dyDescent="0.25">
      <x:c r="B65" s="58" t="str">
        <x:v>Color Copier B/W Pages</x:v>
      </x:c>
      <x:c r="C65" s="6" t="str">
        <x:v>0</x:v>
      </x:c>
      <x:c r="D65" s="6" t="str">
        <x:v>219,540</x:v>
      </x:c>
      <x:c r="E65" s="176" t="n">
        <x:f ca="1">=SUM(D65 - C65)</x:f>
      </x:c>
      <x:c r="F65" s="6" t="n">
        <x:v>0</x:v>
      </x:c>
      <x:c r="G65" s="176" t="n">
        <x:f ca="1">=SUM(E65 - F65)</x:f>
      </x:c>
      <x:c r="H65" s="201" t="n">
        <x:v>0.014710</x:v>
      </x:c>
      <x:c r="I65" s="212" t="str">
        <x:f ca="1">=IF(SUM(G65 * H65) &lt; 0, 0,SUM(G65 * H65))</x:f>
      </x:c>
    </x:row>
    <x:row r="66" spans="1:10" x14ac:dyDescent="0.25">
      <x:c r="B66" s="58" t="str">
        <x:v>Color Copier Color Pages</x:v>
      </x:c>
      <x:c r="C66" s="6" t="str">
        <x:v>0</x:v>
      </x:c>
      <x:c r="D66" s="6" t="str">
        <x:v>38,331</x:v>
      </x:c>
      <x:c r="E66" s="176" t="n">
        <x:f ca="1">=SUM(D66 - C66)</x:f>
      </x:c>
      <x:c r="F66" s="6" t="n">
        <x:v>0</x:v>
      </x:c>
      <x:c r="G66" s="176" t="n">
        <x:f ca="1">=SUM(E66 - F66)</x:f>
      </x:c>
      <x:c r="H66" s="201" t="n">
        <x:v>0.084710</x:v>
      </x:c>
      <x:c r="I66" s="212" t="str">
        <x:f ca="1">=IF(SUM(G66 * H66) &lt; 0, 0,SUM(G66 * H66))</x:f>
      </x:c>
    </x:row>
    <x:row r="67" spans="1:10" ht="15.5" customHeight="1" x14ac:dyDescent="0.25">
      <x:c r="A67" s="19"/>
      <x:c r="B67" s="209"/>
      <x:c r="C67" s="209"/>
      <x:c r="D67" s="209"/>
      <x:c r="E67" s="209"/>
      <x:c r="F67" s="209"/>
      <x:c r="G67" s="209"/>
      <x:c r="H67" s="209">
        <x:v>Total Overage Expense:</x:v>
      </x:c>
      <x:c r="I67" s="209">
        <x:f ca="1">=SUM(I63:I66)</x:f>
      </x:c>
    </x:row>
    <x:row r="68" spans="1:10" ht="25.5" customHeight="1" x14ac:dyDescent="0.25">
      <x:c r="A68" s="19"/>
      <x:c r="B68" s="14">
        <x:v>May 2018 - May 2018</x:v>
      </x:c>
      <x:c r="C68" s="19"/>
      <x:c r="D68" s="19"/>
      <x:c r="E68" s="19"/>
      <x:c r="F68" s="19"/>
      <x:c r="G68" s="19"/>
      <x:c r="H68" s="19"/>
      <x:c r="I68" s="19"/>
    </x:row>
    <x:row r="69" spans="1:10" ht="35.75" customHeight="1" x14ac:dyDescent="0.25">
      <x:c r="B69" s="47" t="str">
        <x:v>Meter Group</x:v>
      </x:c>
      <x:c r="C69" s="45" t="str">
        <x:v>Quarterly Contracted Volume</x:v>
      </x:c>
      <x:c r="D69" s="45" t="str">
        <x:v>Actual Volume For Period</x:v>
      </x:c>
      <x:c r="E69" s="45" t="str">
        <x:v>Overage/(Underage) For Period</x:v>
      </x:c>
      <x:c r="F69" s="45" t="str">
        <x:v>Accrued Rollover Pages</x:v>
      </x:c>
      <x:c r="G69" s="45" t="str">
        <x:v>Net Overage (Underage)</x:v>
      </x:c>
      <x:c r="H69" s="45" t="str">
        <x:v>Excess CPP</x:v>
      </x:c>
      <x:c r="I69" s="46" t="str">
        <x:v>Overage Expense</x:v>
      </x:c>
    </x:row>
    <x:row r="70" spans="1:10" x14ac:dyDescent="0.25">
      <x:c r="B70" s="60" t="str">
        <x:v>B/W Copies</x:v>
      </x:c>
      <x:c r="C70" s="73" t="str">
        <x:v>0</x:v>
      </x:c>
      <x:c r="D70" s="73" t="str">
        <x:v>53,335</x:v>
      </x:c>
      <x:c r="E70" s="177" t="n">
        <x:f ca="1">=SUM(D70 - C70)</x:f>
      </x:c>
      <x:c r="F70" s="73" t="n">
        <x:v>0</x:v>
      </x:c>
      <x:c r="G70" s="177" t="n">
        <x:f ca="1">=SUM(E70 - F70)</x:f>
      </x:c>
      <x:c r="H70" s="200" t="n">
        <x:v>0.011710</x:v>
      </x:c>
      <x:c r="I70" s="213" t="n">
        <x:f ca="1">=IF(SUM(G70 * H70) &lt; 0, 0,SUM(G70 * H70))</x:f>
      </x:c>
    </x:row>
    <x:row r="71" spans="1:10" x14ac:dyDescent="0.25">
      <x:c r="B71" s="60" t="str">
        <x:v>B/W Laser Prints</x:v>
      </x:c>
      <x:c r="C71" s="73" t="str">
        <x:v>0</x:v>
      </x:c>
      <x:c r="D71" s="73" t="str">
        <x:v>48,651</x:v>
      </x:c>
      <x:c r="E71" s="177" t="n">
        <x:f ca="1">=SUM(D71 - C71)</x:f>
      </x:c>
      <x:c r="F71" s="73" t="n">
        <x:v>0</x:v>
      </x:c>
      <x:c r="G71" s="177" t="n">
        <x:f ca="1">=SUM(E71 - F71)</x:f>
      </x:c>
      <x:c r="H71" s="200" t="n">
        <x:v>0.019710</x:v>
      </x:c>
      <x:c r="I71" s="213" t="n">
        <x:f ca="1">=IF(SUM(G71 * H71) &lt; 0, 0,SUM(G71 * H71))</x:f>
      </x:c>
    </x:row>
    <x:row r="72" spans="1:10" x14ac:dyDescent="0.25">
      <x:c r="B72" s="58" t="str">
        <x:v>Color Copier B/W Pages</x:v>
      </x:c>
      <x:c r="C72" s="6" t="str">
        <x:v>0</x:v>
      </x:c>
      <x:c r="D72" s="6" t="str">
        <x:v>215,439</x:v>
      </x:c>
      <x:c r="E72" s="176" t="n">
        <x:f ca="1">=SUM(D72 - C72)</x:f>
      </x:c>
      <x:c r="F72" s="6" t="n">
        <x:v>0</x:v>
      </x:c>
      <x:c r="G72" s="176" t="n">
        <x:f ca="1">=SUM(E72 - F72)</x:f>
      </x:c>
      <x:c r="H72" s="201" t="n">
        <x:v>0.014710</x:v>
      </x:c>
      <x:c r="I72" s="212" t="str">
        <x:f ca="1">=IF(SUM(G72 * H72) &lt; 0, 0,SUM(G72 * H72))</x:f>
      </x:c>
    </x:row>
    <x:row r="73" spans="1:10" x14ac:dyDescent="0.25">
      <x:c r="B73" s="58" t="str">
        <x:v>Color Copier Color Pages</x:v>
      </x:c>
      <x:c r="C73" s="6" t="str">
        <x:v>0</x:v>
      </x:c>
      <x:c r="D73" s="6" t="str">
        <x:v>34,074</x:v>
      </x:c>
      <x:c r="E73" s="176" t="n">
        <x:f ca="1">=SUM(D73 - C73)</x:f>
      </x:c>
      <x:c r="F73" s="6" t="n">
        <x:v>0</x:v>
      </x:c>
      <x:c r="G73" s="176" t="n">
        <x:f ca="1">=SUM(E73 - F73)</x:f>
      </x:c>
      <x:c r="H73" s="201" t="n">
        <x:v>0.084710</x:v>
      </x:c>
      <x:c r="I73" s="212" t="str">
        <x:f ca="1">=IF(SUM(G73 * H73) &lt; 0, 0,SUM(G73 * H73))</x:f>
      </x:c>
    </x:row>
    <x:row r="74" spans="1:10" ht="15.5" customHeight="1" x14ac:dyDescent="0.25">
      <x:c r="A74" s="19"/>
      <x:c r="B74" s="209"/>
      <x:c r="C74" s="209"/>
      <x:c r="D74" s="209"/>
      <x:c r="E74" s="209"/>
      <x:c r="F74" s="209"/>
      <x:c r="G74" s="209"/>
      <x:c r="H74" s="209">
        <x:v>Total Overage Expense:</x:v>
      </x:c>
      <x:c r="I74" s="209">
        <x:f ca="1">=SUM(I70:I73)</x:f>
      </x:c>
    </x:row>
    <x:row r="75" spans="1:10" ht="25.5" customHeight="1" x14ac:dyDescent="0.25">
      <x:c r="A75" s="19"/>
      <x:c r="B75" s="14">
        <x:v>April 2018 - April 2018</x:v>
      </x:c>
      <x:c r="C75" s="19"/>
      <x:c r="D75" s="19"/>
      <x:c r="E75" s="19"/>
      <x:c r="F75" s="19"/>
      <x:c r="G75" s="19"/>
      <x:c r="H75" s="19"/>
      <x:c r="I75" s="19"/>
    </x:row>
    <x:row r="76" spans="1:10" ht="35.75" customHeight="1" x14ac:dyDescent="0.25">
      <x:c r="B76" s="47" t="str">
        <x:v>Meter Group</x:v>
      </x:c>
      <x:c r="C76" s="45" t="str">
        <x:v>Quarterly Contracted Volume</x:v>
      </x:c>
      <x:c r="D76" s="45" t="str">
        <x:v>Actual Volume For Period</x:v>
      </x:c>
      <x:c r="E76" s="45" t="str">
        <x:v>Overage/(Underage) For Period</x:v>
      </x:c>
      <x:c r="F76" s="45" t="str">
        <x:v>Accrued Rollover Pages</x:v>
      </x:c>
      <x:c r="G76" s="45" t="str">
        <x:v>Net Overage (Underage)</x:v>
      </x:c>
      <x:c r="H76" s="45" t="str">
        <x:v>Excess CPP</x:v>
      </x:c>
      <x:c r="I76" s="46" t="str">
        <x:v>Overage Expense</x:v>
      </x:c>
    </x:row>
    <x:row r="77" spans="1:10" x14ac:dyDescent="0.25">
      <x:c r="B77" s="60" t="str">
        <x:v>B/W Copies</x:v>
      </x:c>
      <x:c r="C77" s="73" t="str">
        <x:v>0</x:v>
      </x:c>
      <x:c r="D77" s="73" t="str">
        <x:v>75,853</x:v>
      </x:c>
      <x:c r="E77" s="177" t="n">
        <x:f ca="1">=SUM(D77 - C77)</x:f>
      </x:c>
      <x:c r="F77" s="73" t="n">
        <x:v>0</x:v>
      </x:c>
      <x:c r="G77" s="177" t="n">
        <x:f ca="1">=SUM(E77 - F77)</x:f>
      </x:c>
      <x:c r="H77" s="200" t="n">
        <x:v>0.011710</x:v>
      </x:c>
      <x:c r="I77" s="213" t="n">
        <x:f ca="1">=IF(SUM(G77 * H77) &lt; 0, 0,SUM(G77 * H77))</x:f>
      </x:c>
    </x:row>
    <x:row r="78" spans="1:10" x14ac:dyDescent="0.25">
      <x:c r="B78" s="60" t="str">
        <x:v>B/W Laser Prints</x:v>
      </x:c>
      <x:c r="C78" s="73" t="str">
        <x:v>0</x:v>
      </x:c>
      <x:c r="D78" s="73" t="str">
        <x:v>65,105</x:v>
      </x:c>
      <x:c r="E78" s="177" t="n">
        <x:f ca="1">=SUM(D78 - C78)</x:f>
      </x:c>
      <x:c r="F78" s="73" t="n">
        <x:v>0</x:v>
      </x:c>
      <x:c r="G78" s="177" t="n">
        <x:f ca="1">=SUM(E78 - F78)</x:f>
      </x:c>
      <x:c r="H78" s="200" t="n">
        <x:v>0.019710</x:v>
      </x:c>
      <x:c r="I78" s="213" t="n">
        <x:f ca="1">=IF(SUM(G78 * H78) &lt; 0, 0,SUM(G78 * H78))</x:f>
      </x:c>
    </x:row>
    <x:row r="79" spans="1:10" x14ac:dyDescent="0.25">
      <x:c r="B79" s="58" t="str">
        <x:v>Color Copier B/W Pages</x:v>
      </x:c>
      <x:c r="C79" s="6" t="str">
        <x:v>0</x:v>
      </x:c>
      <x:c r="D79" s="6" t="str">
        <x:v>268,646</x:v>
      </x:c>
      <x:c r="E79" s="176" t="n">
        <x:f ca="1">=SUM(D79 - C79)</x:f>
      </x:c>
      <x:c r="F79" s="6" t="n">
        <x:v>0</x:v>
      </x:c>
      <x:c r="G79" s="176" t="n">
        <x:f ca="1">=SUM(E79 - F79)</x:f>
      </x:c>
      <x:c r="H79" s="201" t="n">
        <x:v>0.014710</x:v>
      </x:c>
      <x:c r="I79" s="212" t="str">
        <x:f ca="1">=IF(SUM(G79 * H79) &lt; 0, 0,SUM(G79 * H79))</x:f>
      </x:c>
    </x:row>
    <x:row r="80" spans="1:10" x14ac:dyDescent="0.25">
      <x:c r="B80" s="58" t="str">
        <x:v>Color Copier Color Pages</x:v>
      </x:c>
      <x:c r="C80" s="6" t="str">
        <x:v>0</x:v>
      </x:c>
      <x:c r="D80" s="6" t="str">
        <x:v>49,987</x:v>
      </x:c>
      <x:c r="E80" s="176" t="n">
        <x:f ca="1">=SUM(D80 - C80)</x:f>
      </x:c>
      <x:c r="F80" s="6" t="n">
        <x:v>0</x:v>
      </x:c>
      <x:c r="G80" s="176" t="n">
        <x:f ca="1">=SUM(E80 - F80)</x:f>
      </x:c>
      <x:c r="H80" s="201" t="n">
        <x:v>0.084710</x:v>
      </x:c>
      <x:c r="I80" s="212" t="str">
        <x:f ca="1">=IF(SUM(G80 * H80) &lt; 0, 0,SUM(G80 * H80))</x:f>
      </x:c>
    </x:row>
    <x:row r="81" spans="1:10" ht="15.5" customHeight="1" x14ac:dyDescent="0.25">
      <x:c r="A81" s="19"/>
      <x:c r="B81" s="209"/>
      <x:c r="C81" s="209"/>
      <x:c r="D81" s="209"/>
      <x:c r="E81" s="209"/>
      <x:c r="F81" s="209"/>
      <x:c r="G81" s="209"/>
      <x:c r="H81" s="209">
        <x:v>Total Overage Expense:</x:v>
      </x:c>
      <x:c r="I81" s="209">
        <x:f ca="1">=SUM(I77:I80)</x:f>
      </x:c>
    </x:row>
    <x:row r="82" spans="1:10" ht="25.5" customHeight="1" x14ac:dyDescent="0.25">
      <x:c r="A82" s="19"/>
      <x:c r="B82" s="14">
        <x:v>March 2018 - March 2018</x:v>
      </x:c>
      <x:c r="C82" s="19"/>
      <x:c r="D82" s="19"/>
      <x:c r="E82" s="19"/>
      <x:c r="F82" s="19"/>
      <x:c r="G82" s="19"/>
      <x:c r="H82" s="19"/>
      <x:c r="I82" s="19"/>
    </x:row>
    <x:row r="83" spans="1:10" ht="35.75" customHeight="1" x14ac:dyDescent="0.25">
      <x:c r="B83" s="47" t="str">
        <x:v>Meter Group</x:v>
      </x:c>
      <x:c r="C83" s="45" t="str">
        <x:v>Quarterly Contracted Volume</x:v>
      </x:c>
      <x:c r="D83" s="45" t="str">
        <x:v>Actual Volume For Period</x:v>
      </x:c>
      <x:c r="E83" s="45" t="str">
        <x:v>Overage/(Underage) For Period</x:v>
      </x:c>
      <x:c r="F83" s="45" t="str">
        <x:v>Accrued Rollover Pages</x:v>
      </x:c>
      <x:c r="G83" s="45" t="str">
        <x:v>Net Overage (Underage)</x:v>
      </x:c>
      <x:c r="H83" s="45" t="str">
        <x:v>Excess CPP</x:v>
      </x:c>
      <x:c r="I83" s="46" t="str">
        <x:v>Overage Expense</x:v>
      </x:c>
    </x:row>
    <x:row r="84" spans="1:10" x14ac:dyDescent="0.25">
      <x:c r="B84" s="60" t="str">
        <x:v>B/W Copies</x:v>
      </x:c>
      <x:c r="C84" s="73" t="str">
        <x:v>0</x:v>
      </x:c>
      <x:c r="D84" s="73" t="str">
        <x:v>46,509</x:v>
      </x:c>
      <x:c r="E84" s="177" t="n">
        <x:f ca="1">=SUM(D84 - C84)</x:f>
      </x:c>
      <x:c r="F84" s="73" t="n">
        <x:v>0</x:v>
      </x:c>
      <x:c r="G84" s="177" t="n">
        <x:f ca="1">=SUM(E84 - F84)</x:f>
      </x:c>
      <x:c r="H84" s="200" t="n">
        <x:v>0.011710</x:v>
      </x:c>
      <x:c r="I84" s="213" t="n">
        <x:f ca="1">=IF(SUM(G84 * H84) &lt; 0, 0,SUM(G84 * H84))</x:f>
      </x:c>
    </x:row>
    <x:row r="85" spans="1:10" x14ac:dyDescent="0.25">
      <x:c r="B85" s="60" t="str">
        <x:v>B/W Laser Prints</x:v>
      </x:c>
      <x:c r="C85" s="73" t="str">
        <x:v>0</x:v>
      </x:c>
      <x:c r="D85" s="73" t="str">
        <x:v>41,483</x:v>
      </x:c>
      <x:c r="E85" s="177" t="n">
        <x:f ca="1">=SUM(D85 - C85)</x:f>
      </x:c>
      <x:c r="F85" s="73" t="n">
        <x:v>0</x:v>
      </x:c>
      <x:c r="G85" s="177" t="n">
        <x:f ca="1">=SUM(E85 - F85)</x:f>
      </x:c>
      <x:c r="H85" s="200" t="n">
        <x:v>0.019710</x:v>
      </x:c>
      <x:c r="I85" s="213" t="n">
        <x:f ca="1">=IF(SUM(G85 * H85) &lt; 0, 0,SUM(G85 * H85))</x:f>
      </x:c>
    </x:row>
    <x:row r="86" spans="1:10" x14ac:dyDescent="0.25">
      <x:c r="B86" s="58" t="str">
        <x:v>Color Copier B/W Pages</x:v>
      </x:c>
      <x:c r="C86" s="6" t="str">
        <x:v>0</x:v>
      </x:c>
      <x:c r="D86" s="6" t="str">
        <x:v>165,878</x:v>
      </x:c>
      <x:c r="E86" s="176" t="n">
        <x:f ca="1">=SUM(D86 - C86)</x:f>
      </x:c>
      <x:c r="F86" s="6" t="n">
        <x:v>0</x:v>
      </x:c>
      <x:c r="G86" s="176" t="n">
        <x:f ca="1">=SUM(E86 - F86)</x:f>
      </x:c>
      <x:c r="H86" s="201" t="n">
        <x:v>0.014710</x:v>
      </x:c>
      <x:c r="I86" s="212" t="str">
        <x:f ca="1">=IF(SUM(G86 * H86) &lt; 0, 0,SUM(G86 * H86))</x:f>
      </x:c>
    </x:row>
    <x:row r="87" spans="1:10" x14ac:dyDescent="0.25">
      <x:c r="B87" s="58" t="str">
        <x:v>Color Copier Color Pages</x:v>
      </x:c>
      <x:c r="C87" s="6" t="str">
        <x:v>0</x:v>
      </x:c>
      <x:c r="D87" s="6" t="str">
        <x:v>29,350</x:v>
      </x:c>
      <x:c r="E87" s="176" t="n">
        <x:f ca="1">=SUM(D87 - C87)</x:f>
      </x:c>
      <x:c r="F87" s="6" t="n">
        <x:v>0</x:v>
      </x:c>
      <x:c r="G87" s="176" t="n">
        <x:f ca="1">=SUM(E87 - F87)</x:f>
      </x:c>
      <x:c r="H87" s="201" t="n">
        <x:v>0.084710</x:v>
      </x:c>
      <x:c r="I87" s="212" t="str">
        <x:f ca="1">=IF(SUM(G87 * H87) &lt; 0, 0,SUM(G87 * H87))</x:f>
      </x:c>
    </x:row>
    <x:row r="88" spans="1:10" ht="15.5" customHeight="1" x14ac:dyDescent="0.25">
      <x:c r="A88" s="19"/>
      <x:c r="B88" s="209"/>
      <x:c r="C88" s="209"/>
      <x:c r="D88" s="209"/>
      <x:c r="E88" s="209"/>
      <x:c r="F88" s="209"/>
      <x:c r="G88" s="209"/>
      <x:c r="H88" s="209">
        <x:v>Total Overage Expense:</x:v>
      </x:c>
      <x:c r="I88" s="209">
        <x:f ca="1">=SUM(I84:I87)</x:f>
      </x:c>
    </x:row>
    <x:row r="89" spans="1:10" ht="25.5" customHeight="1" x14ac:dyDescent="0.25">
      <x:c r="A89" s="19"/>
      <x:c r="B89" s="14">
        <x:v>February 2018 - February 2018</x:v>
      </x:c>
      <x:c r="C89" s="19"/>
      <x:c r="D89" s="19"/>
      <x:c r="E89" s="19"/>
      <x:c r="F89" s="19"/>
      <x:c r="G89" s="19"/>
      <x:c r="H89" s="19"/>
      <x:c r="I89" s="19"/>
    </x:row>
    <x:row r="90" spans="1:10" ht="35.75" customHeight="1" x14ac:dyDescent="0.25">
      <x:c r="B90" s="47" t="str">
        <x:v>Meter Group</x:v>
      </x:c>
      <x:c r="C90" s="45" t="str">
        <x:v>Quarterly Contracted Volume</x:v>
      </x:c>
      <x:c r="D90" s="45" t="str">
        <x:v>Actual Volume For Period</x:v>
      </x:c>
      <x:c r="E90" s="45" t="str">
        <x:v>Overage/(Underage) For Period</x:v>
      </x:c>
      <x:c r="F90" s="45" t="str">
        <x:v>Accrued Rollover Pages</x:v>
      </x:c>
      <x:c r="G90" s="45" t="str">
        <x:v>Net Overage (Underage)</x:v>
      </x:c>
      <x:c r="H90" s="45" t="str">
        <x:v>Excess CPP</x:v>
      </x:c>
      <x:c r="I90" s="46" t="str">
        <x:v>Overage Expense</x:v>
      </x:c>
    </x:row>
    <x:row r="91" spans="1:10" x14ac:dyDescent="0.25">
      <x:c r="B91" s="60" t="str">
        <x:v>B/W Copies</x:v>
      </x:c>
      <x:c r="C91" s="73" t="str">
        <x:v>0</x:v>
      </x:c>
      <x:c r="D91" s="73" t="str">
        <x:v>72,182</x:v>
      </x:c>
      <x:c r="E91" s="177" t="n">
        <x:f ca="1">=SUM(D91 - C91)</x:f>
      </x:c>
      <x:c r="F91" s="73" t="n">
        <x:v>0</x:v>
      </x:c>
      <x:c r="G91" s="177" t="n">
        <x:f ca="1">=SUM(E91 - F91)</x:f>
      </x:c>
      <x:c r="H91" s="200" t="n">
        <x:v>0.011710</x:v>
      </x:c>
      <x:c r="I91" s="213" t="n">
        <x:f ca="1">=IF(SUM(G91 * H91) &lt; 0, 0,SUM(G91 * H91))</x:f>
      </x:c>
    </x:row>
    <x:row r="92" spans="1:10" x14ac:dyDescent="0.25">
      <x:c r="B92" s="60" t="str">
        <x:v>B/W Laser Prints</x:v>
      </x:c>
      <x:c r="C92" s="73" t="str">
        <x:v>0</x:v>
      </x:c>
      <x:c r="D92" s="73" t="str">
        <x:v>62,204</x:v>
      </x:c>
      <x:c r="E92" s="177" t="n">
        <x:f ca="1">=SUM(D92 - C92)</x:f>
      </x:c>
      <x:c r="F92" s="73" t="n">
        <x:v>0</x:v>
      </x:c>
      <x:c r="G92" s="177" t="n">
        <x:f ca="1">=SUM(E92 - F92)</x:f>
      </x:c>
      <x:c r="H92" s="200" t="n">
        <x:v>0.019710</x:v>
      </x:c>
      <x:c r="I92" s="213" t="n">
        <x:f ca="1">=IF(SUM(G92 * H92) &lt; 0, 0,SUM(G92 * H92))</x:f>
      </x:c>
    </x:row>
    <x:row r="93" spans="1:10" x14ac:dyDescent="0.25">
      <x:c r="B93" s="58" t="str">
        <x:v>Color Copier B/W Pages</x:v>
      </x:c>
      <x:c r="C93" s="6" t="str">
        <x:v>0</x:v>
      </x:c>
      <x:c r="D93" s="6" t="str">
        <x:v>259,983</x:v>
      </x:c>
      <x:c r="E93" s="176" t="n">
        <x:f ca="1">=SUM(D93 - C93)</x:f>
      </x:c>
      <x:c r="F93" s="6" t="n">
        <x:v>0</x:v>
      </x:c>
      <x:c r="G93" s="176" t="n">
        <x:f ca="1">=SUM(E93 - F93)</x:f>
      </x:c>
      <x:c r="H93" s="201" t="n">
        <x:v>0.014710</x:v>
      </x:c>
      <x:c r="I93" s="212" t="str">
        <x:f ca="1">=IF(SUM(G93 * H93) &lt; 0, 0,SUM(G93 * H93))</x:f>
      </x:c>
    </x:row>
    <x:row r="94" spans="1:10" x14ac:dyDescent="0.25">
      <x:c r="B94" s="58" t="str">
        <x:v>Color Copier Color Pages</x:v>
      </x:c>
      <x:c r="C94" s="6" t="str">
        <x:v>0</x:v>
      </x:c>
      <x:c r="D94" s="6" t="str">
        <x:v>52,015</x:v>
      </x:c>
      <x:c r="E94" s="176" t="n">
        <x:f ca="1">=SUM(D94 - C94)</x:f>
      </x:c>
      <x:c r="F94" s="6" t="n">
        <x:v>0</x:v>
      </x:c>
      <x:c r="G94" s="176" t="n">
        <x:f ca="1">=SUM(E94 - F94)</x:f>
      </x:c>
      <x:c r="H94" s="201" t="n">
        <x:v>0.084710</x:v>
      </x:c>
      <x:c r="I94" s="212" t="str">
        <x:f ca="1">=IF(SUM(G94 * H94) &lt; 0, 0,SUM(G94 * H94))</x:f>
      </x:c>
    </x:row>
    <x:row r="95" spans="1:10" ht="15.5" customHeight="1" x14ac:dyDescent="0.25">
      <x:c r="A95" s="19"/>
      <x:c r="B95" s="209"/>
      <x:c r="C95" s="209"/>
      <x:c r="D95" s="209"/>
      <x:c r="E95" s="209"/>
      <x:c r="F95" s="209"/>
      <x:c r="G95" s="209"/>
      <x:c r="H95" s="209">
        <x:v>Total Overage Expense:</x:v>
      </x:c>
      <x:c r="I95" s="209">
        <x:f ca="1">=SUM(I91:I94)</x:f>
      </x:c>
    </x:row>
    <x:row r="96" spans="1:10" ht="25.5" customHeight="1" x14ac:dyDescent="0.25">
      <x:c r="A96" s="19"/>
      <x:c r="B96" s="14">
        <x:v>January 2018 - January 2018</x:v>
      </x:c>
      <x:c r="C96" s="19"/>
      <x:c r="D96" s="19"/>
      <x:c r="E96" s="19"/>
      <x:c r="F96" s="19"/>
      <x:c r="G96" s="19"/>
      <x:c r="H96" s="19"/>
      <x:c r="I96" s="19"/>
    </x:row>
    <x:row r="97" spans="1:10" ht="35.75" customHeight="1" x14ac:dyDescent="0.25">
      <x:c r="B97" s="47" t="str">
        <x:v>Meter Group</x:v>
      </x:c>
      <x:c r="C97" s="45" t="str">
        <x:v>Quarterly Contracted Volume</x:v>
      </x:c>
      <x:c r="D97" s="45" t="str">
        <x:v>Actual Volume For Period</x:v>
      </x:c>
      <x:c r="E97" s="45" t="str">
        <x:v>Overage/(Underage) For Period</x:v>
      </x:c>
      <x:c r="F97" s="45" t="str">
        <x:v>Accrued Rollover Pages</x:v>
      </x:c>
      <x:c r="G97" s="45" t="str">
        <x:v>Net Overage (Underage)</x:v>
      </x:c>
      <x:c r="H97" s="45" t="str">
        <x:v>Excess CPP</x:v>
      </x:c>
      <x:c r="I97" s="46" t="str">
        <x:v>Overage Expense</x:v>
      </x:c>
    </x:row>
    <x:row r="98" spans="1:10" x14ac:dyDescent="0.25">
      <x:c r="B98" s="60" t="str">
        <x:v>B/W Copies</x:v>
      </x:c>
      <x:c r="C98" s="73" t="str">
        <x:v>0</x:v>
      </x:c>
      <x:c r="D98" s="73" t="str">
        <x:v>63,882</x:v>
      </x:c>
      <x:c r="E98" s="177" t="n">
        <x:f ca="1">=SUM(D98 - C98)</x:f>
      </x:c>
      <x:c r="F98" s="73" t="n">
        <x:v>0</x:v>
      </x:c>
      <x:c r="G98" s="177" t="n">
        <x:f ca="1">=SUM(E98 - F98)</x:f>
      </x:c>
      <x:c r="H98" s="200" t="n">
        <x:v>0.011710</x:v>
      </x:c>
      <x:c r="I98" s="213" t="n">
        <x:f ca="1">=IF(SUM(G98 * H98) &lt; 0, 0,SUM(G98 * H98))</x:f>
      </x:c>
    </x:row>
    <x:row r="99" spans="1:10" x14ac:dyDescent="0.25">
      <x:c r="B99" s="60" t="str">
        <x:v>B/W Laser Prints</x:v>
      </x:c>
      <x:c r="C99" s="73" t="str">
        <x:v>0</x:v>
      </x:c>
      <x:c r="D99" s="73" t="str">
        <x:v>59,057</x:v>
      </x:c>
      <x:c r="E99" s="177" t="n">
        <x:f ca="1">=SUM(D99 - C99)</x:f>
      </x:c>
      <x:c r="F99" s="73" t="n">
        <x:v>0</x:v>
      </x:c>
      <x:c r="G99" s="177" t="n">
        <x:f ca="1">=SUM(E99 - F99)</x:f>
      </x:c>
      <x:c r="H99" s="200" t="n">
        <x:v>0.019710</x:v>
      </x:c>
      <x:c r="I99" s="213" t="n">
        <x:f ca="1">=IF(SUM(G99 * H99) &lt; 0, 0,SUM(G99 * H99))</x:f>
      </x:c>
    </x:row>
    <x:row r="100" spans="1:10" x14ac:dyDescent="0.25">
      <x:c r="B100" s="58" t="str">
        <x:v>Color Copier B/W Pages</x:v>
      </x:c>
      <x:c r="C100" s="6" t="str">
        <x:v>0</x:v>
      </x:c>
      <x:c r="D100" s="6" t="str">
        <x:v>240,268</x:v>
      </x:c>
      <x:c r="E100" s="176" t="n">
        <x:f ca="1">=SUM(D100 - C100)</x:f>
      </x:c>
      <x:c r="F100" s="6" t="n">
        <x:v>0</x:v>
      </x:c>
      <x:c r="G100" s="176" t="n">
        <x:f ca="1">=SUM(E100 - F100)</x:f>
      </x:c>
      <x:c r="H100" s="201" t="n">
        <x:v>0.014710</x:v>
      </x:c>
      <x:c r="I100" s="212" t="str">
        <x:f ca="1">=IF(SUM(G100 * H100) &lt; 0, 0,SUM(G100 * H100))</x:f>
      </x:c>
    </x:row>
    <x:row r="101" spans="1:10" x14ac:dyDescent="0.25">
      <x:c r="B101" s="58" t="str">
        <x:v>Color Copier Color Pages</x:v>
      </x:c>
      <x:c r="C101" s="6" t="str">
        <x:v>0</x:v>
      </x:c>
      <x:c r="D101" s="6" t="str">
        <x:v>41,319</x:v>
      </x:c>
      <x:c r="E101" s="176" t="n">
        <x:f ca="1">=SUM(D101 - C101)</x:f>
      </x:c>
      <x:c r="F101" s="6" t="n">
        <x:v>0</x:v>
      </x:c>
      <x:c r="G101" s="176" t="n">
        <x:f ca="1">=SUM(E101 - F101)</x:f>
      </x:c>
      <x:c r="H101" s="201" t="n">
        <x:v>0.084710</x:v>
      </x:c>
      <x:c r="I101" s="212" t="str">
        <x:f ca="1">=IF(SUM(G101 * H101) &lt; 0, 0,SUM(G101 * H101))</x:f>
      </x:c>
    </x:row>
    <x:row r="102" spans="1:10" ht="15.5" customHeight="1" x14ac:dyDescent="0.25">
      <x:c r="A102" s="19"/>
      <x:c r="B102" s="209"/>
      <x:c r="C102" s="209"/>
      <x:c r="D102" s="209"/>
      <x:c r="E102" s="209"/>
      <x:c r="F102" s="209"/>
      <x:c r="G102" s="209"/>
      <x:c r="H102" s="209">
        <x:v>Total Overage Expense:</x:v>
      </x:c>
      <x:c r="I102" s="209">
        <x:f ca="1">=SUM(I98:I101)</x:f>
      </x:c>
    </x:row>
    <x:row r="103" spans="1:10" ht="25.5" customHeight="1" x14ac:dyDescent="0.25">
      <x:c r="A103" s="19"/>
      <x:c r="B103" s="14">
        <x:v>December 2017 - December 2017</x:v>
      </x:c>
      <x:c r="C103" s="19"/>
      <x:c r="D103" s="19"/>
      <x:c r="E103" s="19"/>
      <x:c r="F103" s="19"/>
      <x:c r="G103" s="19"/>
      <x:c r="H103" s="19"/>
      <x:c r="I103" s="19"/>
    </x:row>
    <x:row r="104" spans="1:10" ht="35.75" customHeight="1" x14ac:dyDescent="0.25">
      <x:c r="B104" s="47" t="str">
        <x:v>Meter Group</x:v>
      </x:c>
      <x:c r="C104" s="45" t="str">
        <x:v>Quarterly Contracted Volume</x:v>
      </x:c>
      <x:c r="D104" s="45" t="str">
        <x:v>Actual Volume For Period</x:v>
      </x:c>
      <x:c r="E104" s="45" t="str">
        <x:v>Overage/(Underage) For Period</x:v>
      </x:c>
      <x:c r="F104" s="45" t="str">
        <x:v>Accrued Rollover Pages</x:v>
      </x:c>
      <x:c r="G104" s="45" t="str">
        <x:v>Net Overage (Underage)</x:v>
      </x:c>
      <x:c r="H104" s="45" t="str">
        <x:v>Excess CPP</x:v>
      </x:c>
      <x:c r="I104" s="46" t="str">
        <x:v>Overage Expense</x:v>
      </x:c>
    </x:row>
    <x:row r="105" spans="1:10" x14ac:dyDescent="0.25">
      <x:c r="B105" s="60" t="str">
        <x:v>B/W Copies</x:v>
      </x:c>
      <x:c r="C105" s="73" t="str">
        <x:v>0</x:v>
      </x:c>
      <x:c r="D105" s="73" t="str">
        <x:v>59,310</x:v>
      </x:c>
      <x:c r="E105" s="177" t="n">
        <x:f ca="1">=SUM(D105 - C105)</x:f>
      </x:c>
      <x:c r="F105" s="73" t="n">
        <x:v>0</x:v>
      </x:c>
      <x:c r="G105" s="177" t="n">
        <x:f ca="1">=SUM(E105 - F105)</x:f>
      </x:c>
      <x:c r="H105" s="200" t="n">
        <x:v>0.011710</x:v>
      </x:c>
      <x:c r="I105" s="213" t="n">
        <x:f ca="1">=IF(SUM(G105 * H105) &lt; 0, 0,SUM(G105 * H105))</x:f>
      </x:c>
    </x:row>
    <x:row r="106" spans="1:10" x14ac:dyDescent="0.25">
      <x:c r="B106" s="60" t="str">
        <x:v>B/W Laser Prints</x:v>
      </x:c>
      <x:c r="C106" s="73" t="str">
        <x:v>0</x:v>
      </x:c>
      <x:c r="D106" s="73" t="str">
        <x:v>48,709</x:v>
      </x:c>
      <x:c r="E106" s="177" t="n">
        <x:f ca="1">=SUM(D106 - C106)</x:f>
      </x:c>
      <x:c r="F106" s="73" t="n">
        <x:v>0</x:v>
      </x:c>
      <x:c r="G106" s="177" t="n">
        <x:f ca="1">=SUM(E106 - F106)</x:f>
      </x:c>
      <x:c r="H106" s="200" t="n">
        <x:v>0.019710</x:v>
      </x:c>
      <x:c r="I106" s="213" t="n">
        <x:f ca="1">=IF(SUM(G106 * H106) &lt; 0, 0,SUM(G106 * H106))</x:f>
      </x:c>
    </x:row>
    <x:row r="107" spans="1:10" x14ac:dyDescent="0.25">
      <x:c r="B107" s="58" t="str">
        <x:v>Color Copier B/W Pages</x:v>
      </x:c>
      <x:c r="C107" s="6" t="str">
        <x:v>0</x:v>
      </x:c>
      <x:c r="D107" s="6" t="str">
        <x:v>205,233</x:v>
      </x:c>
      <x:c r="E107" s="176" t="n">
        <x:f ca="1">=SUM(D107 - C107)</x:f>
      </x:c>
      <x:c r="F107" s="6" t="n">
        <x:v>0</x:v>
      </x:c>
      <x:c r="G107" s="176" t="n">
        <x:f ca="1">=SUM(E107 - F107)</x:f>
      </x:c>
      <x:c r="H107" s="201" t="n">
        <x:v>0.014710</x:v>
      </x:c>
      <x:c r="I107" s="212" t="str">
        <x:f ca="1">=IF(SUM(G107 * H107) &lt; 0, 0,SUM(G107 * H107))</x:f>
      </x:c>
    </x:row>
    <x:row r="108" spans="1:10" x14ac:dyDescent="0.25">
      <x:c r="B108" s="58" t="str">
        <x:v>Color Copier Color Pages</x:v>
      </x:c>
      <x:c r="C108" s="6" t="str">
        <x:v>0</x:v>
      </x:c>
      <x:c r="D108" s="6" t="str">
        <x:v>40,254</x:v>
      </x:c>
      <x:c r="E108" s="176" t="n">
        <x:f ca="1">=SUM(D108 - C108)</x:f>
      </x:c>
      <x:c r="F108" s="6" t="n">
        <x:v>0</x:v>
      </x:c>
      <x:c r="G108" s="176" t="n">
        <x:f ca="1">=SUM(E108 - F108)</x:f>
      </x:c>
      <x:c r="H108" s="201" t="n">
        <x:v>0.084710</x:v>
      </x:c>
      <x:c r="I108" s="212" t="str">
        <x:f ca="1">=IF(SUM(G108 * H108) &lt; 0, 0,SUM(G108 * H108))</x:f>
      </x:c>
    </x:row>
    <x:row r="109" spans="1:10" ht="15.5" customHeight="1" x14ac:dyDescent="0.25">
      <x:c r="A109" s="19"/>
      <x:c r="B109" s="209"/>
      <x:c r="C109" s="209"/>
      <x:c r="D109" s="209"/>
      <x:c r="E109" s="209"/>
      <x:c r="F109" s="209"/>
      <x:c r="G109" s="209"/>
      <x:c r="H109" s="209">
        <x:v>Total Overage Expense:</x:v>
      </x:c>
      <x:c r="I109" s="209">
        <x:f ca="1">=SUM(I105:I108)</x:f>
      </x:c>
    </x:row>
    <x:row r="110" spans="1:10" ht="25.5" customHeight="1" x14ac:dyDescent="0.25">
      <x:c r="A110" s="19"/>
      <x:c r="B110" s="14">
        <x:v>November 2017 - November 2017</x:v>
      </x:c>
      <x:c r="C110" s="19"/>
      <x:c r="D110" s="19"/>
      <x:c r="E110" s="19"/>
      <x:c r="F110" s="19"/>
      <x:c r="G110" s="19"/>
      <x:c r="H110" s="19"/>
      <x:c r="I110" s="19"/>
    </x:row>
    <x:row r="111" spans="1:10" ht="35.75" customHeight="1" x14ac:dyDescent="0.25">
      <x:c r="B111" s="47" t="str">
        <x:v>Meter Group</x:v>
      </x:c>
      <x:c r="C111" s="45" t="str">
        <x:v>Quarterly Contracted Volume</x:v>
      </x:c>
      <x:c r="D111" s="45" t="str">
        <x:v>Actual Volume For Period</x:v>
      </x:c>
      <x:c r="E111" s="45" t="str">
        <x:v>Overage/(Underage) For Period</x:v>
      </x:c>
      <x:c r="F111" s="45" t="str">
        <x:v>Accrued Rollover Pages</x:v>
      </x:c>
      <x:c r="G111" s="45" t="str">
        <x:v>Net Overage (Underage)</x:v>
      </x:c>
      <x:c r="H111" s="45" t="str">
        <x:v>Excess CPP</x:v>
      </x:c>
      <x:c r="I111" s="46" t="str">
        <x:v>Overage Expense</x:v>
      </x:c>
    </x:row>
    <x:row r="112" spans="1:10" x14ac:dyDescent="0.25">
      <x:c r="B112" s="60" t="str">
        <x:v>B/W Copies</x:v>
      </x:c>
      <x:c r="C112" s="73" t="str">
        <x:v>0</x:v>
      </x:c>
      <x:c r="D112" s="73" t="str">
        <x:v>74,715</x:v>
      </x:c>
      <x:c r="E112" s="177" t="n">
        <x:f ca="1">=SUM(D112 - C112)</x:f>
      </x:c>
      <x:c r="F112" s="73" t="n">
        <x:v>0</x:v>
      </x:c>
      <x:c r="G112" s="177" t="n">
        <x:f ca="1">=SUM(E112 - F112)</x:f>
      </x:c>
      <x:c r="H112" s="200" t="n">
        <x:v>0.011710</x:v>
      </x:c>
      <x:c r="I112" s="213" t="n">
        <x:f ca="1">=IF(SUM(G112 * H112) &lt; 0, 0,SUM(G112 * H112))</x:f>
      </x:c>
    </x:row>
    <x:row r="113" spans="1:10" x14ac:dyDescent="0.25">
      <x:c r="B113" s="60" t="str">
        <x:v>B/W Laser Prints</x:v>
      </x:c>
      <x:c r="C113" s="73" t="str">
        <x:v>0</x:v>
      </x:c>
      <x:c r="D113" s="73" t="str">
        <x:v>58,281</x:v>
      </x:c>
      <x:c r="E113" s="177" t="n">
        <x:f ca="1">=SUM(D113 - C113)</x:f>
      </x:c>
      <x:c r="F113" s="73" t="n">
        <x:v>0</x:v>
      </x:c>
      <x:c r="G113" s="177" t="n">
        <x:f ca="1">=SUM(E113 - F113)</x:f>
      </x:c>
      <x:c r="H113" s="200" t="n">
        <x:v>0.019710</x:v>
      </x:c>
      <x:c r="I113" s="213" t="n">
        <x:f ca="1">=IF(SUM(G113 * H113) &lt; 0, 0,SUM(G113 * H113))</x:f>
      </x:c>
    </x:row>
    <x:row r="114" spans="1:10" x14ac:dyDescent="0.25">
      <x:c r="B114" s="58" t="str">
        <x:v>Color Copier B/W Pages</x:v>
      </x:c>
      <x:c r="C114" s="6" t="str">
        <x:v>0</x:v>
      </x:c>
      <x:c r="D114" s="6" t="str">
        <x:v>198,787</x:v>
      </x:c>
      <x:c r="E114" s="176" t="n">
        <x:f ca="1">=SUM(D114 - C114)</x:f>
      </x:c>
      <x:c r="F114" s="6" t="n">
        <x:v>0</x:v>
      </x:c>
      <x:c r="G114" s="176" t="n">
        <x:f ca="1">=SUM(E114 - F114)</x:f>
      </x:c>
      <x:c r="H114" s="201" t="n">
        <x:v>0.014710</x:v>
      </x:c>
      <x:c r="I114" s="212" t="str">
        <x:f ca="1">=IF(SUM(G114 * H114) &lt; 0, 0,SUM(G114 * H114))</x:f>
      </x:c>
    </x:row>
    <x:row r="115" spans="1:10" x14ac:dyDescent="0.25">
      <x:c r="B115" s="58" t="str">
        <x:v>Color Copier Color Pages</x:v>
      </x:c>
      <x:c r="C115" s="6" t="str">
        <x:v>0</x:v>
      </x:c>
      <x:c r="D115" s="6" t="str">
        <x:v>88,162</x:v>
      </x:c>
      <x:c r="E115" s="176" t="n">
        <x:f ca="1">=SUM(D115 - C115)</x:f>
      </x:c>
      <x:c r="F115" s="6" t="n">
        <x:v>0</x:v>
      </x:c>
      <x:c r="G115" s="176" t="n">
        <x:f ca="1">=SUM(E115 - F115)</x:f>
      </x:c>
      <x:c r="H115" s="201" t="n">
        <x:v>0.084710</x:v>
      </x:c>
      <x:c r="I115" s="212" t="str">
        <x:f ca="1">=IF(SUM(G115 * H115) &lt; 0, 0,SUM(G115 * H115))</x:f>
      </x:c>
    </x:row>
    <x:row r="116" spans="1:10" ht="15.5" customHeight="1" x14ac:dyDescent="0.25">
      <x:c r="A116" s="19"/>
      <x:c r="B116" s="209"/>
      <x:c r="C116" s="209"/>
      <x:c r="D116" s="209"/>
      <x:c r="E116" s="209"/>
      <x:c r="F116" s="209"/>
      <x:c r="G116" s="209"/>
      <x:c r="H116" s="209">
        <x:v>Total Overage Expense:</x:v>
      </x:c>
      <x:c r="I116" s="209">
        <x:f ca="1">=SUM(I112:I115)</x:f>
      </x:c>
    </x:row>
    <x:row r="117" spans="1:10" ht="25.5" customHeight="1" x14ac:dyDescent="0.25">
      <x:c r="A117" s="19"/>
      <x:c r="B117" s="14">
        <x:v>October 2017 - October 2017</x:v>
      </x:c>
      <x:c r="C117" s="19"/>
      <x:c r="D117" s="19"/>
      <x:c r="E117" s="19"/>
      <x:c r="F117" s="19"/>
      <x:c r="G117" s="19"/>
      <x:c r="H117" s="19"/>
      <x:c r="I117" s="19"/>
    </x:row>
    <x:row r="118" spans="1:10" ht="35.75" customHeight="1" x14ac:dyDescent="0.25">
      <x:c r="B118" s="47" t="str">
        <x:v>Meter Group</x:v>
      </x:c>
      <x:c r="C118" s="45" t="str">
        <x:v>Quarterly Contracted Volume</x:v>
      </x:c>
      <x:c r="D118" s="45" t="str">
        <x:v>Actual Volume For Period</x:v>
      </x:c>
      <x:c r="E118" s="45" t="str">
        <x:v>Overage/(Underage) For Period</x:v>
      </x:c>
      <x:c r="F118" s="45" t="str">
        <x:v>Accrued Rollover Pages</x:v>
      </x:c>
      <x:c r="G118" s="45" t="str">
        <x:v>Net Overage (Underage)</x:v>
      </x:c>
      <x:c r="H118" s="45" t="str">
        <x:v>Excess CPP</x:v>
      </x:c>
      <x:c r="I118" s="46" t="str">
        <x:v>Overage Expense</x:v>
      </x:c>
    </x:row>
    <x:row r="119" spans="1:10" x14ac:dyDescent="0.25">
      <x:c r="B119" s="60" t="str">
        <x:v>B/W Copies</x:v>
      </x:c>
      <x:c r="C119" s="73" t="str">
        <x:v>0</x:v>
      </x:c>
      <x:c r="D119" s="73" t="str">
        <x:v>76,289</x:v>
      </x:c>
      <x:c r="E119" s="177" t="n">
        <x:f ca="1">=SUM(D119 - C119)</x:f>
      </x:c>
      <x:c r="F119" s="73" t="n">
        <x:v>0</x:v>
      </x:c>
      <x:c r="G119" s="177" t="n">
        <x:f ca="1">=SUM(E119 - F119)</x:f>
      </x:c>
      <x:c r="H119" s="200" t="n">
        <x:v>0.011710</x:v>
      </x:c>
      <x:c r="I119" s="213" t="n">
        <x:f ca="1">=IF(SUM(G119 * H119) &lt; 0, 0,SUM(G119 * H119))</x:f>
      </x:c>
    </x:row>
    <x:row r="120" spans="1:10" x14ac:dyDescent="0.25">
      <x:c r="B120" s="60" t="str">
        <x:v>B/W Laser Prints</x:v>
      </x:c>
      <x:c r="C120" s="73" t="str">
        <x:v>0</x:v>
      </x:c>
      <x:c r="D120" s="73" t="str">
        <x:v>59,420</x:v>
      </x:c>
      <x:c r="E120" s="177" t="n">
        <x:f ca="1">=SUM(D120 - C120)</x:f>
      </x:c>
      <x:c r="F120" s="73" t="n">
        <x:v>0</x:v>
      </x:c>
      <x:c r="G120" s="177" t="n">
        <x:f ca="1">=SUM(E120 - F120)</x:f>
      </x:c>
      <x:c r="H120" s="200" t="n">
        <x:v>0.019710</x:v>
      </x:c>
      <x:c r="I120" s="213" t="n">
        <x:f ca="1">=IF(SUM(G120 * H120) &lt; 0, 0,SUM(G120 * H120))</x:f>
      </x:c>
    </x:row>
    <x:row r="121" spans="1:10" x14ac:dyDescent="0.25">
      <x:c r="B121" s="58" t="str">
        <x:v>Color Copier B/W Pages</x:v>
      </x:c>
      <x:c r="C121" s="6" t="str">
        <x:v>0</x:v>
      </x:c>
      <x:c r="D121" s="6" t="str">
        <x:v>205,635</x:v>
      </x:c>
      <x:c r="E121" s="176" t="n">
        <x:f ca="1">=SUM(D121 - C121)</x:f>
      </x:c>
      <x:c r="F121" s="6" t="n">
        <x:v>0</x:v>
      </x:c>
      <x:c r="G121" s="176" t="n">
        <x:f ca="1">=SUM(E121 - F121)</x:f>
      </x:c>
      <x:c r="H121" s="201" t="n">
        <x:v>0.014710</x:v>
      </x:c>
      <x:c r="I121" s="212" t="str">
        <x:f ca="1">=IF(SUM(G121 * H121) &lt; 0, 0,SUM(G121 * H121))</x:f>
      </x:c>
    </x:row>
    <x:row r="122" spans="1:10" x14ac:dyDescent="0.25">
      <x:c r="B122" s="58" t="str">
        <x:v>Color Copier Color Pages</x:v>
      </x:c>
      <x:c r="C122" s="6" t="str">
        <x:v>0</x:v>
      </x:c>
      <x:c r="D122" s="6" t="str">
        <x:v>99,703</x:v>
      </x:c>
      <x:c r="E122" s="176" t="n">
        <x:f ca="1">=SUM(D122 - C122)</x:f>
      </x:c>
      <x:c r="F122" s="6" t="n">
        <x:v>0</x:v>
      </x:c>
      <x:c r="G122" s="176" t="n">
        <x:f ca="1">=SUM(E122 - F122)</x:f>
      </x:c>
      <x:c r="H122" s="201" t="n">
        <x:v>0.084710</x:v>
      </x:c>
      <x:c r="I122" s="212" t="str">
        <x:f ca="1">=IF(SUM(G122 * H122) &lt; 0, 0,SUM(G122 * H122))</x:f>
      </x:c>
    </x:row>
    <x:row r="123" spans="1:10" ht="15.5" customHeight="1" x14ac:dyDescent="0.25">
      <x:c r="A123" s="19"/>
      <x:c r="B123" s="209"/>
      <x:c r="C123" s="209"/>
      <x:c r="D123" s="209"/>
      <x:c r="E123" s="209"/>
      <x:c r="F123" s="209"/>
      <x:c r="G123" s="209"/>
      <x:c r="H123" s="209">
        <x:v>Total Overage Expense:</x:v>
      </x:c>
      <x:c r="I123" s="209">
        <x:f ca="1">=SUM(I119:I122)</x:f>
      </x:c>
    </x:row>
    <x:row r="124" spans="1:10" ht="25.5" customHeight="1" x14ac:dyDescent="0.25">
      <x:c r="A124" s="19"/>
      <x:c r="B124" s="14">
        <x:v>September 2017 - September 2017</x:v>
      </x:c>
      <x:c r="C124" s="19"/>
      <x:c r="D124" s="19"/>
      <x:c r="E124" s="19"/>
      <x:c r="F124" s="19"/>
      <x:c r="G124" s="19"/>
      <x:c r="H124" s="19"/>
      <x:c r="I124" s="19"/>
    </x:row>
    <x:row r="125" spans="1:10" ht="35.75" customHeight="1" x14ac:dyDescent="0.25">
      <x:c r="B125" s="47" t="str">
        <x:v>Meter Group</x:v>
      </x:c>
      <x:c r="C125" s="45" t="str">
        <x:v>Quarterly Contracted Volume</x:v>
      </x:c>
      <x:c r="D125" s="45" t="str">
        <x:v>Actual Volume For Period</x:v>
      </x:c>
      <x:c r="E125" s="45" t="str">
        <x:v>Overage/(Underage) For Period</x:v>
      </x:c>
      <x:c r="F125" s="45" t="str">
        <x:v>Accrued Rollover Pages</x:v>
      </x:c>
      <x:c r="G125" s="45" t="str">
        <x:v>Net Overage (Underage)</x:v>
      </x:c>
      <x:c r="H125" s="45" t="str">
        <x:v>Excess CPP</x:v>
      </x:c>
      <x:c r="I125" s="46" t="str">
        <x:v>Overage Expense</x:v>
      </x:c>
    </x:row>
    <x:row r="126" spans="1:10" x14ac:dyDescent="0.25">
      <x:c r="B126" s="60" t="str">
        <x:v>B/W Copies</x:v>
      </x:c>
      <x:c r="C126" s="73" t="str">
        <x:v>0</x:v>
      </x:c>
      <x:c r="D126" s="73" t="str">
        <x:v>61,864</x:v>
      </x:c>
      <x:c r="E126" s="177" t="n">
        <x:f ca="1">=SUM(D126 - C126)</x:f>
      </x:c>
      <x:c r="F126" s="73" t="n">
        <x:v>0</x:v>
      </x:c>
      <x:c r="G126" s="177" t="n">
        <x:f ca="1">=SUM(E126 - F126)</x:f>
      </x:c>
      <x:c r="H126" s="200" t="n">
        <x:v>0.011710</x:v>
      </x:c>
      <x:c r="I126" s="213" t="n">
        <x:f ca="1">=IF(SUM(G126 * H126) &lt; 0, 0,SUM(G126 * H126))</x:f>
      </x:c>
    </x:row>
    <x:row r="127" spans="1:10" x14ac:dyDescent="0.25">
      <x:c r="B127" s="60" t="str">
        <x:v>B/W Laser Prints</x:v>
      </x:c>
      <x:c r="C127" s="73" t="str">
        <x:v>0</x:v>
      </x:c>
      <x:c r="D127" s="73" t="str">
        <x:v>54,228</x:v>
      </x:c>
      <x:c r="E127" s="177" t="n">
        <x:f ca="1">=SUM(D127 - C127)</x:f>
      </x:c>
      <x:c r="F127" s="73" t="n">
        <x:v>0</x:v>
      </x:c>
      <x:c r="G127" s="177" t="n">
        <x:f ca="1">=SUM(E127 - F127)</x:f>
      </x:c>
      <x:c r="H127" s="200" t="n">
        <x:v>0.019710</x:v>
      </x:c>
      <x:c r="I127" s="213" t="n">
        <x:f ca="1">=IF(SUM(G127 * H127) &lt; 0, 0,SUM(G127 * H127))</x:f>
      </x:c>
    </x:row>
    <x:row r="128" spans="1:10" x14ac:dyDescent="0.25">
      <x:c r="B128" s="58" t="str">
        <x:v>Color Copier B/W Pages</x:v>
      </x:c>
      <x:c r="C128" s="6" t="str">
        <x:v>0</x:v>
      </x:c>
      <x:c r="D128" s="6" t="str">
        <x:v>177,697</x:v>
      </x:c>
      <x:c r="E128" s="176" t="n">
        <x:f ca="1">=SUM(D128 - C128)</x:f>
      </x:c>
      <x:c r="F128" s="6" t="n">
        <x:v>0</x:v>
      </x:c>
      <x:c r="G128" s="176" t="n">
        <x:f ca="1">=SUM(E128 - F128)</x:f>
      </x:c>
      <x:c r="H128" s="201" t="n">
        <x:v>0.014710</x:v>
      </x:c>
      <x:c r="I128" s="212" t="str">
        <x:f ca="1">=IF(SUM(G128 * H128) &lt; 0, 0,SUM(G128 * H128))</x:f>
      </x:c>
    </x:row>
    <x:row r="129" spans="1:10" x14ac:dyDescent="0.25">
      <x:c r="B129" s="58" t="str">
        <x:v>Color Copier Color Pages</x:v>
      </x:c>
      <x:c r="C129" s="6" t="str">
        <x:v>0</x:v>
      </x:c>
      <x:c r="D129" s="6" t="str">
        <x:v>79,371</x:v>
      </x:c>
      <x:c r="E129" s="176" t="n">
        <x:f ca="1">=SUM(D129 - C129)</x:f>
      </x:c>
      <x:c r="F129" s="6" t="n">
        <x:v>0</x:v>
      </x:c>
      <x:c r="G129" s="176" t="n">
        <x:f ca="1">=SUM(E129 - F129)</x:f>
      </x:c>
      <x:c r="H129" s="201" t="n">
        <x:v>0.084710</x:v>
      </x:c>
      <x:c r="I129" s="212" t="str">
        <x:f ca="1">=IF(SUM(G129 * H129) &lt; 0, 0,SUM(G129 * H129))</x:f>
      </x:c>
    </x:row>
    <x:row r="130" spans="1:10" ht="15.5" customHeight="1" x14ac:dyDescent="0.25">
      <x:c r="A130" s="19"/>
      <x:c r="B130" s="209"/>
      <x:c r="C130" s="209"/>
      <x:c r="D130" s="209"/>
      <x:c r="E130" s="209"/>
      <x:c r="F130" s="209"/>
      <x:c r="G130" s="209"/>
      <x:c r="H130" s="209">
        <x:v>Total Overage Expense:</x:v>
      </x:c>
      <x:c r="I130" s="209">
        <x:f ca="1">=SUM(I126:I129)</x:f>
      </x:c>
    </x:row>
    <x:row r="131" spans="1:10" ht="25.5" customHeight="1" x14ac:dyDescent="0.25">
      <x:c r="A131" s="19"/>
      <x:c r="B131" s="14">
        <x:v>August 2017 - August 2017</x:v>
      </x:c>
      <x:c r="C131" s="19"/>
      <x:c r="D131" s="19"/>
      <x:c r="E131" s="19"/>
      <x:c r="F131" s="19"/>
      <x:c r="G131" s="19"/>
      <x:c r="H131" s="19"/>
      <x:c r="I131" s="19"/>
    </x:row>
    <x:row r="132" spans="1:10" ht="35.75" customHeight="1" x14ac:dyDescent="0.25">
      <x:c r="B132" s="47" t="str">
        <x:v>Meter Group</x:v>
      </x:c>
      <x:c r="C132" s="45" t="str">
        <x:v>Quarterly Contracted Volume</x:v>
      </x:c>
      <x:c r="D132" s="45" t="str">
        <x:v>Actual Volume For Period</x:v>
      </x:c>
      <x:c r="E132" s="45" t="str">
        <x:v>Overage/(Underage) For Period</x:v>
      </x:c>
      <x:c r="F132" s="45" t="str">
        <x:v>Accrued Rollover Pages</x:v>
      </x:c>
      <x:c r="G132" s="45" t="str">
        <x:v>Net Overage (Underage)</x:v>
      </x:c>
      <x:c r="H132" s="45" t="str">
        <x:v>Excess CPP</x:v>
      </x:c>
      <x:c r="I132" s="46" t="str">
        <x:v>Overage Expense</x:v>
      </x:c>
    </x:row>
    <x:row r="133" spans="1:10" x14ac:dyDescent="0.25">
      <x:c r="B133" s="60" t="str">
        <x:v>B/W Copies</x:v>
      </x:c>
      <x:c r="C133" s="73" t="str">
        <x:v>0</x:v>
      </x:c>
      <x:c r="D133" s="73" t="str">
        <x:v>82,061</x:v>
      </x:c>
      <x:c r="E133" s="177" t="n">
        <x:f ca="1">=SUM(D133 - C133)</x:f>
      </x:c>
      <x:c r="F133" s="73" t="n">
        <x:v>0</x:v>
      </x:c>
      <x:c r="G133" s="177" t="n">
        <x:f ca="1">=SUM(E133 - F133)</x:f>
      </x:c>
      <x:c r="H133" s="200" t="n">
        <x:v>0.011710</x:v>
      </x:c>
      <x:c r="I133" s="213" t="n">
        <x:f ca="1">=IF(SUM(G133 * H133) &lt; 0, 0,SUM(G133 * H133))</x:f>
      </x:c>
    </x:row>
    <x:row r="134" spans="1:10" x14ac:dyDescent="0.25">
      <x:c r="B134" s="60" t="str">
        <x:v>B/W Laser Prints</x:v>
      </x:c>
      <x:c r="C134" s="73" t="str">
        <x:v>0</x:v>
      </x:c>
      <x:c r="D134" s="73" t="str">
        <x:v>66,773</x:v>
      </x:c>
      <x:c r="E134" s="177" t="n">
        <x:f ca="1">=SUM(D134 - C134)</x:f>
      </x:c>
      <x:c r="F134" s="73" t="n">
        <x:v>0</x:v>
      </x:c>
      <x:c r="G134" s="177" t="n">
        <x:f ca="1">=SUM(E134 - F134)</x:f>
      </x:c>
      <x:c r="H134" s="200" t="n">
        <x:v>0.019710</x:v>
      </x:c>
      <x:c r="I134" s="213" t="n">
        <x:f ca="1">=IF(SUM(G134 * H134) &lt; 0, 0,SUM(G134 * H134))</x:f>
      </x:c>
    </x:row>
    <x:row r="135" spans="1:10" x14ac:dyDescent="0.25">
      <x:c r="B135" s="58" t="str">
        <x:v>Color Copier B/W Pages</x:v>
      </x:c>
      <x:c r="C135" s="6" t="str">
        <x:v>0</x:v>
      </x:c>
      <x:c r="D135" s="6" t="str">
        <x:v>218,021</x:v>
      </x:c>
      <x:c r="E135" s="176" t="n">
        <x:f ca="1">=SUM(D135 - C135)</x:f>
      </x:c>
      <x:c r="F135" s="6" t="n">
        <x:v>0</x:v>
      </x:c>
      <x:c r="G135" s="176" t="n">
        <x:f ca="1">=SUM(E135 - F135)</x:f>
      </x:c>
      <x:c r="H135" s="201" t="n">
        <x:v>0.014710</x:v>
      </x:c>
      <x:c r="I135" s="212" t="str">
        <x:f ca="1">=IF(SUM(G135 * H135) &lt; 0, 0,SUM(G135 * H135))</x:f>
      </x:c>
    </x:row>
    <x:row r="136" spans="1:10" x14ac:dyDescent="0.25">
      <x:c r="B136" s="58" t="str">
        <x:v>Color Copier Color Pages</x:v>
      </x:c>
      <x:c r="C136" s="6" t="str">
        <x:v>0</x:v>
      </x:c>
      <x:c r="D136" s="6" t="str">
        <x:v>89,524</x:v>
      </x:c>
      <x:c r="E136" s="176" t="n">
        <x:f ca="1">=SUM(D136 - C136)</x:f>
      </x:c>
      <x:c r="F136" s="6" t="n">
        <x:v>0</x:v>
      </x:c>
      <x:c r="G136" s="176" t="n">
        <x:f ca="1">=SUM(E136 - F136)</x:f>
      </x:c>
      <x:c r="H136" s="201" t="n">
        <x:v>0.084710</x:v>
      </x:c>
      <x:c r="I136" s="212" t="str">
        <x:f ca="1">=IF(SUM(G136 * H136) &lt; 0, 0,SUM(G136 * H136))</x:f>
      </x:c>
    </x:row>
    <x:row r="137" spans="1:10" ht="15.5" customHeight="1" x14ac:dyDescent="0.25">
      <x:c r="A137" s="19"/>
      <x:c r="B137" s="209"/>
      <x:c r="C137" s="209"/>
      <x:c r="D137" s="209"/>
      <x:c r="E137" s="209"/>
      <x:c r="F137" s="209"/>
      <x:c r="G137" s="209"/>
      <x:c r="H137" s="209">
        <x:v>Total Overage Expense:</x:v>
      </x:c>
      <x:c r="I137" s="209">
        <x:f ca="1">=SUM(I133:I136)</x:f>
      </x:c>
    </x:row>
    <x:row r="138" spans="1:10" ht="25.5" customHeight="1" x14ac:dyDescent="0.25">
      <x:c r="A138" s="19"/>
      <x:c r="B138" s="14">
        <x:v>July 2017 - July 2017</x:v>
      </x:c>
      <x:c r="C138" s="19"/>
      <x:c r="D138" s="19"/>
      <x:c r="E138" s="19"/>
      <x:c r="F138" s="19"/>
      <x:c r="G138" s="19"/>
      <x:c r="H138" s="19"/>
      <x:c r="I138" s="19"/>
    </x:row>
    <x:row r="139" spans="1:10" ht="35.75" customHeight="1" x14ac:dyDescent="0.25">
      <x:c r="B139" s="47" t="str">
        <x:v>Meter Group</x:v>
      </x:c>
      <x:c r="C139" s="45" t="str">
        <x:v>Quarterly Contracted Volume</x:v>
      </x:c>
      <x:c r="D139" s="45" t="str">
        <x:v>Actual Volume For Period</x:v>
      </x:c>
      <x:c r="E139" s="45" t="str">
        <x:v>Overage/(Underage) For Period</x:v>
      </x:c>
      <x:c r="F139" s="45" t="str">
        <x:v>Accrued Rollover Pages</x:v>
      </x:c>
      <x:c r="G139" s="45" t="str">
        <x:v>Net Overage (Underage)</x:v>
      </x:c>
      <x:c r="H139" s="45" t="str">
        <x:v>Excess CPP</x:v>
      </x:c>
      <x:c r="I139" s="46" t="str">
        <x:v>Overage Expense</x:v>
      </x:c>
    </x:row>
    <x:row r="140" spans="1:10" x14ac:dyDescent="0.25">
      <x:c r="B140" s="60" t="str">
        <x:v>B/W Copies</x:v>
      </x:c>
      <x:c r="C140" s="73" t="str">
        <x:v>0</x:v>
      </x:c>
      <x:c r="D140" s="73" t="str">
        <x:v>80,936</x:v>
      </x:c>
      <x:c r="E140" s="177" t="n">
        <x:f ca="1">=SUM(D140 - C140)</x:f>
      </x:c>
      <x:c r="F140" s="73" t="n">
        <x:v>0</x:v>
      </x:c>
      <x:c r="G140" s="177" t="n">
        <x:f ca="1">=SUM(E140 - F140)</x:f>
      </x:c>
      <x:c r="H140" s="200" t="n">
        <x:v>0.011710</x:v>
      </x:c>
      <x:c r="I140" s="213" t="n">
        <x:f ca="1">=IF(SUM(G140 * H140) &lt; 0, 0,SUM(G140 * H140))</x:f>
      </x:c>
    </x:row>
    <x:row r="141" spans="1:10" x14ac:dyDescent="0.25">
      <x:c r="B141" s="60" t="str">
        <x:v>B/W Laser Prints</x:v>
      </x:c>
      <x:c r="C141" s="73" t="str">
        <x:v>0</x:v>
      </x:c>
      <x:c r="D141" s="73" t="str">
        <x:v>62,103</x:v>
      </x:c>
      <x:c r="E141" s="177" t="n">
        <x:f ca="1">=SUM(D141 - C141)</x:f>
      </x:c>
      <x:c r="F141" s="73" t="n">
        <x:v>0</x:v>
      </x:c>
      <x:c r="G141" s="177" t="n">
        <x:f ca="1">=SUM(E141 - F141)</x:f>
      </x:c>
      <x:c r="H141" s="200" t="n">
        <x:v>0.019710</x:v>
      </x:c>
      <x:c r="I141" s="213" t="n">
        <x:f ca="1">=IF(SUM(G141 * H141) &lt; 0, 0,SUM(G141 * H141))</x:f>
      </x:c>
    </x:row>
    <x:row r="142" spans="1:10" x14ac:dyDescent="0.25">
      <x:c r="B142" s="58" t="str">
        <x:v>Color Copier B/W Pages</x:v>
      </x:c>
      <x:c r="C142" s="6" t="str">
        <x:v>0</x:v>
      </x:c>
      <x:c r="D142" s="6" t="str">
        <x:v>197,228</x:v>
      </x:c>
      <x:c r="E142" s="176" t="n">
        <x:f ca="1">=SUM(D142 - C142)</x:f>
      </x:c>
      <x:c r="F142" s="6" t="n">
        <x:v>0</x:v>
      </x:c>
      <x:c r="G142" s="176" t="n">
        <x:f ca="1">=SUM(E142 - F142)</x:f>
      </x:c>
      <x:c r="H142" s="201" t="n">
        <x:v>0.014710</x:v>
      </x:c>
      <x:c r="I142" s="212" t="str">
        <x:f ca="1">=IF(SUM(G142 * H142) &lt; 0, 0,SUM(G142 * H142))</x:f>
      </x:c>
    </x:row>
    <x:row r="143" spans="1:10" x14ac:dyDescent="0.25">
      <x:c r="B143" s="58" t="str">
        <x:v>Color Copier Color Pages</x:v>
      </x:c>
      <x:c r="C143" s="6" t="str">
        <x:v>0</x:v>
      </x:c>
      <x:c r="D143" s="6" t="str">
        <x:v>79,109</x:v>
      </x:c>
      <x:c r="E143" s="176" t="n">
        <x:f ca="1">=SUM(D143 - C143)</x:f>
      </x:c>
      <x:c r="F143" s="6" t="n">
        <x:v>0</x:v>
      </x:c>
      <x:c r="G143" s="176" t="n">
        <x:f ca="1">=SUM(E143 - F143)</x:f>
      </x:c>
      <x:c r="H143" s="201" t="n">
        <x:v>0.084710</x:v>
      </x:c>
      <x:c r="I143" s="212" t="str">
        <x:f ca="1">=IF(SUM(G143 * H143) &lt; 0, 0,SUM(G143 * H143))</x:f>
      </x:c>
    </x:row>
    <x:row r="144" spans="1:10" ht="15.5" customHeight="1" x14ac:dyDescent="0.25">
      <x:c r="A144" s="19"/>
      <x:c r="B144" s="209"/>
      <x:c r="C144" s="209"/>
      <x:c r="D144" s="209"/>
      <x:c r="E144" s="209"/>
      <x:c r="F144" s="209"/>
      <x:c r="G144" s="209"/>
      <x:c r="H144" s="209">
        <x:v>Total Overage Expense:</x:v>
      </x:c>
      <x:c r="I144" s="209">
        <x:f ca="1">=SUM(I140:I143)</x:f>
      </x:c>
    </x:row>
    <x:row r="145" spans="1:10" ht="25.5" customHeight="1" x14ac:dyDescent="0.25">
      <x:c r="A145" s="19"/>
      <x:c r="B145" s="14">
        <x:v>June 2017 - June 2017</x:v>
      </x:c>
      <x:c r="C145" s="19"/>
      <x:c r="D145" s="19"/>
      <x:c r="E145" s="19"/>
      <x:c r="F145" s="19"/>
      <x:c r="G145" s="19"/>
      <x:c r="H145" s="19"/>
      <x:c r="I145" s="19"/>
    </x:row>
    <x:row r="146" spans="1:10" ht="35.75" customHeight="1" x14ac:dyDescent="0.25">
      <x:c r="B146" s="47" t="str">
        <x:v>Meter Group</x:v>
      </x:c>
      <x:c r="C146" s="45" t="str">
        <x:v>Quarterly Contracted Volume</x:v>
      </x:c>
      <x:c r="D146" s="45" t="str">
        <x:v>Actual Volume For Period</x:v>
      </x:c>
      <x:c r="E146" s="45" t="str">
        <x:v>Overage/(Underage) For Period</x:v>
      </x:c>
      <x:c r="F146" s="45" t="str">
        <x:v>Accrued Rollover Pages</x:v>
      </x:c>
      <x:c r="G146" s="45" t="str">
        <x:v>Net Overage (Underage)</x:v>
      </x:c>
      <x:c r="H146" s="45" t="str">
        <x:v>Excess CPP</x:v>
      </x:c>
      <x:c r="I146" s="46" t="str">
        <x:v>Overage Expense</x:v>
      </x:c>
    </x:row>
    <x:row r="147" spans="1:10" x14ac:dyDescent="0.25">
      <x:c r="B147" s="60" t="str">
        <x:v>B/W Copies</x:v>
      </x:c>
      <x:c r="C147" s="73" t="str">
        <x:v>0</x:v>
      </x:c>
      <x:c r="D147" s="73" t="str">
        <x:v>98,522</x:v>
      </x:c>
      <x:c r="E147" s="177" t="n">
        <x:f ca="1">=SUM(D147 - C147)</x:f>
      </x:c>
      <x:c r="F147" s="73" t="n">
        <x:v>0</x:v>
      </x:c>
      <x:c r="G147" s="177" t="n">
        <x:f ca="1">=SUM(E147 - F147)</x:f>
      </x:c>
      <x:c r="H147" s="200" t="n">
        <x:v>0.011710</x:v>
      </x:c>
      <x:c r="I147" s="213" t="n">
        <x:f ca="1">=IF(SUM(G147 * H147) &lt; 0, 0,SUM(G147 * H147))</x:f>
      </x:c>
    </x:row>
    <x:row r="148" spans="1:10" x14ac:dyDescent="0.25">
      <x:c r="B148" s="60" t="str">
        <x:v>B/W Laser Prints</x:v>
      </x:c>
      <x:c r="C148" s="73" t="str">
        <x:v>0</x:v>
      </x:c>
      <x:c r="D148" s="73" t="str">
        <x:v>76,053</x:v>
      </x:c>
      <x:c r="E148" s="177" t="n">
        <x:f ca="1">=SUM(D148 - C148)</x:f>
      </x:c>
      <x:c r="F148" s="73" t="n">
        <x:v>0</x:v>
      </x:c>
      <x:c r="G148" s="177" t="n">
        <x:f ca="1">=SUM(E148 - F148)</x:f>
      </x:c>
      <x:c r="H148" s="200" t="n">
        <x:v>0.019710</x:v>
      </x:c>
      <x:c r="I148" s="213" t="n">
        <x:f ca="1">=IF(SUM(G148 * H148) &lt; 0, 0,SUM(G148 * H148))</x:f>
      </x:c>
    </x:row>
    <x:row r="149" spans="1:10" x14ac:dyDescent="0.25">
      <x:c r="B149" s="58" t="str">
        <x:v>Color Copier B/W Pages</x:v>
      </x:c>
      <x:c r="C149" s="6" t="str">
        <x:v>0</x:v>
      </x:c>
      <x:c r="D149" s="6" t="str">
        <x:v>235,911</x:v>
      </x:c>
      <x:c r="E149" s="176" t="n">
        <x:f ca="1">=SUM(D149 - C149)</x:f>
      </x:c>
      <x:c r="F149" s="6" t="n">
        <x:v>0</x:v>
      </x:c>
      <x:c r="G149" s="176" t="n">
        <x:f ca="1">=SUM(E149 - F149)</x:f>
      </x:c>
      <x:c r="H149" s="201" t="n">
        <x:v>0.014710</x:v>
      </x:c>
      <x:c r="I149" s="212" t="str">
        <x:f ca="1">=IF(SUM(G149 * H149) &lt; 0, 0,SUM(G149 * H149))</x:f>
      </x:c>
    </x:row>
    <x:row r="150" spans="1:10" x14ac:dyDescent="0.25">
      <x:c r="B150" s="58" t="str">
        <x:v>Color Copier Color Pages</x:v>
      </x:c>
      <x:c r="C150" s="6" t="str">
        <x:v>0</x:v>
      </x:c>
      <x:c r="D150" s="6" t="str">
        <x:v>95,128</x:v>
      </x:c>
      <x:c r="E150" s="176" t="n">
        <x:f ca="1">=SUM(D150 - C150)</x:f>
      </x:c>
      <x:c r="F150" s="6" t="n">
        <x:v>0</x:v>
      </x:c>
      <x:c r="G150" s="176" t="n">
        <x:f ca="1">=SUM(E150 - F150)</x:f>
      </x:c>
      <x:c r="H150" s="201" t="n">
        <x:v>0.084710</x:v>
      </x:c>
      <x:c r="I150" s="212" t="str">
        <x:f ca="1">=IF(SUM(G150 * H150) &lt; 0, 0,SUM(G150 * H150))</x:f>
      </x:c>
    </x:row>
    <x:row r="151" spans="1:10" ht="15.5" customHeight="1" x14ac:dyDescent="0.25">
      <x:c r="A151" s="19"/>
      <x:c r="B151" s="209"/>
      <x:c r="C151" s="209"/>
      <x:c r="D151" s="209"/>
      <x:c r="E151" s="209"/>
      <x:c r="F151" s="209"/>
      <x:c r="G151" s="209"/>
      <x:c r="H151" s="209">
        <x:v>Total Overage Expense:</x:v>
      </x:c>
      <x:c r="I151" s="209">
        <x:f ca="1">=SUM(I147:I150)</x:f>
      </x:c>
    </x:row>
    <x:row r="152" spans="1:10" ht="25.5" customHeight="1" x14ac:dyDescent="0.25">
      <x:c r="A152" s="19"/>
      <x:c r="B152" s="14">
        <x:v>May 2017 - May 2017</x:v>
      </x:c>
      <x:c r="C152" s="19"/>
      <x:c r="D152" s="19"/>
      <x:c r="E152" s="19"/>
      <x:c r="F152" s="19"/>
      <x:c r="G152" s="19"/>
      <x:c r="H152" s="19"/>
      <x:c r="I152" s="19"/>
    </x:row>
    <x:row r="153" spans="1:10" ht="35.75" customHeight="1" x14ac:dyDescent="0.25">
      <x:c r="B153" s="47" t="str">
        <x:v>Meter Group</x:v>
      </x:c>
      <x:c r="C153" s="45" t="str">
        <x:v>Quarterly Contracted Volume</x:v>
      </x:c>
      <x:c r="D153" s="45" t="str">
        <x:v>Actual Volume For Period</x:v>
      </x:c>
      <x:c r="E153" s="45" t="str">
        <x:v>Overage/(Underage) For Period</x:v>
      </x:c>
      <x:c r="F153" s="45" t="str">
        <x:v>Accrued Rollover Pages</x:v>
      </x:c>
      <x:c r="G153" s="45" t="str">
        <x:v>Net Overage (Underage)</x:v>
      </x:c>
      <x:c r="H153" s="45" t="str">
        <x:v>Excess CPP</x:v>
      </x:c>
      <x:c r="I153" s="46" t="str">
        <x:v>Overage Expense</x:v>
      </x:c>
    </x:row>
    <x:row r="154" spans="1:10" x14ac:dyDescent="0.25">
      <x:c r="B154" s="60" t="str">
        <x:v>B/W Copies</x:v>
      </x:c>
      <x:c r="C154" s="73" t="str">
        <x:v>0</x:v>
      </x:c>
      <x:c r="D154" s="73" t="str">
        <x:v>75,652</x:v>
      </x:c>
      <x:c r="E154" s="177" t="n">
        <x:f ca="1">=SUM(D154 - C154)</x:f>
      </x:c>
      <x:c r="F154" s="73" t="n">
        <x:v>0</x:v>
      </x:c>
      <x:c r="G154" s="177" t="n">
        <x:f ca="1">=SUM(E154 - F154)</x:f>
      </x:c>
      <x:c r="H154" s="200" t="n">
        <x:v>0.011710</x:v>
      </x:c>
      <x:c r="I154" s="213" t="n">
        <x:f ca="1">=IF(SUM(G154 * H154) &lt; 0, 0,SUM(G154 * H154))</x:f>
      </x:c>
    </x:row>
    <x:row r="155" spans="1:10" x14ac:dyDescent="0.25">
      <x:c r="B155" s="60" t="str">
        <x:v>B/W Laser Prints</x:v>
      </x:c>
      <x:c r="C155" s="73" t="str">
        <x:v>0</x:v>
      </x:c>
      <x:c r="D155" s="73" t="str">
        <x:v>49,590</x:v>
      </x:c>
      <x:c r="E155" s="177" t="n">
        <x:f ca="1">=SUM(D155 - C155)</x:f>
      </x:c>
      <x:c r="F155" s="73" t="n">
        <x:v>0</x:v>
      </x:c>
      <x:c r="G155" s="177" t="n">
        <x:f ca="1">=SUM(E155 - F155)</x:f>
      </x:c>
      <x:c r="H155" s="200" t="n">
        <x:v>0.019710</x:v>
      </x:c>
      <x:c r="I155" s="213" t="n">
        <x:f ca="1">=IF(SUM(G155 * H155) &lt; 0, 0,SUM(G155 * H155))</x:f>
      </x:c>
    </x:row>
    <x:row r="156" spans="1:10" x14ac:dyDescent="0.25">
      <x:c r="B156" s="58" t="str">
        <x:v>Color Copier B/W Pages</x:v>
      </x:c>
      <x:c r="C156" s="6" t="str">
        <x:v>0</x:v>
      </x:c>
      <x:c r="D156" s="6" t="str">
        <x:v>186,552</x:v>
      </x:c>
      <x:c r="E156" s="176" t="n">
        <x:f ca="1">=SUM(D156 - C156)</x:f>
      </x:c>
      <x:c r="F156" s="6" t="n">
        <x:v>0</x:v>
      </x:c>
      <x:c r="G156" s="176" t="n">
        <x:f ca="1">=SUM(E156 - F156)</x:f>
      </x:c>
      <x:c r="H156" s="201" t="n">
        <x:v>0.014710</x:v>
      </x:c>
      <x:c r="I156" s="212" t="str">
        <x:f ca="1">=IF(SUM(G156 * H156) &lt; 0, 0,SUM(G156 * H156))</x:f>
      </x:c>
    </x:row>
    <x:row r="157" spans="1:10" x14ac:dyDescent="0.25">
      <x:c r="B157" s="58" t="str">
        <x:v>Color Copier Color Pages</x:v>
      </x:c>
      <x:c r="C157" s="6" t="str">
        <x:v>0</x:v>
      </x:c>
      <x:c r="D157" s="6" t="str">
        <x:v>74,821</x:v>
      </x:c>
      <x:c r="E157" s="176" t="n">
        <x:f ca="1">=SUM(D157 - C157)</x:f>
      </x:c>
      <x:c r="F157" s="6" t="n">
        <x:v>0</x:v>
      </x:c>
      <x:c r="G157" s="176" t="n">
        <x:f ca="1">=SUM(E157 - F157)</x:f>
      </x:c>
      <x:c r="H157" s="201" t="n">
        <x:v>0.084710</x:v>
      </x:c>
      <x:c r="I157" s="212" t="str">
        <x:f ca="1">=IF(SUM(G157 * H157) &lt; 0, 0,SUM(G157 * H157))</x:f>
      </x:c>
    </x:row>
    <x:row r="158" spans="1:10" ht="15.5" customHeight="1" x14ac:dyDescent="0.25">
      <x:c r="A158" s="19"/>
      <x:c r="B158" s="209"/>
      <x:c r="C158" s="209"/>
      <x:c r="D158" s="209"/>
      <x:c r="E158" s="209"/>
      <x:c r="F158" s="209"/>
      <x:c r="G158" s="209"/>
      <x:c r="H158" s="209">
        <x:v>Total Overage Expense:</x:v>
      </x:c>
      <x:c r="I158" s="209">
        <x:f ca="1">=SUM(I154:I157)</x:f>
      </x:c>
    </x:row>
    <x:row r="159" spans="1:10" ht="25.5" customHeight="1" x14ac:dyDescent="0.25">
      <x:c r="A159" s="19"/>
      <x:c r="B159" s="14">
        <x:v>April 2017 - April 2017</x:v>
      </x:c>
      <x:c r="C159" s="19"/>
      <x:c r="D159" s="19"/>
      <x:c r="E159" s="19"/>
      <x:c r="F159" s="19"/>
      <x:c r="G159" s="19"/>
      <x:c r="H159" s="19"/>
      <x:c r="I159" s="19"/>
    </x:row>
    <x:row r="160" spans="1:10" ht="35.75" customHeight="1" x14ac:dyDescent="0.25">
      <x:c r="B160" s="47" t="str">
        <x:v>Meter Group</x:v>
      </x:c>
      <x:c r="C160" s="45" t="str">
        <x:v>Quarterly Contracted Volume</x:v>
      </x:c>
      <x:c r="D160" s="45" t="str">
        <x:v>Actual Volume For Period</x:v>
      </x:c>
      <x:c r="E160" s="45" t="str">
        <x:v>Overage/(Underage) For Period</x:v>
      </x:c>
      <x:c r="F160" s="45" t="str">
        <x:v>Accrued Rollover Pages</x:v>
      </x:c>
      <x:c r="G160" s="45" t="str">
        <x:v>Net Overage (Underage)</x:v>
      </x:c>
      <x:c r="H160" s="45" t="str">
        <x:v>Excess CPP</x:v>
      </x:c>
      <x:c r="I160" s="46" t="str">
        <x:v>Overage Expense</x:v>
      </x:c>
    </x:row>
    <x:row r="161" spans="1:10" x14ac:dyDescent="0.25">
      <x:c r="B161" s="60" t="str">
        <x:v>B/W Copies</x:v>
      </x:c>
      <x:c r="C161" s="73" t="str">
        <x:v>0</x:v>
      </x:c>
      <x:c r="D161" s="73" t="str">
        <x:v>103,630</x:v>
      </x:c>
      <x:c r="E161" s="177" t="n">
        <x:f ca="1">=SUM(D161 - C161)</x:f>
      </x:c>
      <x:c r="F161" s="73" t="n">
        <x:v>0</x:v>
      </x:c>
      <x:c r="G161" s="177" t="n">
        <x:f ca="1">=SUM(E161 - F161)</x:f>
      </x:c>
      <x:c r="H161" s="200" t="n">
        <x:v>0.011710</x:v>
      </x:c>
      <x:c r="I161" s="213" t="n">
        <x:f ca="1">=IF(SUM(G161 * H161) &lt; 0, 0,SUM(G161 * H161))</x:f>
      </x:c>
    </x:row>
    <x:row r="162" spans="1:10" x14ac:dyDescent="0.25">
      <x:c r="B162" s="60" t="str">
        <x:v>B/W Laser Prints</x:v>
      </x:c>
      <x:c r="C162" s="73" t="str">
        <x:v>0</x:v>
      </x:c>
      <x:c r="D162" s="73" t="str">
        <x:v>68,956</x:v>
      </x:c>
      <x:c r="E162" s="177" t="n">
        <x:f ca="1">=SUM(D162 - C162)</x:f>
      </x:c>
      <x:c r="F162" s="73" t="n">
        <x:v>0</x:v>
      </x:c>
      <x:c r="G162" s="177" t="n">
        <x:f ca="1">=SUM(E162 - F162)</x:f>
      </x:c>
      <x:c r="H162" s="200" t="n">
        <x:v>0.019710</x:v>
      </x:c>
      <x:c r="I162" s="213" t="n">
        <x:f ca="1">=IF(SUM(G162 * H162) &lt; 0, 0,SUM(G162 * H162))</x:f>
      </x:c>
    </x:row>
    <x:row r="163" spans="1:10" x14ac:dyDescent="0.25">
      <x:c r="B163" s="58" t="str">
        <x:v>Color Copier B/W Pages</x:v>
      </x:c>
      <x:c r="C163" s="6" t="str">
        <x:v>0</x:v>
      </x:c>
      <x:c r="D163" s="6" t="str">
        <x:v>262,520</x:v>
      </x:c>
      <x:c r="E163" s="176" t="n">
        <x:f ca="1">=SUM(D163 - C163)</x:f>
      </x:c>
      <x:c r="F163" s="6" t="n">
        <x:v>0</x:v>
      </x:c>
      <x:c r="G163" s="176" t="n">
        <x:f ca="1">=SUM(E163 - F163)</x:f>
      </x:c>
      <x:c r="H163" s="201" t="n">
        <x:v>0.014710</x:v>
      </x:c>
      <x:c r="I163" s="212" t="str">
        <x:f ca="1">=IF(SUM(G163 * H163) &lt; 0, 0,SUM(G163 * H163))</x:f>
      </x:c>
    </x:row>
    <x:row r="164" spans="1:10" x14ac:dyDescent="0.25">
      <x:c r="B164" s="58" t="str">
        <x:v>Color Copier Color Pages</x:v>
      </x:c>
      <x:c r="C164" s="6" t="str">
        <x:v>0</x:v>
      </x:c>
      <x:c r="D164" s="6" t="str">
        <x:v>95,953</x:v>
      </x:c>
      <x:c r="E164" s="176" t="n">
        <x:f ca="1">=SUM(D164 - C164)</x:f>
      </x:c>
      <x:c r="F164" s="6" t="n">
        <x:v>0</x:v>
      </x:c>
      <x:c r="G164" s="176" t="n">
        <x:f ca="1">=SUM(E164 - F164)</x:f>
      </x:c>
      <x:c r="H164" s="201" t="n">
        <x:v>0.084710</x:v>
      </x:c>
      <x:c r="I164" s="212" t="str">
        <x:f ca="1">=IF(SUM(G164 * H164) &lt; 0, 0,SUM(G164 * H164))</x:f>
      </x:c>
    </x:row>
    <x:row r="165" spans="1:10" ht="15.5" customHeight="1" x14ac:dyDescent="0.25">
      <x:c r="A165" s="19"/>
      <x:c r="B165" s="209"/>
      <x:c r="C165" s="209"/>
      <x:c r="D165" s="209"/>
      <x:c r="E165" s="209"/>
      <x:c r="F165" s="209"/>
      <x:c r="G165" s="209"/>
      <x:c r="H165" s="209">
        <x:v>Total Overage Expense:</x:v>
      </x:c>
      <x:c r="I165" s="209">
        <x:f ca="1">=SUM(I161:I164)</x:f>
      </x:c>
    </x:row>
    <x:row r="166" spans="1:10" ht="25.5" customHeight="1" x14ac:dyDescent="0.25">
      <x:c r="A166" s="19"/>
      <x:c r="B166" s="14">
        <x:v>March 2017 - March 2017</x:v>
      </x:c>
      <x:c r="C166" s="19"/>
      <x:c r="D166" s="19"/>
      <x:c r="E166" s="19"/>
      <x:c r="F166" s="19"/>
      <x:c r="G166" s="19"/>
      <x:c r="H166" s="19"/>
      <x:c r="I166" s="19"/>
    </x:row>
    <x:row r="167" spans="1:10" ht="35.75" customHeight="1" x14ac:dyDescent="0.25">
      <x:c r="B167" s="47" t="str">
        <x:v>Meter Group</x:v>
      </x:c>
      <x:c r="C167" s="45" t="str">
        <x:v>Quarterly Contracted Volume</x:v>
      </x:c>
      <x:c r="D167" s="45" t="str">
        <x:v>Actual Volume For Period</x:v>
      </x:c>
      <x:c r="E167" s="45" t="str">
        <x:v>Overage/(Underage) For Period</x:v>
      </x:c>
      <x:c r="F167" s="45" t="str">
        <x:v>Accrued Rollover Pages</x:v>
      </x:c>
      <x:c r="G167" s="45" t="str">
        <x:v>Net Overage (Underage)</x:v>
      </x:c>
      <x:c r="H167" s="45" t="str">
        <x:v>Excess CPP</x:v>
      </x:c>
      <x:c r="I167" s="46" t="str">
        <x:v>Overage Expense</x:v>
      </x:c>
    </x:row>
    <x:row r="168" spans="1:10" x14ac:dyDescent="0.25">
      <x:c r="B168" s="60" t="str">
        <x:v>B/W Copies</x:v>
      </x:c>
      <x:c r="C168" s="73" t="str">
        <x:v>0</x:v>
      </x:c>
      <x:c r="D168" s="73" t="str">
        <x:v>86,427</x:v>
      </x:c>
      <x:c r="E168" s="177" t="n">
        <x:f ca="1">=SUM(D168 - C168)</x:f>
      </x:c>
      <x:c r="F168" s="73" t="n">
        <x:v>0</x:v>
      </x:c>
      <x:c r="G168" s="177" t="n">
        <x:f ca="1">=SUM(E168 - F168)</x:f>
      </x:c>
      <x:c r="H168" s="200" t="n">
        <x:v>0.011710</x:v>
      </x:c>
      <x:c r="I168" s="213" t="n">
        <x:f ca="1">=IF(SUM(G168 * H168) &lt; 0, 0,SUM(G168 * H168))</x:f>
      </x:c>
    </x:row>
    <x:row r="169" spans="1:10" x14ac:dyDescent="0.25">
      <x:c r="B169" s="60" t="str">
        <x:v>B/W Laser Prints</x:v>
      </x:c>
      <x:c r="C169" s="73" t="str">
        <x:v>0</x:v>
      </x:c>
      <x:c r="D169" s="73" t="str">
        <x:v>55,962</x:v>
      </x:c>
      <x:c r="E169" s="177" t="n">
        <x:f ca="1">=SUM(D169 - C169)</x:f>
      </x:c>
      <x:c r="F169" s="73" t="n">
        <x:v>0</x:v>
      </x:c>
      <x:c r="G169" s="177" t="n">
        <x:f ca="1">=SUM(E169 - F169)</x:f>
      </x:c>
      <x:c r="H169" s="200" t="n">
        <x:v>0.019710</x:v>
      </x:c>
      <x:c r="I169" s="213" t="n">
        <x:f ca="1">=IF(SUM(G169 * H169) &lt; 0, 0,SUM(G169 * H169))</x:f>
      </x:c>
    </x:row>
    <x:row r="170" spans="1:10" x14ac:dyDescent="0.25">
      <x:c r="B170" s="58" t="str">
        <x:v>Color Copier B/W Pages</x:v>
      </x:c>
      <x:c r="C170" s="6" t="str">
        <x:v>0</x:v>
      </x:c>
      <x:c r="D170" s="6" t="str">
        <x:v>244,351</x:v>
      </x:c>
      <x:c r="E170" s="176" t="n">
        <x:f ca="1">=SUM(D170 - C170)</x:f>
      </x:c>
      <x:c r="F170" s="6" t="n">
        <x:v>0</x:v>
      </x:c>
      <x:c r="G170" s="176" t="n">
        <x:f ca="1">=SUM(E170 - F170)</x:f>
      </x:c>
      <x:c r="H170" s="201" t="n">
        <x:v>0.014710</x:v>
      </x:c>
      <x:c r="I170" s="212" t="str">
        <x:f ca="1">=IF(SUM(G170 * H170) &lt; 0, 0,SUM(G170 * H170))</x:f>
      </x:c>
    </x:row>
    <x:row r="171" spans="1:10" x14ac:dyDescent="0.25">
      <x:c r="B171" s="58" t="str">
        <x:v>Color Copier Color Pages</x:v>
      </x:c>
      <x:c r="C171" s="6" t="str">
        <x:v>0</x:v>
      </x:c>
      <x:c r="D171" s="6" t="str">
        <x:v>85,051</x:v>
      </x:c>
      <x:c r="E171" s="176" t="n">
        <x:f ca="1">=SUM(D171 - C171)</x:f>
      </x:c>
      <x:c r="F171" s="6" t="n">
        <x:v>0</x:v>
      </x:c>
      <x:c r="G171" s="176" t="n">
        <x:f ca="1">=SUM(E171 - F171)</x:f>
      </x:c>
      <x:c r="H171" s="201" t="n">
        <x:v>0.084710</x:v>
      </x:c>
      <x:c r="I171" s="212" t="str">
        <x:f ca="1">=IF(SUM(G171 * H171) &lt; 0, 0,SUM(G171 * H171))</x:f>
      </x:c>
    </x:row>
    <x:row r="172" spans="1:10" ht="15.5" customHeight="1" x14ac:dyDescent="0.25">
      <x:c r="A172" s="19"/>
      <x:c r="B172" s="209"/>
      <x:c r="C172" s="209"/>
      <x:c r="D172" s="209"/>
      <x:c r="E172" s="209"/>
      <x:c r="F172" s="209"/>
      <x:c r="G172" s="209"/>
      <x:c r="H172" s="209">
        <x:v>Total Overage Expense:</x:v>
      </x:c>
      <x:c r="I172" s="209">
        <x:f ca="1">=SUM(I168:I171)</x:f>
      </x:c>
    </x:row>
    <x:row r="173" spans="1:10" ht="25.5" customHeight="1" x14ac:dyDescent="0.25">
      <x:c r="A173" s="19"/>
      <x:c r="B173" s="14">
        <x:v>February 2017 - February 2017</x:v>
      </x:c>
      <x:c r="C173" s="19"/>
      <x:c r="D173" s="19"/>
      <x:c r="E173" s="19"/>
      <x:c r="F173" s="19"/>
      <x:c r="G173" s="19"/>
      <x:c r="H173" s="19"/>
      <x:c r="I173" s="19"/>
    </x:row>
    <x:row r="174" spans="1:10" ht="35.75" customHeight="1" x14ac:dyDescent="0.25">
      <x:c r="B174" s="47" t="str">
        <x:v>Meter Group</x:v>
      </x:c>
      <x:c r="C174" s="45" t="str">
        <x:v>Quarterly Contracted Volume</x:v>
      </x:c>
      <x:c r="D174" s="45" t="str">
        <x:v>Actual Volume For Period</x:v>
      </x:c>
      <x:c r="E174" s="45" t="str">
        <x:v>Overage/(Underage) For Period</x:v>
      </x:c>
      <x:c r="F174" s="45" t="str">
        <x:v>Accrued Rollover Pages</x:v>
      </x:c>
      <x:c r="G174" s="45" t="str">
        <x:v>Net Overage (Underage)</x:v>
      </x:c>
      <x:c r="H174" s="45" t="str">
        <x:v>Excess CPP</x:v>
      </x:c>
      <x:c r="I174" s="46" t="str">
        <x:v>Overage Expense</x:v>
      </x:c>
    </x:row>
    <x:row r="175" spans="1:10" x14ac:dyDescent="0.25">
      <x:c r="B175" s="60" t="str">
        <x:v>B/W Copies</x:v>
      </x:c>
      <x:c r="C175" s="73" t="str">
        <x:v>0</x:v>
      </x:c>
      <x:c r="D175" s="73" t="str">
        <x:v>80,136</x:v>
      </x:c>
      <x:c r="E175" s="177" t="n">
        <x:f ca="1">=SUM(D175 - C175)</x:f>
      </x:c>
      <x:c r="F175" s="73" t="n">
        <x:v>0</x:v>
      </x:c>
      <x:c r="G175" s="177" t="n">
        <x:f ca="1">=SUM(E175 - F175)</x:f>
      </x:c>
      <x:c r="H175" s="200" t="n">
        <x:v>0.011710</x:v>
      </x:c>
      <x:c r="I175" s="213" t="n">
        <x:f ca="1">=IF(SUM(G175 * H175) &lt; 0, 0,SUM(G175 * H175))</x:f>
      </x:c>
    </x:row>
    <x:row r="176" spans="1:10" x14ac:dyDescent="0.25">
      <x:c r="B176" s="60" t="str">
        <x:v>B/W Laser Prints</x:v>
      </x:c>
      <x:c r="C176" s="73" t="str">
        <x:v>0</x:v>
      </x:c>
      <x:c r="D176" s="73" t="str">
        <x:v>52,582</x:v>
      </x:c>
      <x:c r="E176" s="177" t="n">
        <x:f ca="1">=SUM(D176 - C176)</x:f>
      </x:c>
      <x:c r="F176" s="73" t="n">
        <x:v>0</x:v>
      </x:c>
      <x:c r="G176" s="177" t="n">
        <x:f ca="1">=SUM(E176 - F176)</x:f>
      </x:c>
      <x:c r="H176" s="200" t="n">
        <x:v>0.019710</x:v>
      </x:c>
      <x:c r="I176" s="213" t="n">
        <x:f ca="1">=IF(SUM(G176 * H176) &lt; 0, 0,SUM(G176 * H176))</x:f>
      </x:c>
    </x:row>
    <x:row r="177" spans="1:10" x14ac:dyDescent="0.25">
      <x:c r="B177" s="58" t="str">
        <x:v>Color Copier B/W Pages</x:v>
      </x:c>
      <x:c r="C177" s="6" t="str">
        <x:v>0</x:v>
      </x:c>
      <x:c r="D177" s="6" t="str">
        <x:v>208,654</x:v>
      </x:c>
      <x:c r="E177" s="176" t="n">
        <x:f ca="1">=SUM(D177 - C177)</x:f>
      </x:c>
      <x:c r="F177" s="6" t="n">
        <x:v>0</x:v>
      </x:c>
      <x:c r="G177" s="176" t="n">
        <x:f ca="1">=SUM(E177 - F177)</x:f>
      </x:c>
      <x:c r="H177" s="201" t="n">
        <x:v>0.014710</x:v>
      </x:c>
      <x:c r="I177" s="212" t="str">
        <x:f ca="1">=IF(SUM(G177 * H177) &lt; 0, 0,SUM(G177 * H177))</x:f>
      </x:c>
    </x:row>
    <x:row r="178" spans="1:10" x14ac:dyDescent="0.25">
      <x:c r="B178" s="58" t="str">
        <x:v>Color Copier Color Pages</x:v>
      </x:c>
      <x:c r="C178" s="6" t="str">
        <x:v>0</x:v>
      </x:c>
      <x:c r="D178" s="6" t="str">
        <x:v>75,412</x:v>
      </x:c>
      <x:c r="E178" s="176" t="n">
        <x:f ca="1">=SUM(D178 - C178)</x:f>
      </x:c>
      <x:c r="F178" s="6" t="n">
        <x:v>0</x:v>
      </x:c>
      <x:c r="G178" s="176" t="n">
        <x:f ca="1">=SUM(E178 - F178)</x:f>
      </x:c>
      <x:c r="H178" s="201" t="n">
        <x:v>0.084710</x:v>
      </x:c>
      <x:c r="I178" s="212" t="str">
        <x:f ca="1">=IF(SUM(G178 * H178) &lt; 0, 0,SUM(G178 * H178))</x:f>
      </x:c>
    </x:row>
    <x:row r="179" spans="1:10" ht="15.5" customHeight="1" x14ac:dyDescent="0.25">
      <x:c r="A179" s="19"/>
      <x:c r="B179" s="209"/>
      <x:c r="C179" s="209"/>
      <x:c r="D179" s="209"/>
      <x:c r="E179" s="209"/>
      <x:c r="F179" s="209"/>
      <x:c r="G179" s="209"/>
      <x:c r="H179" s="209">
        <x:v>Total Overage Expense:</x:v>
      </x:c>
      <x:c r="I179" s="209">
        <x:f ca="1">=SUM(I175:I178)</x:f>
      </x:c>
    </x:row>
    <x:row r="180" spans="1:10" ht="25.5" customHeight="1" x14ac:dyDescent="0.25">
      <x:c r="A180" s="19"/>
      <x:c r="B180" s="14">
        <x:v>January 2017 - January 2017</x:v>
      </x:c>
      <x:c r="C180" s="19"/>
      <x:c r="D180" s="19"/>
      <x:c r="E180" s="19"/>
      <x:c r="F180" s="19"/>
      <x:c r="G180" s="19"/>
      <x:c r="H180" s="19"/>
      <x:c r="I180" s="19"/>
    </x:row>
    <x:row r="181" spans="1:10" ht="35.75" customHeight="1" x14ac:dyDescent="0.25">
      <x:c r="B181" s="47" t="str">
        <x:v>Meter Group</x:v>
      </x:c>
      <x:c r="C181" s="45" t="str">
        <x:v>Quarterly Contracted Volume</x:v>
      </x:c>
      <x:c r="D181" s="45" t="str">
        <x:v>Actual Volume For Period</x:v>
      </x:c>
      <x:c r="E181" s="45" t="str">
        <x:v>Overage/(Underage) For Period</x:v>
      </x:c>
      <x:c r="F181" s="45" t="str">
        <x:v>Accrued Rollover Pages</x:v>
      </x:c>
      <x:c r="G181" s="45" t="str">
        <x:v>Net Overage (Underage)</x:v>
      </x:c>
      <x:c r="H181" s="45" t="str">
        <x:v>Excess CPP</x:v>
      </x:c>
      <x:c r="I181" s="46" t="str">
        <x:v>Overage Expense</x:v>
      </x:c>
    </x:row>
    <x:row r="182" spans="1:10" x14ac:dyDescent="0.25">
      <x:c r="B182" s="60" t="str">
        <x:v>B/W Copies</x:v>
      </x:c>
      <x:c r="C182" s="73" t="str">
        <x:v>0</x:v>
      </x:c>
      <x:c r="D182" s="73" t="str">
        <x:v>84,595</x:v>
      </x:c>
      <x:c r="E182" s="177" t="n">
        <x:f ca="1">=SUM(D182 - C182)</x:f>
      </x:c>
      <x:c r="F182" s="73" t="n">
        <x:v>0</x:v>
      </x:c>
      <x:c r="G182" s="177" t="n">
        <x:f ca="1">=SUM(E182 - F182)</x:f>
      </x:c>
      <x:c r="H182" s="200" t="n">
        <x:v>0.011710</x:v>
      </x:c>
      <x:c r="I182" s="213" t="n">
        <x:f ca="1">=IF(SUM(G182 * H182) &lt; 0, 0,SUM(G182 * H182))</x:f>
      </x:c>
    </x:row>
    <x:row r="183" spans="1:10" x14ac:dyDescent="0.25">
      <x:c r="B183" s="60" t="str">
        <x:v>B/W Laser Prints</x:v>
      </x:c>
      <x:c r="C183" s="73" t="str">
        <x:v>0</x:v>
      </x:c>
      <x:c r="D183" s="73" t="str">
        <x:v>70,840</x:v>
      </x:c>
      <x:c r="E183" s="177" t="n">
        <x:f ca="1">=SUM(D183 - C183)</x:f>
      </x:c>
      <x:c r="F183" s="73" t="n">
        <x:v>0</x:v>
      </x:c>
      <x:c r="G183" s="177" t="n">
        <x:f ca="1">=SUM(E183 - F183)</x:f>
      </x:c>
      <x:c r="H183" s="200" t="n">
        <x:v>0.019710</x:v>
      </x:c>
      <x:c r="I183" s="213" t="n">
        <x:f ca="1">=IF(SUM(G183 * H183) &lt; 0, 0,SUM(G183 * H183))</x:f>
      </x:c>
    </x:row>
    <x:row r="184" spans="1:10" x14ac:dyDescent="0.25">
      <x:c r="B184" s="58" t="str">
        <x:v>Color Copier B/W Pages</x:v>
      </x:c>
      <x:c r="C184" s="6" t="str">
        <x:v>0</x:v>
      </x:c>
      <x:c r="D184" s="6" t="str">
        <x:v>207,904</x:v>
      </x:c>
      <x:c r="E184" s="176" t="n">
        <x:f ca="1">=SUM(D184 - C184)</x:f>
      </x:c>
      <x:c r="F184" s="6" t="n">
        <x:v>0</x:v>
      </x:c>
      <x:c r="G184" s="176" t="n">
        <x:f ca="1">=SUM(E184 - F184)</x:f>
      </x:c>
      <x:c r="H184" s="201" t="n">
        <x:v>0.014710</x:v>
      </x:c>
      <x:c r="I184" s="212" t="str">
        <x:f ca="1">=IF(SUM(G184 * H184) &lt; 0, 0,SUM(G184 * H184))</x:f>
      </x:c>
    </x:row>
    <x:row r="185" spans="1:10" x14ac:dyDescent="0.25">
      <x:c r="B185" s="58" t="str">
        <x:v>Color Copier Color Pages</x:v>
      </x:c>
      <x:c r="C185" s="6" t="str">
        <x:v>0</x:v>
      </x:c>
      <x:c r="D185" s="6" t="str">
        <x:v>76,613</x:v>
      </x:c>
      <x:c r="E185" s="176" t="n">
        <x:f ca="1">=SUM(D185 - C185)</x:f>
      </x:c>
      <x:c r="F185" s="6" t="n">
        <x:v>0</x:v>
      </x:c>
      <x:c r="G185" s="176" t="n">
        <x:f ca="1">=SUM(E185 - F185)</x:f>
      </x:c>
      <x:c r="H185" s="201" t="n">
        <x:v>0.084710</x:v>
      </x:c>
      <x:c r="I185" s="212" t="str">
        <x:f ca="1">=IF(SUM(G185 * H185) &lt; 0, 0,SUM(G185 * H185))</x:f>
      </x:c>
    </x:row>
    <x:row r="186" spans="1:10" ht="15.5" customHeight="1" x14ac:dyDescent="0.25">
      <x:c r="A186" s="19"/>
      <x:c r="B186" s="209"/>
      <x:c r="C186" s="209"/>
      <x:c r="D186" s="209"/>
      <x:c r="E186" s="209"/>
      <x:c r="F186" s="209"/>
      <x:c r="G186" s="209"/>
      <x:c r="H186" s="209">
        <x:v>Total Overage Expense:</x:v>
      </x:c>
      <x:c r="I186" s="209">
        <x:f ca="1">=SUM(I182:I185)</x:f>
      </x:c>
    </x:row>
    <x:row r="187" spans="1:10" ht="25.5" customHeight="1" x14ac:dyDescent="0.25">
      <x:c r="A187" s="19"/>
      <x:c r="B187" s="14">
        <x:v>December 2016 - December 2016</x:v>
      </x:c>
      <x:c r="C187" s="19"/>
      <x:c r="D187" s="19"/>
      <x:c r="E187" s="19"/>
      <x:c r="F187" s="19"/>
      <x:c r="G187" s="19"/>
      <x:c r="H187" s="19"/>
      <x:c r="I187" s="19"/>
    </x:row>
    <x:row r="188" spans="1:10" ht="35.75" customHeight="1" x14ac:dyDescent="0.25">
      <x:c r="B188" s="47" t="str">
        <x:v>Meter Group</x:v>
      </x:c>
      <x:c r="C188" s="45" t="str">
        <x:v>Quarterly Contracted Volume</x:v>
      </x:c>
      <x:c r="D188" s="45" t="str">
        <x:v>Actual Volume For Period</x:v>
      </x:c>
      <x:c r="E188" s="45" t="str">
        <x:v>Overage/(Underage) For Period</x:v>
      </x:c>
      <x:c r="F188" s="45" t="str">
        <x:v>Accrued Rollover Pages</x:v>
      </x:c>
      <x:c r="G188" s="45" t="str">
        <x:v>Net Overage (Underage)</x:v>
      </x:c>
      <x:c r="H188" s="45" t="str">
        <x:v>Excess CPP</x:v>
      </x:c>
      <x:c r="I188" s="46" t="str">
        <x:v>Overage Expense</x:v>
      </x:c>
    </x:row>
    <x:row r="189" spans="1:10" x14ac:dyDescent="0.25">
      <x:c r="B189" s="60" t="str">
        <x:v>B/W Copies</x:v>
      </x:c>
      <x:c r="C189" s="73" t="str">
        <x:v>0</x:v>
      </x:c>
      <x:c r="D189" s="73" t="str">
        <x:v>71,636</x:v>
      </x:c>
      <x:c r="E189" s="177" t="n">
        <x:f ca="1">=SUM(D189 - C189)</x:f>
      </x:c>
      <x:c r="F189" s="73" t="n">
        <x:v>0</x:v>
      </x:c>
      <x:c r="G189" s="177" t="n">
        <x:f ca="1">=SUM(E189 - F189)</x:f>
      </x:c>
      <x:c r="H189" s="200" t="n">
        <x:v>0.011710</x:v>
      </x:c>
      <x:c r="I189" s="213" t="n">
        <x:f ca="1">=IF(SUM(G189 * H189) &lt; 0, 0,SUM(G189 * H189))</x:f>
      </x:c>
    </x:row>
    <x:row r="190" spans="1:10" x14ac:dyDescent="0.25">
      <x:c r="B190" s="60" t="str">
        <x:v>B/W Laser Prints</x:v>
      </x:c>
      <x:c r="C190" s="73" t="str">
        <x:v>0</x:v>
      </x:c>
      <x:c r="D190" s="73" t="str">
        <x:v>51,374</x:v>
      </x:c>
      <x:c r="E190" s="177" t="n">
        <x:f ca="1">=SUM(D190 - C190)</x:f>
      </x:c>
      <x:c r="F190" s="73" t="n">
        <x:v>0</x:v>
      </x:c>
      <x:c r="G190" s="177" t="n">
        <x:f ca="1">=SUM(E190 - F190)</x:f>
      </x:c>
      <x:c r="H190" s="200" t="n">
        <x:v>0.019710</x:v>
      </x:c>
      <x:c r="I190" s="213" t="n">
        <x:f ca="1">=IF(SUM(G190 * H190) &lt; 0, 0,SUM(G190 * H190))</x:f>
      </x:c>
    </x:row>
    <x:row r="191" spans="1:10" x14ac:dyDescent="0.25">
      <x:c r="B191" s="58" t="str">
        <x:v>Color Copier B/W Pages</x:v>
      </x:c>
      <x:c r="C191" s="6" t="str">
        <x:v>0</x:v>
      </x:c>
      <x:c r="D191" s="6" t="str">
        <x:v>194,379</x:v>
      </x:c>
      <x:c r="E191" s="176" t="n">
        <x:f ca="1">=SUM(D191 - C191)</x:f>
      </x:c>
      <x:c r="F191" s="6" t="n">
        <x:v>0</x:v>
      </x:c>
      <x:c r="G191" s="176" t="n">
        <x:f ca="1">=SUM(E191 - F191)</x:f>
      </x:c>
      <x:c r="H191" s="201" t="n">
        <x:v>0.014710</x:v>
      </x:c>
      <x:c r="I191" s="212" t="str">
        <x:f ca="1">=IF(SUM(G191 * H191) &lt; 0, 0,SUM(G191 * H191))</x:f>
      </x:c>
    </x:row>
    <x:row r="192" spans="1:10" x14ac:dyDescent="0.25">
      <x:c r="B192" s="58" t="str">
        <x:v>Color Copier Color Pages</x:v>
      </x:c>
      <x:c r="C192" s="6" t="str">
        <x:v>0</x:v>
      </x:c>
      <x:c r="D192" s="6" t="str">
        <x:v>64,452</x:v>
      </x:c>
      <x:c r="E192" s="176" t="n">
        <x:f ca="1">=SUM(D192 - C192)</x:f>
      </x:c>
      <x:c r="F192" s="6" t="n">
        <x:v>0</x:v>
      </x:c>
      <x:c r="G192" s="176" t="n">
        <x:f ca="1">=SUM(E192 - F192)</x:f>
      </x:c>
      <x:c r="H192" s="201" t="n">
        <x:v>0.084710</x:v>
      </x:c>
      <x:c r="I192" s="212" t="str">
        <x:f ca="1">=IF(SUM(G192 * H192) &lt; 0, 0,SUM(G192 * H192))</x:f>
      </x:c>
    </x:row>
    <x:row r="193" spans="1:10" ht="15.5" customHeight="1" x14ac:dyDescent="0.25">
      <x:c r="A193" s="19"/>
      <x:c r="B193" s="209"/>
      <x:c r="C193" s="209"/>
      <x:c r="D193" s="209"/>
      <x:c r="E193" s="209"/>
      <x:c r="F193" s="209"/>
      <x:c r="G193" s="209"/>
      <x:c r="H193" s="209">
        <x:v>Total Overage Expense:</x:v>
      </x:c>
      <x:c r="I193" s="209">
        <x:f ca="1">=SUM(I189:I192)</x:f>
      </x:c>
    </x:row>
    <x:row r="194" spans="1:10" ht="25.5" customHeight="1" x14ac:dyDescent="0.25">
      <x:c r="A194" s="19"/>
      <x:c r="B194" s="14">
        <x:v>November 2016 - November 2016</x:v>
      </x:c>
      <x:c r="C194" s="19"/>
      <x:c r="D194" s="19"/>
      <x:c r="E194" s="19"/>
      <x:c r="F194" s="19"/>
      <x:c r="G194" s="19"/>
      <x:c r="H194" s="19"/>
      <x:c r="I194" s="19"/>
    </x:row>
    <x:row r="195" spans="1:10" ht="35.75" customHeight="1" x14ac:dyDescent="0.25">
      <x:c r="B195" s="47" t="str">
        <x:v>Meter Group</x:v>
      </x:c>
      <x:c r="C195" s="45" t="str">
        <x:v>Quarterly Contracted Volume</x:v>
      </x:c>
      <x:c r="D195" s="45" t="str">
        <x:v>Actual Volume For Period</x:v>
      </x:c>
      <x:c r="E195" s="45" t="str">
        <x:v>Overage/(Underage) For Period</x:v>
      </x:c>
      <x:c r="F195" s="45" t="str">
        <x:v>Accrued Rollover Pages</x:v>
      </x:c>
      <x:c r="G195" s="45" t="str">
        <x:v>Net Overage (Underage)</x:v>
      </x:c>
      <x:c r="H195" s="45" t="str">
        <x:v>Excess CPP</x:v>
      </x:c>
      <x:c r="I195" s="46" t="str">
        <x:v>Overage Expense</x:v>
      </x:c>
    </x:row>
    <x:row r="196" spans="1:10" x14ac:dyDescent="0.25">
      <x:c r="B196" s="60" t="str">
        <x:v>B/W Copies</x:v>
      </x:c>
      <x:c r="C196" s="73" t="str">
        <x:v>0</x:v>
      </x:c>
      <x:c r="D196" s="73" t="str">
        <x:v>76,153</x:v>
      </x:c>
      <x:c r="E196" s="177" t="n">
        <x:f ca="1">=SUM(D196 - C196)</x:f>
      </x:c>
      <x:c r="F196" s="73" t="n">
        <x:v>0</x:v>
      </x:c>
      <x:c r="G196" s="177" t="n">
        <x:f ca="1">=SUM(E196 - F196)</x:f>
      </x:c>
      <x:c r="H196" s="200" t="n">
        <x:v>0.011710</x:v>
      </x:c>
      <x:c r="I196" s="213" t="n">
        <x:f ca="1">=IF(SUM(G196 * H196) &lt; 0, 0,SUM(G196 * H196))</x:f>
      </x:c>
    </x:row>
    <x:row r="197" spans="1:10" x14ac:dyDescent="0.25">
      <x:c r="B197" s="60" t="str">
        <x:v>B/W Laser Prints</x:v>
      </x:c>
      <x:c r="C197" s="73" t="str">
        <x:v>0</x:v>
      </x:c>
      <x:c r="D197" s="73" t="str">
        <x:v>51,349</x:v>
      </x:c>
      <x:c r="E197" s="177" t="n">
        <x:f ca="1">=SUM(D197 - C197)</x:f>
      </x:c>
      <x:c r="F197" s="73" t="n">
        <x:v>0</x:v>
      </x:c>
      <x:c r="G197" s="177" t="n">
        <x:f ca="1">=SUM(E197 - F197)</x:f>
      </x:c>
      <x:c r="H197" s="200" t="n">
        <x:v>0.019710</x:v>
      </x:c>
      <x:c r="I197" s="213" t="n">
        <x:f ca="1">=IF(SUM(G197 * H197) &lt; 0, 0,SUM(G197 * H197))</x:f>
      </x:c>
    </x:row>
    <x:row r="198" spans="1:10" x14ac:dyDescent="0.25">
      <x:c r="B198" s="58" t="str">
        <x:v>Color Copier B/W Pages</x:v>
      </x:c>
      <x:c r="C198" s="6" t="str">
        <x:v>0</x:v>
      </x:c>
      <x:c r="D198" s="6" t="str">
        <x:v>193,074</x:v>
      </x:c>
      <x:c r="E198" s="176" t="n">
        <x:f ca="1">=SUM(D198 - C198)</x:f>
      </x:c>
      <x:c r="F198" s="6" t="n">
        <x:v>0</x:v>
      </x:c>
      <x:c r="G198" s="176" t="n">
        <x:f ca="1">=SUM(E198 - F198)</x:f>
      </x:c>
      <x:c r="H198" s="201" t="n">
        <x:v>0.014710</x:v>
      </x:c>
      <x:c r="I198" s="212" t="str">
        <x:f ca="1">=IF(SUM(G198 * H198) &lt; 0, 0,SUM(G198 * H198))</x:f>
      </x:c>
    </x:row>
    <x:row r="199" spans="1:10" x14ac:dyDescent="0.25">
      <x:c r="B199" s="58" t="str">
        <x:v>Color Copier Color Pages</x:v>
      </x:c>
      <x:c r="C199" s="6" t="str">
        <x:v>0</x:v>
      </x:c>
      <x:c r="D199" s="6" t="str">
        <x:v>66,184</x:v>
      </x:c>
      <x:c r="E199" s="176" t="n">
        <x:f ca="1">=SUM(D199 - C199)</x:f>
      </x:c>
      <x:c r="F199" s="6" t="n">
        <x:v>0</x:v>
      </x:c>
      <x:c r="G199" s="176" t="n">
        <x:f ca="1">=SUM(E199 - F199)</x:f>
      </x:c>
      <x:c r="H199" s="201" t="n">
        <x:v>0.084710</x:v>
      </x:c>
      <x:c r="I199" s="212" t="str">
        <x:f ca="1">=IF(SUM(G199 * H199) &lt; 0, 0,SUM(G199 * H199))</x:f>
      </x:c>
    </x:row>
    <x:row r="200" spans="1:10" ht="15.5" customHeight="1" x14ac:dyDescent="0.25">
      <x:c r="A200" s="19"/>
      <x:c r="B200" s="209"/>
      <x:c r="C200" s="209"/>
      <x:c r="D200" s="209"/>
      <x:c r="E200" s="209"/>
      <x:c r="F200" s="209"/>
      <x:c r="G200" s="209"/>
      <x:c r="H200" s="209">
        <x:v>Total Overage Expense:</x:v>
      </x:c>
      <x:c r="I200" s="209">
        <x:f ca="1">=SUM(I196:I199)</x:f>
      </x:c>
    </x:row>
    <x:row r="201" spans="1:10" ht="25.5" customHeight="1" x14ac:dyDescent="0.25">
      <x:c r="A201" s="19"/>
      <x:c r="B201" s="14">
        <x:v>October 2016 - October 2016</x:v>
      </x:c>
      <x:c r="C201" s="19"/>
      <x:c r="D201" s="19"/>
      <x:c r="E201" s="19"/>
      <x:c r="F201" s="19"/>
      <x:c r="G201" s="19"/>
      <x:c r="H201" s="19"/>
      <x:c r="I201" s="19"/>
    </x:row>
    <x:row r="202" spans="1:10" ht="35.75" customHeight="1" x14ac:dyDescent="0.25">
      <x:c r="B202" s="47" t="str">
        <x:v>Meter Group</x:v>
      </x:c>
      <x:c r="C202" s="45" t="str">
        <x:v>Quarterly Contracted Volume</x:v>
      </x:c>
      <x:c r="D202" s="45" t="str">
        <x:v>Actual Volume For Period</x:v>
      </x:c>
      <x:c r="E202" s="45" t="str">
        <x:v>Overage/(Underage) For Period</x:v>
      </x:c>
      <x:c r="F202" s="45" t="str">
        <x:v>Accrued Rollover Pages</x:v>
      </x:c>
      <x:c r="G202" s="45" t="str">
        <x:v>Net Overage (Underage)</x:v>
      </x:c>
      <x:c r="H202" s="45" t="str">
        <x:v>Excess CPP</x:v>
      </x:c>
      <x:c r="I202" s="46" t="str">
        <x:v>Overage Expense</x:v>
      </x:c>
    </x:row>
    <x:row r="203" spans="1:10" x14ac:dyDescent="0.25">
      <x:c r="B203" s="60" t="str">
        <x:v>B/W Copies</x:v>
      </x:c>
      <x:c r="C203" s="73" t="str">
        <x:v>0</x:v>
      </x:c>
      <x:c r="D203" s="73" t="str">
        <x:v>99,196</x:v>
      </x:c>
      <x:c r="E203" s="177" t="n">
        <x:f ca="1">=SUM(D203 - C203)</x:f>
      </x:c>
      <x:c r="F203" s="73" t="n">
        <x:v>0</x:v>
      </x:c>
      <x:c r="G203" s="177" t="n">
        <x:f ca="1">=SUM(E203 - F203)</x:f>
      </x:c>
      <x:c r="H203" s="200" t="n">
        <x:v>0.011710</x:v>
      </x:c>
      <x:c r="I203" s="213" t="n">
        <x:f ca="1">=IF(SUM(G203 * H203) &lt; 0, 0,SUM(G203 * H203))</x:f>
      </x:c>
    </x:row>
    <x:row r="204" spans="1:10" x14ac:dyDescent="0.25">
      <x:c r="B204" s="60" t="str">
        <x:v>B/W Laser Prints</x:v>
      </x:c>
      <x:c r="C204" s="73" t="str">
        <x:v>0</x:v>
      </x:c>
      <x:c r="D204" s="73" t="str">
        <x:v>64,015</x:v>
      </x:c>
      <x:c r="E204" s="177" t="n">
        <x:f ca="1">=SUM(D204 - C204)</x:f>
      </x:c>
      <x:c r="F204" s="73" t="n">
        <x:v>0</x:v>
      </x:c>
      <x:c r="G204" s="177" t="n">
        <x:f ca="1">=SUM(E204 - F204)</x:f>
      </x:c>
      <x:c r="H204" s="200" t="n">
        <x:v>0.019710</x:v>
      </x:c>
      <x:c r="I204" s="213" t="n">
        <x:f ca="1">=IF(SUM(G204 * H204) &lt; 0, 0,SUM(G204 * H204))</x:f>
      </x:c>
    </x:row>
    <x:row r="205" spans="1:10" x14ac:dyDescent="0.25">
      <x:c r="B205" s="58" t="str">
        <x:v>Color Copier B/W Pages</x:v>
      </x:c>
      <x:c r="C205" s="6" t="str">
        <x:v>0</x:v>
      </x:c>
      <x:c r="D205" s="6" t="str">
        <x:v>267,754</x:v>
      </x:c>
      <x:c r="E205" s="176" t="n">
        <x:f ca="1">=SUM(D205 - C205)</x:f>
      </x:c>
      <x:c r="F205" s="6" t="n">
        <x:v>0</x:v>
      </x:c>
      <x:c r="G205" s="176" t="n">
        <x:f ca="1">=SUM(E205 - F205)</x:f>
      </x:c>
      <x:c r="H205" s="201" t="n">
        <x:v>0.014710</x:v>
      </x:c>
      <x:c r="I205" s="212" t="str">
        <x:f ca="1">=IF(SUM(G205 * H205) &lt; 0, 0,SUM(G205 * H205))</x:f>
      </x:c>
    </x:row>
    <x:row r="206" spans="1:10" x14ac:dyDescent="0.25">
      <x:c r="B206" s="58" t="str">
        <x:v>Color Copier Color Pages</x:v>
      </x:c>
      <x:c r="C206" s="6" t="str">
        <x:v>0</x:v>
      </x:c>
      <x:c r="D206" s="6" t="str">
        <x:v>81,787</x:v>
      </x:c>
      <x:c r="E206" s="176" t="n">
        <x:f ca="1">=SUM(D206 - C206)</x:f>
      </x:c>
      <x:c r="F206" s="6" t="n">
        <x:v>0</x:v>
      </x:c>
      <x:c r="G206" s="176" t="n">
        <x:f ca="1">=SUM(E206 - F206)</x:f>
      </x:c>
      <x:c r="H206" s="201" t="n">
        <x:v>0.084710</x:v>
      </x:c>
      <x:c r="I206" s="212" t="str">
        <x:f ca="1">=IF(SUM(G206 * H206) &lt; 0, 0,SUM(G206 * H206))</x:f>
      </x:c>
    </x:row>
    <x:row r="207" spans="1:10" ht="15.5" customHeight="1" x14ac:dyDescent="0.25">
      <x:c r="A207" s="19"/>
      <x:c r="B207" s="209"/>
      <x:c r="C207" s="209"/>
      <x:c r="D207" s="209"/>
      <x:c r="E207" s="209"/>
      <x:c r="F207" s="209"/>
      <x:c r="G207" s="209"/>
      <x:c r="H207" s="209">
        <x:v>Total Overage Expense:</x:v>
      </x:c>
      <x:c r="I207" s="209">
        <x:f ca="1">=SUM(I203:I206)</x:f>
      </x:c>
    </x:row>
    <x:row r="208" spans="1:10" ht="25.5" customHeight="1" x14ac:dyDescent="0.25">
      <x:c r="A208" s="19"/>
      <x:c r="B208" s="14">
        <x:v>September 2016 - September 2016</x:v>
      </x:c>
      <x:c r="C208" s="19"/>
      <x:c r="D208" s="19"/>
      <x:c r="E208" s="19"/>
      <x:c r="F208" s="19"/>
      <x:c r="G208" s="19"/>
      <x:c r="H208" s="19"/>
      <x:c r="I208" s="19"/>
    </x:row>
    <x:row r="209" spans="1:10" ht="35.75" customHeight="1" x14ac:dyDescent="0.25">
      <x:c r="B209" s="47" t="str">
        <x:v>Meter Group</x:v>
      </x:c>
      <x:c r="C209" s="45" t="str">
        <x:v>Quarterly Contracted Volume</x:v>
      </x:c>
      <x:c r="D209" s="45" t="str">
        <x:v>Actual Volume For Period</x:v>
      </x:c>
      <x:c r="E209" s="45" t="str">
        <x:v>Overage/(Underage) For Period</x:v>
      </x:c>
      <x:c r="F209" s="45" t="str">
        <x:v>Accrued Rollover Pages</x:v>
      </x:c>
      <x:c r="G209" s="45" t="str">
        <x:v>Net Overage (Underage)</x:v>
      </x:c>
      <x:c r="H209" s="45" t="str">
        <x:v>Excess CPP</x:v>
      </x:c>
      <x:c r="I209" s="46" t="str">
        <x:v>Overage Expense</x:v>
      </x:c>
    </x:row>
    <x:row r="210" spans="1:10" x14ac:dyDescent="0.25">
      <x:c r="B210" s="60" t="str">
        <x:v>B/W Copies</x:v>
      </x:c>
      <x:c r="C210" s="73" t="str">
        <x:v>0</x:v>
      </x:c>
      <x:c r="D210" s="73" t="str">
        <x:v>71,976</x:v>
      </x:c>
      <x:c r="E210" s="177" t="n">
        <x:f ca="1">=SUM(D210 - C210)</x:f>
      </x:c>
      <x:c r="F210" s="73" t="n">
        <x:v>0</x:v>
      </x:c>
      <x:c r="G210" s="177" t="n">
        <x:f ca="1">=SUM(E210 - F210)</x:f>
      </x:c>
      <x:c r="H210" s="200" t="n">
        <x:v>0.011710</x:v>
      </x:c>
      <x:c r="I210" s="213" t="n">
        <x:f ca="1">=IF(SUM(G210 * H210) &lt; 0, 0,SUM(G210 * H210))</x:f>
      </x:c>
    </x:row>
    <x:row r="211" spans="1:10" x14ac:dyDescent="0.25">
      <x:c r="B211" s="60" t="str">
        <x:v>B/W Laser Prints</x:v>
      </x:c>
      <x:c r="C211" s="73" t="str">
        <x:v>0</x:v>
      </x:c>
      <x:c r="D211" s="73" t="str">
        <x:v>47,977</x:v>
      </x:c>
      <x:c r="E211" s="177" t="n">
        <x:f ca="1">=SUM(D211 - C211)</x:f>
      </x:c>
      <x:c r="F211" s="73" t="n">
        <x:v>0</x:v>
      </x:c>
      <x:c r="G211" s="177" t="n">
        <x:f ca="1">=SUM(E211 - F211)</x:f>
      </x:c>
      <x:c r="H211" s="200" t="n">
        <x:v>0.019710</x:v>
      </x:c>
      <x:c r="I211" s="213" t="n">
        <x:f ca="1">=IF(SUM(G211 * H211) &lt; 0, 0,SUM(G211 * H211))</x:f>
      </x:c>
    </x:row>
    <x:row r="212" spans="1:10" x14ac:dyDescent="0.25">
      <x:c r="B212" s="58" t="str">
        <x:v>Color Copier B/W Pages</x:v>
      </x:c>
      <x:c r="C212" s="6" t="str">
        <x:v>0</x:v>
      </x:c>
      <x:c r="D212" s="6" t="str">
        <x:v>200,807</x:v>
      </x:c>
      <x:c r="E212" s="176" t="n">
        <x:f ca="1">=SUM(D212 - C212)</x:f>
      </x:c>
      <x:c r="F212" s="6" t="n">
        <x:v>0</x:v>
      </x:c>
      <x:c r="G212" s="176" t="n">
        <x:f ca="1">=SUM(E212 - F212)</x:f>
      </x:c>
      <x:c r="H212" s="201" t="n">
        <x:v>0.014710</x:v>
      </x:c>
      <x:c r="I212" s="212" t="str">
        <x:f ca="1">=IF(SUM(G212 * H212) &lt; 0, 0,SUM(G212 * H212))</x:f>
      </x:c>
    </x:row>
    <x:row r="213" spans="1:10" x14ac:dyDescent="0.25">
      <x:c r="B213" s="58" t="str">
        <x:v>Color Copier Color Pages</x:v>
      </x:c>
      <x:c r="C213" s="6" t="str">
        <x:v>0</x:v>
      </x:c>
      <x:c r="D213" s="6" t="str">
        <x:v>59,273</x:v>
      </x:c>
      <x:c r="E213" s="176" t="n">
        <x:f ca="1">=SUM(D213 - C213)</x:f>
      </x:c>
      <x:c r="F213" s="6" t="n">
        <x:v>0</x:v>
      </x:c>
      <x:c r="G213" s="176" t="n">
        <x:f ca="1">=SUM(E213 - F213)</x:f>
      </x:c>
      <x:c r="H213" s="201" t="n">
        <x:v>0.084710</x:v>
      </x:c>
      <x:c r="I213" s="212" t="str">
        <x:f ca="1">=IF(SUM(G213 * H213) &lt; 0, 0,SUM(G213 * H213))</x:f>
      </x:c>
    </x:row>
    <x:row r="214" spans="1:10" ht="15.5" customHeight="1" x14ac:dyDescent="0.25">
      <x:c r="A214" s="19"/>
      <x:c r="B214" s="209"/>
      <x:c r="C214" s="209"/>
      <x:c r="D214" s="209"/>
      <x:c r="E214" s="209"/>
      <x:c r="F214" s="209"/>
      <x:c r="G214" s="209"/>
      <x:c r="H214" s="209">
        <x:v>Total Overage Expense:</x:v>
      </x:c>
      <x:c r="I214" s="209">
        <x:f ca="1">=SUM(I210:I213)</x:f>
      </x:c>
    </x:row>
    <x:row r="215" spans="1:10" ht="25.5" customHeight="1" x14ac:dyDescent="0.25">
      <x:c r="A215" s="19"/>
      <x:c r="B215" s="14">
        <x:v>August 2016 - August 2016</x:v>
      </x:c>
      <x:c r="C215" s="19"/>
      <x:c r="D215" s="19"/>
      <x:c r="E215" s="19"/>
      <x:c r="F215" s="19"/>
      <x:c r="G215" s="19"/>
      <x:c r="H215" s="19"/>
      <x:c r="I215" s="19"/>
    </x:row>
    <x:row r="216" spans="1:10" ht="35.75" customHeight="1" x14ac:dyDescent="0.25">
      <x:c r="B216" s="47" t="str">
        <x:v>Meter Group</x:v>
      </x:c>
      <x:c r="C216" s="45" t="str">
        <x:v>Quarterly Contracted Volume</x:v>
      </x:c>
      <x:c r="D216" s="45" t="str">
        <x:v>Actual Volume For Period</x:v>
      </x:c>
      <x:c r="E216" s="45" t="str">
        <x:v>Overage/(Underage) For Period</x:v>
      </x:c>
      <x:c r="F216" s="45" t="str">
        <x:v>Accrued Rollover Pages</x:v>
      </x:c>
      <x:c r="G216" s="45" t="str">
        <x:v>Net Overage (Underage)</x:v>
      </x:c>
      <x:c r="H216" s="45" t="str">
        <x:v>Excess CPP</x:v>
      </x:c>
      <x:c r="I216" s="46" t="str">
        <x:v>Overage Expense</x:v>
      </x:c>
    </x:row>
    <x:row r="217" spans="1:10" x14ac:dyDescent="0.25">
      <x:c r="B217" s="60" t="str">
        <x:v>B/W Copies</x:v>
      </x:c>
      <x:c r="C217" s="73" t="str">
        <x:v>0</x:v>
      </x:c>
      <x:c r="D217" s="73" t="str">
        <x:v>90,847</x:v>
      </x:c>
      <x:c r="E217" s="177" t="n">
        <x:f ca="1">=SUM(D217 - C217)</x:f>
      </x:c>
      <x:c r="F217" s="73" t="n">
        <x:v>0</x:v>
      </x:c>
      <x:c r="G217" s="177" t="n">
        <x:f ca="1">=SUM(E217 - F217)</x:f>
      </x:c>
      <x:c r="H217" s="200" t="n">
        <x:v>0.011710</x:v>
      </x:c>
      <x:c r="I217" s="213" t="n">
        <x:f ca="1">=IF(SUM(G217 * H217) &lt; 0, 0,SUM(G217 * H217))</x:f>
      </x:c>
    </x:row>
    <x:row r="218" spans="1:10" x14ac:dyDescent="0.25">
      <x:c r="B218" s="60" t="str">
        <x:v>B/W Laser Prints</x:v>
      </x:c>
      <x:c r="C218" s="73" t="str">
        <x:v>0</x:v>
      </x:c>
      <x:c r="D218" s="73" t="str">
        <x:v>54,644</x:v>
      </x:c>
      <x:c r="E218" s="177" t="n">
        <x:f ca="1">=SUM(D218 - C218)</x:f>
      </x:c>
      <x:c r="F218" s="73" t="n">
        <x:v>0</x:v>
      </x:c>
      <x:c r="G218" s="177" t="n">
        <x:f ca="1">=SUM(E218 - F218)</x:f>
      </x:c>
      <x:c r="H218" s="200" t="n">
        <x:v>0.019710</x:v>
      </x:c>
      <x:c r="I218" s="213" t="n">
        <x:f ca="1">=IF(SUM(G218 * H218) &lt; 0, 0,SUM(G218 * H218))</x:f>
      </x:c>
    </x:row>
    <x:row r="219" spans="1:10" x14ac:dyDescent="0.25">
      <x:c r="B219" s="58" t="str">
        <x:v>Color Copier B/W Pages</x:v>
      </x:c>
      <x:c r="C219" s="6" t="str">
        <x:v>0</x:v>
      </x:c>
      <x:c r="D219" s="6" t="str">
        <x:v>218,426</x:v>
      </x:c>
      <x:c r="E219" s="176" t="n">
        <x:f ca="1">=SUM(D219 - C219)</x:f>
      </x:c>
      <x:c r="F219" s="6" t="n">
        <x:v>0</x:v>
      </x:c>
      <x:c r="G219" s="176" t="n">
        <x:f ca="1">=SUM(E219 - F219)</x:f>
      </x:c>
      <x:c r="H219" s="201" t="n">
        <x:v>0.014710</x:v>
      </x:c>
      <x:c r="I219" s="212" t="str">
        <x:f ca="1">=IF(SUM(G219 * H219) &lt; 0, 0,SUM(G219 * H219))</x:f>
      </x:c>
    </x:row>
    <x:row r="220" spans="1:10" x14ac:dyDescent="0.25">
      <x:c r="B220" s="58" t="str">
        <x:v>Color Copier Color Pages</x:v>
      </x:c>
      <x:c r="C220" s="6" t="str">
        <x:v>0</x:v>
      </x:c>
      <x:c r="D220" s="6" t="str">
        <x:v>81,219</x:v>
      </x:c>
      <x:c r="E220" s="176" t="n">
        <x:f ca="1">=SUM(D220 - C220)</x:f>
      </x:c>
      <x:c r="F220" s="6" t="n">
        <x:v>0</x:v>
      </x:c>
      <x:c r="G220" s="176" t="n">
        <x:f ca="1">=SUM(E220 - F220)</x:f>
      </x:c>
      <x:c r="H220" s="201" t="n">
        <x:v>0.084710</x:v>
      </x:c>
      <x:c r="I220" s="212" t="str">
        <x:f ca="1">=IF(SUM(G220 * H220) &lt; 0, 0,SUM(G220 * H220))</x:f>
      </x:c>
    </x:row>
    <x:row r="221" spans="1:10" ht="15.5" customHeight="1" x14ac:dyDescent="0.25">
      <x:c r="A221" s="19"/>
      <x:c r="B221" s="209"/>
      <x:c r="C221" s="209"/>
      <x:c r="D221" s="209"/>
      <x:c r="E221" s="209"/>
      <x:c r="F221" s="209"/>
      <x:c r="G221" s="209"/>
      <x:c r="H221" s="209">
        <x:v>Total Overage Expense:</x:v>
      </x:c>
      <x:c r="I221" s="209">
        <x:f ca="1">=SUM(I217:I220)</x:f>
      </x:c>
    </x:row>
    <x:row r="222" spans="1:10" ht="25.5" customHeight="1" x14ac:dyDescent="0.25">
      <x:c r="A222" s="19"/>
      <x:c r="B222" s="14">
        <x:v>July 2016 - July 2016</x:v>
      </x:c>
      <x:c r="C222" s="19"/>
      <x:c r="D222" s="19"/>
      <x:c r="E222" s="19"/>
      <x:c r="F222" s="19"/>
      <x:c r="G222" s="19"/>
      <x:c r="H222" s="19"/>
      <x:c r="I222" s="19"/>
    </x:row>
    <x:row r="223" spans="1:10" ht="35.75" customHeight="1" x14ac:dyDescent="0.25">
      <x:c r="B223" s="47" t="str">
        <x:v>Meter Group</x:v>
      </x:c>
      <x:c r="C223" s="45" t="str">
        <x:v>Quarterly Contracted Volume</x:v>
      </x:c>
      <x:c r="D223" s="45" t="str">
        <x:v>Actual Volume For Period</x:v>
      </x:c>
      <x:c r="E223" s="45" t="str">
        <x:v>Overage/(Underage) For Period</x:v>
      </x:c>
      <x:c r="F223" s="45" t="str">
        <x:v>Accrued Rollover Pages</x:v>
      </x:c>
      <x:c r="G223" s="45" t="str">
        <x:v>Net Overage (Underage)</x:v>
      </x:c>
      <x:c r="H223" s="45" t="str">
        <x:v>Excess CPP</x:v>
      </x:c>
      <x:c r="I223" s="46" t="str">
        <x:v>Overage Expense</x:v>
      </x:c>
    </x:row>
    <x:row r="224" spans="1:10" x14ac:dyDescent="0.25">
      <x:c r="B224" s="60" t="str">
        <x:v>B/W Copies</x:v>
      </x:c>
      <x:c r="C224" s="73" t="str">
        <x:v>0</x:v>
      </x:c>
      <x:c r="D224" s="73" t="str">
        <x:v>69,127</x:v>
      </x:c>
      <x:c r="E224" s="177" t="n">
        <x:f ca="1">=SUM(D224 - C224)</x:f>
      </x:c>
      <x:c r="F224" s="73" t="n">
        <x:v>0</x:v>
      </x:c>
      <x:c r="G224" s="177" t="n">
        <x:f ca="1">=SUM(E224 - F224)</x:f>
      </x:c>
      <x:c r="H224" s="200" t="n">
        <x:v>0.011710</x:v>
      </x:c>
      <x:c r="I224" s="213" t="n">
        <x:f ca="1">=IF(SUM(G224 * H224) &lt; 0, 0,SUM(G224 * H224))</x:f>
      </x:c>
    </x:row>
    <x:row r="225" spans="1:10" x14ac:dyDescent="0.25">
      <x:c r="B225" s="60" t="str">
        <x:v>B/W Laser Prints</x:v>
      </x:c>
      <x:c r="C225" s="73" t="str">
        <x:v>0</x:v>
      </x:c>
      <x:c r="D225" s="73" t="str">
        <x:v>48,986</x:v>
      </x:c>
      <x:c r="E225" s="177" t="n">
        <x:f ca="1">=SUM(D225 - C225)</x:f>
      </x:c>
      <x:c r="F225" s="73" t="n">
        <x:v>0</x:v>
      </x:c>
      <x:c r="G225" s="177" t="n">
        <x:f ca="1">=SUM(E225 - F225)</x:f>
      </x:c>
      <x:c r="H225" s="200" t="n">
        <x:v>0.019710</x:v>
      </x:c>
      <x:c r="I225" s="213" t="n">
        <x:f ca="1">=IF(SUM(G225 * H225) &lt; 0, 0,SUM(G225 * H225))</x:f>
      </x:c>
    </x:row>
    <x:row r="226" spans="1:10" x14ac:dyDescent="0.25">
      <x:c r="B226" s="58" t="str">
        <x:v>Color Copier B/W Pages</x:v>
      </x:c>
      <x:c r="C226" s="6" t="str">
        <x:v>0</x:v>
      </x:c>
      <x:c r="D226" s="6" t="str">
        <x:v>209,883</x:v>
      </x:c>
      <x:c r="E226" s="176" t="n">
        <x:f ca="1">=SUM(D226 - C226)</x:f>
      </x:c>
      <x:c r="F226" s="6" t="n">
        <x:v>0</x:v>
      </x:c>
      <x:c r="G226" s="176" t="n">
        <x:f ca="1">=SUM(E226 - F226)</x:f>
      </x:c>
      <x:c r="H226" s="201" t="n">
        <x:v>0.014710</x:v>
      </x:c>
      <x:c r="I226" s="212" t="str">
        <x:f ca="1">=IF(SUM(G226 * H226) &lt; 0, 0,SUM(G226 * H226))</x:f>
      </x:c>
    </x:row>
    <x:row r="227" spans="1:10" x14ac:dyDescent="0.25">
      <x:c r="B227" s="58" t="str">
        <x:v>Color Copier Color Pages</x:v>
      </x:c>
      <x:c r="C227" s="6" t="str">
        <x:v>0</x:v>
      </x:c>
      <x:c r="D227" s="6" t="str">
        <x:v>67,713</x:v>
      </x:c>
      <x:c r="E227" s="176" t="n">
        <x:f ca="1">=SUM(D227 - C227)</x:f>
      </x:c>
      <x:c r="F227" s="6" t="n">
        <x:v>0</x:v>
      </x:c>
      <x:c r="G227" s="176" t="n">
        <x:f ca="1">=SUM(E227 - F227)</x:f>
      </x:c>
      <x:c r="H227" s="201" t="n">
        <x:v>0.084710</x:v>
      </x:c>
      <x:c r="I227" s="212" t="str">
        <x:f ca="1">=IF(SUM(G227 * H227) &lt; 0, 0,SUM(G227 * H227))</x:f>
      </x:c>
    </x:row>
    <x:row r="228" spans="1:10" ht="15.5" customHeight="1" x14ac:dyDescent="0.25">
      <x:c r="A228" s="19"/>
      <x:c r="B228" s="209"/>
      <x:c r="C228" s="209"/>
      <x:c r="D228" s="209"/>
      <x:c r="E228" s="209"/>
      <x:c r="F228" s="209"/>
      <x:c r="G228" s="209"/>
      <x:c r="H228" s="209">
        <x:v>Total Overage Expense:</x:v>
      </x:c>
      <x:c r="I228" s="209">
        <x:f ca="1">=SUM(I224:I227)</x:f>
      </x:c>
    </x:row>
    <x:row r="229" spans="1:10" ht="25.5" customHeight="1" x14ac:dyDescent="0.25">
      <x:c r="A229" s="19"/>
      <x:c r="B229" s="14">
        <x:v>June 2016 - June 2016</x:v>
      </x:c>
      <x:c r="C229" s="19"/>
      <x:c r="D229" s="19"/>
      <x:c r="E229" s="19"/>
      <x:c r="F229" s="19"/>
      <x:c r="G229" s="19"/>
      <x:c r="H229" s="19"/>
      <x:c r="I229" s="19"/>
    </x:row>
    <x:row r="230" spans="1:10" ht="35.75" customHeight="1" x14ac:dyDescent="0.25">
      <x:c r="B230" s="47" t="str">
        <x:v>Meter Group</x:v>
      </x:c>
      <x:c r="C230" s="45" t="str">
        <x:v>Quarterly Contracted Volume</x:v>
      </x:c>
      <x:c r="D230" s="45" t="str">
        <x:v>Actual Volume For Period</x:v>
      </x:c>
      <x:c r="E230" s="45" t="str">
        <x:v>Overage/(Underage) For Period</x:v>
      </x:c>
      <x:c r="F230" s="45" t="str">
        <x:v>Accrued Rollover Pages</x:v>
      </x:c>
      <x:c r="G230" s="45" t="str">
        <x:v>Net Overage (Underage)</x:v>
      </x:c>
      <x:c r="H230" s="45" t="str">
        <x:v>Excess CPP</x:v>
      </x:c>
      <x:c r="I230" s="46" t="str">
        <x:v>Overage Expense</x:v>
      </x:c>
    </x:row>
    <x:row r="231" spans="1:10" x14ac:dyDescent="0.25">
      <x:c r="B231" s="60" t="str">
        <x:v>B/W Copies</x:v>
      </x:c>
      <x:c r="C231" s="73" t="str">
        <x:v>0</x:v>
      </x:c>
      <x:c r="D231" s="73" t="str">
        <x:v>67,214</x:v>
      </x:c>
      <x:c r="E231" s="177" t="n">
        <x:f ca="1">=SUM(D231 - C231)</x:f>
      </x:c>
      <x:c r="F231" s="73" t="n">
        <x:v>0</x:v>
      </x:c>
      <x:c r="G231" s="177" t="n">
        <x:f ca="1">=SUM(E231 - F231)</x:f>
      </x:c>
      <x:c r="H231" s="200" t="n">
        <x:v>0.011710</x:v>
      </x:c>
      <x:c r="I231" s="213" t="n">
        <x:f ca="1">=IF(SUM(G231 * H231) &lt; 0, 0,SUM(G231 * H231))</x:f>
      </x:c>
    </x:row>
    <x:row r="232" spans="1:10" x14ac:dyDescent="0.25">
      <x:c r="B232" s="60" t="str">
        <x:v>B/W Laser Prints</x:v>
      </x:c>
      <x:c r="C232" s="73" t="str">
        <x:v>0</x:v>
      </x:c>
      <x:c r="D232" s="73" t="str">
        <x:v>43,218</x:v>
      </x:c>
      <x:c r="E232" s="177" t="n">
        <x:f ca="1">=SUM(D232 - C232)</x:f>
      </x:c>
      <x:c r="F232" s="73" t="n">
        <x:v>0</x:v>
      </x:c>
      <x:c r="G232" s="177" t="n">
        <x:f ca="1">=SUM(E232 - F232)</x:f>
      </x:c>
      <x:c r="H232" s="200" t="n">
        <x:v>0.019710</x:v>
      </x:c>
      <x:c r="I232" s="213" t="n">
        <x:f ca="1">=IF(SUM(G232 * H232) &lt; 0, 0,SUM(G232 * H232))</x:f>
      </x:c>
    </x:row>
    <x:row r="233" spans="1:10" x14ac:dyDescent="0.25">
      <x:c r="B233" s="58" t="str">
        <x:v>Color Copier B/W Pages</x:v>
      </x:c>
      <x:c r="C233" s="6" t="str">
        <x:v>0</x:v>
      </x:c>
      <x:c r="D233" s="6" t="str">
        <x:v>207,171</x:v>
      </x:c>
      <x:c r="E233" s="176" t="n">
        <x:f ca="1">=SUM(D233 - C233)</x:f>
      </x:c>
      <x:c r="F233" s="6" t="n">
        <x:v>0</x:v>
      </x:c>
      <x:c r="G233" s="176" t="n">
        <x:f ca="1">=SUM(E233 - F233)</x:f>
      </x:c>
      <x:c r="H233" s="201" t="n">
        <x:v>0.014710</x:v>
      </x:c>
      <x:c r="I233" s="212" t="str">
        <x:f ca="1">=IF(SUM(G233 * H233) &lt; 0, 0,SUM(G233 * H233))</x:f>
      </x:c>
    </x:row>
    <x:row r="234" spans="1:10" x14ac:dyDescent="0.25">
      <x:c r="B234" s="58" t="str">
        <x:v>Color Copier Color Pages</x:v>
      </x:c>
      <x:c r="C234" s="6" t="str">
        <x:v>0</x:v>
      </x:c>
      <x:c r="D234" s="6" t="str">
        <x:v>65,190</x:v>
      </x:c>
      <x:c r="E234" s="176" t="n">
        <x:f ca="1">=SUM(D234 - C234)</x:f>
      </x:c>
      <x:c r="F234" s="6" t="n">
        <x:v>0</x:v>
      </x:c>
      <x:c r="G234" s="176" t="n">
        <x:f ca="1">=SUM(E234 - F234)</x:f>
      </x:c>
      <x:c r="H234" s="201" t="n">
        <x:v>0.084710</x:v>
      </x:c>
      <x:c r="I234" s="212" t="str">
        <x:f ca="1">=IF(SUM(G234 * H234) &lt; 0, 0,SUM(G234 * H234))</x:f>
      </x:c>
    </x:row>
    <x:row r="235" spans="1:10" ht="15.5" customHeight="1" x14ac:dyDescent="0.25">
      <x:c r="A235" s="19"/>
      <x:c r="B235" s="209"/>
      <x:c r="C235" s="209"/>
      <x:c r="D235" s="209"/>
      <x:c r="E235" s="209"/>
      <x:c r="F235" s="209"/>
      <x:c r="G235" s="209"/>
      <x:c r="H235" s="209">
        <x:v>Total Overage Expense:</x:v>
      </x:c>
      <x:c r="I235" s="209">
        <x:f ca="1">=SUM(I231:I234)</x:f>
      </x:c>
    </x:row>
    <x:row r="236" spans="1:10" ht="25.5" customHeight="1" x14ac:dyDescent="0.25">
      <x:c r="A236" s="19"/>
      <x:c r="B236" s="14">
        <x:v>May 2016 - May 2016</x:v>
      </x:c>
      <x:c r="C236" s="19"/>
      <x:c r="D236" s="19"/>
      <x:c r="E236" s="19"/>
      <x:c r="F236" s="19"/>
      <x:c r="G236" s="19"/>
      <x:c r="H236" s="19"/>
      <x:c r="I236" s="19"/>
    </x:row>
    <x:row r="237" spans="1:10" ht="35.75" customHeight="1" x14ac:dyDescent="0.25">
      <x:c r="B237" s="47" t="str">
        <x:v>Meter Group</x:v>
      </x:c>
      <x:c r="C237" s="45" t="str">
        <x:v>Quarterly Contracted Volume</x:v>
      </x:c>
      <x:c r="D237" s="45" t="str">
        <x:v>Actual Volume For Period</x:v>
      </x:c>
      <x:c r="E237" s="45" t="str">
        <x:v>Overage/(Underage) For Period</x:v>
      </x:c>
      <x:c r="F237" s="45" t="str">
        <x:v>Accrued Rollover Pages</x:v>
      </x:c>
      <x:c r="G237" s="45" t="str">
        <x:v>Net Overage (Underage)</x:v>
      </x:c>
      <x:c r="H237" s="45" t="str">
        <x:v>Excess CPP</x:v>
      </x:c>
      <x:c r="I237" s="46" t="str">
        <x:v>Overage Expense</x:v>
      </x:c>
    </x:row>
    <x:row r="238" spans="1:10" x14ac:dyDescent="0.25">
      <x:c r="B238" s="60" t="str">
        <x:v>B/W Copies</x:v>
      </x:c>
      <x:c r="C238" s="73" t="str">
        <x:v>0</x:v>
      </x:c>
      <x:c r="D238" s="73" t="str">
        <x:v>73,737</x:v>
      </x:c>
      <x:c r="E238" s="177" t="n">
        <x:f ca="1">=SUM(D238 - C238)</x:f>
      </x:c>
      <x:c r="F238" s="73" t="n">
        <x:v>0</x:v>
      </x:c>
      <x:c r="G238" s="177" t="n">
        <x:f ca="1">=SUM(E238 - F238)</x:f>
      </x:c>
      <x:c r="H238" s="200" t="n">
        <x:v>0.011710</x:v>
      </x:c>
      <x:c r="I238" s="213" t="n">
        <x:f ca="1">=IF(SUM(G238 * H238) &lt; 0, 0,SUM(G238 * H238))</x:f>
      </x:c>
    </x:row>
    <x:row r="239" spans="1:10" x14ac:dyDescent="0.25">
      <x:c r="B239" s="60" t="str">
        <x:v>B/W Laser Prints</x:v>
      </x:c>
      <x:c r="C239" s="73" t="str">
        <x:v>0</x:v>
      </x:c>
      <x:c r="D239" s="73" t="str">
        <x:v>66,875</x:v>
      </x:c>
      <x:c r="E239" s="177" t="n">
        <x:f ca="1">=SUM(D239 - C239)</x:f>
      </x:c>
      <x:c r="F239" s="73" t="n">
        <x:v>0</x:v>
      </x:c>
      <x:c r="G239" s="177" t="n">
        <x:f ca="1">=SUM(E239 - F239)</x:f>
      </x:c>
      <x:c r="H239" s="200" t="n">
        <x:v>0.019710</x:v>
      </x:c>
      <x:c r="I239" s="213" t="n">
        <x:f ca="1">=IF(SUM(G239 * H239) &lt; 0, 0,SUM(G239 * H239))</x:f>
      </x:c>
    </x:row>
    <x:row r="240" spans="1:10" x14ac:dyDescent="0.25">
      <x:c r="B240" s="58" t="str">
        <x:v>Color Copier B/W Pages</x:v>
      </x:c>
      <x:c r="C240" s="6" t="str">
        <x:v>0</x:v>
      </x:c>
      <x:c r="D240" s="6" t="str">
        <x:v>248,863</x:v>
      </x:c>
      <x:c r="E240" s="176" t="n">
        <x:f ca="1">=SUM(D240 - C240)</x:f>
      </x:c>
      <x:c r="F240" s="6" t="n">
        <x:v>0</x:v>
      </x:c>
      <x:c r="G240" s="176" t="n">
        <x:f ca="1">=SUM(E240 - F240)</x:f>
      </x:c>
      <x:c r="H240" s="201" t="n">
        <x:v>0.014710</x:v>
      </x:c>
      <x:c r="I240" s="212" t="str">
        <x:f ca="1">=IF(SUM(G240 * H240) &lt; 0, 0,SUM(G240 * H240))</x:f>
      </x:c>
    </x:row>
    <x:row r="241" spans="1:10" x14ac:dyDescent="0.25">
      <x:c r="B241" s="58" t="str">
        <x:v>Color Copier Color Pages</x:v>
      </x:c>
      <x:c r="C241" s="6" t="str">
        <x:v>0</x:v>
      </x:c>
      <x:c r="D241" s="6" t="str">
        <x:v>99,832</x:v>
      </x:c>
      <x:c r="E241" s="176" t="n">
        <x:f ca="1">=SUM(D241 - C241)</x:f>
      </x:c>
      <x:c r="F241" s="6" t="n">
        <x:v>0</x:v>
      </x:c>
      <x:c r="G241" s="176" t="n">
        <x:f ca="1">=SUM(E241 - F241)</x:f>
      </x:c>
      <x:c r="H241" s="201" t="n">
        <x:v>0.084710</x:v>
      </x:c>
      <x:c r="I241" s="212" t="str">
        <x:f ca="1">=IF(SUM(G241 * H241) &lt; 0, 0,SUM(G241 * H241))</x:f>
      </x:c>
    </x:row>
    <x:row r="242" spans="1:10" ht="15.5" customHeight="1" x14ac:dyDescent="0.25">
      <x:c r="A242" s="19"/>
      <x:c r="B242" s="209"/>
      <x:c r="C242" s="209"/>
      <x:c r="D242" s="209"/>
      <x:c r="E242" s="209"/>
      <x:c r="F242" s="209"/>
      <x:c r="G242" s="209"/>
      <x:c r="H242" s="209">
        <x:v>Total Overage Expense:</x:v>
      </x:c>
      <x:c r="I242" s="209">
        <x:f ca="1">=SUM(I238:I241)</x:f>
      </x:c>
    </x:row>
    <x:row r="243" spans="1:10" ht="25.5" customHeight="1" x14ac:dyDescent="0.25">
      <x:c r="A243" s="19"/>
      <x:c r="B243" s="14">
        <x:v>February 2016 - April 2016</x:v>
      </x:c>
      <x:c r="C243" s="19"/>
      <x:c r="D243" s="19"/>
      <x:c r="E243" s="19"/>
      <x:c r="F243" s="19"/>
      <x:c r="G243" s="19"/>
      <x:c r="H243" s="19"/>
      <x:c r="I243" s="19"/>
    </x:row>
    <x:row r="244" spans="1:10" ht="35.75" customHeight="1" x14ac:dyDescent="0.25">
      <x:c r="B244" s="47" t="str">
        <x:v>Meter Group</x:v>
      </x:c>
      <x:c r="C244" s="45" t="str">
        <x:v>Quarterly Contracted Volume</x:v>
      </x:c>
      <x:c r="D244" s="45" t="str">
        <x:v>Actual Volume For Period</x:v>
      </x:c>
      <x:c r="E244" s="45" t="str">
        <x:v>Overage/(Underage) For Period</x:v>
      </x:c>
      <x:c r="F244" s="45" t="str">
        <x:v>Accrued Rollover Pages</x:v>
      </x:c>
      <x:c r="G244" s="45" t="str">
        <x:v>Net Overage (Underage)</x:v>
      </x:c>
      <x:c r="H244" s="45" t="str">
        <x:v>Excess CPP</x:v>
      </x:c>
      <x:c r="I244" s="46" t="str">
        <x:v>Overage Expense</x:v>
      </x:c>
    </x:row>
    <x:row r="245" spans="1:10" x14ac:dyDescent="0.25">
      <x:c r="B245" s="60" t="str">
        <x:v>B/W Copies</x:v>
      </x:c>
      <x:c r="C245" s="73" t="str">
        <x:v>0</x:v>
      </x:c>
      <x:c r="D245" s="73" t="str">
        <x:v>146,743</x:v>
      </x:c>
      <x:c r="E245" s="177" t="n">
        <x:f ca="1">=SUM(D245 - C245)</x:f>
      </x:c>
      <x:c r="F245" s="73" t="n">
        <x:v>0</x:v>
      </x:c>
      <x:c r="G245" s="177" t="n">
        <x:f ca="1">=SUM(E245 - F245)</x:f>
      </x:c>
      <x:c r="H245" s="200" t="n">
        <x:v>0.011710</x:v>
      </x:c>
      <x:c r="I245" s="213" t="n">
        <x:f ca="1">=IF(SUM(G245 * H245) &lt; 0, 0,SUM(G245 * H245))</x:f>
      </x:c>
    </x:row>
    <x:row r="246" spans="1:10" x14ac:dyDescent="0.25">
      <x:c r="B246" s="60" t="str">
        <x:v>B/W Laser Prints</x:v>
      </x:c>
      <x:c r="C246" s="73" t="str">
        <x:v>0</x:v>
      </x:c>
      <x:c r="D246" s="73" t="str">
        <x:v>158,634</x:v>
      </x:c>
      <x:c r="E246" s="177" t="n">
        <x:f ca="1">=SUM(D246 - C246)</x:f>
      </x:c>
      <x:c r="F246" s="73" t="n">
        <x:v>0</x:v>
      </x:c>
      <x:c r="G246" s="177" t="n">
        <x:f ca="1">=SUM(E246 - F246)</x:f>
      </x:c>
      <x:c r="H246" s="200" t="n">
        <x:v>0.019710</x:v>
      </x:c>
      <x:c r="I246" s="213" t="n">
        <x:f ca="1">=IF(SUM(G246 * H246) &lt; 0, 0,SUM(G246 * H246))</x:f>
      </x:c>
    </x:row>
    <x:row r="247" spans="1:10" x14ac:dyDescent="0.25">
      <x:c r="B247" s="58" t="str">
        <x:v>Color Copier B/W Pages</x:v>
      </x:c>
      <x:c r="C247" s="6" t="str">
        <x:v>0</x:v>
      </x:c>
      <x:c r="D247" s="6" t="str">
        <x:v>438,714</x:v>
      </x:c>
      <x:c r="E247" s="176" t="n">
        <x:f ca="1">=SUM(D247 - C247)</x:f>
      </x:c>
      <x:c r="F247" s="6" t="n">
        <x:v>0</x:v>
      </x:c>
      <x:c r="G247" s="176" t="n">
        <x:f ca="1">=SUM(E247 - F247)</x:f>
      </x:c>
      <x:c r="H247" s="201" t="n">
        <x:v>0.014710</x:v>
      </x:c>
      <x:c r="I247" s="212" t="str">
        <x:f ca="1">=IF(SUM(G247 * H247) &lt; 0, 0,SUM(G247 * H247))</x:f>
      </x:c>
    </x:row>
    <x:row r="248" spans="1:10" x14ac:dyDescent="0.25">
      <x:c r="B248" s="58" t="str">
        <x:v>Color Copier Color Pages</x:v>
      </x:c>
      <x:c r="C248" s="6" t="str">
        <x:v>0</x:v>
      </x:c>
      <x:c r="D248" s="6" t="str">
        <x:v>121,382</x:v>
      </x:c>
      <x:c r="E248" s="176" t="n">
        <x:f ca="1">=SUM(D248 - C248)</x:f>
      </x:c>
      <x:c r="F248" s="6" t="n">
        <x:v>0</x:v>
      </x:c>
      <x:c r="G248" s="176" t="n">
        <x:f ca="1">=SUM(E248 - F248)</x:f>
      </x:c>
      <x:c r="H248" s="201" t="n">
        <x:v>0.084710</x:v>
      </x:c>
      <x:c r="I248" s="212" t="str">
        <x:f ca="1">=IF(SUM(G248 * H248) &lt; 0, 0,SUM(G248 * H248))</x:f>
      </x:c>
    </x:row>
    <x:row r="249" spans="1:7" x14ac:dyDescent="0.25">
      <x:c r="B249" s="92"/>
      <x:c r="C249" s="119"/>
      <x:c r="D249" s="120"/>
      <x:c r="E249" s="120"/>
      <x:c r="F249" s="120"/>
      <x:c r="G249" s="120"/>
      <x:c r="H249" s="120"/>
      <x:c r="I249" s="121"/>
    </x:row>
    <x:row r="250" spans="1:10" ht="15.5" customHeight="1" x14ac:dyDescent="0.25">
      <x:c r="A250" s="19"/>
      <x:c r="B250" s="19"/>
      <x:c r="C250" s="19"/>
      <x:c r="D250" s="19"/>
      <x:c r="E250" s="19"/>
      <x:c r="F250" s="19"/>
      <x:c r="G250" s="19"/>
      <x:c r="H250" s="209">
        <x:v>Total Overage Expense:</x:v>
      </x:c>
      <x:c r="I250" s="209">
        <x:f ca="1">=SUM(I245:I249)</x:f>
      </x:c>
    </x:row>
  </x:sheetData>
  <x:mergeCells count="3">
    <x:mergeCell ref="A1:I1"/>
    <x:mergeCell ref="A2:I2"/>
    <x:mergeCell ref="A3:I3"/>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0.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4"/>
  <x:dimension ref="A1:F35"/>
  <x:sheetViews>
    <x:sheetView showGridLines="0" view="pageLayout" zoomScaleNormal="100" workbookViewId="0">
      <x:selection activeCell="B7" sqref="B7"/>
    </x:sheetView>
  </x:sheetViews>
  <x:sheetFormatPr defaultRowHeight="15" x14ac:dyDescent="0.25"/>
  <x:cols>
    <x:col min="1" max="1" width="14.1" style="1" customWidth="1"/>
    <x:col min="2" max="2" width="38.6" style="1" customWidth="1"/>
    <x:col min="3" max="3" width="14.5" style="1" customWidth="1"/>
    <x:col min="4" max="4" width="14.5" style="1" customWidth="1"/>
    <x:col min="5" max="6" width="15.57" style="1" customWidth="1"/>
    <x:col min="7" max="7" width="12.140625" style="5" customWidth="1"/>
  </x:cols>
  <x:sheetData>
    <x:row r="1" spans="1:10" ht="15.75" x14ac:dyDescent="0.25">
      <x:c r="A1" s="125" t="str">
        <x:f ca="1">SETUP!$B$2</x:f>
        <x:v>?</x:v>
      </x:c>
      <x:c r="B1" s="126"/>
      <x:c r="C1" s="126"/>
      <x:c r="D1" s="126"/>
      <x:c r="E1" s="126"/>
    </x:row>
    <x:row r="2" spans="1:10" x14ac:dyDescent="0.25">
      <x:c r="A2" s="123" t="str">
        <x:f ca="1">="Rollover Savings Through Period Ending "&amp;TEXT(SETUP!$B$4,"MMMMMMMMM DD, YYYY")&amp;""</x:f>
        <x:v>="Rollover Savings Through Period Ending "&amp;TEXT(SETUP!$B$4,"MMMMMMMMM DD, YYYY")&amp;""</x:v>
      </x:c>
      <x:c r="B2" s="124"/>
      <x:c r="C2" s="124"/>
      <x:c r="D2" s="124"/>
      <x:c r="E2" s="124"/>
    </x:row>
    <x:row r="3" spans="1:10" ht="50.5" customHeight="1" x14ac:dyDescent="0.25">
      <x:c r="A3" s="199" t="str">
        <x:v>The data below details the incremental cost which has been deferred in comparison with your prior operating environment to FPR.  By calculating the product of the Rollover Pages for the Period and your actual cost per page for that specific meter group, FPR is able to determine an overall Rollover Savings by period, below.  This is yet another way in which FPR separates itself from any other company in the marketplace.</x:v>
      </x:c>
      <x:c r="B3" s="19"/>
      <x:c r="C3" s="131"/>
      <x:c r="D3" s="131"/>
      <x:c r="E3" s="131"/>
    </x:row>
    <x:row r="4" spans="1:10" ht="15.5" customHeight="1" x14ac:dyDescent="0.25">
      <x:c r="A4"/>
      <x:c r="B4" s="194" t="str">
        <x:v>February 2019 - February 2019</x:v>
      </x:c>
      <x:c r="C4" s="164"/>
      <x:c r="D4" s="164"/>
      <x:c r="E4" s="164"/>
    </x:row>
    <x:row r="5" spans="1:10" ht="27.75" customHeight="1" x14ac:dyDescent="0.25">
      <x:c r="B5" s="47" t="str">
        <x:v>Meter Group</x:v>
      </x:c>
      <x:c r="C5" s="45" t="str">
        <x:v>Rollover Pages For Period</x:v>
      </x:c>
      <x:c r="D5" s="45" t="str">
        <x:v>Pre-FPR CPP</x:v>
      </x:c>
      <x:c r="E5" s="46" t="str">
        <x:v>Rollover Savings</x:v>
      </x:c>
    </x:row>
    <x:row r="6" spans="1:10" x14ac:dyDescent="0.25">
      <x:c r="B6" s="60" t="str">
        <x:v>B/W Copies</x:v>
      </x:c>
      <x:c r="C6" s="73" t="str">
        <x:v>0</x:v>
      </x:c>
      <x:c r="D6" s="73" t="str">
        <x:v>$ .0160</x:v>
      </x:c>
      <x:c r="E6" s="61" t="n">
        <x:f>=SUM(C6* D6)</x:f>
      </x:c>
    </x:row>
    <x:row r="7" spans="1:10" x14ac:dyDescent="0.25">
      <x:c r="B7" s="60" t="str">
        <x:v>B/W Laser Prints</x:v>
      </x:c>
      <x:c r="C7" s="73" t="str">
        <x:v>0</x:v>
      </x:c>
      <x:c r="D7" s="73" t="str">
        <x:v>$ .0214</x:v>
      </x:c>
      <x:c r="E7" s="61" t="n">
        <x:f>=SUM(C7* D7)</x:f>
      </x:c>
    </x:row>
    <x:row r="8" spans="1:10" x14ac:dyDescent="0.25">
      <x:c r="B8" s="58" t="str">
        <x:v>Color Copier B/W Pages</x:v>
      </x:c>
      <x:c r="C8" s="6" t="str">
        <x:v>0</x:v>
      </x:c>
      <x:c r="D8" s="6" t="str">
        <x:v>$ .0160</x:v>
      </x:c>
      <x:c r="E8" s="59" t="str">
        <x:f>=SUM(C8* D8)</x:f>
      </x:c>
    </x:row>
    <x:row r="9" spans="1:10" x14ac:dyDescent="0.25">
      <x:c r="B9" s="58" t="str">
        <x:v>Color Copier Color Pages</x:v>
      </x:c>
      <x:c r="C9" s="6" t="str">
        <x:v>0</x:v>
      </x:c>
      <x:c r="D9" s="6" t="str">
        <x:v>$ .1110</x:v>
      </x:c>
      <x:c r="E9" s="59" t="str">
        <x:f>=SUM(C9* D9)</x:f>
      </x:c>
    </x:row>
    <x:row r="10" spans="1:10" x14ac:dyDescent="0.25">
      <x:c r="A10" s="19"/>
      <x:c r="B10" s="174"/>
      <x:c r="C10" s="174"/>
      <x:c r="D10" s="174">
        <x:v>Rollover Savings: </x:v>
      </x:c>
      <x:c r="E10" s="174">
        <x:f ca="1">SUM(E5:E9)</x:f>
      </x:c>
    </x:row>
    <x:row r="12" spans="1:10" ht="15.5" customHeight="1" x14ac:dyDescent="0.25">
      <x:c r="A12"/>
      <x:c r="B12" s="194" t="str">
        <x:v>January 2019 - January 2019</x:v>
      </x:c>
      <x:c r="C12" s="164"/>
      <x:c r="D12" s="164"/>
      <x:c r="E12" s="164"/>
    </x:row>
    <x:row r="13" spans="1:10" ht="27.75" customHeight="1" x14ac:dyDescent="0.25">
      <x:c r="B13" s="47" t="str">
        <x:v>Meter Group</x:v>
      </x:c>
      <x:c r="C13" s="45" t="str">
        <x:v>Rollover Pages For Period</x:v>
      </x:c>
      <x:c r="D13" s="45" t="str">
        <x:v>Pre-FPR CPP</x:v>
      </x:c>
      <x:c r="E13" s="46" t="str">
        <x:v>Rollover Savings</x:v>
      </x:c>
    </x:row>
    <x:row r="14" spans="1:10" x14ac:dyDescent="0.25">
      <x:c r="B14" s="60" t="str">
        <x:v>B/W Copies</x:v>
      </x:c>
      <x:c r="C14" s="73" t="str">
        <x:v>0</x:v>
      </x:c>
      <x:c r="D14" s="73" t="str">
        <x:v>$ .0160</x:v>
      </x:c>
      <x:c r="E14" s="61" t="n">
        <x:f>=SUM(C14* D14)</x:f>
      </x:c>
    </x:row>
    <x:row r="15" spans="1:10" x14ac:dyDescent="0.25">
      <x:c r="B15" s="60" t="str">
        <x:v>B/W Laser Prints</x:v>
      </x:c>
      <x:c r="C15" s="73" t="str">
        <x:v>0</x:v>
      </x:c>
      <x:c r="D15" s="73" t="str">
        <x:v>$ .0214</x:v>
      </x:c>
      <x:c r="E15" s="61" t="n">
        <x:f>=SUM(C15* D15)</x:f>
      </x:c>
    </x:row>
    <x:row r="16" spans="1:10" x14ac:dyDescent="0.25">
      <x:c r="B16" s="58" t="str">
        <x:v>Color Copier B/W Pages</x:v>
      </x:c>
      <x:c r="C16" s="6" t="str">
        <x:v>0</x:v>
      </x:c>
      <x:c r="D16" s="6" t="str">
        <x:v>$ .0160</x:v>
      </x:c>
      <x:c r="E16" s="59" t="str">
        <x:f>=SUM(C16* D16)</x:f>
      </x:c>
    </x:row>
    <x:row r="17" spans="1:10" x14ac:dyDescent="0.25">
      <x:c r="B17" s="58" t="str">
        <x:v>Color Copier Color Pages</x:v>
      </x:c>
      <x:c r="C17" s="6" t="str">
        <x:v>0</x:v>
      </x:c>
      <x:c r="D17" s="6" t="str">
        <x:v>$ .1110</x:v>
      </x:c>
      <x:c r="E17" s="59" t="str">
        <x:f>=SUM(C17* D17)</x:f>
      </x:c>
    </x:row>
    <x:row r="18" spans="1:10" x14ac:dyDescent="0.25">
      <x:c r="A18" s="19"/>
      <x:c r="B18" s="174"/>
      <x:c r="C18" s="174"/>
      <x:c r="D18" s="174">
        <x:v>Rollover Savings: </x:v>
      </x:c>
      <x:c r="E18" s="174">
        <x:f ca="1">SUM(E13:E17)</x:f>
      </x:c>
    </x:row>
    <x:row r="20" spans="1:10" ht="15.5" customHeight="1" x14ac:dyDescent="0.25">
      <x:c r="A20"/>
      <x:c r="B20" s="194" t="str">
        <x:v>December 2018 - December 2018</x:v>
      </x:c>
      <x:c r="C20" s="164"/>
      <x:c r="D20" s="164"/>
      <x:c r="E20" s="164"/>
    </x:row>
    <x:row r="21" spans="1:10" ht="27.75" customHeight="1" x14ac:dyDescent="0.25">
      <x:c r="B21" s="47" t="str">
        <x:v>Meter Group</x:v>
      </x:c>
      <x:c r="C21" s="45" t="str">
        <x:v>Rollover Pages For Period</x:v>
      </x:c>
      <x:c r="D21" s="45" t="str">
        <x:v>Pre-FPR CPP</x:v>
      </x:c>
      <x:c r="E21" s="46" t="str">
        <x:v>Rollover Savings</x:v>
      </x:c>
    </x:row>
    <x:row r="22" spans="1:10" x14ac:dyDescent="0.25">
      <x:c r="B22" s="60" t="str">
        <x:v>B/W Copies</x:v>
      </x:c>
      <x:c r="C22" s="73" t="str">
        <x:v>0</x:v>
      </x:c>
      <x:c r="D22" s="73" t="str">
        <x:v>$ .0160</x:v>
      </x:c>
      <x:c r="E22" s="61" t="n">
        <x:f>=SUM(C22* D22)</x:f>
      </x:c>
    </x:row>
    <x:row r="23" spans="1:10" x14ac:dyDescent="0.25">
      <x:c r="B23" s="60" t="str">
        <x:v>B/W Laser Prints</x:v>
      </x:c>
      <x:c r="C23" s="73" t="str">
        <x:v>0</x:v>
      </x:c>
      <x:c r="D23" s="73" t="str">
        <x:v>$ .0214</x:v>
      </x:c>
      <x:c r="E23" s="61" t="n">
        <x:f>=SUM(C23* D23)</x:f>
      </x:c>
    </x:row>
    <x:row r="24" spans="1:10" x14ac:dyDescent="0.25">
      <x:c r="B24" s="58" t="str">
        <x:v>Color Copier B/W Pages</x:v>
      </x:c>
      <x:c r="C24" s="6" t="str">
        <x:v>0</x:v>
      </x:c>
      <x:c r="D24" s="6" t="str">
        <x:v>$ .0160</x:v>
      </x:c>
      <x:c r="E24" s="59" t="str">
        <x:f>=SUM(C24* D24)</x:f>
      </x:c>
    </x:row>
    <x:row r="25" spans="1:10" x14ac:dyDescent="0.25">
      <x:c r="B25" s="58" t="str">
        <x:v>Color Copier Color Pages</x:v>
      </x:c>
      <x:c r="C25" s="6" t="str">
        <x:v>0</x:v>
      </x:c>
      <x:c r="D25" s="6" t="str">
        <x:v>$ .1110</x:v>
      </x:c>
      <x:c r="E25" s="59" t="str">
        <x:f>=SUM(C25* D25)</x:f>
      </x:c>
    </x:row>
    <x:row r="26" spans="1:10" x14ac:dyDescent="0.25">
      <x:c r="A26" s="19"/>
      <x:c r="B26" s="174"/>
      <x:c r="C26" s="174"/>
      <x:c r="D26" s="174">
        <x:v>Rollover Savings: </x:v>
      </x:c>
      <x:c r="E26" s="174">
        <x:f ca="1">SUM(E21:E25)</x:f>
      </x:c>
    </x:row>
    <x:row r="28" spans="1:10" ht="15.5" customHeight="1" x14ac:dyDescent="0.25">
      <x:c r="A28"/>
      <x:c r="B28" s="194" t="str">
        <x:v>November 2018 - November 2018</x:v>
      </x:c>
      <x:c r="C28" s="164"/>
      <x:c r="D28" s="164"/>
      <x:c r="E28" s="164"/>
    </x:row>
    <x:row r="29" spans="1:10" ht="27.75" customHeight="1" x14ac:dyDescent="0.25">
      <x:c r="B29" s="47" t="str">
        <x:v>Meter Group</x:v>
      </x:c>
      <x:c r="C29" s="45" t="str">
        <x:v>Rollover Pages For Period</x:v>
      </x:c>
      <x:c r="D29" s="45" t="str">
        <x:v>Pre-FPR CPP</x:v>
      </x:c>
      <x:c r="E29" s="46" t="str">
        <x:v>Rollover Savings</x:v>
      </x:c>
    </x:row>
    <x:row r="30" spans="1:10" x14ac:dyDescent="0.25">
      <x:c r="B30" s="60" t="str">
        <x:v>B/W Copies</x:v>
      </x:c>
      <x:c r="C30" s="73" t="str">
        <x:v>0</x:v>
      </x:c>
      <x:c r="D30" s="73" t="str">
        <x:v>$ .0160</x:v>
      </x:c>
      <x:c r="E30" s="61" t="n">
        <x:f>=SUM(C30* D30)</x:f>
      </x:c>
    </x:row>
    <x:row r="31" spans="1:10" x14ac:dyDescent="0.25">
      <x:c r="B31" s="60" t="str">
        <x:v>B/W Laser Prints</x:v>
      </x:c>
      <x:c r="C31" s="73" t="str">
        <x:v>0</x:v>
      </x:c>
      <x:c r="D31" s="73" t="str">
        <x:v>$ .0214</x:v>
      </x:c>
      <x:c r="E31" s="61" t="n">
        <x:f>=SUM(C31* D31)</x:f>
      </x:c>
    </x:row>
    <x:row r="32" spans="1:10" x14ac:dyDescent="0.25">
      <x:c r="B32" s="58" t="str">
        <x:v>Color Copier B/W Pages</x:v>
      </x:c>
      <x:c r="C32" s="6" t="str">
        <x:v>0</x:v>
      </x:c>
      <x:c r="D32" s="6" t="str">
        <x:v>$ .0160</x:v>
      </x:c>
      <x:c r="E32" s="59" t="str">
        <x:f>=SUM(C32* D32)</x:f>
      </x:c>
    </x:row>
    <x:row r="33" spans="1:10" x14ac:dyDescent="0.25">
      <x:c r="B33" s="58" t="str">
        <x:v>Color Copier Color Pages</x:v>
      </x:c>
      <x:c r="C33" s="6" t="str">
        <x:v>0</x:v>
      </x:c>
      <x:c r="D33" s="6" t="str">
        <x:v>$ .1110</x:v>
      </x:c>
      <x:c r="E33" s="59" t="str">
        <x:f>=SUM(C33* D33)</x:f>
      </x:c>
    </x:row>
    <x:row r="34" spans="1:10" x14ac:dyDescent="0.25">
      <x:c r="A34" s="19"/>
      <x:c r="B34" s="174"/>
      <x:c r="C34" s="174"/>
      <x:c r="D34" s="174">
        <x:v>Rollover Savings: </x:v>
      </x:c>
      <x:c r="E34" s="174">
        <x:f ca="1">SUM(E29:E33)</x:f>
      </x:c>
    </x:row>
    <x:row r="36" spans="1:10" ht="15.5" customHeight="1" x14ac:dyDescent="0.25">
      <x:c r="A36"/>
      <x:c r="B36" s="194" t="str">
        <x:v>October 2018 - October 2018</x:v>
      </x:c>
      <x:c r="C36" s="164"/>
      <x:c r="D36" s="164"/>
      <x:c r="E36" s="164"/>
    </x:row>
    <x:row r="37" spans="1:10" ht="27.75" customHeight="1" x14ac:dyDescent="0.25">
      <x:c r="B37" s="47" t="str">
        <x:v>Meter Group</x:v>
      </x:c>
      <x:c r="C37" s="45" t="str">
        <x:v>Rollover Pages For Period</x:v>
      </x:c>
      <x:c r="D37" s="45" t="str">
        <x:v>Pre-FPR CPP</x:v>
      </x:c>
      <x:c r="E37" s="46" t="str">
        <x:v>Rollover Savings</x:v>
      </x:c>
    </x:row>
    <x:row r="38" spans="1:10" x14ac:dyDescent="0.25">
      <x:c r="B38" s="60" t="str">
        <x:v>B/W Copies</x:v>
      </x:c>
      <x:c r="C38" s="73" t="str">
        <x:v>0</x:v>
      </x:c>
      <x:c r="D38" s="73" t="str">
        <x:v>$ .0160</x:v>
      </x:c>
      <x:c r="E38" s="61" t="n">
        <x:f>=SUM(C38* D38)</x:f>
      </x:c>
    </x:row>
    <x:row r="39" spans="1:10" x14ac:dyDescent="0.25">
      <x:c r="B39" s="60" t="str">
        <x:v>B/W Laser Prints</x:v>
      </x:c>
      <x:c r="C39" s="73" t="str">
        <x:v>0</x:v>
      </x:c>
      <x:c r="D39" s="73" t="str">
        <x:v>$ .0214</x:v>
      </x:c>
      <x:c r="E39" s="61" t="n">
        <x:f>=SUM(C39* D39)</x:f>
      </x:c>
    </x:row>
    <x:row r="40" spans="1:10" x14ac:dyDescent="0.25">
      <x:c r="B40" s="58" t="str">
        <x:v>Color Copier B/W Pages</x:v>
      </x:c>
      <x:c r="C40" s="6" t="str">
        <x:v>0</x:v>
      </x:c>
      <x:c r="D40" s="6" t="str">
        <x:v>$ .0160</x:v>
      </x:c>
      <x:c r="E40" s="59" t="str">
        <x:f>=SUM(C40* D40)</x:f>
      </x:c>
    </x:row>
    <x:row r="41" spans="1:10" x14ac:dyDescent="0.25">
      <x:c r="B41" s="58" t="str">
        <x:v>Color Copier Color Pages</x:v>
      </x:c>
      <x:c r="C41" s="6" t="str">
        <x:v>0</x:v>
      </x:c>
      <x:c r="D41" s="6" t="str">
        <x:v>$ .1110</x:v>
      </x:c>
      <x:c r="E41" s="59" t="str">
        <x:f>=SUM(C41* D41)</x:f>
      </x:c>
    </x:row>
    <x:row r="42" spans="1:10" x14ac:dyDescent="0.25">
      <x:c r="A42" s="19"/>
      <x:c r="B42" s="174"/>
      <x:c r="C42" s="174"/>
      <x:c r="D42" s="174">
        <x:v>Rollover Savings: </x:v>
      </x:c>
      <x:c r="E42" s="174">
        <x:f ca="1">SUM(E37:E41)</x:f>
      </x:c>
    </x:row>
    <x:row r="44" spans="1:10" ht="15.5" customHeight="1" x14ac:dyDescent="0.25">
      <x:c r="A44"/>
      <x:c r="B44" s="194" t="str">
        <x:v>September 2018 - September 2018</x:v>
      </x:c>
      <x:c r="C44" s="164"/>
      <x:c r="D44" s="164"/>
      <x:c r="E44" s="164"/>
    </x:row>
    <x:row r="45" spans="1:10" ht="27.75" customHeight="1" x14ac:dyDescent="0.25">
      <x:c r="B45" s="47" t="str">
        <x:v>Meter Group</x:v>
      </x:c>
      <x:c r="C45" s="45" t="str">
        <x:v>Rollover Pages For Period</x:v>
      </x:c>
      <x:c r="D45" s="45" t="str">
        <x:v>Pre-FPR CPP</x:v>
      </x:c>
      <x:c r="E45" s="46" t="str">
        <x:v>Rollover Savings</x:v>
      </x:c>
    </x:row>
    <x:row r="46" spans="1:10" x14ac:dyDescent="0.25">
      <x:c r="B46" s="60" t="str">
        <x:v>B/W Copies</x:v>
      </x:c>
      <x:c r="C46" s="73" t="str">
        <x:v>0</x:v>
      </x:c>
      <x:c r="D46" s="73" t="str">
        <x:v>$ .0160</x:v>
      </x:c>
      <x:c r="E46" s="61" t="n">
        <x:f>=SUM(C46* D46)</x:f>
      </x:c>
    </x:row>
    <x:row r="47" spans="1:10" x14ac:dyDescent="0.25">
      <x:c r="B47" s="60" t="str">
        <x:v>B/W Laser Prints</x:v>
      </x:c>
      <x:c r="C47" s="73" t="str">
        <x:v>0</x:v>
      </x:c>
      <x:c r="D47" s="73" t="str">
        <x:v>$ .0214</x:v>
      </x:c>
      <x:c r="E47" s="61" t="n">
        <x:f>=SUM(C47* D47)</x:f>
      </x:c>
    </x:row>
    <x:row r="48" spans="1:10" x14ac:dyDescent="0.25">
      <x:c r="B48" s="58" t="str">
        <x:v>Color Copier B/W Pages</x:v>
      </x:c>
      <x:c r="C48" s="6" t="str">
        <x:v>0</x:v>
      </x:c>
      <x:c r="D48" s="6" t="str">
        <x:v>$ .0160</x:v>
      </x:c>
      <x:c r="E48" s="59" t="str">
        <x:f>=SUM(C48* D48)</x:f>
      </x:c>
    </x:row>
    <x:row r="49" spans="1:10" x14ac:dyDescent="0.25">
      <x:c r="B49" s="58" t="str">
        <x:v>Color Copier Color Pages</x:v>
      </x:c>
      <x:c r="C49" s="6" t="str">
        <x:v>0</x:v>
      </x:c>
      <x:c r="D49" s="6" t="str">
        <x:v>$ .1110</x:v>
      </x:c>
      <x:c r="E49" s="59" t="str">
        <x:f>=SUM(C49* D49)</x:f>
      </x:c>
    </x:row>
    <x:row r="50" spans="1:10" x14ac:dyDescent="0.25">
      <x:c r="A50" s="19"/>
      <x:c r="B50" s="174"/>
      <x:c r="C50" s="174"/>
      <x:c r="D50" s="174">
        <x:v>Rollover Savings: </x:v>
      </x:c>
      <x:c r="E50" s="174">
        <x:f ca="1">SUM(E45:E49)</x:f>
      </x:c>
    </x:row>
    <x:row r="52" spans="1:10" ht="15.5" customHeight="1" x14ac:dyDescent="0.25">
      <x:c r="A52"/>
      <x:c r="B52" s="194" t="str">
        <x:v>August 2018 - August 2018</x:v>
      </x:c>
      <x:c r="C52" s="164"/>
      <x:c r="D52" s="164"/>
      <x:c r="E52" s="164"/>
    </x:row>
    <x:row r="53" spans="1:10" ht="27.75" customHeight="1" x14ac:dyDescent="0.25">
      <x:c r="B53" s="47" t="str">
        <x:v>Meter Group</x:v>
      </x:c>
      <x:c r="C53" s="45" t="str">
        <x:v>Rollover Pages For Period</x:v>
      </x:c>
      <x:c r="D53" s="45" t="str">
        <x:v>Pre-FPR CPP</x:v>
      </x:c>
      <x:c r="E53" s="46" t="str">
        <x:v>Rollover Savings</x:v>
      </x:c>
    </x:row>
    <x:row r="54" spans="1:10" x14ac:dyDescent="0.25">
      <x:c r="B54" s="60" t="str">
        <x:v>B/W Copies</x:v>
      </x:c>
      <x:c r="C54" s="73" t="str">
        <x:v>0</x:v>
      </x:c>
      <x:c r="D54" s="73" t="str">
        <x:v>$ .0160</x:v>
      </x:c>
      <x:c r="E54" s="61" t="n">
        <x:f>=SUM(C54* D54)</x:f>
      </x:c>
    </x:row>
    <x:row r="55" spans="1:10" x14ac:dyDescent="0.25">
      <x:c r="B55" s="60" t="str">
        <x:v>B/W Laser Prints</x:v>
      </x:c>
      <x:c r="C55" s="73" t="str">
        <x:v>0</x:v>
      </x:c>
      <x:c r="D55" s="73" t="str">
        <x:v>$ .0214</x:v>
      </x:c>
      <x:c r="E55" s="61" t="n">
        <x:f>=SUM(C55* D55)</x:f>
      </x:c>
    </x:row>
    <x:row r="56" spans="1:10" x14ac:dyDescent="0.25">
      <x:c r="B56" s="58" t="str">
        <x:v>Color Copier B/W Pages</x:v>
      </x:c>
      <x:c r="C56" s="6" t="str">
        <x:v>0</x:v>
      </x:c>
      <x:c r="D56" s="6" t="str">
        <x:v>$ .0160</x:v>
      </x:c>
      <x:c r="E56" s="59" t="str">
        <x:f>=SUM(C56* D56)</x:f>
      </x:c>
    </x:row>
    <x:row r="57" spans="1:10" x14ac:dyDescent="0.25">
      <x:c r="B57" s="58" t="str">
        <x:v>Color Copier Color Pages</x:v>
      </x:c>
      <x:c r="C57" s="6" t="str">
        <x:v>0</x:v>
      </x:c>
      <x:c r="D57" s="6" t="str">
        <x:v>$ .1110</x:v>
      </x:c>
      <x:c r="E57" s="59" t="str">
        <x:f>=SUM(C57* D57)</x:f>
      </x:c>
    </x:row>
    <x:row r="58" spans="1:10" x14ac:dyDescent="0.25">
      <x:c r="A58" s="19"/>
      <x:c r="B58" s="174"/>
      <x:c r="C58" s="174"/>
      <x:c r="D58" s="174">
        <x:v>Rollover Savings: </x:v>
      </x:c>
      <x:c r="E58" s="174">
        <x:f ca="1">SUM(E53:E57)</x:f>
      </x:c>
    </x:row>
    <x:row r="60" spans="1:10" ht="15.5" customHeight="1" x14ac:dyDescent="0.25">
      <x:c r="A60"/>
      <x:c r="B60" s="194" t="str">
        <x:v>July 2018 - July 2018</x:v>
      </x:c>
      <x:c r="C60" s="164"/>
      <x:c r="D60" s="164"/>
      <x:c r="E60" s="164"/>
    </x:row>
    <x:row r="61" spans="1:10" ht="27.75" customHeight="1" x14ac:dyDescent="0.25">
      <x:c r="B61" s="47" t="str">
        <x:v>Meter Group</x:v>
      </x:c>
      <x:c r="C61" s="45" t="str">
        <x:v>Rollover Pages For Period</x:v>
      </x:c>
      <x:c r="D61" s="45" t="str">
        <x:v>Pre-FPR CPP</x:v>
      </x:c>
      <x:c r="E61" s="46" t="str">
        <x:v>Rollover Savings</x:v>
      </x:c>
    </x:row>
    <x:row r="62" spans="1:10" x14ac:dyDescent="0.25">
      <x:c r="B62" s="60" t="str">
        <x:v>B/W Copies</x:v>
      </x:c>
      <x:c r="C62" s="73" t="str">
        <x:v>0</x:v>
      </x:c>
      <x:c r="D62" s="73" t="str">
        <x:v>$ .0160</x:v>
      </x:c>
      <x:c r="E62" s="61" t="n">
        <x:f>=SUM(C62* D62)</x:f>
      </x:c>
    </x:row>
    <x:row r="63" spans="1:10" x14ac:dyDescent="0.25">
      <x:c r="B63" s="60" t="str">
        <x:v>B/W Laser Prints</x:v>
      </x:c>
      <x:c r="C63" s="73" t="str">
        <x:v>0</x:v>
      </x:c>
      <x:c r="D63" s="73" t="str">
        <x:v>$ .0214</x:v>
      </x:c>
      <x:c r="E63" s="61" t="n">
        <x:f>=SUM(C63* D63)</x:f>
      </x:c>
    </x:row>
    <x:row r="64" spans="1:10" x14ac:dyDescent="0.25">
      <x:c r="B64" s="58" t="str">
        <x:v>Color Copier B/W Pages</x:v>
      </x:c>
      <x:c r="C64" s="6" t="str">
        <x:v>0</x:v>
      </x:c>
      <x:c r="D64" s="6" t="str">
        <x:v>$ .0160</x:v>
      </x:c>
      <x:c r="E64" s="59" t="str">
        <x:f>=SUM(C64* D64)</x:f>
      </x:c>
    </x:row>
    <x:row r="65" spans="1:10" x14ac:dyDescent="0.25">
      <x:c r="B65" s="58" t="str">
        <x:v>Color Copier Color Pages</x:v>
      </x:c>
      <x:c r="C65" s="6" t="str">
        <x:v>0</x:v>
      </x:c>
      <x:c r="D65" s="6" t="str">
        <x:v>$ .1110</x:v>
      </x:c>
      <x:c r="E65" s="59" t="str">
        <x:f>=SUM(C65* D65)</x:f>
      </x:c>
    </x:row>
    <x:row r="66" spans="1:10" x14ac:dyDescent="0.25">
      <x:c r="A66" s="19"/>
      <x:c r="B66" s="174"/>
      <x:c r="C66" s="174"/>
      <x:c r="D66" s="174">
        <x:v>Rollover Savings: </x:v>
      </x:c>
      <x:c r="E66" s="174">
        <x:f ca="1">SUM(E61:E65)</x:f>
      </x:c>
    </x:row>
    <x:row r="68" spans="1:10" ht="15.5" customHeight="1" x14ac:dyDescent="0.25">
      <x:c r="A68"/>
      <x:c r="B68" s="194" t="str">
        <x:v>June 2018 - June 2018</x:v>
      </x:c>
      <x:c r="C68" s="164"/>
      <x:c r="D68" s="164"/>
      <x:c r="E68" s="164"/>
    </x:row>
    <x:row r="69" spans="1:10" ht="27.75" customHeight="1" x14ac:dyDescent="0.25">
      <x:c r="B69" s="47" t="str">
        <x:v>Meter Group</x:v>
      </x:c>
      <x:c r="C69" s="45" t="str">
        <x:v>Rollover Pages For Period</x:v>
      </x:c>
      <x:c r="D69" s="45" t="str">
        <x:v>Pre-FPR CPP</x:v>
      </x:c>
      <x:c r="E69" s="46" t="str">
        <x:v>Rollover Savings</x:v>
      </x:c>
    </x:row>
    <x:row r="70" spans="1:10" x14ac:dyDescent="0.25">
      <x:c r="B70" s="60" t="str">
        <x:v>B/W Copies</x:v>
      </x:c>
      <x:c r="C70" s="73" t="str">
        <x:v>0</x:v>
      </x:c>
      <x:c r="D70" s="73" t="str">
        <x:v>$ .0160</x:v>
      </x:c>
      <x:c r="E70" s="61" t="n">
        <x:f>=SUM(C70* D70)</x:f>
      </x:c>
    </x:row>
    <x:row r="71" spans="1:10" x14ac:dyDescent="0.25">
      <x:c r="B71" s="60" t="str">
        <x:v>B/W Laser Prints</x:v>
      </x:c>
      <x:c r="C71" s="73" t="str">
        <x:v>0</x:v>
      </x:c>
      <x:c r="D71" s="73" t="str">
        <x:v>$ .0214</x:v>
      </x:c>
      <x:c r="E71" s="61" t="n">
        <x:f>=SUM(C71* D71)</x:f>
      </x:c>
    </x:row>
    <x:row r="72" spans="1:10" x14ac:dyDescent="0.25">
      <x:c r="B72" s="58" t="str">
        <x:v>Color Copier B/W Pages</x:v>
      </x:c>
      <x:c r="C72" s="6" t="str">
        <x:v>0</x:v>
      </x:c>
      <x:c r="D72" s="6" t="str">
        <x:v>$ .0160</x:v>
      </x:c>
      <x:c r="E72" s="59" t="str">
        <x:f>=SUM(C72* D72)</x:f>
      </x:c>
    </x:row>
    <x:row r="73" spans="1:10" x14ac:dyDescent="0.25">
      <x:c r="B73" s="58" t="str">
        <x:v>Color Copier Color Pages</x:v>
      </x:c>
      <x:c r="C73" s="6" t="str">
        <x:v>0</x:v>
      </x:c>
      <x:c r="D73" s="6" t="str">
        <x:v>$ .1110</x:v>
      </x:c>
      <x:c r="E73" s="59" t="str">
        <x:f>=SUM(C73* D73)</x:f>
      </x:c>
    </x:row>
    <x:row r="74" spans="1:10" x14ac:dyDescent="0.25">
      <x:c r="A74" s="19"/>
      <x:c r="B74" s="174"/>
      <x:c r="C74" s="174"/>
      <x:c r="D74" s="174">
        <x:v>Rollover Savings: </x:v>
      </x:c>
      <x:c r="E74" s="174">
        <x:f ca="1">SUM(E69:E73)</x:f>
      </x:c>
    </x:row>
    <x:row r="76" spans="1:10" ht="15.5" customHeight="1" x14ac:dyDescent="0.25">
      <x:c r="A76"/>
      <x:c r="B76" s="194" t="str">
        <x:v>May 2018 - May 2018</x:v>
      </x:c>
      <x:c r="C76" s="164"/>
      <x:c r="D76" s="164"/>
      <x:c r="E76" s="164"/>
    </x:row>
    <x:row r="77" spans="1:10" ht="27.75" customHeight="1" x14ac:dyDescent="0.25">
      <x:c r="B77" s="47" t="str">
        <x:v>Meter Group</x:v>
      </x:c>
      <x:c r="C77" s="45" t="str">
        <x:v>Rollover Pages For Period</x:v>
      </x:c>
      <x:c r="D77" s="45" t="str">
        <x:v>Pre-FPR CPP</x:v>
      </x:c>
      <x:c r="E77" s="46" t="str">
        <x:v>Rollover Savings</x:v>
      </x:c>
    </x:row>
    <x:row r="78" spans="1:10" x14ac:dyDescent="0.25">
      <x:c r="B78" s="60" t="str">
        <x:v>B/W Copies</x:v>
      </x:c>
      <x:c r="C78" s="73" t="str">
        <x:v>0</x:v>
      </x:c>
      <x:c r="D78" s="73" t="str">
        <x:v>$ .0160</x:v>
      </x:c>
      <x:c r="E78" s="61" t="n">
        <x:f>=SUM(C78* D78)</x:f>
      </x:c>
    </x:row>
    <x:row r="79" spans="1:10" x14ac:dyDescent="0.25">
      <x:c r="B79" s="60" t="str">
        <x:v>B/W Laser Prints</x:v>
      </x:c>
      <x:c r="C79" s="73" t="str">
        <x:v>0</x:v>
      </x:c>
      <x:c r="D79" s="73" t="str">
        <x:v>$ .0214</x:v>
      </x:c>
      <x:c r="E79" s="61" t="n">
        <x:f>=SUM(C79* D79)</x:f>
      </x:c>
    </x:row>
    <x:row r="80" spans="1:10" x14ac:dyDescent="0.25">
      <x:c r="B80" s="58" t="str">
        <x:v>Color Copier B/W Pages</x:v>
      </x:c>
      <x:c r="C80" s="6" t="str">
        <x:v>0</x:v>
      </x:c>
      <x:c r="D80" s="6" t="str">
        <x:v>$ .0160</x:v>
      </x:c>
      <x:c r="E80" s="59" t="str">
        <x:f>=SUM(C80* D80)</x:f>
      </x:c>
    </x:row>
    <x:row r="81" spans="1:10" x14ac:dyDescent="0.25">
      <x:c r="B81" s="58" t="str">
        <x:v>Color Copier Color Pages</x:v>
      </x:c>
      <x:c r="C81" s="6" t="str">
        <x:v>0</x:v>
      </x:c>
      <x:c r="D81" s="6" t="str">
        <x:v>$ .1110</x:v>
      </x:c>
      <x:c r="E81" s="59" t="str">
        <x:f>=SUM(C81* D81)</x:f>
      </x:c>
    </x:row>
    <x:row r="82" spans="1:10" x14ac:dyDescent="0.25">
      <x:c r="A82" s="19"/>
      <x:c r="B82" s="174"/>
      <x:c r="C82" s="174"/>
      <x:c r="D82" s="174">
        <x:v>Rollover Savings: </x:v>
      </x:c>
      <x:c r="E82" s="174">
        <x:f ca="1">SUM(E77:E81)</x:f>
      </x:c>
    </x:row>
    <x:row r="84" spans="1:10" ht="15.5" customHeight="1" x14ac:dyDescent="0.25">
      <x:c r="A84"/>
      <x:c r="B84" s="194" t="str">
        <x:v>April 2018 - April 2018</x:v>
      </x:c>
      <x:c r="C84" s="164"/>
      <x:c r="D84" s="164"/>
      <x:c r="E84" s="164"/>
    </x:row>
    <x:row r="85" spans="1:10" ht="27.75" customHeight="1" x14ac:dyDescent="0.25">
      <x:c r="B85" s="47" t="str">
        <x:v>Meter Group</x:v>
      </x:c>
      <x:c r="C85" s="45" t="str">
        <x:v>Rollover Pages For Period</x:v>
      </x:c>
      <x:c r="D85" s="45" t="str">
        <x:v>Pre-FPR CPP</x:v>
      </x:c>
      <x:c r="E85" s="46" t="str">
        <x:v>Rollover Savings</x:v>
      </x:c>
    </x:row>
    <x:row r="86" spans="1:10" x14ac:dyDescent="0.25">
      <x:c r="B86" s="60" t="str">
        <x:v>B/W Copies</x:v>
      </x:c>
      <x:c r="C86" s="73" t="str">
        <x:v>0</x:v>
      </x:c>
      <x:c r="D86" s="73" t="str">
        <x:v>$ .0160</x:v>
      </x:c>
      <x:c r="E86" s="61" t="n">
        <x:f>=SUM(C86* D86)</x:f>
      </x:c>
    </x:row>
    <x:row r="87" spans="1:10" x14ac:dyDescent="0.25">
      <x:c r="B87" s="60" t="str">
        <x:v>B/W Laser Prints</x:v>
      </x:c>
      <x:c r="C87" s="73" t="str">
        <x:v>0</x:v>
      </x:c>
      <x:c r="D87" s="73" t="str">
        <x:v>$ .0214</x:v>
      </x:c>
      <x:c r="E87" s="61" t="n">
        <x:f>=SUM(C87* D87)</x:f>
      </x:c>
    </x:row>
    <x:row r="88" spans="1:10" x14ac:dyDescent="0.25">
      <x:c r="B88" s="58" t="str">
        <x:v>Color Copier B/W Pages</x:v>
      </x:c>
      <x:c r="C88" s="6" t="str">
        <x:v>0</x:v>
      </x:c>
      <x:c r="D88" s="6" t="str">
        <x:v>$ .0160</x:v>
      </x:c>
      <x:c r="E88" s="59" t="str">
        <x:f>=SUM(C88* D88)</x:f>
      </x:c>
    </x:row>
    <x:row r="89" spans="1:10" x14ac:dyDescent="0.25">
      <x:c r="B89" s="58" t="str">
        <x:v>Color Copier Color Pages</x:v>
      </x:c>
      <x:c r="C89" s="6" t="str">
        <x:v>0</x:v>
      </x:c>
      <x:c r="D89" s="6" t="str">
        <x:v>$ .1110</x:v>
      </x:c>
      <x:c r="E89" s="59" t="str">
        <x:f>=SUM(C89* D89)</x:f>
      </x:c>
    </x:row>
    <x:row r="90" spans="1:10" x14ac:dyDescent="0.25">
      <x:c r="A90" s="19"/>
      <x:c r="B90" s="174"/>
      <x:c r="C90" s="174"/>
      <x:c r="D90" s="174">
        <x:v>Rollover Savings: </x:v>
      </x:c>
      <x:c r="E90" s="174">
        <x:f ca="1">SUM(E85:E89)</x:f>
      </x:c>
    </x:row>
    <x:row r="92" spans="1:10" ht="15.5" customHeight="1" x14ac:dyDescent="0.25">
      <x:c r="A92"/>
      <x:c r="B92" s="194" t="str">
        <x:v>March 2018 - March 2018</x:v>
      </x:c>
      <x:c r="C92" s="164"/>
      <x:c r="D92" s="164"/>
      <x:c r="E92" s="164"/>
    </x:row>
    <x:row r="93" spans="1:10" ht="27.75" customHeight="1" x14ac:dyDescent="0.25">
      <x:c r="B93" s="47" t="str">
        <x:v>Meter Group</x:v>
      </x:c>
      <x:c r="C93" s="45" t="str">
        <x:v>Rollover Pages For Period</x:v>
      </x:c>
      <x:c r="D93" s="45" t="str">
        <x:v>Pre-FPR CPP</x:v>
      </x:c>
      <x:c r="E93" s="46" t="str">
        <x:v>Rollover Savings</x:v>
      </x:c>
    </x:row>
    <x:row r="94" spans="1:10" x14ac:dyDescent="0.25">
      <x:c r="B94" s="60" t="str">
        <x:v>B/W Copies</x:v>
      </x:c>
      <x:c r="C94" s="73" t="str">
        <x:v>0</x:v>
      </x:c>
      <x:c r="D94" s="73" t="str">
        <x:v>$ .0160</x:v>
      </x:c>
      <x:c r="E94" s="61" t="n">
        <x:f>=SUM(C94* D94)</x:f>
      </x:c>
    </x:row>
    <x:row r="95" spans="1:10" x14ac:dyDescent="0.25">
      <x:c r="B95" s="60" t="str">
        <x:v>B/W Laser Prints</x:v>
      </x:c>
      <x:c r="C95" s="73" t="str">
        <x:v>0</x:v>
      </x:c>
      <x:c r="D95" s="73" t="str">
        <x:v>$ .0214</x:v>
      </x:c>
      <x:c r="E95" s="61" t="n">
        <x:f>=SUM(C95* D95)</x:f>
      </x:c>
    </x:row>
    <x:row r="96" spans="1:10" x14ac:dyDescent="0.25">
      <x:c r="B96" s="58" t="str">
        <x:v>Color Copier B/W Pages</x:v>
      </x:c>
      <x:c r="C96" s="6" t="str">
        <x:v>0</x:v>
      </x:c>
      <x:c r="D96" s="6" t="str">
        <x:v>$ .0160</x:v>
      </x:c>
      <x:c r="E96" s="59" t="str">
        <x:f>=SUM(C96* D96)</x:f>
      </x:c>
    </x:row>
    <x:row r="97" spans="1:10" x14ac:dyDescent="0.25">
      <x:c r="B97" s="58" t="str">
        <x:v>Color Copier Color Pages</x:v>
      </x:c>
      <x:c r="C97" s="6" t="str">
        <x:v>0</x:v>
      </x:c>
      <x:c r="D97" s="6" t="str">
        <x:v>$ .1110</x:v>
      </x:c>
      <x:c r="E97" s="59" t="str">
        <x:f>=SUM(C97* D97)</x:f>
      </x:c>
    </x:row>
    <x:row r="98" spans="1:10" x14ac:dyDescent="0.25">
      <x:c r="A98" s="19"/>
      <x:c r="B98" s="174"/>
      <x:c r="C98" s="174"/>
      <x:c r="D98" s="174">
        <x:v>Rollover Savings: </x:v>
      </x:c>
      <x:c r="E98" s="174">
        <x:f ca="1">SUM(E93:E97)</x:f>
      </x:c>
    </x:row>
    <x:row r="100" spans="1:10" ht="15.5" customHeight="1" x14ac:dyDescent="0.25">
      <x:c r="A100"/>
      <x:c r="B100" s="194" t="str">
        <x:v>February 2018 - February 2018</x:v>
      </x:c>
      <x:c r="C100" s="164"/>
      <x:c r="D100" s="164"/>
      <x:c r="E100" s="164"/>
    </x:row>
    <x:row r="101" spans="1:10" ht="27.75" customHeight="1" x14ac:dyDescent="0.25">
      <x:c r="B101" s="47" t="str">
        <x:v>Meter Group</x:v>
      </x:c>
      <x:c r="C101" s="45" t="str">
        <x:v>Rollover Pages For Period</x:v>
      </x:c>
      <x:c r="D101" s="45" t="str">
        <x:v>Pre-FPR CPP</x:v>
      </x:c>
      <x:c r="E101" s="46" t="str">
        <x:v>Rollover Savings</x:v>
      </x:c>
    </x:row>
    <x:row r="102" spans="1:10" x14ac:dyDescent="0.25">
      <x:c r="B102" s="60" t="str">
        <x:v>B/W Copies</x:v>
      </x:c>
      <x:c r="C102" s="73" t="str">
        <x:v>0</x:v>
      </x:c>
      <x:c r="D102" s="73" t="str">
        <x:v>$ .0160</x:v>
      </x:c>
      <x:c r="E102" s="61" t="n">
        <x:f>=SUM(C102* D102)</x:f>
      </x:c>
    </x:row>
    <x:row r="103" spans="1:10" x14ac:dyDescent="0.25">
      <x:c r="B103" s="60" t="str">
        <x:v>B/W Laser Prints</x:v>
      </x:c>
      <x:c r="C103" s="73" t="str">
        <x:v>0</x:v>
      </x:c>
      <x:c r="D103" s="73" t="str">
        <x:v>$ .0214</x:v>
      </x:c>
      <x:c r="E103" s="61" t="n">
        <x:f>=SUM(C103* D103)</x:f>
      </x:c>
    </x:row>
    <x:row r="104" spans="1:10" x14ac:dyDescent="0.25">
      <x:c r="B104" s="58" t="str">
        <x:v>Color Copier B/W Pages</x:v>
      </x:c>
      <x:c r="C104" s="6" t="str">
        <x:v>0</x:v>
      </x:c>
      <x:c r="D104" s="6" t="str">
        <x:v>$ .0160</x:v>
      </x:c>
      <x:c r="E104" s="59" t="str">
        <x:f>=SUM(C104* D104)</x:f>
      </x:c>
    </x:row>
    <x:row r="105" spans="1:10" x14ac:dyDescent="0.25">
      <x:c r="B105" s="58" t="str">
        <x:v>Color Copier Color Pages</x:v>
      </x:c>
      <x:c r="C105" s="6" t="str">
        <x:v>0</x:v>
      </x:c>
      <x:c r="D105" s="6" t="str">
        <x:v>$ .1110</x:v>
      </x:c>
      <x:c r="E105" s="59" t="str">
        <x:f>=SUM(C105* D105)</x:f>
      </x:c>
    </x:row>
    <x:row r="106" spans="1:10" x14ac:dyDescent="0.25">
      <x:c r="A106" s="19"/>
      <x:c r="B106" s="174"/>
      <x:c r="C106" s="174"/>
      <x:c r="D106" s="174">
        <x:v>Rollover Savings: </x:v>
      </x:c>
      <x:c r="E106" s="174">
        <x:f ca="1">SUM(E101:E105)</x:f>
      </x:c>
    </x:row>
    <x:row r="108" spans="1:10" ht="15.5" customHeight="1" x14ac:dyDescent="0.25">
      <x:c r="A108"/>
      <x:c r="B108" s="194" t="str">
        <x:v>January 2018 - January 2018</x:v>
      </x:c>
      <x:c r="C108" s="164"/>
      <x:c r="D108" s="164"/>
      <x:c r="E108" s="164"/>
    </x:row>
    <x:row r="109" spans="1:10" ht="27.75" customHeight="1" x14ac:dyDescent="0.25">
      <x:c r="B109" s="47" t="str">
        <x:v>Meter Group</x:v>
      </x:c>
      <x:c r="C109" s="45" t="str">
        <x:v>Rollover Pages For Period</x:v>
      </x:c>
      <x:c r="D109" s="45" t="str">
        <x:v>Pre-FPR CPP</x:v>
      </x:c>
      <x:c r="E109" s="46" t="str">
        <x:v>Rollover Savings</x:v>
      </x:c>
    </x:row>
    <x:row r="110" spans="1:10" x14ac:dyDescent="0.25">
      <x:c r="B110" s="60" t="str">
        <x:v>B/W Copies</x:v>
      </x:c>
      <x:c r="C110" s="73" t="str">
        <x:v>0</x:v>
      </x:c>
      <x:c r="D110" s="73" t="str">
        <x:v>$ .0160</x:v>
      </x:c>
      <x:c r="E110" s="61" t="n">
        <x:f>=SUM(C110* D110)</x:f>
      </x:c>
    </x:row>
    <x:row r="111" spans="1:10" x14ac:dyDescent="0.25">
      <x:c r="B111" s="60" t="str">
        <x:v>B/W Laser Prints</x:v>
      </x:c>
      <x:c r="C111" s="73" t="str">
        <x:v>0</x:v>
      </x:c>
      <x:c r="D111" s="73" t="str">
        <x:v>$ .0214</x:v>
      </x:c>
      <x:c r="E111" s="61" t="n">
        <x:f>=SUM(C111* D111)</x:f>
      </x:c>
    </x:row>
    <x:row r="112" spans="1:10" x14ac:dyDescent="0.25">
      <x:c r="B112" s="58" t="str">
        <x:v>Color Copier B/W Pages</x:v>
      </x:c>
      <x:c r="C112" s="6" t="str">
        <x:v>0</x:v>
      </x:c>
      <x:c r="D112" s="6" t="str">
        <x:v>$ .0160</x:v>
      </x:c>
      <x:c r="E112" s="59" t="str">
        <x:f>=SUM(C112* D112)</x:f>
      </x:c>
    </x:row>
    <x:row r="113" spans="1:10" x14ac:dyDescent="0.25">
      <x:c r="B113" s="58" t="str">
        <x:v>Color Copier Color Pages</x:v>
      </x:c>
      <x:c r="C113" s="6" t="str">
        <x:v>0</x:v>
      </x:c>
      <x:c r="D113" s="6" t="str">
        <x:v>$ .1110</x:v>
      </x:c>
      <x:c r="E113" s="59" t="str">
        <x:f>=SUM(C113* D113)</x:f>
      </x:c>
    </x:row>
    <x:row r="114" spans="1:10" x14ac:dyDescent="0.25">
      <x:c r="A114" s="19"/>
      <x:c r="B114" s="174"/>
      <x:c r="C114" s="174"/>
      <x:c r="D114" s="174">
        <x:v>Rollover Savings: </x:v>
      </x:c>
      <x:c r="E114" s="174">
        <x:f ca="1">SUM(E109:E113)</x:f>
      </x:c>
    </x:row>
    <x:row r="116" spans="1:10" ht="15.5" customHeight="1" x14ac:dyDescent="0.25">
      <x:c r="A116"/>
      <x:c r="B116" s="194" t="str">
        <x:v>December 2017 - December 2017</x:v>
      </x:c>
      <x:c r="C116" s="164"/>
      <x:c r="D116" s="164"/>
      <x:c r="E116" s="164"/>
    </x:row>
    <x:row r="117" spans="1:10" ht="27.75" customHeight="1" x14ac:dyDescent="0.25">
      <x:c r="B117" s="47" t="str">
        <x:v>Meter Group</x:v>
      </x:c>
      <x:c r="C117" s="45" t="str">
        <x:v>Rollover Pages For Period</x:v>
      </x:c>
      <x:c r="D117" s="45" t="str">
        <x:v>Pre-FPR CPP</x:v>
      </x:c>
      <x:c r="E117" s="46" t="str">
        <x:v>Rollover Savings</x:v>
      </x:c>
    </x:row>
    <x:row r="118" spans="1:10" x14ac:dyDescent="0.25">
      <x:c r="B118" s="60" t="str">
        <x:v>B/W Copies</x:v>
      </x:c>
      <x:c r="C118" s="73" t="str">
        <x:v>0</x:v>
      </x:c>
      <x:c r="D118" s="73" t="str">
        <x:v>$ .0160</x:v>
      </x:c>
      <x:c r="E118" s="61" t="n">
        <x:f>=SUM(C118* D118)</x:f>
      </x:c>
    </x:row>
    <x:row r="119" spans="1:10" x14ac:dyDescent="0.25">
      <x:c r="B119" s="60" t="str">
        <x:v>B/W Laser Prints</x:v>
      </x:c>
      <x:c r="C119" s="73" t="str">
        <x:v>0</x:v>
      </x:c>
      <x:c r="D119" s="73" t="str">
        <x:v>$ .0214</x:v>
      </x:c>
      <x:c r="E119" s="61" t="n">
        <x:f>=SUM(C119* D119)</x:f>
      </x:c>
    </x:row>
    <x:row r="120" spans="1:10" x14ac:dyDescent="0.25">
      <x:c r="B120" s="58" t="str">
        <x:v>Color Copier B/W Pages</x:v>
      </x:c>
      <x:c r="C120" s="6" t="str">
        <x:v>0</x:v>
      </x:c>
      <x:c r="D120" s="6" t="str">
        <x:v>$ .0160</x:v>
      </x:c>
      <x:c r="E120" s="59" t="str">
        <x:f>=SUM(C120* D120)</x:f>
      </x:c>
    </x:row>
    <x:row r="121" spans="1:10" x14ac:dyDescent="0.25">
      <x:c r="B121" s="58" t="str">
        <x:v>Color Copier Color Pages</x:v>
      </x:c>
      <x:c r="C121" s="6" t="str">
        <x:v>0</x:v>
      </x:c>
      <x:c r="D121" s="6" t="str">
        <x:v>$ .1110</x:v>
      </x:c>
      <x:c r="E121" s="59" t="str">
        <x:f>=SUM(C121* D121)</x:f>
      </x:c>
    </x:row>
    <x:row r="122" spans="1:10" x14ac:dyDescent="0.25">
      <x:c r="A122" s="19"/>
      <x:c r="B122" s="174"/>
      <x:c r="C122" s="174"/>
      <x:c r="D122" s="174">
        <x:v>Rollover Savings: </x:v>
      </x:c>
      <x:c r="E122" s="174">
        <x:f ca="1">SUM(E117:E121)</x:f>
      </x:c>
    </x:row>
    <x:row r="124" spans="1:10" ht="15.5" customHeight="1" x14ac:dyDescent="0.25">
      <x:c r="A124"/>
      <x:c r="B124" s="194" t="str">
        <x:v>November 2017 - November 2017</x:v>
      </x:c>
      <x:c r="C124" s="164"/>
      <x:c r="D124" s="164"/>
      <x:c r="E124" s="164"/>
    </x:row>
    <x:row r="125" spans="1:10" ht="27.75" customHeight="1" x14ac:dyDescent="0.25">
      <x:c r="B125" s="47" t="str">
        <x:v>Meter Group</x:v>
      </x:c>
      <x:c r="C125" s="45" t="str">
        <x:v>Rollover Pages For Period</x:v>
      </x:c>
      <x:c r="D125" s="45" t="str">
        <x:v>Pre-FPR CPP</x:v>
      </x:c>
      <x:c r="E125" s="46" t="str">
        <x:v>Rollover Savings</x:v>
      </x:c>
    </x:row>
    <x:row r="126" spans="1:10" x14ac:dyDescent="0.25">
      <x:c r="B126" s="60" t="str">
        <x:v>B/W Copies</x:v>
      </x:c>
      <x:c r="C126" s="73" t="str">
        <x:v>0</x:v>
      </x:c>
      <x:c r="D126" s="73" t="str">
        <x:v>$ .0160</x:v>
      </x:c>
      <x:c r="E126" s="61" t="n">
        <x:f>=SUM(C126* D126)</x:f>
      </x:c>
    </x:row>
    <x:row r="127" spans="1:10" x14ac:dyDescent="0.25">
      <x:c r="B127" s="60" t="str">
        <x:v>B/W Laser Prints</x:v>
      </x:c>
      <x:c r="C127" s="73" t="str">
        <x:v>0</x:v>
      </x:c>
      <x:c r="D127" s="73" t="str">
        <x:v>$ .0214</x:v>
      </x:c>
      <x:c r="E127" s="61" t="n">
        <x:f>=SUM(C127* D127)</x:f>
      </x:c>
    </x:row>
    <x:row r="128" spans="1:10" x14ac:dyDescent="0.25">
      <x:c r="B128" s="58" t="str">
        <x:v>Color Copier B/W Pages</x:v>
      </x:c>
      <x:c r="C128" s="6" t="str">
        <x:v>0</x:v>
      </x:c>
      <x:c r="D128" s="6" t="str">
        <x:v>$ .0160</x:v>
      </x:c>
      <x:c r="E128" s="59" t="str">
        <x:f>=SUM(C128* D128)</x:f>
      </x:c>
    </x:row>
    <x:row r="129" spans="1:10" x14ac:dyDescent="0.25">
      <x:c r="B129" s="58" t="str">
        <x:v>Color Copier Color Pages</x:v>
      </x:c>
      <x:c r="C129" s="6" t="str">
        <x:v>0</x:v>
      </x:c>
      <x:c r="D129" s="6" t="str">
        <x:v>$ .1110</x:v>
      </x:c>
      <x:c r="E129" s="59" t="str">
        <x:f>=SUM(C129* D129)</x:f>
      </x:c>
    </x:row>
    <x:row r="130" spans="1:10" x14ac:dyDescent="0.25">
      <x:c r="A130" s="19"/>
      <x:c r="B130" s="174"/>
      <x:c r="C130" s="174"/>
      <x:c r="D130" s="174">
        <x:v>Rollover Savings: </x:v>
      </x:c>
      <x:c r="E130" s="174">
        <x:f ca="1">SUM(E125:E129)</x:f>
      </x:c>
    </x:row>
    <x:row r="132" spans="1:10" ht="15.5" customHeight="1" x14ac:dyDescent="0.25">
      <x:c r="A132"/>
      <x:c r="B132" s="194" t="str">
        <x:v>October 2017 - October 2017</x:v>
      </x:c>
      <x:c r="C132" s="164"/>
      <x:c r="D132" s="164"/>
      <x:c r="E132" s="164"/>
    </x:row>
    <x:row r="133" spans="1:10" ht="27.75" customHeight="1" x14ac:dyDescent="0.25">
      <x:c r="B133" s="47" t="str">
        <x:v>Meter Group</x:v>
      </x:c>
      <x:c r="C133" s="45" t="str">
        <x:v>Rollover Pages For Period</x:v>
      </x:c>
      <x:c r="D133" s="45" t="str">
        <x:v>Pre-FPR CPP</x:v>
      </x:c>
      <x:c r="E133" s="46" t="str">
        <x:v>Rollover Savings</x:v>
      </x:c>
    </x:row>
    <x:row r="134" spans="1:10" x14ac:dyDescent="0.25">
      <x:c r="B134" s="60" t="str">
        <x:v>B/W Copies</x:v>
      </x:c>
      <x:c r="C134" s="73" t="str">
        <x:v>0</x:v>
      </x:c>
      <x:c r="D134" s="73" t="str">
        <x:v>$ .0160</x:v>
      </x:c>
      <x:c r="E134" s="61" t="n">
        <x:f>=SUM(C134* D134)</x:f>
      </x:c>
    </x:row>
    <x:row r="135" spans="1:10" x14ac:dyDescent="0.25">
      <x:c r="B135" s="60" t="str">
        <x:v>B/W Laser Prints</x:v>
      </x:c>
      <x:c r="C135" s="73" t="str">
        <x:v>0</x:v>
      </x:c>
      <x:c r="D135" s="73" t="str">
        <x:v>$ .0214</x:v>
      </x:c>
      <x:c r="E135" s="61" t="n">
        <x:f>=SUM(C135* D135)</x:f>
      </x:c>
    </x:row>
    <x:row r="136" spans="1:10" x14ac:dyDescent="0.25">
      <x:c r="B136" s="58" t="str">
        <x:v>Color Copier B/W Pages</x:v>
      </x:c>
      <x:c r="C136" s="6" t="str">
        <x:v>0</x:v>
      </x:c>
      <x:c r="D136" s="6" t="str">
        <x:v>$ .0160</x:v>
      </x:c>
      <x:c r="E136" s="59" t="str">
        <x:f>=SUM(C136* D136)</x:f>
      </x:c>
    </x:row>
    <x:row r="137" spans="1:10" x14ac:dyDescent="0.25">
      <x:c r="B137" s="58" t="str">
        <x:v>Color Copier Color Pages</x:v>
      </x:c>
      <x:c r="C137" s="6" t="str">
        <x:v>0</x:v>
      </x:c>
      <x:c r="D137" s="6" t="str">
        <x:v>$ .1110</x:v>
      </x:c>
      <x:c r="E137" s="59" t="str">
        <x:f>=SUM(C137* D137)</x:f>
      </x:c>
    </x:row>
    <x:row r="138" spans="1:10" x14ac:dyDescent="0.25">
      <x:c r="A138" s="19"/>
      <x:c r="B138" s="174"/>
      <x:c r="C138" s="174"/>
      <x:c r="D138" s="174">
        <x:v>Rollover Savings: </x:v>
      </x:c>
      <x:c r="E138" s="174">
        <x:f ca="1">SUM(E133:E137)</x:f>
      </x:c>
    </x:row>
    <x:row r="140" spans="1:10" ht="15.5" customHeight="1" x14ac:dyDescent="0.25">
      <x:c r="A140"/>
      <x:c r="B140" s="194" t="str">
        <x:v>September 2017 - September 2017</x:v>
      </x:c>
      <x:c r="C140" s="164"/>
      <x:c r="D140" s="164"/>
      <x:c r="E140" s="164"/>
    </x:row>
    <x:row r="141" spans="1:10" ht="27.75" customHeight="1" x14ac:dyDescent="0.25">
      <x:c r="B141" s="47" t="str">
        <x:v>Meter Group</x:v>
      </x:c>
      <x:c r="C141" s="45" t="str">
        <x:v>Rollover Pages For Period</x:v>
      </x:c>
      <x:c r="D141" s="45" t="str">
        <x:v>Pre-FPR CPP</x:v>
      </x:c>
      <x:c r="E141" s="46" t="str">
        <x:v>Rollover Savings</x:v>
      </x:c>
    </x:row>
    <x:row r="142" spans="1:10" x14ac:dyDescent="0.25">
      <x:c r="B142" s="60" t="str">
        <x:v>B/W Copies</x:v>
      </x:c>
      <x:c r="C142" s="73" t="str">
        <x:v>0</x:v>
      </x:c>
      <x:c r="D142" s="73" t="str">
        <x:v>$ .0160</x:v>
      </x:c>
      <x:c r="E142" s="61" t="n">
        <x:f>=SUM(C142* D142)</x:f>
      </x:c>
    </x:row>
    <x:row r="143" spans="1:10" x14ac:dyDescent="0.25">
      <x:c r="B143" s="60" t="str">
        <x:v>B/W Laser Prints</x:v>
      </x:c>
      <x:c r="C143" s="73" t="str">
        <x:v>0</x:v>
      </x:c>
      <x:c r="D143" s="73" t="str">
        <x:v>$ .0214</x:v>
      </x:c>
      <x:c r="E143" s="61" t="n">
        <x:f>=SUM(C143* D143)</x:f>
      </x:c>
    </x:row>
    <x:row r="144" spans="1:10" x14ac:dyDescent="0.25">
      <x:c r="B144" s="58" t="str">
        <x:v>Color Copier B/W Pages</x:v>
      </x:c>
      <x:c r="C144" s="6" t="str">
        <x:v>0</x:v>
      </x:c>
      <x:c r="D144" s="6" t="str">
        <x:v>$ .0160</x:v>
      </x:c>
      <x:c r="E144" s="59" t="str">
        <x:f>=SUM(C144* D144)</x:f>
      </x:c>
    </x:row>
    <x:row r="145" spans="1:10" x14ac:dyDescent="0.25">
      <x:c r="B145" s="58" t="str">
        <x:v>Color Copier Color Pages</x:v>
      </x:c>
      <x:c r="C145" s="6" t="str">
        <x:v>0</x:v>
      </x:c>
      <x:c r="D145" s="6" t="str">
        <x:v>$ .1110</x:v>
      </x:c>
      <x:c r="E145" s="59" t="str">
        <x:f>=SUM(C145* D145)</x:f>
      </x:c>
    </x:row>
    <x:row r="146" spans="1:10" x14ac:dyDescent="0.25">
      <x:c r="A146" s="19"/>
      <x:c r="B146" s="174"/>
      <x:c r="C146" s="174"/>
      <x:c r="D146" s="174">
        <x:v>Rollover Savings: </x:v>
      </x:c>
      <x:c r="E146" s="174">
        <x:f ca="1">SUM(E141:E145)</x:f>
      </x:c>
    </x:row>
    <x:row r="148" spans="1:10" ht="15.5" customHeight="1" x14ac:dyDescent="0.25">
      <x:c r="A148"/>
      <x:c r="B148" s="194" t="str">
        <x:v>August 2017 - August 2017</x:v>
      </x:c>
      <x:c r="C148" s="164"/>
      <x:c r="D148" s="164"/>
      <x:c r="E148" s="164"/>
    </x:row>
    <x:row r="149" spans="1:10" ht="27.75" customHeight="1" x14ac:dyDescent="0.25">
      <x:c r="B149" s="47" t="str">
        <x:v>Meter Group</x:v>
      </x:c>
      <x:c r="C149" s="45" t="str">
        <x:v>Rollover Pages For Period</x:v>
      </x:c>
      <x:c r="D149" s="45" t="str">
        <x:v>Pre-FPR CPP</x:v>
      </x:c>
      <x:c r="E149" s="46" t="str">
        <x:v>Rollover Savings</x:v>
      </x:c>
    </x:row>
    <x:row r="150" spans="1:10" x14ac:dyDescent="0.25">
      <x:c r="B150" s="60" t="str">
        <x:v>B/W Copies</x:v>
      </x:c>
      <x:c r="C150" s="73" t="str">
        <x:v>0</x:v>
      </x:c>
      <x:c r="D150" s="73" t="str">
        <x:v>$ .0160</x:v>
      </x:c>
      <x:c r="E150" s="61" t="n">
        <x:f>=SUM(C150* D150)</x:f>
      </x:c>
    </x:row>
    <x:row r="151" spans="1:10" x14ac:dyDescent="0.25">
      <x:c r="B151" s="60" t="str">
        <x:v>B/W Laser Prints</x:v>
      </x:c>
      <x:c r="C151" s="73" t="str">
        <x:v>0</x:v>
      </x:c>
      <x:c r="D151" s="73" t="str">
        <x:v>$ .0214</x:v>
      </x:c>
      <x:c r="E151" s="61" t="n">
        <x:f>=SUM(C151* D151)</x:f>
      </x:c>
    </x:row>
    <x:row r="152" spans="1:10" x14ac:dyDescent="0.25">
      <x:c r="B152" s="58" t="str">
        <x:v>Color Copier B/W Pages</x:v>
      </x:c>
      <x:c r="C152" s="6" t="str">
        <x:v>0</x:v>
      </x:c>
      <x:c r="D152" s="6" t="str">
        <x:v>$ .0160</x:v>
      </x:c>
      <x:c r="E152" s="59" t="str">
        <x:f>=SUM(C152* D152)</x:f>
      </x:c>
    </x:row>
    <x:row r="153" spans="1:10" x14ac:dyDescent="0.25">
      <x:c r="B153" s="58" t="str">
        <x:v>Color Copier Color Pages</x:v>
      </x:c>
      <x:c r="C153" s="6" t="str">
        <x:v>0</x:v>
      </x:c>
      <x:c r="D153" s="6" t="str">
        <x:v>$ .1110</x:v>
      </x:c>
      <x:c r="E153" s="59" t="str">
        <x:f>=SUM(C153* D153)</x:f>
      </x:c>
    </x:row>
    <x:row r="154" spans="1:10" x14ac:dyDescent="0.25">
      <x:c r="A154" s="19"/>
      <x:c r="B154" s="174"/>
      <x:c r="C154" s="174"/>
      <x:c r="D154" s="174">
        <x:v>Rollover Savings: </x:v>
      </x:c>
      <x:c r="E154" s="174">
        <x:f ca="1">SUM(E149:E153)</x:f>
      </x:c>
    </x:row>
    <x:row r="156" spans="1:10" ht="15.5" customHeight="1" x14ac:dyDescent="0.25">
      <x:c r="A156"/>
      <x:c r="B156" s="194" t="str">
        <x:v>July 2017 - July 2017</x:v>
      </x:c>
      <x:c r="C156" s="164"/>
      <x:c r="D156" s="164"/>
      <x:c r="E156" s="164"/>
    </x:row>
    <x:row r="157" spans="1:10" ht="27.75" customHeight="1" x14ac:dyDescent="0.25">
      <x:c r="B157" s="47" t="str">
        <x:v>Meter Group</x:v>
      </x:c>
      <x:c r="C157" s="45" t="str">
        <x:v>Rollover Pages For Period</x:v>
      </x:c>
      <x:c r="D157" s="45" t="str">
        <x:v>Pre-FPR CPP</x:v>
      </x:c>
      <x:c r="E157" s="46" t="str">
        <x:v>Rollover Savings</x:v>
      </x:c>
    </x:row>
    <x:row r="158" spans="1:10" x14ac:dyDescent="0.25">
      <x:c r="B158" s="60" t="str">
        <x:v>B/W Copies</x:v>
      </x:c>
      <x:c r="C158" s="73" t="str">
        <x:v>0</x:v>
      </x:c>
      <x:c r="D158" s="73" t="str">
        <x:v>$ .0160</x:v>
      </x:c>
      <x:c r="E158" s="61" t="n">
        <x:f>=SUM(C158* D158)</x:f>
      </x:c>
    </x:row>
    <x:row r="159" spans="1:10" x14ac:dyDescent="0.25">
      <x:c r="B159" s="60" t="str">
        <x:v>B/W Laser Prints</x:v>
      </x:c>
      <x:c r="C159" s="73" t="str">
        <x:v>0</x:v>
      </x:c>
      <x:c r="D159" s="73" t="str">
        <x:v>$ .0214</x:v>
      </x:c>
      <x:c r="E159" s="61" t="n">
        <x:f>=SUM(C159* D159)</x:f>
      </x:c>
    </x:row>
    <x:row r="160" spans="1:10" x14ac:dyDescent="0.25">
      <x:c r="B160" s="58" t="str">
        <x:v>Color Copier B/W Pages</x:v>
      </x:c>
      <x:c r="C160" s="6" t="str">
        <x:v>0</x:v>
      </x:c>
      <x:c r="D160" s="6" t="str">
        <x:v>$ .0160</x:v>
      </x:c>
      <x:c r="E160" s="59" t="str">
        <x:f>=SUM(C160* D160)</x:f>
      </x:c>
    </x:row>
    <x:row r="161" spans="1:10" x14ac:dyDescent="0.25">
      <x:c r="B161" s="58" t="str">
        <x:v>Color Copier Color Pages</x:v>
      </x:c>
      <x:c r="C161" s="6" t="str">
        <x:v>0</x:v>
      </x:c>
      <x:c r="D161" s="6" t="str">
        <x:v>$ .1110</x:v>
      </x:c>
      <x:c r="E161" s="59" t="str">
        <x:f>=SUM(C161* D161)</x:f>
      </x:c>
    </x:row>
    <x:row r="162" spans="1:10" x14ac:dyDescent="0.25">
      <x:c r="A162" s="19"/>
      <x:c r="B162" s="174"/>
      <x:c r="C162" s="174"/>
      <x:c r="D162" s="174">
        <x:v>Rollover Savings: </x:v>
      </x:c>
      <x:c r="E162" s="174">
        <x:f ca="1">SUM(E157:E161)</x:f>
      </x:c>
    </x:row>
    <x:row r="164" spans="1:10" ht="15.5" customHeight="1" x14ac:dyDescent="0.25">
      <x:c r="A164"/>
      <x:c r="B164" s="194" t="str">
        <x:v>June 2017 - June 2017</x:v>
      </x:c>
      <x:c r="C164" s="164"/>
      <x:c r="D164" s="164"/>
      <x:c r="E164" s="164"/>
    </x:row>
    <x:row r="165" spans="1:10" ht="27.75" customHeight="1" x14ac:dyDescent="0.25">
      <x:c r="B165" s="47" t="str">
        <x:v>Meter Group</x:v>
      </x:c>
      <x:c r="C165" s="45" t="str">
        <x:v>Rollover Pages For Period</x:v>
      </x:c>
      <x:c r="D165" s="45" t="str">
        <x:v>Pre-FPR CPP</x:v>
      </x:c>
      <x:c r="E165" s="46" t="str">
        <x:v>Rollover Savings</x:v>
      </x:c>
    </x:row>
    <x:row r="166" spans="1:10" x14ac:dyDescent="0.25">
      <x:c r="B166" s="60" t="str">
        <x:v>B/W Copies</x:v>
      </x:c>
      <x:c r="C166" s="73" t="str">
        <x:v>0</x:v>
      </x:c>
      <x:c r="D166" s="73" t="str">
        <x:v>$ .0160</x:v>
      </x:c>
      <x:c r="E166" s="61" t="n">
        <x:f>=SUM(C166* D166)</x:f>
      </x:c>
    </x:row>
    <x:row r="167" spans="1:10" x14ac:dyDescent="0.25">
      <x:c r="B167" s="60" t="str">
        <x:v>B/W Laser Prints</x:v>
      </x:c>
      <x:c r="C167" s="73" t="str">
        <x:v>0</x:v>
      </x:c>
      <x:c r="D167" s="73" t="str">
        <x:v>$ .0214</x:v>
      </x:c>
      <x:c r="E167" s="61" t="n">
        <x:f>=SUM(C167* D167)</x:f>
      </x:c>
    </x:row>
    <x:row r="168" spans="1:10" x14ac:dyDescent="0.25">
      <x:c r="B168" s="58" t="str">
        <x:v>Color Copier B/W Pages</x:v>
      </x:c>
      <x:c r="C168" s="6" t="str">
        <x:v>0</x:v>
      </x:c>
      <x:c r="D168" s="6" t="str">
        <x:v>$ .0160</x:v>
      </x:c>
      <x:c r="E168" s="59" t="str">
        <x:f>=SUM(C168* D168)</x:f>
      </x:c>
    </x:row>
    <x:row r="169" spans="1:10" x14ac:dyDescent="0.25">
      <x:c r="B169" s="58" t="str">
        <x:v>Color Copier Color Pages</x:v>
      </x:c>
      <x:c r="C169" s="6" t="str">
        <x:v>0</x:v>
      </x:c>
      <x:c r="D169" s="6" t="str">
        <x:v>$ .1110</x:v>
      </x:c>
      <x:c r="E169" s="59" t="str">
        <x:f>=SUM(C169* D169)</x:f>
      </x:c>
    </x:row>
    <x:row r="170" spans="1:10" x14ac:dyDescent="0.25">
      <x:c r="A170" s="19"/>
      <x:c r="B170" s="174"/>
      <x:c r="C170" s="174"/>
      <x:c r="D170" s="174">
        <x:v>Rollover Savings: </x:v>
      </x:c>
      <x:c r="E170" s="174">
        <x:f ca="1">SUM(E165:E169)</x:f>
      </x:c>
    </x:row>
    <x:row r="172" spans="1:10" ht="15.5" customHeight="1" x14ac:dyDescent="0.25">
      <x:c r="A172"/>
      <x:c r="B172" s="194" t="str">
        <x:v>May 2017 - May 2017</x:v>
      </x:c>
      <x:c r="C172" s="164"/>
      <x:c r="D172" s="164"/>
      <x:c r="E172" s="164"/>
    </x:row>
    <x:row r="173" spans="1:10" ht="27.75" customHeight="1" x14ac:dyDescent="0.25">
      <x:c r="B173" s="47" t="str">
        <x:v>Meter Group</x:v>
      </x:c>
      <x:c r="C173" s="45" t="str">
        <x:v>Rollover Pages For Period</x:v>
      </x:c>
      <x:c r="D173" s="45" t="str">
        <x:v>Pre-FPR CPP</x:v>
      </x:c>
      <x:c r="E173" s="46" t="str">
        <x:v>Rollover Savings</x:v>
      </x:c>
    </x:row>
    <x:row r="174" spans="1:10" x14ac:dyDescent="0.25">
      <x:c r="B174" s="60" t="str">
        <x:v>B/W Copies</x:v>
      </x:c>
      <x:c r="C174" s="73" t="str">
        <x:v>0</x:v>
      </x:c>
      <x:c r="D174" s="73" t="str">
        <x:v>$ .0160</x:v>
      </x:c>
      <x:c r="E174" s="61" t="n">
        <x:f>=SUM(C174* D174)</x:f>
      </x:c>
    </x:row>
    <x:row r="175" spans="1:10" x14ac:dyDescent="0.25">
      <x:c r="B175" s="60" t="str">
        <x:v>B/W Laser Prints</x:v>
      </x:c>
      <x:c r="C175" s="73" t="str">
        <x:v>0</x:v>
      </x:c>
      <x:c r="D175" s="73" t="str">
        <x:v>$ .0214</x:v>
      </x:c>
      <x:c r="E175" s="61" t="n">
        <x:f>=SUM(C175* D175)</x:f>
      </x:c>
    </x:row>
    <x:row r="176" spans="1:10" x14ac:dyDescent="0.25">
      <x:c r="B176" s="58" t="str">
        <x:v>Color Copier B/W Pages</x:v>
      </x:c>
      <x:c r="C176" s="6" t="str">
        <x:v>0</x:v>
      </x:c>
      <x:c r="D176" s="6" t="str">
        <x:v>$ .0160</x:v>
      </x:c>
      <x:c r="E176" s="59" t="str">
        <x:f>=SUM(C176* D176)</x:f>
      </x:c>
    </x:row>
    <x:row r="177" spans="1:10" x14ac:dyDescent="0.25">
      <x:c r="B177" s="58" t="str">
        <x:v>Color Copier Color Pages</x:v>
      </x:c>
      <x:c r="C177" s="6" t="str">
        <x:v>0</x:v>
      </x:c>
      <x:c r="D177" s="6" t="str">
        <x:v>$ .1110</x:v>
      </x:c>
      <x:c r="E177" s="59" t="str">
        <x:f>=SUM(C177* D177)</x:f>
      </x:c>
    </x:row>
    <x:row r="178" spans="1:10" x14ac:dyDescent="0.25">
      <x:c r="A178" s="19"/>
      <x:c r="B178" s="174"/>
      <x:c r="C178" s="174"/>
      <x:c r="D178" s="174">
        <x:v>Rollover Savings: </x:v>
      </x:c>
      <x:c r="E178" s="174">
        <x:f ca="1">SUM(E173:E177)</x:f>
      </x:c>
    </x:row>
    <x:row r="180" spans="1:10" ht="15.5" customHeight="1" x14ac:dyDescent="0.25">
      <x:c r="A180"/>
      <x:c r="B180" s="194" t="str">
        <x:v>April 2017 - April 2017</x:v>
      </x:c>
      <x:c r="C180" s="164"/>
      <x:c r="D180" s="164"/>
      <x:c r="E180" s="164"/>
    </x:row>
    <x:row r="181" spans="1:10" ht="27.75" customHeight="1" x14ac:dyDescent="0.25">
      <x:c r="B181" s="47" t="str">
        <x:v>Meter Group</x:v>
      </x:c>
      <x:c r="C181" s="45" t="str">
        <x:v>Rollover Pages For Period</x:v>
      </x:c>
      <x:c r="D181" s="45" t="str">
        <x:v>Pre-FPR CPP</x:v>
      </x:c>
      <x:c r="E181" s="46" t="str">
        <x:v>Rollover Savings</x:v>
      </x:c>
    </x:row>
    <x:row r="182" spans="1:10" x14ac:dyDescent="0.25">
      <x:c r="B182" s="60" t="str">
        <x:v>B/W Copies</x:v>
      </x:c>
      <x:c r="C182" s="73" t="str">
        <x:v>0</x:v>
      </x:c>
      <x:c r="D182" s="73" t="str">
        <x:v>$ .0160</x:v>
      </x:c>
      <x:c r="E182" s="61" t="n">
        <x:f>=SUM(C182* D182)</x:f>
      </x:c>
    </x:row>
    <x:row r="183" spans="1:10" x14ac:dyDescent="0.25">
      <x:c r="B183" s="60" t="str">
        <x:v>B/W Laser Prints</x:v>
      </x:c>
      <x:c r="C183" s="73" t="str">
        <x:v>0</x:v>
      </x:c>
      <x:c r="D183" s="73" t="str">
        <x:v>$ .0214</x:v>
      </x:c>
      <x:c r="E183" s="61" t="n">
        <x:f>=SUM(C183* D183)</x:f>
      </x:c>
    </x:row>
    <x:row r="184" spans="1:10" x14ac:dyDescent="0.25">
      <x:c r="B184" s="58" t="str">
        <x:v>Color Copier B/W Pages</x:v>
      </x:c>
      <x:c r="C184" s="6" t="str">
        <x:v>0</x:v>
      </x:c>
      <x:c r="D184" s="6" t="str">
        <x:v>$ .0160</x:v>
      </x:c>
      <x:c r="E184" s="59" t="str">
        <x:f>=SUM(C184* D184)</x:f>
      </x:c>
    </x:row>
    <x:row r="185" spans="1:10" x14ac:dyDescent="0.25">
      <x:c r="B185" s="58" t="str">
        <x:v>Color Copier Color Pages</x:v>
      </x:c>
      <x:c r="C185" s="6" t="str">
        <x:v>0</x:v>
      </x:c>
      <x:c r="D185" s="6" t="str">
        <x:v>$ .1110</x:v>
      </x:c>
      <x:c r="E185" s="59" t="str">
        <x:f>=SUM(C185* D185)</x:f>
      </x:c>
    </x:row>
    <x:row r="186" spans="1:10" x14ac:dyDescent="0.25">
      <x:c r="A186" s="19"/>
      <x:c r="B186" s="174"/>
      <x:c r="C186" s="174"/>
      <x:c r="D186" s="174">
        <x:v>Rollover Savings: </x:v>
      </x:c>
      <x:c r="E186" s="174">
        <x:f ca="1">SUM(E181:E185)</x:f>
      </x:c>
    </x:row>
    <x:row r="188" spans="1:10" ht="15.5" customHeight="1" x14ac:dyDescent="0.25">
      <x:c r="A188"/>
      <x:c r="B188" s="194" t="str">
        <x:v>March 2017 - March 2017</x:v>
      </x:c>
      <x:c r="C188" s="164"/>
      <x:c r="D188" s="164"/>
      <x:c r="E188" s="164"/>
    </x:row>
    <x:row r="189" spans="1:10" ht="27.75" customHeight="1" x14ac:dyDescent="0.25">
      <x:c r="B189" s="47" t="str">
        <x:v>Meter Group</x:v>
      </x:c>
      <x:c r="C189" s="45" t="str">
        <x:v>Rollover Pages For Period</x:v>
      </x:c>
      <x:c r="D189" s="45" t="str">
        <x:v>Pre-FPR CPP</x:v>
      </x:c>
      <x:c r="E189" s="46" t="str">
        <x:v>Rollover Savings</x:v>
      </x:c>
    </x:row>
    <x:row r="190" spans="1:10" x14ac:dyDescent="0.25">
      <x:c r="B190" s="60" t="str">
        <x:v>B/W Copies</x:v>
      </x:c>
      <x:c r="C190" s="73" t="str">
        <x:v>0</x:v>
      </x:c>
      <x:c r="D190" s="73" t="str">
        <x:v>$ .0160</x:v>
      </x:c>
      <x:c r="E190" s="61" t="n">
        <x:f>=SUM(C190* D190)</x:f>
      </x:c>
    </x:row>
    <x:row r="191" spans="1:10" x14ac:dyDescent="0.25">
      <x:c r="B191" s="60" t="str">
        <x:v>B/W Laser Prints</x:v>
      </x:c>
      <x:c r="C191" s="73" t="str">
        <x:v>0</x:v>
      </x:c>
      <x:c r="D191" s="73" t="str">
        <x:v>$ .0214</x:v>
      </x:c>
      <x:c r="E191" s="61" t="n">
        <x:f>=SUM(C191* D191)</x:f>
      </x:c>
    </x:row>
    <x:row r="192" spans="1:10" x14ac:dyDescent="0.25">
      <x:c r="B192" s="58" t="str">
        <x:v>Color Copier B/W Pages</x:v>
      </x:c>
      <x:c r="C192" s="6" t="str">
        <x:v>0</x:v>
      </x:c>
      <x:c r="D192" s="6" t="str">
        <x:v>$ .0160</x:v>
      </x:c>
      <x:c r="E192" s="59" t="str">
        <x:f>=SUM(C192* D192)</x:f>
      </x:c>
    </x:row>
    <x:row r="193" spans="1:10" x14ac:dyDescent="0.25">
      <x:c r="B193" s="58" t="str">
        <x:v>Color Copier Color Pages</x:v>
      </x:c>
      <x:c r="C193" s="6" t="str">
        <x:v>0</x:v>
      </x:c>
      <x:c r="D193" s="6" t="str">
        <x:v>$ .1110</x:v>
      </x:c>
      <x:c r="E193" s="59" t="str">
        <x:f>=SUM(C193* D193)</x:f>
      </x:c>
    </x:row>
    <x:row r="194" spans="1:10" x14ac:dyDescent="0.25">
      <x:c r="A194" s="19"/>
      <x:c r="B194" s="174"/>
      <x:c r="C194" s="174"/>
      <x:c r="D194" s="174">
        <x:v>Rollover Savings: </x:v>
      </x:c>
      <x:c r="E194" s="174">
        <x:f ca="1">SUM(E189:E193)</x:f>
      </x:c>
    </x:row>
    <x:row r="196" spans="1:10" ht="15.5" customHeight="1" x14ac:dyDescent="0.25">
      <x:c r="A196"/>
      <x:c r="B196" s="194" t="str">
        <x:v>February 2017 - February 2017</x:v>
      </x:c>
      <x:c r="C196" s="164"/>
      <x:c r="D196" s="164"/>
      <x:c r="E196" s="164"/>
    </x:row>
    <x:row r="197" spans="1:10" ht="27.75" customHeight="1" x14ac:dyDescent="0.25">
      <x:c r="B197" s="47" t="str">
        <x:v>Meter Group</x:v>
      </x:c>
      <x:c r="C197" s="45" t="str">
        <x:v>Rollover Pages For Period</x:v>
      </x:c>
      <x:c r="D197" s="45" t="str">
        <x:v>Pre-FPR CPP</x:v>
      </x:c>
      <x:c r="E197" s="46" t="str">
        <x:v>Rollover Savings</x:v>
      </x:c>
    </x:row>
    <x:row r="198" spans="1:10" x14ac:dyDescent="0.25">
      <x:c r="B198" s="60" t="str">
        <x:v>B/W Copies</x:v>
      </x:c>
      <x:c r="C198" s="73" t="str">
        <x:v>0</x:v>
      </x:c>
      <x:c r="D198" s="73" t="str">
        <x:v>$ .0160</x:v>
      </x:c>
      <x:c r="E198" s="61" t="n">
        <x:f>=SUM(C198* D198)</x:f>
      </x:c>
    </x:row>
    <x:row r="199" spans="1:10" x14ac:dyDescent="0.25">
      <x:c r="B199" s="60" t="str">
        <x:v>B/W Laser Prints</x:v>
      </x:c>
      <x:c r="C199" s="73" t="str">
        <x:v>0</x:v>
      </x:c>
      <x:c r="D199" s="73" t="str">
        <x:v>$ .0214</x:v>
      </x:c>
      <x:c r="E199" s="61" t="n">
        <x:f>=SUM(C199* D199)</x:f>
      </x:c>
    </x:row>
    <x:row r="200" spans="1:10" x14ac:dyDescent="0.25">
      <x:c r="B200" s="58" t="str">
        <x:v>Color Copier B/W Pages</x:v>
      </x:c>
      <x:c r="C200" s="6" t="str">
        <x:v>0</x:v>
      </x:c>
      <x:c r="D200" s="6" t="str">
        <x:v>$ .0160</x:v>
      </x:c>
      <x:c r="E200" s="59" t="str">
        <x:f>=SUM(C200* D200)</x:f>
      </x:c>
    </x:row>
    <x:row r="201" spans="1:10" x14ac:dyDescent="0.25">
      <x:c r="B201" s="58" t="str">
        <x:v>Color Copier Color Pages</x:v>
      </x:c>
      <x:c r="C201" s="6" t="str">
        <x:v>0</x:v>
      </x:c>
      <x:c r="D201" s="6" t="str">
        <x:v>$ .1110</x:v>
      </x:c>
      <x:c r="E201" s="59" t="str">
        <x:f>=SUM(C201* D201)</x:f>
      </x:c>
    </x:row>
    <x:row r="202" spans="1:10" x14ac:dyDescent="0.25">
      <x:c r="A202" s="19"/>
      <x:c r="B202" s="174"/>
      <x:c r="C202" s="174"/>
      <x:c r="D202" s="174">
        <x:v>Rollover Savings: </x:v>
      </x:c>
      <x:c r="E202" s="174">
        <x:f ca="1">SUM(E197:E201)</x:f>
      </x:c>
    </x:row>
    <x:row r="204" spans="1:10" ht="15.5" customHeight="1" x14ac:dyDescent="0.25">
      <x:c r="A204"/>
      <x:c r="B204" s="194" t="str">
        <x:v>January 2017 - January 2017</x:v>
      </x:c>
      <x:c r="C204" s="164"/>
      <x:c r="D204" s="164"/>
      <x:c r="E204" s="164"/>
    </x:row>
    <x:row r="205" spans="1:10" ht="27.75" customHeight="1" x14ac:dyDescent="0.25">
      <x:c r="B205" s="47" t="str">
        <x:v>Meter Group</x:v>
      </x:c>
      <x:c r="C205" s="45" t="str">
        <x:v>Rollover Pages For Period</x:v>
      </x:c>
      <x:c r="D205" s="45" t="str">
        <x:v>Pre-FPR CPP</x:v>
      </x:c>
      <x:c r="E205" s="46" t="str">
        <x:v>Rollover Savings</x:v>
      </x:c>
    </x:row>
    <x:row r="206" spans="1:10" x14ac:dyDescent="0.25">
      <x:c r="B206" s="60" t="str">
        <x:v>B/W Copies</x:v>
      </x:c>
      <x:c r="C206" s="73" t="str">
        <x:v>0</x:v>
      </x:c>
      <x:c r="D206" s="73" t="str">
        <x:v>$ .0160</x:v>
      </x:c>
      <x:c r="E206" s="61" t="n">
        <x:f>=SUM(C206* D206)</x:f>
      </x:c>
    </x:row>
    <x:row r="207" spans="1:10" x14ac:dyDescent="0.25">
      <x:c r="B207" s="60" t="str">
        <x:v>B/W Laser Prints</x:v>
      </x:c>
      <x:c r="C207" s="73" t="str">
        <x:v>0</x:v>
      </x:c>
      <x:c r="D207" s="73" t="str">
        <x:v>$ .0214</x:v>
      </x:c>
      <x:c r="E207" s="61" t="n">
        <x:f>=SUM(C207* D207)</x:f>
      </x:c>
    </x:row>
    <x:row r="208" spans="1:10" x14ac:dyDescent="0.25">
      <x:c r="B208" s="58" t="str">
        <x:v>Color Copier B/W Pages</x:v>
      </x:c>
      <x:c r="C208" s="6" t="str">
        <x:v>0</x:v>
      </x:c>
      <x:c r="D208" s="6" t="str">
        <x:v>$ .0160</x:v>
      </x:c>
      <x:c r="E208" s="59" t="str">
        <x:f>=SUM(C208* D208)</x:f>
      </x:c>
    </x:row>
    <x:row r="209" spans="1:10" x14ac:dyDescent="0.25">
      <x:c r="B209" s="58" t="str">
        <x:v>Color Copier Color Pages</x:v>
      </x:c>
      <x:c r="C209" s="6" t="str">
        <x:v>0</x:v>
      </x:c>
      <x:c r="D209" s="6" t="str">
        <x:v>$ .1110</x:v>
      </x:c>
      <x:c r="E209" s="59" t="str">
        <x:f>=SUM(C209* D209)</x:f>
      </x:c>
    </x:row>
    <x:row r="210" spans="1:10" x14ac:dyDescent="0.25">
      <x:c r="A210" s="19"/>
      <x:c r="B210" s="174"/>
      <x:c r="C210" s="174"/>
      <x:c r="D210" s="174">
        <x:v>Rollover Savings: </x:v>
      </x:c>
      <x:c r="E210" s="174">
        <x:f ca="1">SUM(E205:E209)</x:f>
      </x:c>
    </x:row>
    <x:row r="212" spans="1:10" ht="15.5" customHeight="1" x14ac:dyDescent="0.25">
      <x:c r="A212"/>
      <x:c r="B212" s="194" t="str">
        <x:v>December 2016 - December 2016</x:v>
      </x:c>
      <x:c r="C212" s="164"/>
      <x:c r="D212" s="164"/>
      <x:c r="E212" s="164"/>
    </x:row>
    <x:row r="213" spans="1:10" ht="27.75" customHeight="1" x14ac:dyDescent="0.25">
      <x:c r="B213" s="47" t="str">
        <x:v>Meter Group</x:v>
      </x:c>
      <x:c r="C213" s="45" t="str">
        <x:v>Rollover Pages For Period</x:v>
      </x:c>
      <x:c r="D213" s="45" t="str">
        <x:v>Pre-FPR CPP</x:v>
      </x:c>
      <x:c r="E213" s="46" t="str">
        <x:v>Rollover Savings</x:v>
      </x:c>
    </x:row>
    <x:row r="214" spans="1:10" x14ac:dyDescent="0.25">
      <x:c r="B214" s="60" t="str">
        <x:v>B/W Copies</x:v>
      </x:c>
      <x:c r="C214" s="73" t="str">
        <x:v>0</x:v>
      </x:c>
      <x:c r="D214" s="73" t="str">
        <x:v>$ .0160</x:v>
      </x:c>
      <x:c r="E214" s="61" t="n">
        <x:f>=SUM(C214* D214)</x:f>
      </x:c>
    </x:row>
    <x:row r="215" spans="1:10" x14ac:dyDescent="0.25">
      <x:c r="B215" s="60" t="str">
        <x:v>B/W Laser Prints</x:v>
      </x:c>
      <x:c r="C215" s="73" t="str">
        <x:v>0</x:v>
      </x:c>
      <x:c r="D215" s="73" t="str">
        <x:v>$ .0214</x:v>
      </x:c>
      <x:c r="E215" s="61" t="n">
        <x:f>=SUM(C215* D215)</x:f>
      </x:c>
    </x:row>
    <x:row r="216" spans="1:10" x14ac:dyDescent="0.25">
      <x:c r="B216" s="58" t="str">
        <x:v>Color Copier B/W Pages</x:v>
      </x:c>
      <x:c r="C216" s="6" t="str">
        <x:v>0</x:v>
      </x:c>
      <x:c r="D216" s="6" t="str">
        <x:v>$ .0160</x:v>
      </x:c>
      <x:c r="E216" s="59" t="str">
        <x:f>=SUM(C216* D216)</x:f>
      </x:c>
    </x:row>
    <x:row r="217" spans="1:10" x14ac:dyDescent="0.25">
      <x:c r="B217" s="58" t="str">
        <x:v>Color Copier Color Pages</x:v>
      </x:c>
      <x:c r="C217" s="6" t="str">
        <x:v>0</x:v>
      </x:c>
      <x:c r="D217" s="6" t="str">
        <x:v>$ .1110</x:v>
      </x:c>
      <x:c r="E217" s="59" t="str">
        <x:f>=SUM(C217* D217)</x:f>
      </x:c>
    </x:row>
    <x:row r="218" spans="1:10" x14ac:dyDescent="0.25">
      <x:c r="A218" s="19"/>
      <x:c r="B218" s="174"/>
      <x:c r="C218" s="174"/>
      <x:c r="D218" s="174">
        <x:v>Rollover Savings: </x:v>
      </x:c>
      <x:c r="E218" s="174">
        <x:f ca="1">SUM(E213:E217)</x:f>
      </x:c>
    </x:row>
    <x:row r="220" spans="1:10" ht="15.5" customHeight="1" x14ac:dyDescent="0.25">
      <x:c r="A220"/>
      <x:c r="B220" s="194" t="str">
        <x:v>November 2016 - November 2016</x:v>
      </x:c>
      <x:c r="C220" s="164"/>
      <x:c r="D220" s="164"/>
      <x:c r="E220" s="164"/>
    </x:row>
    <x:row r="221" spans="1:10" ht="27.75" customHeight="1" x14ac:dyDescent="0.25">
      <x:c r="B221" s="47" t="str">
        <x:v>Meter Group</x:v>
      </x:c>
      <x:c r="C221" s="45" t="str">
        <x:v>Rollover Pages For Period</x:v>
      </x:c>
      <x:c r="D221" s="45" t="str">
        <x:v>Pre-FPR CPP</x:v>
      </x:c>
      <x:c r="E221" s="46" t="str">
        <x:v>Rollover Savings</x:v>
      </x:c>
    </x:row>
    <x:row r="222" spans="1:10" x14ac:dyDescent="0.25">
      <x:c r="B222" s="60" t="str">
        <x:v>B/W Copies</x:v>
      </x:c>
      <x:c r="C222" s="73" t="str">
        <x:v>0</x:v>
      </x:c>
      <x:c r="D222" s="73" t="str">
        <x:v>$ .0160</x:v>
      </x:c>
      <x:c r="E222" s="61" t="n">
        <x:f>=SUM(C222* D222)</x:f>
      </x:c>
    </x:row>
    <x:row r="223" spans="1:10" x14ac:dyDescent="0.25">
      <x:c r="B223" s="60" t="str">
        <x:v>B/W Laser Prints</x:v>
      </x:c>
      <x:c r="C223" s="73" t="str">
        <x:v>0</x:v>
      </x:c>
      <x:c r="D223" s="73" t="str">
        <x:v>$ .0214</x:v>
      </x:c>
      <x:c r="E223" s="61" t="n">
        <x:f>=SUM(C223* D223)</x:f>
      </x:c>
    </x:row>
    <x:row r="224" spans="1:10" x14ac:dyDescent="0.25">
      <x:c r="B224" s="58" t="str">
        <x:v>Color Copier B/W Pages</x:v>
      </x:c>
      <x:c r="C224" s="6" t="str">
        <x:v>0</x:v>
      </x:c>
      <x:c r="D224" s="6" t="str">
        <x:v>$ .0160</x:v>
      </x:c>
      <x:c r="E224" s="59" t="str">
        <x:f>=SUM(C224* D224)</x:f>
      </x:c>
    </x:row>
    <x:row r="225" spans="1:10" x14ac:dyDescent="0.25">
      <x:c r="B225" s="58" t="str">
        <x:v>Color Copier Color Pages</x:v>
      </x:c>
      <x:c r="C225" s="6" t="str">
        <x:v>0</x:v>
      </x:c>
      <x:c r="D225" s="6" t="str">
        <x:v>$ .1110</x:v>
      </x:c>
      <x:c r="E225" s="59" t="str">
        <x:f>=SUM(C225* D225)</x:f>
      </x:c>
    </x:row>
    <x:row r="226" spans="1:10" x14ac:dyDescent="0.25">
      <x:c r="A226" s="19"/>
      <x:c r="B226" s="174"/>
      <x:c r="C226" s="174"/>
      <x:c r="D226" s="174">
        <x:v>Rollover Savings: </x:v>
      </x:c>
      <x:c r="E226" s="174">
        <x:f ca="1">SUM(E221:E225)</x:f>
      </x:c>
    </x:row>
    <x:row r="228" spans="1:10" ht="15.5" customHeight="1" x14ac:dyDescent="0.25">
      <x:c r="A228"/>
      <x:c r="B228" s="194" t="str">
        <x:v>October 2016 - October 2016</x:v>
      </x:c>
      <x:c r="C228" s="164"/>
      <x:c r="D228" s="164"/>
      <x:c r="E228" s="164"/>
    </x:row>
    <x:row r="229" spans="1:10" ht="27.75" customHeight="1" x14ac:dyDescent="0.25">
      <x:c r="B229" s="47" t="str">
        <x:v>Meter Group</x:v>
      </x:c>
      <x:c r="C229" s="45" t="str">
        <x:v>Rollover Pages For Period</x:v>
      </x:c>
      <x:c r="D229" s="45" t="str">
        <x:v>Pre-FPR CPP</x:v>
      </x:c>
      <x:c r="E229" s="46" t="str">
        <x:v>Rollover Savings</x:v>
      </x:c>
    </x:row>
    <x:row r="230" spans="1:10" x14ac:dyDescent="0.25">
      <x:c r="B230" s="60" t="str">
        <x:v>B/W Copies</x:v>
      </x:c>
      <x:c r="C230" s="73" t="str">
        <x:v>0</x:v>
      </x:c>
      <x:c r="D230" s="73" t="str">
        <x:v>$ .0160</x:v>
      </x:c>
      <x:c r="E230" s="61" t="n">
        <x:f>=SUM(C230* D230)</x:f>
      </x:c>
    </x:row>
    <x:row r="231" spans="1:10" x14ac:dyDescent="0.25">
      <x:c r="B231" s="60" t="str">
        <x:v>B/W Laser Prints</x:v>
      </x:c>
      <x:c r="C231" s="73" t="str">
        <x:v>0</x:v>
      </x:c>
      <x:c r="D231" s="73" t="str">
        <x:v>$ .0214</x:v>
      </x:c>
      <x:c r="E231" s="61" t="n">
        <x:f>=SUM(C231* D231)</x:f>
      </x:c>
    </x:row>
    <x:row r="232" spans="1:10" x14ac:dyDescent="0.25">
      <x:c r="B232" s="58" t="str">
        <x:v>Color Copier B/W Pages</x:v>
      </x:c>
      <x:c r="C232" s="6" t="str">
        <x:v>0</x:v>
      </x:c>
      <x:c r="D232" s="6" t="str">
        <x:v>$ .0160</x:v>
      </x:c>
      <x:c r="E232" s="59" t="str">
        <x:f>=SUM(C232* D232)</x:f>
      </x:c>
    </x:row>
    <x:row r="233" spans="1:10" x14ac:dyDescent="0.25">
      <x:c r="B233" s="58" t="str">
        <x:v>Color Copier Color Pages</x:v>
      </x:c>
      <x:c r="C233" s="6" t="str">
        <x:v>0</x:v>
      </x:c>
      <x:c r="D233" s="6" t="str">
        <x:v>$ .1110</x:v>
      </x:c>
      <x:c r="E233" s="59" t="str">
        <x:f>=SUM(C233* D233)</x:f>
      </x:c>
    </x:row>
    <x:row r="234" spans="1:10" x14ac:dyDescent="0.25">
      <x:c r="A234" s="19"/>
      <x:c r="B234" s="174"/>
      <x:c r="C234" s="174"/>
      <x:c r="D234" s="174">
        <x:v>Rollover Savings: </x:v>
      </x:c>
      <x:c r="E234" s="174">
        <x:f ca="1">SUM(E229:E233)</x:f>
      </x:c>
    </x:row>
    <x:row r="236" spans="1:10" ht="15.5" customHeight="1" x14ac:dyDescent="0.25">
      <x:c r="A236"/>
      <x:c r="B236" s="194" t="str">
        <x:v>September 2016 - September 2016</x:v>
      </x:c>
      <x:c r="C236" s="164"/>
      <x:c r="D236" s="164"/>
      <x:c r="E236" s="164"/>
    </x:row>
    <x:row r="237" spans="1:10" ht="27.75" customHeight="1" x14ac:dyDescent="0.25">
      <x:c r="B237" s="47" t="str">
        <x:v>Meter Group</x:v>
      </x:c>
      <x:c r="C237" s="45" t="str">
        <x:v>Rollover Pages For Period</x:v>
      </x:c>
      <x:c r="D237" s="45" t="str">
        <x:v>Pre-FPR CPP</x:v>
      </x:c>
      <x:c r="E237" s="46" t="str">
        <x:v>Rollover Savings</x:v>
      </x:c>
    </x:row>
    <x:row r="238" spans="1:10" x14ac:dyDescent="0.25">
      <x:c r="B238" s="60" t="str">
        <x:v>B/W Copies</x:v>
      </x:c>
      <x:c r="C238" s="73" t="str">
        <x:v>0</x:v>
      </x:c>
      <x:c r="D238" s="73" t="str">
        <x:v>$ .0160</x:v>
      </x:c>
      <x:c r="E238" s="61" t="n">
        <x:f>=SUM(C238* D238)</x:f>
      </x:c>
    </x:row>
    <x:row r="239" spans="1:10" x14ac:dyDescent="0.25">
      <x:c r="B239" s="60" t="str">
        <x:v>B/W Laser Prints</x:v>
      </x:c>
      <x:c r="C239" s="73" t="str">
        <x:v>0</x:v>
      </x:c>
      <x:c r="D239" s="73" t="str">
        <x:v>$ .0214</x:v>
      </x:c>
      <x:c r="E239" s="61" t="n">
        <x:f>=SUM(C239* D239)</x:f>
      </x:c>
    </x:row>
    <x:row r="240" spans="1:10" x14ac:dyDescent="0.25">
      <x:c r="B240" s="58" t="str">
        <x:v>Color Copier B/W Pages</x:v>
      </x:c>
      <x:c r="C240" s="6" t="str">
        <x:v>0</x:v>
      </x:c>
      <x:c r="D240" s="6" t="str">
        <x:v>$ .0160</x:v>
      </x:c>
      <x:c r="E240" s="59" t="str">
        <x:f>=SUM(C240* D240)</x:f>
      </x:c>
    </x:row>
    <x:row r="241" spans="1:10" x14ac:dyDescent="0.25">
      <x:c r="B241" s="58" t="str">
        <x:v>Color Copier Color Pages</x:v>
      </x:c>
      <x:c r="C241" s="6" t="str">
        <x:v>0</x:v>
      </x:c>
      <x:c r="D241" s="6" t="str">
        <x:v>$ .1110</x:v>
      </x:c>
      <x:c r="E241" s="59" t="str">
        <x:f>=SUM(C241* D241)</x:f>
      </x:c>
    </x:row>
    <x:row r="242" spans="1:10" x14ac:dyDescent="0.25">
      <x:c r="A242" s="19"/>
      <x:c r="B242" s="174"/>
      <x:c r="C242" s="174"/>
      <x:c r="D242" s="174">
        <x:v>Rollover Savings: </x:v>
      </x:c>
      <x:c r="E242" s="174">
        <x:f ca="1">SUM(E237:E241)</x:f>
      </x:c>
    </x:row>
    <x:row r="244" spans="1:10" ht="15.5" customHeight="1" x14ac:dyDescent="0.25">
      <x:c r="A244"/>
      <x:c r="B244" s="194" t="str">
        <x:v>August 2016 - August 2016</x:v>
      </x:c>
      <x:c r="C244" s="164"/>
      <x:c r="D244" s="164"/>
      <x:c r="E244" s="164"/>
    </x:row>
    <x:row r="245" spans="1:10" ht="27.75" customHeight="1" x14ac:dyDescent="0.25">
      <x:c r="B245" s="47" t="str">
        <x:v>Meter Group</x:v>
      </x:c>
      <x:c r="C245" s="45" t="str">
        <x:v>Rollover Pages For Period</x:v>
      </x:c>
      <x:c r="D245" s="45" t="str">
        <x:v>Pre-FPR CPP</x:v>
      </x:c>
      <x:c r="E245" s="46" t="str">
        <x:v>Rollover Savings</x:v>
      </x:c>
    </x:row>
    <x:row r="246" spans="1:10" x14ac:dyDescent="0.25">
      <x:c r="B246" s="60" t="str">
        <x:v>B/W Copies</x:v>
      </x:c>
      <x:c r="C246" s="73" t="str">
        <x:v>0</x:v>
      </x:c>
      <x:c r="D246" s="73" t="str">
        <x:v>$ .0160</x:v>
      </x:c>
      <x:c r="E246" s="61" t="n">
        <x:f>=SUM(C246* D246)</x:f>
      </x:c>
    </x:row>
    <x:row r="247" spans="1:10" x14ac:dyDescent="0.25">
      <x:c r="B247" s="60" t="str">
        <x:v>B/W Laser Prints</x:v>
      </x:c>
      <x:c r="C247" s="73" t="str">
        <x:v>0</x:v>
      </x:c>
      <x:c r="D247" s="73" t="str">
        <x:v>$ .0214</x:v>
      </x:c>
      <x:c r="E247" s="61" t="n">
        <x:f>=SUM(C247* D247)</x:f>
      </x:c>
    </x:row>
    <x:row r="248" spans="1:10" x14ac:dyDescent="0.25">
      <x:c r="B248" s="58" t="str">
        <x:v>Color Copier B/W Pages</x:v>
      </x:c>
      <x:c r="C248" s="6" t="str">
        <x:v>0</x:v>
      </x:c>
      <x:c r="D248" s="6" t="str">
        <x:v>$ .0160</x:v>
      </x:c>
      <x:c r="E248" s="59" t="str">
        <x:f>=SUM(C248* D248)</x:f>
      </x:c>
    </x:row>
    <x:row r="249" spans="1:10" x14ac:dyDescent="0.25">
      <x:c r="B249" s="58" t="str">
        <x:v>Color Copier Color Pages</x:v>
      </x:c>
      <x:c r="C249" s="6" t="str">
        <x:v>0</x:v>
      </x:c>
      <x:c r="D249" s="6" t="str">
        <x:v>$ .1110</x:v>
      </x:c>
      <x:c r="E249" s="59" t="str">
        <x:f>=SUM(C249* D249)</x:f>
      </x:c>
    </x:row>
    <x:row r="250" spans="1:10" x14ac:dyDescent="0.25">
      <x:c r="A250" s="19"/>
      <x:c r="B250" s="174"/>
      <x:c r="C250" s="174"/>
      <x:c r="D250" s="174">
        <x:v>Rollover Savings: </x:v>
      </x:c>
      <x:c r="E250" s="174">
        <x:f ca="1">SUM(E245:E249)</x:f>
      </x:c>
    </x:row>
    <x:row r="252" spans="1:10" ht="15.5" customHeight="1" x14ac:dyDescent="0.25">
      <x:c r="A252"/>
      <x:c r="B252" s="194" t="str">
        <x:v>July 2016 - July 2016</x:v>
      </x:c>
      <x:c r="C252" s="164"/>
      <x:c r="D252" s="164"/>
      <x:c r="E252" s="164"/>
    </x:row>
    <x:row r="253" spans="1:10" ht="27.75" customHeight="1" x14ac:dyDescent="0.25">
      <x:c r="B253" s="47" t="str">
        <x:v>Meter Group</x:v>
      </x:c>
      <x:c r="C253" s="45" t="str">
        <x:v>Rollover Pages For Period</x:v>
      </x:c>
      <x:c r="D253" s="45" t="str">
        <x:v>Pre-FPR CPP</x:v>
      </x:c>
      <x:c r="E253" s="46" t="str">
        <x:v>Rollover Savings</x:v>
      </x:c>
    </x:row>
    <x:row r="254" spans="1:10" x14ac:dyDescent="0.25">
      <x:c r="B254" s="60" t="str">
        <x:v>B/W Copies</x:v>
      </x:c>
      <x:c r="C254" s="73" t="str">
        <x:v>0</x:v>
      </x:c>
      <x:c r="D254" s="73" t="str">
        <x:v>$ .0160</x:v>
      </x:c>
      <x:c r="E254" s="61" t="n">
        <x:f>=SUM(C254* D254)</x:f>
      </x:c>
    </x:row>
    <x:row r="255" spans="1:10" x14ac:dyDescent="0.25">
      <x:c r="B255" s="60" t="str">
        <x:v>B/W Laser Prints</x:v>
      </x:c>
      <x:c r="C255" s="73" t="str">
        <x:v>0</x:v>
      </x:c>
      <x:c r="D255" s="73" t="str">
        <x:v>$ .0214</x:v>
      </x:c>
      <x:c r="E255" s="61" t="n">
        <x:f>=SUM(C255* D255)</x:f>
      </x:c>
    </x:row>
    <x:row r="256" spans="1:10" x14ac:dyDescent="0.25">
      <x:c r="B256" s="58" t="str">
        <x:v>Color Copier B/W Pages</x:v>
      </x:c>
      <x:c r="C256" s="6" t="str">
        <x:v>0</x:v>
      </x:c>
      <x:c r="D256" s="6" t="str">
        <x:v>$ .0160</x:v>
      </x:c>
      <x:c r="E256" s="59" t="str">
        <x:f>=SUM(C256* D256)</x:f>
      </x:c>
    </x:row>
    <x:row r="257" spans="1:10" x14ac:dyDescent="0.25">
      <x:c r="B257" s="58" t="str">
        <x:v>Color Copier Color Pages</x:v>
      </x:c>
      <x:c r="C257" s="6" t="str">
        <x:v>0</x:v>
      </x:c>
      <x:c r="D257" s="6" t="str">
        <x:v>$ .1110</x:v>
      </x:c>
      <x:c r="E257" s="59" t="str">
        <x:f>=SUM(C257* D257)</x:f>
      </x:c>
    </x:row>
    <x:row r="258" spans="1:10" x14ac:dyDescent="0.25">
      <x:c r="A258" s="19"/>
      <x:c r="B258" s="174"/>
      <x:c r="C258" s="174"/>
      <x:c r="D258" s="174">
        <x:v>Rollover Savings: </x:v>
      </x:c>
      <x:c r="E258" s="174">
        <x:f ca="1">SUM(E253:E257)</x:f>
      </x:c>
    </x:row>
    <x:row r="260" spans="1:10" ht="15.5" customHeight="1" x14ac:dyDescent="0.25">
      <x:c r="A260"/>
      <x:c r="B260" s="194" t="str">
        <x:v>June 2016 - June 2016</x:v>
      </x:c>
      <x:c r="C260" s="164"/>
      <x:c r="D260" s="164"/>
      <x:c r="E260" s="164"/>
    </x:row>
    <x:row r="261" spans="1:10" ht="27.75" customHeight="1" x14ac:dyDescent="0.25">
      <x:c r="B261" s="47" t="str">
        <x:v>Meter Group</x:v>
      </x:c>
      <x:c r="C261" s="45" t="str">
        <x:v>Rollover Pages For Period</x:v>
      </x:c>
      <x:c r="D261" s="45" t="str">
        <x:v>Pre-FPR CPP</x:v>
      </x:c>
      <x:c r="E261" s="46" t="str">
        <x:v>Rollover Savings</x:v>
      </x:c>
    </x:row>
    <x:row r="262" spans="1:10" x14ac:dyDescent="0.25">
      <x:c r="B262" s="60" t="str">
        <x:v>B/W Copies</x:v>
      </x:c>
      <x:c r="C262" s="73" t="str">
        <x:v>0</x:v>
      </x:c>
      <x:c r="D262" s="73" t="str">
        <x:v>$ .0160</x:v>
      </x:c>
      <x:c r="E262" s="61" t="n">
        <x:f>=SUM(C262* D262)</x:f>
      </x:c>
    </x:row>
    <x:row r="263" spans="1:10" x14ac:dyDescent="0.25">
      <x:c r="B263" s="60" t="str">
        <x:v>B/W Laser Prints</x:v>
      </x:c>
      <x:c r="C263" s="73" t="str">
        <x:v>0</x:v>
      </x:c>
      <x:c r="D263" s="73" t="str">
        <x:v>$ .0214</x:v>
      </x:c>
      <x:c r="E263" s="61" t="n">
        <x:f>=SUM(C263* D263)</x:f>
      </x:c>
    </x:row>
    <x:row r="264" spans="1:10" x14ac:dyDescent="0.25">
      <x:c r="B264" s="58" t="str">
        <x:v>Color Copier B/W Pages</x:v>
      </x:c>
      <x:c r="C264" s="6" t="str">
        <x:v>0</x:v>
      </x:c>
      <x:c r="D264" s="6" t="str">
        <x:v>$ .0160</x:v>
      </x:c>
      <x:c r="E264" s="59" t="str">
        <x:f>=SUM(C264* D264)</x:f>
      </x:c>
    </x:row>
    <x:row r="265" spans="1:10" x14ac:dyDescent="0.25">
      <x:c r="B265" s="58" t="str">
        <x:v>Color Copier Color Pages</x:v>
      </x:c>
      <x:c r="C265" s="6" t="str">
        <x:v>0</x:v>
      </x:c>
      <x:c r="D265" s="6" t="str">
        <x:v>$ .1110</x:v>
      </x:c>
      <x:c r="E265" s="59" t="str">
        <x:f>=SUM(C265* D265)</x:f>
      </x:c>
    </x:row>
    <x:row r="266" spans="1:10" x14ac:dyDescent="0.25">
      <x:c r="A266" s="19"/>
      <x:c r="B266" s="174"/>
      <x:c r="C266" s="174"/>
      <x:c r="D266" s="174">
        <x:v>Rollover Savings: </x:v>
      </x:c>
      <x:c r="E266" s="174">
        <x:f ca="1">SUM(E261:E265)</x:f>
      </x:c>
    </x:row>
    <x:row r="268" spans="1:10" ht="15.5" customHeight="1" x14ac:dyDescent="0.25">
      <x:c r="A268"/>
      <x:c r="B268" s="194" t="str">
        <x:v>May 2016 - May 2016</x:v>
      </x:c>
      <x:c r="C268" s="164"/>
      <x:c r="D268" s="164"/>
      <x:c r="E268" s="164"/>
    </x:row>
    <x:row r="269" spans="1:10" ht="27.75" customHeight="1" x14ac:dyDescent="0.25">
      <x:c r="B269" s="47" t="str">
        <x:v>Meter Group</x:v>
      </x:c>
      <x:c r="C269" s="45" t="str">
        <x:v>Rollover Pages For Period</x:v>
      </x:c>
      <x:c r="D269" s="45" t="str">
        <x:v>Pre-FPR CPP</x:v>
      </x:c>
      <x:c r="E269" s="46" t="str">
        <x:v>Rollover Savings</x:v>
      </x:c>
    </x:row>
    <x:row r="270" spans="1:10" x14ac:dyDescent="0.25">
      <x:c r="B270" s="60" t="str">
        <x:v>B/W Copies</x:v>
      </x:c>
      <x:c r="C270" s="73" t="str">
        <x:v>0</x:v>
      </x:c>
      <x:c r="D270" s="73" t="str">
        <x:v>$ .0160</x:v>
      </x:c>
      <x:c r="E270" s="61" t="n">
        <x:f>=SUM(C270* D270)</x:f>
      </x:c>
    </x:row>
    <x:row r="271" spans="1:10" x14ac:dyDescent="0.25">
      <x:c r="B271" s="60" t="str">
        <x:v>B/W Laser Prints</x:v>
      </x:c>
      <x:c r="C271" s="73" t="str">
        <x:v>0</x:v>
      </x:c>
      <x:c r="D271" s="73" t="str">
        <x:v>$ .0214</x:v>
      </x:c>
      <x:c r="E271" s="61" t="n">
        <x:f>=SUM(C271* D271)</x:f>
      </x:c>
    </x:row>
    <x:row r="272" spans="1:10" x14ac:dyDescent="0.25">
      <x:c r="B272" s="58" t="str">
        <x:v>Color Copier B/W Pages</x:v>
      </x:c>
      <x:c r="C272" s="6" t="str">
        <x:v>0</x:v>
      </x:c>
      <x:c r="D272" s="6" t="str">
        <x:v>$ .0160</x:v>
      </x:c>
      <x:c r="E272" s="59" t="str">
        <x:f>=SUM(C272* D272)</x:f>
      </x:c>
    </x:row>
    <x:row r="273" spans="1:10" x14ac:dyDescent="0.25">
      <x:c r="B273" s="58" t="str">
        <x:v>Color Copier Color Pages</x:v>
      </x:c>
      <x:c r="C273" s="6" t="str">
        <x:v>0</x:v>
      </x:c>
      <x:c r="D273" s="6" t="str">
        <x:v>$ .1110</x:v>
      </x:c>
      <x:c r="E273" s="59" t="str">
        <x:f>=SUM(C273* D273)</x:f>
      </x:c>
    </x:row>
    <x:row r="274" spans="1:10" x14ac:dyDescent="0.25">
      <x:c r="A274" s="19"/>
      <x:c r="B274" s="174"/>
      <x:c r="C274" s="174"/>
      <x:c r="D274" s="174">
        <x:v>Rollover Savings: </x:v>
      </x:c>
      <x:c r="E274" s="174">
        <x:f ca="1">SUM(E269:E273)</x:f>
      </x:c>
    </x:row>
    <x:row r="276" spans="1:10" ht="15.5" customHeight="1" x14ac:dyDescent="0.25">
      <x:c r="A276"/>
      <x:c r="B276" s="194" t="str">
        <x:v>February 2016 - April 2016</x:v>
      </x:c>
      <x:c r="C276" s="164"/>
      <x:c r="D276" s="164"/>
      <x:c r="E276" s="164"/>
    </x:row>
    <x:row r="277" spans="1:10" ht="27.75" customHeight="1" x14ac:dyDescent="0.25">
      <x:c r="B277" s="47" t="str">
        <x:v>Meter Group</x:v>
      </x:c>
      <x:c r="C277" s="45" t="str">
        <x:v>Rollover Pages For Period</x:v>
      </x:c>
      <x:c r="D277" s="45" t="str">
        <x:v>Pre-FPR CPP</x:v>
      </x:c>
      <x:c r="E277" s="46" t="str">
        <x:v>Rollover Savings</x:v>
      </x:c>
    </x:row>
    <x:row r="278" spans="1:10" x14ac:dyDescent="0.25">
      <x:c r="B278" s="60" t="str">
        <x:v>B/W Copies</x:v>
      </x:c>
      <x:c r="C278" s="73" t="str">
        <x:v>0</x:v>
      </x:c>
      <x:c r="D278" s="73" t="str">
        <x:v>$ .0160</x:v>
      </x:c>
      <x:c r="E278" s="61" t="n">
        <x:f>=SUM(C278* D278)</x:f>
      </x:c>
    </x:row>
    <x:row r="279" spans="1:10" x14ac:dyDescent="0.25">
      <x:c r="B279" s="60" t="str">
        <x:v>B/W Laser Prints</x:v>
      </x:c>
      <x:c r="C279" s="73" t="str">
        <x:v>0</x:v>
      </x:c>
      <x:c r="D279" s="73" t="str">
        <x:v>$ .0214</x:v>
      </x:c>
      <x:c r="E279" s="61" t="n">
        <x:f>=SUM(C279* D279)</x:f>
      </x:c>
    </x:row>
    <x:row r="280" spans="1:10" x14ac:dyDescent="0.25">
      <x:c r="B280" s="58" t="str">
        <x:v>Color Copier B/W Pages</x:v>
      </x:c>
      <x:c r="C280" s="6" t="str">
        <x:v>0</x:v>
      </x:c>
      <x:c r="D280" s="6" t="str">
        <x:v>$ .0160</x:v>
      </x:c>
      <x:c r="E280" s="59" t="str">
        <x:f>=SUM(C280* D280)</x:f>
      </x:c>
    </x:row>
    <x:row r="281" spans="1:10" x14ac:dyDescent="0.25">
      <x:c r="B281" s="58" t="str">
        <x:v>Color Copier Color Pages</x:v>
      </x:c>
      <x:c r="C281" s="6" t="str">
        <x:v>0</x:v>
      </x:c>
      <x:c r="D281" s="6" t="str">
        <x:v>$ .1110</x:v>
      </x:c>
      <x:c r="E281" s="59" t="str">
        <x:f>=SUM(C281* D281)</x:f>
      </x:c>
    </x:row>
    <x:row r="282" spans="1:10" x14ac:dyDescent="0.25">
      <x:c r="A282" s="19"/>
      <x:c r="B282" s="174"/>
      <x:c r="C282" s="174"/>
      <x:c r="D282" s="174">
        <x:v>Rollover Savings: </x:v>
      </x:c>
      <x:c r="E282" s="174">
        <x:f ca="1">SUM(E277:E281)</x:f>
      </x:c>
    </x:row>
    <x:row r="284" spans="1:10" x14ac:dyDescent="0.25">
      <x:c r="B284" s="6"/>
      <x:c r="C284" s="6"/>
      <x:c r="D284" s="174">
        <x:v>Total Rollover Savings: </x:v>
      </x:c>
      <x:c r="E284" s="174">
        <x:v>0.00000000000</x:v>
      </x:c>
    </x:row>
  </x:sheetData>
  <x:mergeCells count="3">
    <x:mergeCell ref="A1:G1"/>
    <x:mergeCell ref="A2:G2"/>
    <x:mergeCell ref="A3:G3"/>
  </x:mergeCells>
  <x:dataValidations count="1">
    <x:dataValidation allowBlank="1" showInputMessage="1" sqref="C7:D27"/>
  </x:dataValidations>
  <x:printOptions horizontalCentered="1"/>
  <x:pageMargins left="0.553" right="0.333" top="1.3958333333333333" bottom="0.94791666666666663" header="0.3" footer="0.3"/>
  <x:pageSetup orientation="landscape" r:id="rId1"/>
  <x:headerFooter>
    <x:oddHeader>&amp;C&amp;G</x:oddHeader>
    <x:oddFooter>&amp;C&amp;G</x:oddFooter>
  </x:headerFooter>
  <x:legacyDrawingHF r:id="rId2"/>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sheetPr codeName="Sheet16"/>
  <x:dimension ref="A1:F23"/>
  <x:sheetViews>
    <x:sheetView showGridLines="0" view="pageLayout" zoomScaleNormal="100" workbookViewId="0">
      <x:selection activeCell="B7" sqref="B7"/>
    </x:sheetView>
  </x:sheetViews>
  <x:sheetFormatPr defaultRowHeight="15" x14ac:dyDescent="0.25"/>
  <x:cols>
    <x:col min="1" max="1" width="14.5" style="1" customWidth="1"/>
    <x:col min="2" max="2" width="14.6" style="1" customWidth="1"/>
    <x:col min="3" max="3" width="24.5" style="1" customWidth="1"/>
    <x:col min="4" max="4" width="24.5" style="1" customWidth="1"/>
    <x:col min="5" max="5" width="15.57" style="1" customWidth="1"/>
    <x:col min="6" max="7" width="12.140625" style="5" customWidth="1"/>
  </x:cols>
  <x:sheetData>
    <x:row r="1" spans="1:10" ht="15.75" x14ac:dyDescent="0.25">
      <x:c r="A1" s="125" t="str">
        <x:f ca="1">SETUP!$B$2</x:f>
        <x:v>?</x:v>
      </x:c>
      <x:c r="C1" s="126"/>
      <x:c r="D1" s="126"/>
      <x:c r="E1" s="126"/>
      <x:c r="F1" s="126"/>
    </x:row>
    <x:row r="2" spans="1:10" x14ac:dyDescent="0.25">
      <x:c r="A2" s="123" t="str">
        <x:f ca="1">="Model Matrix Period Ending "&amp;TEXT(SETUP!$B$4,"MMMMMMMMM DD, YYYY")&amp;""</x:f>
        <x:v>="Model Matrix Period Ending "&amp;TEXT(SETUP!$B$4,"MMMMMMMMM DD, YYYY")&amp;""</x:v>
      </x:c>
      <x:c r="C2" s="124"/>
      <x:c r="D2" s="124"/>
      <x:c r="E2" s="124"/>
      <x:c r="F2" s="124"/>
    </x:row>
    <x:row r="3" spans="1:10" x14ac:dyDescent="0.25">
      <x:c r="B3" s="199" t="str">
        <x:v>The matrix below displays the quanitity and volume by Model in tabular format.</x:v>
      </x:c>
      <x:c r="C3" s="131"/>
      <x:c r="D3" s="131"/>
      <x:c r="E3" s="131"/>
    </x:row>
    <x:row r="4" spans="1:10" x14ac:dyDescent="0.25">
      <x:c r="A4" s="19"/>
      <x:c r="B4" s="127" t="str"/>
      <x:c r="C4" s="131"/>
      <x:c r="D4" s="131"/>
      <x:c r="E4" s="131"/>
    </x:row>
    <x:row r="5" spans="1:10" ht="51.75" customHeight="1" x14ac:dyDescent="0.25">
      <x:c r="B5" s="47" t="str">
        <x:v>Line #</x:v>
      </x:c>
      <x:c r="C5" s="45" t="str">
        <x:v>Device Type</x:v>
      </x:c>
      <x:c r="D5" s="45" t="str">
        <x:v>Model</x:v>
      </x:c>
      <x:c r="E5" s="45" t="str">
        <x:f ca="1">="(" &amp; Text(Sum(E6:E29),"###,###") &amp; ") 
 Quantity by Model "</x:f>
      </x:c>
      <x:c r="F5" s="46" t="str">
        <x:f ca="1">="(" &amp; Text(Sum(F6:F29),"###,###") &amp; ")
 Volume by Model "</x:f>
      </x:c>
    </x:row>
    <x:row r="6" spans="1:10" x14ac:dyDescent="0.25">
      <x:c r="B6" s="60" t="str">
        <x:v>1</x:v>
      </x:c>
      <x:c r="C6" s="73" t="str">
        <x:v>B/W Copier</x:v>
      </x:c>
      <x:c r="D6" s="73" t="str">
        <x:v>Ricoh 4001</x:v>
      </x:c>
      <x:c r="E6" s="73" t="n">
        <x:v>4</x:v>
      </x:c>
      <x:c r="F6" s="98" t="n">
        <x:v>10166.000000</x:v>
      </x:c>
    </x:row>
    <x:row r="7" spans="1:10" x14ac:dyDescent="0.25">
      <x:c r="B7" s="60" t="str">
        <x:v>2</x:v>
      </x:c>
      <x:c r="C7" s="73" t="str">
        <x:v>B/W Copier</x:v>
      </x:c>
      <x:c r="D7" s="73" t="str">
        <x:v>Ricoh MP 2851</x:v>
      </x:c>
      <x:c r="E7" s="73" t="n">
        <x:v>9</x:v>
      </x:c>
      <x:c r="F7" s="98" t="n">
        <x:v>26625.000000</x:v>
      </x:c>
    </x:row>
    <x:row r="8" spans="1:10" x14ac:dyDescent="0.25">
      <x:c r="B8" s="58" t="str">
        <x:v>3</x:v>
      </x:c>
      <x:c r="C8" s="6" t="str">
        <x:v>B/W Copier</x:v>
      </x:c>
      <x:c r="D8" s="6" t="str">
        <x:v>Ricoh MP201 SPF</x:v>
      </x:c>
      <x:c r="E8" s="6" t="n">
        <x:v>1</x:v>
      </x:c>
      <x:c r="F8" s="91" t="n">
        <x:v>208.000000</x:v>
      </x:c>
    </x:row>
    <x:row r="9" spans="1:10" x14ac:dyDescent="0.25">
      <x:c r="B9" s="58" t="str">
        <x:v>4</x:v>
      </x:c>
      <x:c r="C9" s="6" t="str">
        <x:v>B/W Copier</x:v>
      </x:c>
      <x:c r="D9" s="6" t="str">
        <x:v>Ricoh MP2554</x:v>
      </x:c>
      <x:c r="E9" s="6" t="n">
        <x:v>1</x:v>
      </x:c>
      <x:c r="F9" s="91" t="n">
        <x:v>7161.000000</x:v>
      </x:c>
    </x:row>
    <x:row r="10" spans="1:10" x14ac:dyDescent="0.25">
      <x:c r="B10" s="60" t="str">
        <x:v>5</x:v>
      </x:c>
      <x:c r="C10" s="73" t="str">
        <x:v>B/W Copier</x:v>
      </x:c>
      <x:c r="D10" s="73" t="str">
        <x:v>Ricoh MP2852SP</x:v>
      </x:c>
      <x:c r="E10" s="73" t="n">
        <x:v>3</x:v>
      </x:c>
      <x:c r="F10" s="98" t="n">
        <x:v>6270.000000</x:v>
      </x:c>
    </x:row>
    <x:row r="11" spans="1:10" x14ac:dyDescent="0.25">
      <x:c r="B11" s="60" t="str">
        <x:v>6</x:v>
      </x:c>
      <x:c r="C11" s="73" t="str">
        <x:v>B/W Copier</x:v>
      </x:c>
      <x:c r="D11" s="73" t="str">
        <x:v>Ricoh MP3054</x:v>
      </x:c>
      <x:c r="E11" s="73" t="n">
        <x:v>1</x:v>
      </x:c>
      <x:c r="F11" s="98" t="n">
        <x:v>8.000000</x:v>
      </x:c>
    </x:row>
    <x:row r="12" spans="1:10" x14ac:dyDescent="0.25">
      <x:c r="B12" s="58" t="str">
        <x:v>7</x:v>
      </x:c>
      <x:c r="C12" s="6" t="str">
        <x:v>B/W Copier</x:v>
      </x:c>
      <x:c r="D12" s="6" t="str">
        <x:v>Ricoh MP3054</x:v>
      </x:c>
      <x:c r="E12" s="6" t="n">
        <x:v>1</x:v>
      </x:c>
      <x:c r="F12" s="91" t="n">
        <x:v>2435.000000</x:v>
      </x:c>
    </x:row>
    <x:row r="13" spans="1:10" x14ac:dyDescent="0.25">
      <x:c r="B13" s="58" t="str">
        <x:v>8</x:v>
      </x:c>
      <x:c r="C13" s="6" t="str">
        <x:v>B/W Copier</x:v>
      </x:c>
      <x:c r="D13" s="6" t="str">
        <x:v>Ricoh SP 5210SF</x:v>
      </x:c>
      <x:c r="E13" s="6" t="n">
        <x:v>1</x:v>
      </x:c>
      <x:c r="F13" s="91" t="n">
        <x:v>1559.000000</x:v>
      </x:c>
    </x:row>
    <x:row r="14" spans="1:10" x14ac:dyDescent="0.25">
      <x:c r="B14" s="60" t="str">
        <x:v>9</x:v>
      </x:c>
      <x:c r="C14" s="73" t="str">
        <x:v>B/W MFP</x:v>
      </x:c>
      <x:c r="D14" s="73" t="str">
        <x:v>Ricoh MP 501spf</x:v>
      </x:c>
      <x:c r="E14" s="73" t="n">
        <x:v>2</x:v>
      </x:c>
      <x:c r="F14" s="98" t="n">
        <x:v>3347.000000</x:v>
      </x:c>
    </x:row>
    <x:row r="15" spans="1:10" x14ac:dyDescent="0.25">
      <x:c r="B15" s="60" t="str">
        <x:v>10</x:v>
      </x:c>
      <x:c r="C15" s="73" t="str">
        <x:v>B/W MFP</x:v>
      </x:c>
      <x:c r="D15" s="73" t="str">
        <x:v>Ricoh SP 4510SF</x:v>
      </x:c>
      <x:c r="E15" s="73" t="n">
        <x:v>1</x:v>
      </x:c>
      <x:c r="F15" s="98" t="n">
        <x:v>72.000000</x:v>
      </x:c>
    </x:row>
    <x:row r="16" spans="1:10" x14ac:dyDescent="0.25">
      <x:c r="B16" s="58" t="str">
        <x:v>11</x:v>
      </x:c>
      <x:c r="C16" s="6" t="str">
        <x:v>B/W Printer</x:v>
      </x:c>
      <x:c r="D16" s="6" t="str">
        <x:v>Ricoh SP 4210N</x:v>
      </x:c>
      <x:c r="E16" s="6" t="n">
        <x:v>12</x:v>
      </x:c>
      <x:c r="F16" s="91" t="n">
        <x:v>10672.000000</x:v>
      </x:c>
    </x:row>
    <x:row r="17" spans="1:10" x14ac:dyDescent="0.25">
      <x:c r="B17" s="58" t="str">
        <x:v>12</x:v>
      </x:c>
      <x:c r="C17" s="6" t="str">
        <x:v>B/W Printer</x:v>
      </x:c>
      <x:c r="D17" s="6" t="str">
        <x:v>Ricoh SP 4210N</x:v>
      </x:c>
      <x:c r="E17" s="6" t="n">
        <x:v>1</x:v>
      </x:c>
      <x:c r="F17" s="91" t="n">
        <x:v>0.000000</x:v>
      </x:c>
    </x:row>
    <x:row r="18" spans="1:10" x14ac:dyDescent="0.25">
      <x:c r="B18" s="60" t="str">
        <x:v>13</x:v>
      </x:c>
      <x:c r="C18" s="73" t="str">
        <x:v>B/W Printer</x:v>
      </x:c>
      <x:c r="D18" s="73" t="str">
        <x:v>Ricoh SP 4310</x:v>
      </x:c>
      <x:c r="E18" s="73" t="n">
        <x:v>1</x:v>
      </x:c>
      <x:c r="F18" s="98" t="n">
        <x:v>362.000000</x:v>
      </x:c>
    </x:row>
    <x:row r="19" spans="1:10" x14ac:dyDescent="0.25">
      <x:c r="B19" s="60" t="str">
        <x:v>14</x:v>
      </x:c>
      <x:c r="C19" s="73" t="str">
        <x:v>B/W Printer</x:v>
      </x:c>
      <x:c r="D19" s="73" t="str">
        <x:v>Ricoh SP 4310</x:v>
      </x:c>
      <x:c r="E19" s="73" t="n">
        <x:v>20</x:v>
      </x:c>
      <x:c r="F19" s="98" t="n">
        <x:v>18324.000000</x:v>
      </x:c>
    </x:row>
    <x:row r="20" spans="1:10" x14ac:dyDescent="0.25">
      <x:c r="B20" s="58" t="str">
        <x:v>15</x:v>
      </x:c>
      <x:c r="C20" s="6" t="str">
        <x:v>B/W Printer</x:v>
      </x:c>
      <x:c r="D20" s="6" t="str">
        <x:v>Ricoh SP 4510DN</x:v>
      </x:c>
      <x:c r="E20" s="6" t="n">
        <x:v>1</x:v>
      </x:c>
      <x:c r="F20" s="91" t="n">
        <x:v>270.000000</x:v>
      </x:c>
    </x:row>
    <x:row r="21" spans="1:10" x14ac:dyDescent="0.25">
      <x:c r="B21" s="58" t="str">
        <x:v>16</x:v>
      </x:c>
      <x:c r="C21" s="6" t="str">
        <x:v>B/W Printer</x:v>
      </x:c>
      <x:c r="D21" s="6" t="str">
        <x:v>Ricoh SP 4510DN</x:v>
      </x:c>
      <x:c r="E21" s="6" t="n">
        <x:v>18</x:v>
      </x:c>
      <x:c r="F21" s="91" t="n">
        <x:v>19446.000000</x:v>
      </x:c>
    </x:row>
    <x:row r="22" spans="1:10" x14ac:dyDescent="0.25">
      <x:c r="B22" s="60" t="str">
        <x:v>17</x:v>
      </x:c>
      <x:c r="C22" s="73" t="str">
        <x:v>B/W Printer</x:v>
      </x:c>
      <x:c r="D22" s="73" t="str">
        <x:v>Ricoh SP 4510DN</x:v>
      </x:c>
      <x:c r="E22" s="73" t="n">
        <x:v>1</x:v>
      </x:c>
      <x:c r="F22" s="98" t="n">
        <x:v>0.000000</x:v>
      </x:c>
    </x:row>
    <x:row r="23" spans="1:10" x14ac:dyDescent="0.25">
      <x:c r="B23" s="60" t="str">
        <x:v>18</x:v>
      </x:c>
      <x:c r="C23" s="73" t="str">
        <x:v>Color Copier</x:v>
      </x:c>
      <x:c r="D23" s="73" t="str">
        <x:v>Ricoh MP C2051</x:v>
      </x:c>
      <x:c r="E23" s="73" t="n">
        <x:v>48</x:v>
      </x:c>
      <x:c r="F23" s="98" t="n">
        <x:v>105901.000000</x:v>
      </x:c>
    </x:row>
    <x:row r="24" spans="1:10" x14ac:dyDescent="0.25">
      <x:c r="B24" s="58" t="str">
        <x:v>19</x:v>
      </x:c>
      <x:c r="C24" s="6" t="str">
        <x:v>Color Copier</x:v>
      </x:c>
      <x:c r="D24" s="6" t="str">
        <x:v>Ricoh MP C2503</x:v>
      </x:c>
      <x:c r="E24" s="6" t="n">
        <x:v>6</x:v>
      </x:c>
      <x:c r="F24" s="91" t="n">
        <x:v>16208.000000</x:v>
      </x:c>
    </x:row>
    <x:row r="25" spans="1:10" x14ac:dyDescent="0.25">
      <x:c r="B25" s="58" t="str">
        <x:v>20</x:v>
      </x:c>
      <x:c r="C25" s="6" t="str">
        <x:v>Color Copier</x:v>
      </x:c>
      <x:c r="D25" s="6" t="str">
        <x:v>Ricoh MP C3003</x:v>
      </x:c>
      <x:c r="E25" s="6" t="n">
        <x:v>2</x:v>
      </x:c>
      <x:c r="F25" s="91" t="n">
        <x:v>2049.000000</x:v>
      </x:c>
    </x:row>
    <x:row r="26" spans="1:10" x14ac:dyDescent="0.25">
      <x:c r="B26" s="60" t="str">
        <x:v>21</x:v>
      </x:c>
      <x:c r="C26" s="73" t="str">
        <x:v>Color Copier</x:v>
      </x:c>
      <x:c r="D26" s="73" t="str">
        <x:v>Ricoh MP C3004</x:v>
      </x:c>
      <x:c r="E26" s="73" t="n">
        <x:v>36</x:v>
      </x:c>
      <x:c r="F26" s="98" t="n">
        <x:v>117676.000000</x:v>
      </x:c>
    </x:row>
    <x:row r="27" spans="1:10" x14ac:dyDescent="0.25">
      <x:c r="B27" s="60" t="str">
        <x:v>22</x:v>
      </x:c>
      <x:c r="C27" s="73" t="str">
        <x:v>Color Copier</x:v>
      </x:c>
      <x:c r="D27" s="73" t="str">
        <x:v>Ricoh MP C3004</x:v>
      </x:c>
      <x:c r="E27" s="73" t="n">
        <x:v>2</x:v>
      </x:c>
      <x:c r="F27" s="98" t="n">
        <x:v>0.000000</x:v>
      </x:c>
    </x:row>
    <x:row r="28" spans="1:10" x14ac:dyDescent="0.25">
      <x:c r="B28" s="58" t="str">
        <x:v>23</x:v>
      </x:c>
      <x:c r="C28" s="6" t="str">
        <x:v>Color Printer</x:v>
      </x:c>
      <x:c r="D28" s="6" t="str">
        <x:v>Ricoh MPC 2551</x:v>
      </x:c>
      <x:c r="E28" s="6" t="n">
        <x:v>18</x:v>
      </x:c>
      <x:c r="F28" s="91" t="n">
        <x:v>34185.000000</x:v>
      </x:c>
    </x:row>
    <x:row r="29" spans="1:7" x14ac:dyDescent="0.25">
      <x:c r="B29" s="92"/>
      <x:c r="C29" s="120"/>
      <x:c r="D29" s="120"/>
      <x:c r="E29" s="120"/>
      <x:c r="F29" s="121"/>
    </x:row>
  </x:sheetData>
  <x:mergeCells count="4">
    <x:mergeCell ref="A1:H1"/>
    <x:mergeCell ref="A2:H2"/>
    <x:mergeCell ref="B3:F3"/>
    <x:mergeCell ref="A4:H4"/>
  </x:mergeCells>
  <x:dataValidations count="1">
    <x:dataValidation allowBlank="1" showInputMessage="1" sqref="C7:D27"/>
  </x:dataValidations>
  <x:printOptions horizontalCentered="1"/>
  <x:pageMargins left="0.333" right="0.333" top="1.3958333333333333" bottom="0.94791666666666663" header="0.3" footer="0.3"/>
  <x:pageSetup orientation="landscape" r:id="rId1"/>
  <x:headerFooter>
    <x:oddHeader>&amp;C&amp;G</x:oddHeader>
    <x:oddFooter>&amp;C&amp;G</x:oddFooter>
  </x:headerFooter>
  <x:legacyDrawingHF r:id="rId2"/>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1"/>
  <x:sheetViews>
    <x:sheetView showGridLines="0" view="pageLayout" zoomScaleNormal="100" workbookViewId="0">
      <x:selection activeCell="A7" sqref="A7"/>
    </x:sheetView>
  </x:sheetViews>
  <x:sheetFormatPr defaultRowHeight="15" x14ac:dyDescent="0.25"/>
  <x:cols>
    <x:col min="1" max="1" width="14.28515625" style="1" customWidth="1"/>
    <x:col min="2" max="2" width="19.140625" style="1" customWidth="1"/>
    <x:col min="3" max="3" width="10.5" style="12" customWidth="1"/>
    <x:col min="4" max="4" width="12.5" style="1" customWidth="1"/>
    <x:col min="5" max="5" width="13.5" style="1" customWidth="1"/>
    <x:col min="6" max="6" width="10.5" style="12" customWidth="1"/>
    <x:col min="7" max="7" width="10.5" style="12" customWidth="1"/>
    <x:col min="8" max="8" width="11.5" style="12" customWidth="1"/>
    <x:col min="9" max="9" width="11.5" style="12" customWidth="1"/>
    <x:col min="10" max="10" width="12.888" style="12" customWidth="1"/>
  </x:cols>
  <x:sheetData>
    <x:row r="1" spans="1:7" ht="15.75" x14ac:dyDescent="0.25">
      <x:c r="A1" s="125" t="str">
        <x:f ca="1">SETUP!$B$2</x:f>
        <x:v>?</x:v>
      </x:c>
      <x:c r="C1" s="132"/>
      <x:c r="D1" s="132"/>
      <x:c r="E1" s="132"/>
      <x:c r="F1" s="132"/>
      <x:c r="G1" s="132"/>
      <x:c r="H1" s="132"/>
      <x:c r="J1" s="132"/>
    </x:row>
    <x:row r="2" spans="1:7" x14ac:dyDescent="0.25">
      <x:c r="A2" s="123" t="str">
        <x:f ca="1">="REVision Summary Through the Period Ending "&amp;TEXT(SETUP!$B$4,"MMMMMMMM DD, YYYY")&amp;""</x:f>
        <x:v>="REVision Summary Through the Period Ending "&amp;TEXT(SETUP!$B$4,"MMMMMMMM DD, YYYY")&amp;""</x:v>
      </x:c>
      <x:c r="C2" s="132"/>
      <x:c r="D2" s="132"/>
      <x:c r="E2" s="132"/>
      <x:c r="F2" s="132"/>
      <x:c r="G2" s="132"/>
      <x:c r="H2" s="132"/>
      <x:c r="J2" s="123"/>
    </x:row>
    <x:row r="3" spans="1:7" ht="51.5" customHeight="1" x14ac:dyDescent="0.25">
      <x:c r="A3" s="199" t="str">
        <x:v>REVision is a summary of the savings delivered by FPR in two key areas:  a)  the difference in base contract expense with FPR as it compares to your "before" FPR base operating expense and  b) your net savings per period as it relates to the overage expense you incurred with FPR (if applicable) compared to what you "would have" spent in overage expense had you not contracted with FPR to manage this portion of your business.</x:v>
      </x:c>
      <x:c r="A3" s="132"/>
      <x:c r="C3" s="132"/>
      <x:c r="D3" s="132"/>
      <x:c r="E3" s="132"/>
      <x:c r="F3" s="132"/>
      <x:c r="G3" s="132"/>
      <x:c r="H3" s="132"/>
    </x:row>
    <x:row r="4" spans="1:7" ht="15" customHeight="1" x14ac:dyDescent="0.25"/>
    <x:row r="5" spans="1:7" ht="34.5" x14ac:dyDescent="0.25">
      <x:c r="B5" s="47" t="str">
        <x:v>Reconciliation Period</x:v>
      </x:c>
      <x:c r="C5" s="45" t="str">
        <x:v>Old Cost</x:v>
      </x:c>
      <x:c r="D5" s="45" t="str">
        <x:v>Overage Cost W/O FPR</x:v>
      </x:c>
      <x:c r="E5" s="45" t="str">
        <x:v>Credits</x:v>
      </x:c>
      <x:c r="F5" s="45" t="str">
        <x:v>New Cost</x:v>
      </x:c>
      <x:c r="G5" s="45" t="str">
        <x:v>FPR Overage Cost</x:v>
      </x:c>
      <x:c r="H5" s="45" t="str">
        <x:v>Savings / Expense Increase</x:v>
      </x:c>
      <x:c r="I5" s="46" t="str">
        <x:v>Percent Savings</x:v>
      </x:c>
    </x:row>
    <x:row r="6" spans="1:9" ht="17.2" customHeight="1" x14ac:dyDescent="0.2">
      <x:c r="B6" s="169" t="str">
        <x:v>Feb - Feb 2019</x:v>
      </x:c>
      <x:c r="C6" s="75">
        <x:v>12708.00</x:v>
      </x:c>
      <x:c r="D6" s="75" t="n">
        <x:v>11377.98480000000</x:v>
      </x:c>
      <x:c r="E6" s="75">
        <x:v>0</x:v>
      </x:c>
      <x:c r="F6" s="75">
        <x:v>10530.00</x:v>
      </x:c>
      <x:c r="G6" s="75">
        <x:v>9394.917800000000</x:v>
      </x:c>
      <x:c r="H6" s="75">
        <x:f ca="1">SUM((C6+D6)-(-E6+F6+G6))</x:f>
        <x:v/>
      </x:c>
      <x:c r="I6" s="168">
        <x:f ca="1">IF(G6 = "","",SUM((C6+D6)-(F6+G6-E6))/ (C6+D6))</x:f>
      </x:c>
    </x:row>
    <x:row r="7" spans="1:9" ht="17.2" customHeight="1" x14ac:dyDescent="0.2">
      <x:c r="B7" s="171" t="str">
        <x:v>Jan - Jan 2019</x:v>
      </x:c>
      <x:c r="C7" s="17">
        <x:v>12708.00</x:v>
      </x:c>
      <x:c r="D7" s="17" t="n">
        <x:v>17817.41160000000</x:v>
      </x:c>
      <x:c r="E7" s="17">
        <x:v>0</x:v>
      </x:c>
      <x:c r="F7" s="17">
        <x:v>10530.00</x:v>
      </x:c>
      <x:c r="G7" s="17">
        <x:v>14563.205490000000</x:v>
      </x:c>
      <x:c r="H7" s="17">
        <x:f ca="1">SUM((C7+D7)-(-E7+F7+G7))</x:f>
        <x:v/>
      </x:c>
      <x:c r="I7" s="170">
        <x:f ca="1">IF(G7 = "","",SUM((C7+D7)-(F7+G7-E7))/ (C7+D7) )</x:f>
      </x:c>
    </x:row>
    <x:row r="8" spans="1:9" ht="17.2" customHeight="1" x14ac:dyDescent="0.2">
      <x:c r="B8" s="169" t="str">
        <x:v>Dec - Dec 2018</x:v>
      </x:c>
      <x:c r="C8" s="75">
        <x:v>12708.00</x:v>
      </x:c>
      <x:c r="D8" s="75" t="n">
        <x:v>10263.84800000000</x:v>
      </x:c>
      <x:c r="E8" s="75">
        <x:v>0</x:v>
      </x:c>
      <x:c r="F8" s="75">
        <x:v>10530.00</x:v>
      </x:c>
      <x:c r="G8" s="75">
        <x:v>8514.300730000000</x:v>
      </x:c>
      <x:c r="H8" s="75">
        <x:f ca="1">SUM((C8+D8)-(-E8+F8+G8))</x:f>
        <x:v/>
      </x:c>
      <x:c r="I8" s="168">
        <x:f ca="1">IF(G8 = "","",SUM((C8+D8)-(F8+G8-E8))/ (C8+D8))</x:f>
      </x:c>
    </x:row>
    <x:row r="9" spans="1:9" ht="17.2" customHeight="1" x14ac:dyDescent="0.2">
      <x:c r="B9" s="171" t="str">
        <x:v>Nov - Nov 2018</x:v>
      </x:c>
      <x:c r="C9" s="17">
        <x:v>12708.00</x:v>
      </x:c>
      <x:c r="D9" s="17" t="n">
        <x:v>11966.95100000000</x:v>
      </x:c>
      <x:c r="E9" s="17">
        <x:v>0</x:v>
      </x:c>
      <x:c r="F9" s="17">
        <x:v>10530.00</x:v>
      </x:c>
      <x:c r="G9" s="17">
        <x:v>9879.835250000000</x:v>
      </x:c>
      <x:c r="H9" s="17">
        <x:f ca="1">SUM((C9+D9)-(-E9+F9+G9))</x:f>
        <x:v/>
      </x:c>
      <x:c r="I9" s="170">
        <x:f ca="1">IF(G9 = "","",SUM((C9+D9)-(F9+G9-E9))/ (C9+D9) )</x:f>
      </x:c>
    </x:row>
    <x:row r="10" spans="1:9" ht="17.2" customHeight="1" x14ac:dyDescent="0.2">
      <x:c r="B10" s="169" t="str">
        <x:v>Oct - Oct 2018</x:v>
      </x:c>
      <x:c r="C10" s="75">
        <x:v>12708.00</x:v>
      </x:c>
      <x:c r="D10" s="75" t="n">
        <x:v>14040.60860000000</x:v>
      </x:c>
      <x:c r="E10" s="75">
        <x:v>0</x:v>
      </x:c>
      <x:c r="F10" s="75">
        <x:v>10530.00</x:v>
      </x:c>
      <x:c r="G10" s="75">
        <x:v>11652.937970000000</x:v>
      </x:c>
      <x:c r="H10" s="75">
        <x:f ca="1">SUM((C10+D10)-(-E10+F10+G10))</x:f>
        <x:v/>
      </x:c>
      <x:c r="I10" s="168">
        <x:f ca="1">IF(G10 = "","",SUM((C10+D10)-(F10+G10-E10))/ (C10+D10))</x:f>
      </x:c>
    </x:row>
    <x:row r="11" spans="1:9" ht="17.2" customHeight="1" x14ac:dyDescent="0.2">
      <x:c r="B11" s="171" t="str">
        <x:v>Sep - Sep 2018</x:v>
      </x:c>
      <x:c r="C11" s="17">
        <x:v>12708.00</x:v>
      </x:c>
      <x:c r="D11" s="17" t="n">
        <x:v>9388.53680000000</x:v>
      </x:c>
      <x:c r="E11" s="17">
        <x:v>0</x:v>
      </x:c>
      <x:c r="F11" s="17">
        <x:v>10530.00</x:v>
      </x:c>
      <x:c r="G11" s="17">
        <x:v>7864.566430000000</x:v>
      </x:c>
      <x:c r="H11" s="17">
        <x:f ca="1">SUM((C11+D11)-(-E11+F11+G11))</x:f>
        <x:v/>
      </x:c>
      <x:c r="I11" s="170">
        <x:f ca="1">IF(G11 = "","",SUM((C11+D11)-(F11+G11-E11))/ (C11+D11) )</x:f>
      </x:c>
    </x:row>
    <x:row r="12" spans="1:9" ht="17.2" customHeight="1" x14ac:dyDescent="0.2">
      <x:c r="B12" s="169" t="str">
        <x:v>Aug - Aug 2018</x:v>
      </x:c>
      <x:c r="C12" s="75">
        <x:v>12708.00</x:v>
      </x:c>
      <x:c r="D12" s="75" t="n">
        <x:v>13018.63160000000</x:v>
      </x:c>
      <x:c r="E12" s="75">
        <x:v>0</x:v>
      </x:c>
      <x:c r="F12" s="75">
        <x:v>10530.00</x:v>
      </x:c>
      <x:c r="G12" s="75">
        <x:v>10860.315190000000</x:v>
      </x:c>
      <x:c r="H12" s="75">
        <x:f ca="1">SUM((C12+D12)-(-E12+F12+G12))</x:f>
        <x:v/>
      </x:c>
      <x:c r="I12" s="168">
        <x:f ca="1">IF(G12 = "","",SUM((C12+D12)-(F12+G12-E12))/ (C12+D12))</x:f>
      </x:c>
    </x:row>
    <x:row r="13" spans="1:9" ht="17.2" customHeight="1" x14ac:dyDescent="0.2">
      <x:c r="B13" s="171" t="str">
        <x:v>Jul - Jul 2018</x:v>
      </x:c>
      <x:c r="C13" s="17">
        <x:v>12708.00</x:v>
      </x:c>
      <x:c r="D13" s="17" t="n">
        <x:v>7610.56240000000</x:v>
      </x:c>
      <x:c r="E13" s="17">
        <x:v>0</x:v>
      </x:c>
      <x:c r="F13" s="17">
        <x:v>10530.00</x:v>
      </x:c>
      <x:c r="G13" s="17">
        <x:v>6323.099200000000</x:v>
      </x:c>
      <x:c r="H13" s="17">
        <x:f ca="1">SUM((C13+D13)-(-E13+F13+G13))</x:f>
        <x:v/>
      </x:c>
      <x:c r="I13" s="170">
        <x:f ca="1">IF(G13 = "","",SUM((C13+D13)-(F13+G13-E13))/ (C13+D13) )</x:f>
      </x:c>
    </x:row>
    <x:row r="14" spans="1:9" ht="17.2" customHeight="1" x14ac:dyDescent="0.2">
      <x:c r="B14" s="169" t="str">
        <x:v>Jun - Jun 2018</x:v>
      </x:c>
      <x:c r="C14" s="75">
        <x:v>12708.00</x:v>
      </x:c>
      <x:c r="D14" s="75" t="n">
        <x:v>9913.99480000000</x:v>
      </x:c>
      <x:c r="E14" s="75">
        <x:v>0</x:v>
      </x:c>
      <x:c r="F14" s="75">
        <x:v>10530.00</x:v>
      </x:c>
      <x:c r="G14" s="75">
        <x:v>8263.204500000000</x:v>
      </x:c>
      <x:c r="H14" s="75">
        <x:f ca="1">SUM((C14+D14)-(-E14+F14+G14))</x:f>
        <x:v/>
      </x:c>
      <x:c r="I14" s="168">
        <x:f ca="1">IF(G14 = "","",SUM((C14+D14)-(F14+G14-E14))/ (C14+D14))</x:f>
      </x:c>
    </x:row>
    <x:row r="15" spans="1:9" ht="17.2" customHeight="1" x14ac:dyDescent="0.2">
      <x:c r="B15" s="171" t="str">
        <x:v>May - May 2018</x:v>
      </x:c>
      <x:c r="C15" s="17">
        <x:v>12708.00</x:v>
      </x:c>
      <x:c r="D15" s="17" t="n">
        <x:v>9123.72940000000</x:v>
      </x:c>
      <x:c r="E15" s="17">
        <x:v>0</x:v>
      </x:c>
      <x:c r="F15" s="17">
        <x:v>10530.00</x:v>
      </x:c>
      <x:c r="G15" s="17">
        <x:v>7638.980290000000</x:v>
      </x:c>
      <x:c r="H15" s="17">
        <x:f ca="1">SUM((C15+D15)-(-E15+F15+G15))</x:f>
        <x:v/>
      </x:c>
      <x:c r="I15" s="170">
        <x:f ca="1">IF(G15 = "","",SUM((C15+D15)-(F15+G15-E15))/ (C15+D15) )</x:f>
      </x:c>
    </x:row>
    <x:row r="16" spans="1:9" ht="17.2" customHeight="1" x14ac:dyDescent="0.2">
      <x:c r="B16" s="169" t="str">
        <x:v>Apr - Apr 2018</x:v>
      </x:c>
      <x:c r="C16" s="75">
        <x:v>12708.00</x:v>
      </x:c>
      <x:c r="D16" s="75" t="n">
        <x:v>12453.78800000000</x:v>
      </x:c>
      <x:c r="E16" s="75">
        <x:v>0</x:v>
      </x:c>
      <x:c r="F16" s="75">
        <x:v>10530.00</x:v>
      </x:c>
      <x:c r="G16" s="75">
        <x:v>10357.639610000000</x:v>
      </x:c>
      <x:c r="H16" s="75">
        <x:f ca="1">SUM((C16+D16)-(-E16+F16+G16))</x:f>
        <x:v/>
      </x:c>
      <x:c r="I16" s="168">
        <x:f ca="1">IF(G16 = "","",SUM((C16+D16)-(F16+G16-E16))/ (C16+D16))</x:f>
      </x:c>
    </x:row>
    <x:row r="17" spans="1:9" ht="17.2" customHeight="1" x14ac:dyDescent="0.2">
      <x:c r="B17" s="171" t="str">
        <x:v>Mar - Mar 2018</x:v>
      </x:c>
      <x:c r="C17" s="17">
        <x:v>12708.00</x:v>
      </x:c>
      <x:c r="D17" s="17" t="n">
        <x:v>7543.77820000000</x:v>
      </x:c>
      <x:c r="E17" s="17">
        <x:v>0</x:v>
      </x:c>
      <x:c r="F17" s="17">
        <x:v>10530.00</x:v>
      </x:c>
      <x:c r="G17" s="17">
        <x:v>6288.554200000000</x:v>
      </x:c>
      <x:c r="H17" s="17">
        <x:f ca="1">SUM((C17+D17)-(-E17+F17+G17))</x:f>
        <x:v/>
      </x:c>
      <x:c r="I17" s="170">
        <x:f ca="1">IF(G17 = "","",SUM((C17+D17)-(F17+G17-E17))/ (C17+D17) )</x:f>
      </x:c>
    </x:row>
    <x:row r="18" spans="1:9" ht="17.2" customHeight="1" x14ac:dyDescent="0.2">
      <x:c r="B18" s="169" t="str">
        <x:v>Feb - Feb 2018</x:v>
      </x:c>
      <x:c r="C18" s="75">
        <x:v>12708.00</x:v>
      </x:c>
      <x:c r="D18" s="75" t="n">
        <x:v>12419.47060000000</x:v>
      </x:c>
      <x:c r="E18" s="75">
        <x:v>0</x:v>
      </x:c>
      <x:c r="F18" s="75">
        <x:v>10530.00</x:v>
      </x:c>
      <x:c r="G18" s="75">
        <x:v>10301.832640000000</x:v>
      </x:c>
      <x:c r="H18" s="75">
        <x:f ca="1">SUM((C18+D18)-(-E18+F18+G18))</x:f>
        <x:v/>
      </x:c>
      <x:c r="I18" s="168">
        <x:f ca="1">IF(G18 = "","",SUM((C18+D18)-(F18+G18-E18))/ (C18+D18))</x:f>
      </x:c>
    </x:row>
    <x:row r="19" spans="1:9" ht="17.2" customHeight="1" x14ac:dyDescent="0.2">
      <x:c r="B19" s="171" t="str">
        <x:v>Jan - Jan 2018</x:v>
      </x:c>
      <x:c r="C19" s="17">
        <x:v>12708.00</x:v>
      </x:c>
      <x:c r="D19" s="17" t="n">
        <x:v>10716.62880000000</x:v>
      </x:c>
      <x:c r="E19" s="17">
        <x:v>0</x:v>
      </x:c>
      <x:c r="F19" s="17">
        <x:v>10530.00</x:v>
      </x:c>
      <x:c r="G19" s="17">
        <x:v>8946.546460000000</x:v>
      </x:c>
      <x:c r="H19" s="17">
        <x:f ca="1">SUM((C19+D19)-(-E19+F19+G19))</x:f>
        <x:v/>
      </x:c>
      <x:c r="I19" s="170">
        <x:f ca="1">IF(G19 = "","",SUM((C19+D19)-(F19+G19-E19))/ (C19+D19) )</x:f>
      </x:c>
    </x:row>
    <x:row r="20" spans="1:9" ht="17.2" customHeight="1" x14ac:dyDescent="0.2">
      <x:c r="B20" s="169" t="str">
        <x:v>Dec - Dec 2017</x:v>
      </x:c>
      <x:c r="C20" s="75">
        <x:v>12708.00</x:v>
      </x:c>
      <x:c r="D20" s="75" t="n">
        <x:v>9743.25460000000</x:v>
      </x:c>
      <x:c r="E20" s="75">
        <x:v>0</x:v>
      </x:c>
      <x:c r="F20" s="75">
        <x:v>10530.00</x:v>
      </x:c>
      <x:c r="G20" s="75">
        <x:v>8083.468260000000</x:v>
      </x:c>
      <x:c r="H20" s="75">
        <x:f ca="1">SUM((C20+D20)-(-E20+F20+G20))</x:f>
        <x:v/>
      </x:c>
      <x:c r="I20" s="168">
        <x:f ca="1">IF(G20 = "","",SUM((C20+D20)-(F20+G20-E20))/ (C20+D20))</x:f>
      </x:c>
    </x:row>
    <x:row r="21" spans="1:9" ht="17.2" customHeight="1" x14ac:dyDescent="0.2">
      <x:c r="B21" s="171" t="str">
        <x:v>Nov - Nov 2017</x:v>
      </x:c>
      <x:c r="C21" s="17">
        <x:v>12708.00</x:v>
      </x:c>
      <x:c r="D21" s="17" t="n">
        <x:v>15409.22740000000</x:v>
      </x:c>
      <x:c r="E21" s="17">
        <x:v>0</x:v>
      </x:c>
      <x:c r="F21" s="17">
        <x:v>10530.00</x:v>
      </x:c>
      <x:c r="G21" s="17">
        <x:v>12415.990950000000</x:v>
      </x:c>
      <x:c r="H21" s="17">
        <x:f ca="1">SUM((C21+D21)-(-E21+F21+G21))</x:f>
        <x:v/>
      </x:c>
      <x:c r="I21" s="170">
        <x:f ca="1">IF(G21 = "","",SUM((C21+D21)-(F21+G21-E21))/ (C21+D21) )</x:f>
      </x:c>
    </x:row>
    <x:row r="22" spans="1:9" ht="17.2" customHeight="1" x14ac:dyDescent="0.2">
      <x:c r="B22" s="169" t="str">
        <x:v>Oct - Oct 2017</x:v>
      </x:c>
      <x:c r="C22" s="75">
        <x:v>12708.00</x:v>
      </x:c>
      <x:c r="D22" s="75" t="n">
        <x:v>16849.40500000000</x:v>
      </x:c>
      <x:c r="E22" s="75">
        <x:v>0</x:v>
      </x:c>
      <x:c r="F22" s="75">
        <x:v>10530.00</x:v>
      </x:c>
      <x:c r="G22" s="75">
        <x:v>13535.244370000000</x:v>
      </x:c>
      <x:c r="H22" s="75">
        <x:f ca="1">SUM((C22+D22)-(-E22+F22+G22))</x:f>
        <x:v/>
      </x:c>
      <x:c r="I22" s="168">
        <x:f ca="1">IF(G22 = "","",SUM((C22+D22)-(F22+G22-E22))/ (C22+D22))</x:f>
      </x:c>
    </x:row>
    <x:row r="23" spans="1:9" ht="17.2" customHeight="1" x14ac:dyDescent="0.2">
      <x:c r="B23" s="171" t="str">
        <x:v>Sep - Sep 2017</x:v>
      </x:c>
      <x:c r="C23" s="17">
        <x:v>12708.00</x:v>
      </x:c>
      <x:c r="D23" s="17" t="n">
        <x:v>13803.63620000000</x:v>
      </x:c>
      <x:c r="E23" s="17">
        <x:v>0</x:v>
      </x:c>
      <x:c r="F23" s="17">
        <x:v>10530.00</x:v>
      </x:c>
      <x:c r="G23" s="17">
        <x:v>11130.701600000000</x:v>
      </x:c>
      <x:c r="H23" s="17">
        <x:f ca="1">SUM((C23+D23)-(-E23+F23+G23))</x:f>
        <x:v/>
      </x:c>
      <x:c r="I23" s="170">
        <x:f ca="1">IF(G23 = "","",SUM((C23+D23)-(F23+G23-E23))/ (C23+D23) )</x:f>
      </x:c>
    </x:row>
    <x:row r="24" spans="1:9" ht="17.2" customHeight="1" x14ac:dyDescent="0.2">
      <x:c r="B24" s="169" t="str">
        <x:v>Aug - Aug 2017</x:v>
      </x:c>
      <x:c r="C24" s="75">
        <x:v>12708.00</x:v>
      </x:c>
      <x:c r="D24" s="75" t="n">
        <x:v>16167.41820000000</x:v>
      </x:c>
      <x:c r="E24" s="75">
        <x:v>0</x:v>
      </x:c>
      <x:c r="F24" s="75">
        <x:v>10530.00</x:v>
      </x:c>
      <x:c r="G24" s="75">
        <x:v>13067.697090000000</x:v>
      </x:c>
      <x:c r="H24" s="75">
        <x:f ca="1">SUM((C24+D24)-(-E24+F24+G24))</x:f>
        <x:v/>
      </x:c>
      <x:c r="I24" s="168">
        <x:f ca="1">IF(G24 = "","",SUM((C24+D24)-(F24+G24-E24))/ (C24+D24))</x:f>
      </x:c>
    </x:row>
    <x:row r="25" spans="1:9" ht="17.2" customHeight="1" x14ac:dyDescent="0.2">
      <x:c r="B25" s="171" t="str">
        <x:v>Jul - Jul 2017</x:v>
      </x:c>
      <x:c r="C25" s="17">
        <x:v>12708.00</x:v>
      </x:c>
      <x:c r="D25" s="17" t="n">
        <x:v>14560.72720000000</x:v>
      </x:c>
      <x:c r="E25" s="17">
        <x:v>0</x:v>
      </x:c>
      <x:c r="F25" s="17">
        <x:v>10530.00</x:v>
      </x:c>
      <x:c r="G25" s="17">
        <x:v>11774.357960000000</x:v>
      </x:c>
      <x:c r="H25" s="17">
        <x:f ca="1">SUM((C25+D25)-(-E25+F25+G25))</x:f>
        <x:v/>
      </x:c>
      <x:c r="I25" s="170">
        <x:f ca="1">IF(G25 = "","",SUM((C25+D25)-(F25+G25-E25))/ (C25+D25) )</x:f>
      </x:c>
    </x:row>
    <x:row r="26" spans="1:9" ht="17.2" customHeight="1" x14ac:dyDescent="0.2">
      <x:c r="B26" s="169" t="str">
        <x:v>Jun - Jun 2017</x:v>
      </x:c>
      <x:c r="C26" s="75">
        <x:v>12708.00</x:v>
      </x:c>
      <x:c r="D26" s="75" t="n">
        <x:v>17537.67020000000</x:v>
      </x:c>
      <x:c r="E26" s="75">
        <x:v>0</x:v>
      </x:c>
      <x:c r="F26" s="75">
        <x:v>10530.00</x:v>
      </x:c>
      <x:c r="G26" s="75">
        <x:v>14181.240940000000</x:v>
      </x:c>
      <x:c r="H26" s="75">
        <x:f ca="1">SUM((C26+D26)-(-E26+F26+G26))</x:f>
        <x:v/>
      </x:c>
      <x:c r="I26" s="168">
        <x:f ca="1">IF(G26 = "","",SUM((C26+D26)-(F26+G26-E26))/ (C26+D26))</x:f>
      </x:c>
    </x:row>
    <x:row r="27" spans="1:9" ht="17.2" customHeight="1" x14ac:dyDescent="0.2">
      <x:c r="B27" s="171" t="str">
        <x:v>May - May 2017</x:v>
      </x:c>
      <x:c r="C27" s="17">
        <x:v>12708.00</x:v>
      </x:c>
      <x:c r="D27" s="17" t="n">
        <x:v>13561.62100000000</x:v>
      </x:c>
      <x:c r="E27" s="17">
        <x:v>0</x:v>
      </x:c>
      <x:c r="F27" s="17">
        <x:v>10530.00</x:v>
      </x:c>
      <x:c r="G27" s="17">
        <x:v>10945.570650000000</x:v>
      </x:c>
      <x:c r="H27" s="17">
        <x:f ca="1">SUM((C27+D27)-(-E27+F27+G27))</x:f>
        <x:v/>
      </x:c>
      <x:c r="I27" s="170">
        <x:f ca="1">IF(G27 = "","",SUM((C27+D27)-(F27+G27-E27))/ (C27+D27) )</x:f>
      </x:c>
    </x:row>
    <x:row r="28" spans="1:9" ht="17.2" customHeight="1" x14ac:dyDescent="0.2">
      <x:c r="B28" s="169" t="str">
        <x:v>Apr - Apr 2017</x:v>
      </x:c>
      <x:c r="C28" s="75">
        <x:v>12708.00</x:v>
      </x:c>
      <x:c r="D28" s="75" t="n">
        <x:v>17984.84140000000</x:v>
      </x:c>
      <x:c r="E28" s="75">
        <x:v>0</x:v>
      </x:c>
      <x:c r="F28" s="75">
        <x:v>10530.00</x:v>
      </x:c>
      <x:c r="G28" s="75">
        <x:v>14562.477890000000</x:v>
      </x:c>
      <x:c r="H28" s="75">
        <x:f ca="1">SUM((C28+D28)-(-E28+F28+G28))</x:f>
        <x:v/>
      </x:c>
      <x:c r="I28" s="168">
        <x:f ca="1">IF(G28 = "","",SUM((C28+D28)-(F28+G28-E28))/ (C28+D28))</x:f>
      </x:c>
    </x:row>
    <x:row r="29" spans="1:9" ht="17.2" customHeight="1" x14ac:dyDescent="0.2">
      <x:c r="B29" s="171" t="str">
        <x:v>Mar - Mar 2017</x:v>
      </x:c>
      <x:c r="C29" s="17">
        <x:v>12708.00</x:v>
      </x:c>
      <x:c r="D29" s="17" t="n">
        <x:v>15930.69580000000</x:v>
      </x:c>
      <x:c r="E29" s="17">
        <x:v>0</x:v>
      </x:c>
      <x:c r="F29" s="17">
        <x:v>10530.00</x:v>
      </x:c>
      <x:c r="G29" s="17">
        <x:v>12914.144610000000</x:v>
      </x:c>
      <x:c r="H29" s="17">
        <x:f ca="1">SUM((C29+D29)-(-E29+F29+G29))</x:f>
        <x:v/>
      </x:c>
      <x:c r="I29" s="170">
        <x:f ca="1">IF(G29 = "","",SUM((C29+D29)-(F29+G29-E29))/ (C29+D29) )</x:f>
      </x:c>
    </x:row>
    <x:row r="30" spans="1:9" ht="17.2" customHeight="1" x14ac:dyDescent="0.2">
      <x:c r="B30" s="169" t="str">
        <x:v>Feb - Feb 2017</x:v>
      </x:c>
      <x:c r="C30" s="75">
        <x:v>12708.00</x:v>
      </x:c>
      <x:c r="D30" s="75" t="n">
        <x:v>14116.62680000000</x:v>
      </x:c>
      <x:c r="E30" s="75">
        <x:v>0</x:v>
      </x:c>
      <x:c r="F30" s="75">
        <x:v>10530.00</x:v>
      </x:c>
      <x:c r="G30" s="75">
        <x:v>11432.234640000000</x:v>
      </x:c>
      <x:c r="H30" s="75">
        <x:f ca="1">SUM((C30+D30)-(-E30+F30+G30))</x:f>
        <x:v/>
      </x:c>
      <x:c r="I30" s="168">
        <x:f ca="1">IF(G30 = "","",SUM((C30+D30)-(F30+G30-E30))/ (C30+D30))</x:f>
      </x:c>
    </x:row>
    <x:row r="31" spans="1:9" ht="17.2" customHeight="1" x14ac:dyDescent="0.2">
      <x:c r="B31" s="171" t="str">
        <x:v>Jan - Jan 2017</x:v>
      </x:c>
      <x:c r="C31" s="17">
        <x:v>12708.00</x:v>
      </x:c>
      <x:c r="D31" s="17" t="n">
        <x:v>14700.00300000000</x:v>
      </x:c>
      <x:c r="E31" s="17">
        <x:v>0</x:v>
      </x:c>
      <x:c r="F31" s="17">
        <x:v>10530.00</x:v>
      </x:c>
      <x:c r="G31" s="17">
        <x:v>11935.018920000000</x:v>
      </x:c>
      <x:c r="H31" s="17">
        <x:f ca="1">SUM((C31+D31)-(-E31+F31+G31))</x:f>
        <x:v/>
      </x:c>
      <x:c r="I31" s="170">
        <x:f ca="1">IF(G31 = "","",SUM((C31+D31)-(F31+G31-E31))/ (C31+D31) )</x:f>
      </x:c>
    </x:row>
    <x:row r="32" spans="1:9" ht="17.2" customHeight="1" x14ac:dyDescent="0.2">
      <x:c r="B32" s="169" t="str">
        <x:v>Dec - Dec 2016</x:v>
      </x:c>
      <x:c r="C32" s="75">
        <x:v>12708.00</x:v>
      </x:c>
      <x:c r="D32" s="75" t="n">
        <x:v>12509.81560000000</x:v>
      </x:c>
      <x:c r="E32" s="75">
        <x:v>0</x:v>
      </x:c>
      <x:c r="F32" s="75">
        <x:v>10530.00</x:v>
      </x:c>
      <x:c r="G32" s="75">
        <x:v>10170.483110000000</x:v>
      </x:c>
      <x:c r="H32" s="75">
        <x:f ca="1">SUM((C32+D32)-(-E32+F32+G32))</x:f>
        <x:v/>
      </x:c>
      <x:c r="I32" s="168">
        <x:f ca="1">IF(G32 = "","",SUM((C32+D32)-(F32+G32-E32))/ (C32+D32))</x:f>
      </x:c>
    </x:row>
    <x:row r="33" spans="1:9" ht="17.2" customHeight="1" x14ac:dyDescent="0.2">
      <x:c r="B33" s="171" t="str">
        <x:v>Nov - Nov 2016</x:v>
      </x:c>
      <x:c r="C33" s="17">
        <x:v>12708.00</x:v>
      </x:c>
      <x:c r="D33" s="17" t="n">
        <x:v>12752.92460000000</x:v>
      </x:c>
      <x:c r="E33" s="17">
        <x:v>0</x:v>
      </x:c>
      <x:c r="F33" s="17">
        <x:v>10530.00</x:v>
      </x:c>
      <x:c r="G33" s="17">
        <x:v>10350.405600000000</x:v>
      </x:c>
      <x:c r="H33" s="17">
        <x:f ca="1">SUM((C33+D33)-(-E33+F33+G33))</x:f>
        <x:v/>
      </x:c>
      <x:c r="I33" s="170">
        <x:f ca="1">IF(G33 = "","",SUM((C33+D33)-(F33+G33-E33))/ (C33+D33) )</x:f>
      </x:c>
    </x:row>
    <x:row r="34" spans="1:9" ht="17.2" customHeight="1" x14ac:dyDescent="0.2">
      <x:c r="B34" s="169" t="str">
        <x:v>Oct - Oct 2016</x:v>
      </x:c>
      <x:c r="C34" s="75">
        <x:v>12708.00</x:v>
      </x:c>
      <x:c r="D34" s="75" t="n">
        <x:v>16319.47800000000</x:v>
      </x:c>
      <x:c r="E34" s="75">
        <x:v>0</x:v>
      </x:c>
      <x:c r="F34" s="75">
        <x:v>10530.00</x:v>
      </x:c>
      <x:c r="G34" s="75">
        <x:v>13290.158920000000</x:v>
      </x:c>
      <x:c r="H34" s="75">
        <x:f ca="1">SUM((C34+D34)-(-E34+F34+G34))</x:f>
        <x:v/>
      </x:c>
      <x:c r="I34" s="168">
        <x:f ca="1">IF(G34 = "","",SUM((C34+D34)-(F34+G34-E34))/ (C34+D34))</x:f>
      </x:c>
    </x:row>
    <x:row r="35" spans="1:9" ht="17.2" customHeight="1" x14ac:dyDescent="0.2">
      <x:c r="B35" s="171" t="str">
        <x:v>Sep - Sep 2016</x:v>
      </x:c>
      <x:c r="C35" s="17">
        <x:v>12708.00</x:v>
      </x:c>
      <x:c r="D35" s="17" t="n">
        <x:v>11970.53880000000</x:v>
      </x:c>
      <x:c r="E35" s="17">
        <x:v>0</x:v>
      </x:c>
      <x:c r="F35" s="17">
        <x:v>10530.00</x:v>
      </x:c>
      <x:c r="G35" s="17">
        <x:v>9763.352430000000</x:v>
      </x:c>
      <x:c r="H35" s="17">
        <x:f ca="1">SUM((C35+D35)-(-E35+F35+G35))</x:f>
        <x:v/>
      </x:c>
      <x:c r="I35" s="170">
        <x:f ca="1">IF(G35 = "","",SUM((C35+D35)-(F35+G35-E35))/ (C35+D35) )</x:f>
      </x:c>
    </x:row>
    <x:row r="36" spans="1:9" ht="17.2" customHeight="1" x14ac:dyDescent="0.2">
      <x:c r="B36" s="169" t="str">
        <x:v>Aug - Aug 2016</x:v>
      </x:c>
      <x:c r="C36" s="75">
        <x:v>12708.00</x:v>
      </x:c>
      <x:c r="D36" s="75" t="n">
        <x:v>15133.05860000000</x:v>
      </x:c>
      <x:c r="E36" s="75">
        <x:v>0</x:v>
      </x:c>
      <x:c r="F36" s="75">
        <x:v>10530.00</x:v>
      </x:c>
      <x:c r="G36" s="75">
        <x:v>12233.959560000000</x:v>
      </x:c>
      <x:c r="H36" s="75">
        <x:f ca="1">SUM((C36+D36)-(-E36+F36+G36))</x:f>
        <x:v/>
      </x:c>
      <x:c r="I36" s="168">
        <x:f ca="1">IF(G36 = "","",SUM((C36+D36)-(F36+G36-E36))/ (C36+D36))</x:f>
      </x:c>
    </x:row>
    <x:row r="37" spans="1:9" ht="17.2" customHeight="1" x14ac:dyDescent="0.2">
      <x:c r="B37" s="171" t="str">
        <x:v>Jul - Jul 2016</x:v>
      </x:c>
      <x:c r="C37" s="17">
        <x:v>12708.00</x:v>
      </x:c>
      <x:c r="D37" s="17" t="n">
        <x:v>13028.60340000000</x:v>
      </x:c>
      <x:c r="E37" s="17">
        <x:v>0</x:v>
      </x:c>
      <x:c r="F37" s="17">
        <x:v>10530.00</x:v>
      </x:c>
      <x:c r="G37" s="17">
        <x:v>10598.338390000000</x:v>
      </x:c>
      <x:c r="H37" s="17">
        <x:f ca="1">SUM((C37+D37)-(-E37+F37+G37))</x:f>
        <x:v/>
      </x:c>
      <x:c r="I37" s="170">
        <x:f ca="1">IF(G37 = "","",SUM((C37+D37)-(F37+G37-E37))/ (C37+D37) )</x:f>
      </x:c>
    </x:row>
    <x:row r="38" spans="1:9" ht="17.2" customHeight="1" x14ac:dyDescent="0.2">
      <x:c r="B38" s="169" t="str">
        <x:v>Jun - Jun 2016</x:v>
      </x:c>
      <x:c r="C38" s="75">
        <x:v>12708.00</x:v>
      </x:c>
      <x:c r="D38" s="75" t="n">
        <x:v>12551.11520000000</x:v>
      </x:c>
      <x:c r="E38" s="75">
        <x:v>0</x:v>
      </x:c>
      <x:c r="F38" s="75">
        <x:v>10530.00</x:v>
      </x:c>
      <x:c r="G38" s="75">
        <x:v>10208.633030000000</x:v>
      </x:c>
      <x:c r="H38" s="75">
        <x:f ca="1">SUM((C38+D38)-(-E38+F38+G38))</x:f>
        <x:v/>
      </x:c>
      <x:c r="I38" s="168">
        <x:f ca="1">IF(G38 = "","",SUM((C38+D38)-(F38+G38-E38))/ (C38+D38))</x:f>
      </x:c>
    </x:row>
    <x:row r="39" spans="1:9" ht="17.2" customHeight="1" x14ac:dyDescent="0.2">
      <x:c r="B39" s="171" t="str">
        <x:v>May - May 2016</x:v>
      </x:c>
      <x:c r="C39" s="17">
        <x:v>12708.00</x:v>
      </x:c>
      <x:c r="D39" s="17" t="n">
        <x:v>17674.07700000000</x:v>
      </x:c>
      <x:c r="E39" s="17">
        <x:v>0</x:v>
      </x:c>
      <x:c r="F39" s="17">
        <x:v>10530.00</x:v>
      </x:c>
      <x:c r="G39" s="17">
        <x:v>14299.109970000000</x:v>
      </x:c>
      <x:c r="H39" s="17">
        <x:f ca="1">SUM((C39+D39)-(-E39+F39+G39))</x:f>
        <x:v/>
      </x:c>
      <x:c r="I39" s="170">
        <x:f ca="1">IF(G39 = "","",SUM((C39+D39)-(F39+G39-E39))/ (C39+D39) )</x:f>
      </x:c>
    </x:row>
    <x:row r="40" spans="1:9" ht="17.2" customHeight="1" x14ac:dyDescent="0.2">
      <x:c r="B40" s="169" t="str">
        <x:v>Feb - Apr 2016</x:v>
      </x:c>
      <x:c r="C40" s="75">
        <x:v>25416.00</x:v>
      </x:c>
      <x:c r="D40" s="75" t="n">
        <x:v>26235.48160000000</x:v>
      </x:c>
      <x:c r="E40" s="75">
        <x:v>0</x:v>
      </x:c>
      <x:c r="F40" s="75">
        <x:v>21060.00</x:v>
      </x:c>
      <x:c r="G40" s="75">
        <x:v>21580.788830000000</x:v>
      </x:c>
      <x:c r="H40" s="75">
        <x:f ca="1">SUM((C40+D40)-(-E40+F40+G40))</x:f>
        <x:v/>
      </x:c>
      <x:c r="I40" s="168">
        <x:f ca="1">IF(G40 = "","",SUM((C40+D40)-(F40+G40-E40))/ (C40+D40))</x:f>
      </x:c>
    </x:row>
    <x:row r="41" spans="1:9" hidden="1" x14ac:dyDescent="0.2">
      <x:c r="B41" s="132" t="str">
        <x:v>5</x:v>
      </x:c>
      <x:c r="C41" s="132">
        <x:f ca="1">SUM(C6:C40)</x:f>
        <x:v>0.00</x:v>
      </x:c>
      <x:c r="D41" s="132">
        <x:f ca="1">SUM(D6:D40)</x:f>
        <x:v/>
      </x:c>
      <x:c r="E41" s="132">
        <x:f ca="1">SUM(E6:E40)</x:f>
        <x:v/>
      </x:c>
      <x:c r="F41" s="132">
        <x:f ca="1">SUM(F6:F40)</x:f>
        <x:v/>
      </x:c>
      <x:c r="G41" s="132">
        <x:f ca="1">SUM(G6:G40)</x:f>
        <x:v/>
      </x:c>
      <x:c r="H41" s="132">
        <x:f ca="1">SUM(H6:H40)</x:f>
        <x:v/>
      </x:c>
      <x:c r="I41" s="132"/>
    </x:row>
    <x:row r="42" spans="1:9" x14ac:dyDescent="0.2">
      <x:c r="B42" s="174"/>
      <x:c r="C42" s="174"/>
      <x:c r="D42" s="209" t="str">
        <x:v>What You Would Have Spent Without FPR:</x:v>
      </x:c>
      <x:c r="E42" s="209">
        <x:f ca="1">SUM(C41+D41)</x:f>
        <x:v>133381.19041487278</x:v>
      </x:c>
      <x:c r="F42" s="174"/>
      <x:c r="G42" s="174"/>
      <x:c r="H42" s="174"/>
      <x:c r="I42" s="174"/>
    </x:row>
    <x:row r="43" spans="1:9" x14ac:dyDescent="0.2">
      <x:c r="D43" s="164" t="str">
        <x:v>What You Did Spend With FPR:</x:v>
      </x:c>
      <x:c r="E43" s="210">
        <x:f ca="1">SUM(F41 + G41)</x:f>
        <x:v>0</x:v>
      </x:c>
    </x:row>
    <x:row r="44" spans="1:9" x14ac:dyDescent="0.2">
      <x:c r="D44" s="164" t="str">
        <x:v>What FPR Has Saved you for the Period Reviewed:</x:v>
      </x:c>
      <x:c r="E44" s="210">
        <x:f ca="1">SUM(E42-E43)</x:f>
        <x:v>0</x:v>
      </x:c>
    </x:row>
    <x:row r="45" spans="1:9" x14ac:dyDescent="0.2">
      <x:c r="D45" s="164" t="str">
        <x:v>Credits:</x:v>
      </x:c>
      <x:c r="E45" s="210">
        <x:f ca="1">=E41</x:f>
        <x:v>0</x:v>
      </x:c>
    </x:row>
  </x:sheetData>
  <x:mergeCells count="4">
    <x:mergeCell ref="A1:J1"/>
    <x:mergeCell ref="A2:J2"/>
    <x:mergeCell ref="A3:J3"/>
    <x:mergeCell ref="A4:J4"/>
  </x:mergeCells>
  <x:conditionalFormatting sqref="G5">
    <x:cfRule type="cellIs" dxfId="0" priority="1" stopIfTrue="1" operator="lessThan">
      <x:formula>0</x:formula>
    </x:cfRule>
  </x:conditionalFormatting>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K34"/>
  <x:sheetViews>
    <x:sheetView showGridLines="0" view="pageLayout" zoomScaleNormal="100" workbookViewId="0">
      <x:selection activeCell="A6" sqref="A6"/>
    </x:sheetView>
  </x:sheetViews>
  <x:sheetFormatPr defaultRowHeight="12.75" x14ac:dyDescent="0.2"/>
  <x:cols>
    <x:col min="1" max="1" width="23.2" bestFit="1" customWidth="1"/>
    <x:col min="2" max="2" width="10.3" bestFit="1" customWidth="1"/>
  </x:cols>
  <x:sheetData>
    <x:row r="1" spans="1:7" ht="15.75" x14ac:dyDescent="0.25">
      <x:c r="A1" s="125" t="str">
        <x:f ca="1">SETUP!$B$2</x:f>
        <x:v>?</x:v>
      </x:c>
      <x:c r="B1" s="132"/>
      <x:c r="C1" s="132"/>
      <x:c r="D1" s="132"/>
      <x:c r="E1" s="132"/>
      <x:c r="F1" s="132"/>
      <x:c r="G1" s="132"/>
      <x:c r="H1" s="132"/>
    </x:row>
    <x:row r="2" spans="1:11" ht="20.5" customHeight="1" x14ac:dyDescent="0.3">
      <x:c r="A2" s="123" t="str">
        <x:f ca="1">="REVision History Through Period Ending "&amp;TEXT(SETUP!$B$4,"MMMMMMMM DD, YYYY")&amp;""</x:f>
        <x:v>="REVision Summary Through  Period Ending "&amp;TEXT(SETUP!$B$4,"MMMMMMMM DD, YYYY")&amp;""</x:v>
      </x:c>
      <x:c r="B2" s="131"/>
      <x:c r="C2" s="131"/>
      <x:c r="D2" s="131"/>
      <x:c r="E2" s="131"/>
      <x:c r="F2" s="131"/>
      <x:c r="G2" s="131"/>
      <x:c r="H2" s="131"/>
      <x:c r="I2" s="131"/>
      <x:c r="J2" s="131"/>
      <x:c r="K2" s="131"/>
    </x:row>
    <x:row r="4" spans="1:11" ht="15" x14ac:dyDescent="0.3">
      <x:c r="A4" s="194" t="str">
        <x:v>2/28/2019</x:v>
      </x:c>
      <x:c r="B4" s="194"/>
      <x:c r="C4" s="194"/>
      <x:c r="D4" s="194"/>
      <x:c r="E4" s="194"/>
      <x:c r="F4" s="194"/>
      <x:c r="G4" s="194"/>
      <x:c r="H4" s="194"/>
      <x:c r="I4" s="194"/>
      <x:c r="J4" s="194"/>
      <x:c r="K4" s="194"/>
    </x:row>
    <x:row r="5">
      <x:c r="A5" s="47" t="str">
        <x:v>Meter Type Description</x:v>
      </x:c>
      <x:c r="B5" s="45" t="str">
        <x:v>Quarterly Contracted Volume</x:v>
      </x:c>
      <x:c r="C5" s="45" t="str">
        <x:v>Actual Quarterly Volume</x:v>
      </x:c>
      <x:c r="D5" s="45" t="str">
        <x:v>FPR Overage Rate</x:v>
      </x:c>
      <x:c r="E5" s="45" t="str">
        <x:v>% Volume Increase / Decrease</x:v>
      </x:c>
      <x:c r="F5" s="45" t="str">
        <x:v>Overage Volumes</x:v>
      </x:c>
      <x:c r="G5" s="45" t="str">
        <x:v>Rollover Volume</x:v>
      </x:c>
      <x:c r="H5" s="45" t="str">
        <x:v>Current Overage Expense</x:v>
      </x:c>
      <x:c r="I5" s="45" t="str">
        <x:v>Credits</x:v>
      </x:c>
      <x:c r="J5" s="45" t="str">
        <x:v>Overage Cost W/O FPR</x:v>
      </x:c>
      <x:c r="K5" s="46" t="str">
        <x:v>Net Overage Savings / Cost Increase</x:v>
      </x:c>
    </x:row>
    <x:row r="6" spans="1:11" ht="14.25" x14ac:dyDescent="0.3">
      <x:c r="A6" s="169" t="str">
        <x:v>B/W Copies</x:v>
      </x:c>
      <x:c r="B6" s="73">
        <x:v>0</x:v>
      </x:c>
      <x:c r="C6" s="73">
        <x:v>52,873</x:v>
      </x:c>
      <x:c r="D6" s="165" t="str">
        <x:v>$0.0117</x:v>
      </x:c>
      <x:c r="E6" s="181">
        <x:f ca="1">IF(B6=0,"",IF(C6="","",IF(C6&lt;B6,SUM((C6-B6)/B6),SUM((C6-B6)/B6))))</x:f>
        <x:v>5</x:v>
      </x:c>
      <x:c r="F6" s="73">
        <x:f ca="1">IF(C6="","",IF(B6="","",IF(SUM(C6-B6)&lt;0,"0",SUM(C6-B6))))</x:f>
        <x:v>6</x:v>
      </x:c>
      <x:c r="G6" s="73" t="n">
        <x:v>0</x:v>
      </x:c>
      <x:c r="H6" s="75">
        <x:f ca="1">IF(SUM(F6 - G6) &lt;0,"$0.00",SUM(F6 - G6)*D6)</x:f>
        <x:v>7</x:v>
      </x:c>
      <x:c r="I6" s="75">
        <x:v>0.00</x:v>
      </x:c>
      <x:c r="J6" s="75">
        <x:f ca="1">SUM(F6* 0.011700)</x:f>
        <x:v>8</x:v>
      </x:c>
      <x:c r="K6" s="61">
        <x:f ca="1">SUM((J6-H6)+ I6)</x:f>
        <x:v>9</x:v>
      </x:c>
    </x:row>
    <x:row r="7" spans="1:11" ht="14.25" x14ac:dyDescent="0.3">
      <x:c r="A7" s="58" t="str">
        <x:v>B/W Laser Prints</x:v>
      </x:c>
      <x:c r="B7" s="6">
        <x:v>0</x:v>
      </x:c>
      <x:c r="C7" s="6">
        <x:v>54,052</x:v>
      </x:c>
      <x:c r="D7" s="6">
        <x:v>$0.0197</x:v>
      </x:c>
      <x:c r="E7" s="185">
        <x:f ca="1">IF(B7=0,"",IF(C7="","",IF(C7&lt;B7,SUM((C7-B7)/B7),SUM((C7-B7)/B7))))</x:f>
        <x:v>5</x:v>
      </x:c>
      <x:c r="F7" s="6">
        <x:f ca="1">IF(C7="","",IF(B7="","",IF(SUM(C7-B7)&lt;0,"0",SUM(C7-B7))))</x:f>
        <x:v>6</x:v>
      </x:c>
      <x:c r="G7" s="6">
        <x:v>0</x:v>
      </x:c>
      <x:c r="H7" s="17">
        <x:f ca="1">IF(SUM(F7 - G7) &lt;0,"$0.00",SUM(F7 - G7)*D7)</x:f>
        <x:v>7</x:v>
      </x:c>
      <x:c r="I7" s="17">
        <x:v>0.00</x:v>
      </x:c>
      <x:c r="J7" s="17">
        <x:f ca="1">SUM(F7* 0.019700)</x:f>
        <x:v>8</x:v>
      </x:c>
      <x:c r="K7" s="59">
        <x:f ca="1">SUM((J7-H7)+ I7)</x:f>
        <x:v>9</x:v>
      </x:c>
    </x:row>
    <x:row r="8" spans="1:11" ht="14.25" x14ac:dyDescent="0.3">
      <x:c r="A8" s="169" t="str">
        <x:v>Color Copier B/W Pages</x:v>
      </x:c>
      <x:c r="B8" s="73">
        <x:v>0</x:v>
      </x:c>
      <x:c r="C8" s="73">
        <x:v>223,819</x:v>
      </x:c>
      <x:c r="D8" s="165" t="str">
        <x:v>$0.0147</x:v>
      </x:c>
      <x:c r="E8" s="181">
        <x:f ca="1">IF(B8=0,"",IF(C8="","",IF(C8&lt;B8,SUM((C8-B8)/B8),SUM((C8-B8)/B8))))</x:f>
        <x:v>5</x:v>
      </x:c>
      <x:c r="F8" s="73">
        <x:f ca="1">IF(C8="","",IF(B8="","",IF(SUM(C8-B8)&lt;0,"0",SUM(C8-B8))))</x:f>
        <x:v>6</x:v>
      </x:c>
      <x:c r="G8" s="73" t="n">
        <x:v>0</x:v>
      </x:c>
      <x:c r="H8" s="75">
        <x:f ca="1">IF(SUM(F8 - G8) &lt;0,"$0.00",SUM(F8 - G8)*D8)</x:f>
        <x:v>7</x:v>
      </x:c>
      <x:c r="I8" s="75">
        <x:v>0.00</x:v>
      </x:c>
      <x:c r="J8" s="75">
        <x:f ca="1">SUM(F8* 0.014700)</x:f>
        <x:v>8</x:v>
      </x:c>
      <x:c r="K8" s="61">
        <x:f ca="1">SUM((J8-H8)+ I8)</x:f>
        <x:v>9</x:v>
      </x:c>
    </x:row>
    <x:row r="9" spans="1:11" ht="14.25" x14ac:dyDescent="0.3">
      <x:c r="A9" s="58" t="str">
        <x:v>Color Copier Color Pages</x:v>
      </x:c>
      <x:c r="B9" s="6">
        <x:v>0</x:v>
      </x:c>
      <x:c r="C9" s="6">
        <x:v>52,200</x:v>
      </x:c>
      <x:c r="D9" s="6">
        <x:v>$0.0847</x:v>
      </x:c>
      <x:c r="E9" s="185">
        <x:f ca="1">IF(B9=0,"",IF(C9="","",IF(C9&lt;B9,SUM((C9-B9)/B9),SUM((C9-B9)/B9))))</x:f>
        <x:v>5</x:v>
      </x:c>
      <x:c r="F9" s="6">
        <x:f ca="1">IF(C9="","",IF(B9="","",IF(SUM(C9-B9)&lt;0,"0",SUM(C9-B9))))</x:f>
        <x:v>6</x:v>
      </x:c>
      <x:c r="G9" s="6">
        <x:v>0</x:v>
      </x:c>
      <x:c r="H9" s="17">
        <x:f ca="1">IF(SUM(F9 - G9) &lt;0,"$0.00",SUM(F9 - G9)*D9)</x:f>
        <x:v>7</x:v>
      </x:c>
      <x:c r="I9" s="17">
        <x:v>0.00</x:v>
      </x:c>
      <x:c r="J9" s="17">
        <x:f ca="1">SUM(F9* 0.084700)</x:f>
        <x:v>8</x:v>
      </x:c>
      <x:c r="K9" s="59">
        <x:f ca="1">SUM((J9-H9)+ I9)</x:f>
        <x:v>9</x:v>
      </x:c>
    </x:row>
    <x:row r="10" spans="1:10" x14ac:dyDescent="0.25">
      <x:c r="A10" s="174"/>
      <x:c r="B10" s="174"/>
      <x:c r="C10" s="174"/>
      <x:c r="D10" s="174"/>
      <x:c r="E10" s="174"/>
      <x:c r="F10" s="174"/>
      <x:c r="G10" s="174"/>
      <x:c r="H10" s="174"/>
      <x:c r="I10" s="174"/>
      <x:c r="J10" s="174">
        <x:v>Revision Savings: </x:v>
      </x:c>
      <x:c r="K10" s="174">
        <x:f ca="1">SUM(K6:K9)</x:f>
      </x:c>
    </x:row>
    <x:row r="11" spans="1:11" ht="15" x14ac:dyDescent="0.3">
      <x:c r="A11" s="194" t="str">
        <x:v>1/31/2019</x:v>
      </x:c>
      <x:c r="B11" s="194"/>
      <x:c r="C11" s="194"/>
      <x:c r="D11" s="194"/>
      <x:c r="E11" s="194"/>
      <x:c r="F11" s="194"/>
      <x:c r="G11" s="194"/>
      <x:c r="H11" s="194"/>
      <x:c r="I11" s="194"/>
      <x:c r="J11" s="194"/>
      <x:c r="K11" s="194"/>
    </x:row>
    <x:row r="12">
      <x:c r="A12" s="47" t="str">
        <x:v>Meter Type Description</x:v>
      </x:c>
      <x:c r="B12" s="45" t="str">
        <x:v>Quarterly Contracted Volume</x:v>
      </x:c>
      <x:c r="C12" s="45" t="str">
        <x:v>Actual Quarterly Volume</x:v>
      </x:c>
      <x:c r="D12" s="45" t="str">
        <x:v>FPR Overage Rate</x:v>
      </x:c>
      <x:c r="E12" s="45" t="str">
        <x:v>% Volume Increase / Decrease</x:v>
      </x:c>
      <x:c r="F12" s="45" t="str">
        <x:v>Overage Volumes</x:v>
      </x:c>
      <x:c r="G12" s="45" t="str">
        <x:v>Rollover Volume</x:v>
      </x:c>
      <x:c r="H12" s="45" t="str">
        <x:v>Current Overage Expense</x:v>
      </x:c>
      <x:c r="I12" s="45" t="str">
        <x:v>Credits</x:v>
      </x:c>
      <x:c r="J12" s="45" t="str">
        <x:v>Overage Cost W/O FPR</x:v>
      </x:c>
      <x:c r="K12" s="46" t="str">
        <x:v>Net Overage Savings / Cost Increase</x:v>
      </x:c>
    </x:row>
    <x:row r="13" spans="1:11" ht="14.25" x14ac:dyDescent="0.3">
      <x:c r="A13" s="169" t="str">
        <x:v>B/W Copies</x:v>
      </x:c>
      <x:c r="B13" s="73">
        <x:v>0</x:v>
      </x:c>
      <x:c r="C13" s="73">
        <x:v>58,775</x:v>
      </x:c>
      <x:c r="D13" s="165" t="str">
        <x:v>$0.01171</x:v>
      </x:c>
      <x:c r="E13" s="181">
        <x:f ca="1">IF(B13=0,"",IF(C13="","",IF(C13&lt;B13,SUM((C13-B13)/B13),SUM((C13-B13)/B13))))</x:f>
        <x:v>5</x:v>
      </x:c>
      <x:c r="F13" s="73">
        <x:f ca="1">IF(C13="","",IF(B13="","",IF(SUM(C13-B13)&lt;0,"0",SUM(C13-B13))))</x:f>
        <x:v>6</x:v>
      </x:c>
      <x:c r="G13" s="73" t="n">
        <x:v>0</x:v>
      </x:c>
      <x:c r="H13" s="75">
        <x:f ca="1">IF(SUM(F13 - G13) &lt;0,"$0.00",SUM(F13 - G13)*D13)</x:f>
        <x:v>7</x:v>
      </x:c>
      <x:c r="I13" s="75">
        <x:v>0.00</x:v>
      </x:c>
      <x:c r="J13" s="75">
        <x:f ca="1">SUM(F13* 0.011710)</x:f>
        <x:v>8</x:v>
      </x:c>
      <x:c r="K13" s="61">
        <x:f ca="1">SUM((J13-H13)+ I13)</x:f>
        <x:v>9</x:v>
      </x:c>
    </x:row>
    <x:row r="14" spans="1:11" ht="14.25" x14ac:dyDescent="0.3">
      <x:c r="A14" s="58" t="str">
        <x:v>B/W Laser Prints</x:v>
      </x:c>
      <x:c r="B14" s="6">
        <x:v>0</x:v>
      </x:c>
      <x:c r="C14" s="6">
        <x:v>75,694</x:v>
      </x:c>
      <x:c r="D14" s="6">
        <x:v>$0.01971</x:v>
      </x:c>
      <x:c r="E14" s="185">
        <x:f ca="1">IF(B14=0,"",IF(C14="","",IF(C14&lt;B14,SUM((C14-B14)/B14),SUM((C14-B14)/B14))))</x:f>
        <x:v>5</x:v>
      </x:c>
      <x:c r="F14" s="6">
        <x:f ca="1">IF(C14="","",IF(B14="","",IF(SUM(C14-B14)&lt;0,"0",SUM(C14-B14))))</x:f>
        <x:v>6</x:v>
      </x:c>
      <x:c r="G14" s="6">
        <x:v>0</x:v>
      </x:c>
      <x:c r="H14" s="17">
        <x:f ca="1">IF(SUM(F14 - G14) &lt;0,"$0.00",SUM(F14 - G14)*D14)</x:f>
        <x:v>7</x:v>
      </x:c>
      <x:c r="I14" s="17">
        <x:v>0.00</x:v>
      </x:c>
      <x:c r="J14" s="17">
        <x:f ca="1">SUM(F14* 0.019710)</x:f>
        <x:v>8</x:v>
      </x:c>
      <x:c r="K14" s="59">
        <x:f ca="1">SUM((J14-H14)+ I14)</x:f>
        <x:v>9</x:v>
      </x:c>
    </x:row>
    <x:row r="15" spans="1:11" ht="14.25" x14ac:dyDescent="0.3">
      <x:c r="A15" s="169" t="str">
        <x:v>Color Copier B/W Pages</x:v>
      </x:c>
      <x:c r="B15" s="73">
        <x:v>0</x:v>
      </x:c>
      <x:c r="C15" s="73">
        <x:v>295,842</x:v>
      </x:c>
      <x:c r="D15" s="165" t="str">
        <x:v>$0.01471</x:v>
      </x:c>
      <x:c r="E15" s="181">
        <x:f ca="1">IF(B15=0,"",IF(C15="","",IF(C15&lt;B15,SUM((C15-B15)/B15),SUM((C15-B15)/B15))))</x:f>
        <x:v>5</x:v>
      </x:c>
      <x:c r="F15" s="73">
        <x:f ca="1">IF(C15="","",IF(B15="","",IF(SUM(C15-B15)&lt;0,"0",SUM(C15-B15))))</x:f>
        <x:v>6</x:v>
      </x:c>
      <x:c r="G15" s="73" t="n">
        <x:v>0</x:v>
      </x:c>
      <x:c r="H15" s="75">
        <x:f ca="1">IF(SUM(F15 - G15) &lt;0,"$0.00",SUM(F15 - G15)*D15)</x:f>
        <x:v>7</x:v>
      </x:c>
      <x:c r="I15" s="75">
        <x:v>0.00</x:v>
      </x:c>
      <x:c r="J15" s="75">
        <x:f ca="1">SUM(F15* 0.014710)</x:f>
        <x:v>8</x:v>
      </x:c>
      <x:c r="K15" s="61">
        <x:f ca="1">SUM((J15-H15)+ I15)</x:f>
        <x:v>9</x:v>
      </x:c>
    </x:row>
    <x:row r="16" spans="1:11" ht="14.25" x14ac:dyDescent="0.3">
      <x:c r="A16" s="58" t="str">
        <x:v>Color Copier Color Pages</x:v>
      </x:c>
      <x:c r="B16" s="6">
        <x:v>0</x:v>
      </x:c>
      <x:c r="C16" s="6">
        <x:v>94,808</x:v>
      </x:c>
      <x:c r="D16" s="6">
        <x:v>$0.08471</x:v>
      </x:c>
      <x:c r="E16" s="185">
        <x:f ca="1">IF(B16=0,"",IF(C16="","",IF(C16&lt;B16,SUM((C16-B16)/B16),SUM((C16-B16)/B16))))</x:f>
        <x:v>5</x:v>
      </x:c>
      <x:c r="F16" s="6">
        <x:f ca="1">IF(C16="","",IF(B16="","",IF(SUM(C16-B16)&lt;0,"0",SUM(C16-B16))))</x:f>
        <x:v>6</x:v>
      </x:c>
      <x:c r="G16" s="6">
        <x:v>0</x:v>
      </x:c>
      <x:c r="H16" s="17">
        <x:f ca="1">IF(SUM(F16 - G16) &lt;0,"$0.00",SUM(F16 - G16)*D16)</x:f>
        <x:v>7</x:v>
      </x:c>
      <x:c r="I16" s="17">
        <x:v>0.00</x:v>
      </x:c>
      <x:c r="J16" s="17">
        <x:f ca="1">SUM(F16* 0.084710)</x:f>
        <x:v>8</x:v>
      </x:c>
      <x:c r="K16" s="59">
        <x:f ca="1">SUM((J16-H16)+ I16)</x:f>
        <x:v>9</x:v>
      </x:c>
    </x:row>
    <x:row r="17" spans="1:10" x14ac:dyDescent="0.25">
      <x:c r="A17" s="174"/>
      <x:c r="B17" s="174"/>
      <x:c r="C17" s="174"/>
      <x:c r="D17" s="174"/>
      <x:c r="E17" s="174"/>
      <x:c r="F17" s="174"/>
      <x:c r="G17" s="174"/>
      <x:c r="H17" s="174"/>
      <x:c r="I17" s="174"/>
      <x:c r="J17" s="174">
        <x:v>Revision Savings: </x:v>
      </x:c>
      <x:c r="K17" s="174">
        <x:f ca="1">SUM(K13:K16)</x:f>
      </x:c>
    </x:row>
    <x:row r="18" spans="1:11" ht="15" x14ac:dyDescent="0.3">
      <x:c r="A18" s="194" t="str">
        <x:v>12/31/2018</x:v>
      </x:c>
      <x:c r="B18" s="194"/>
      <x:c r="C18" s="194"/>
      <x:c r="D18" s="194"/>
      <x:c r="E18" s="194"/>
      <x:c r="F18" s="194"/>
      <x:c r="G18" s="194"/>
      <x:c r="H18" s="194"/>
      <x:c r="I18" s="194"/>
      <x:c r="J18" s="194"/>
      <x:c r="K18" s="194"/>
    </x:row>
    <x:row r="19">
      <x:c r="A19" s="47" t="str">
        <x:v>Meter Type Description</x:v>
      </x:c>
      <x:c r="B19" s="45" t="str">
        <x:v>Quarterly Contracted Volume</x:v>
      </x:c>
      <x:c r="C19" s="45" t="str">
        <x:v>Actual Quarterly Volume</x:v>
      </x:c>
      <x:c r="D19" s="45" t="str">
        <x:v>FPR Overage Rate</x:v>
      </x:c>
      <x:c r="E19" s="45" t="str">
        <x:v>% Volume Increase / Decrease</x:v>
      </x:c>
      <x:c r="F19" s="45" t="str">
        <x:v>Overage Volumes</x:v>
      </x:c>
      <x:c r="G19" s="45" t="str">
        <x:v>Rollover Volume</x:v>
      </x:c>
      <x:c r="H19" s="45" t="str">
        <x:v>Current Overage Expense</x:v>
      </x:c>
      <x:c r="I19" s="45" t="str">
        <x:v>Credits</x:v>
      </x:c>
      <x:c r="J19" s="45" t="str">
        <x:v>Overage Cost W/O FPR</x:v>
      </x:c>
      <x:c r="K19" s="46" t="str">
        <x:v>Net Overage Savings / Cost Increase</x:v>
      </x:c>
    </x:row>
    <x:row r="20" spans="1:11" ht="14.25" x14ac:dyDescent="0.3">
      <x:c r="A20" s="169" t="str">
        <x:v>B/W Copies</x:v>
      </x:c>
      <x:c r="B20" s="73">
        <x:v>0</x:v>
      </x:c>
      <x:c r="C20" s="73">
        <x:v>62,296</x:v>
      </x:c>
      <x:c r="D20" s="165" t="str">
        <x:v>$0.01171</x:v>
      </x:c>
      <x:c r="E20" s="181">
        <x:f ca="1">IF(B20=0,"",IF(C20="","",IF(C20&lt;B20,SUM((C20-B20)/B20),SUM((C20-B20)/B20))))</x:f>
        <x:v>5</x:v>
      </x:c>
      <x:c r="F20" s="73">
        <x:f ca="1">IF(C20="","",IF(B20="","",IF(SUM(C20-B20)&lt;0,"0",SUM(C20-B20))))</x:f>
        <x:v>6</x:v>
      </x:c>
      <x:c r="G20" s="73" t="n">
        <x:v>0</x:v>
      </x:c>
      <x:c r="H20" s="75">
        <x:f ca="1">IF(SUM(F20 - G20) &lt;0,"$0.00",SUM(F20 - G20)*D20)</x:f>
        <x:v>7</x:v>
      </x:c>
      <x:c r="I20" s="75">
        <x:v>0.00</x:v>
      </x:c>
      <x:c r="J20" s="75">
        <x:f ca="1">SUM(F20* 0.011710)</x:f>
        <x:v>8</x:v>
      </x:c>
      <x:c r="K20" s="61">
        <x:f ca="1">SUM((J20-H20)+ I20)</x:f>
        <x:v>9</x:v>
      </x:c>
    </x:row>
    <x:row r="21" spans="1:11" ht="14.25" x14ac:dyDescent="0.3">
      <x:c r="A21" s="58" t="str">
        <x:v>B/W Laser Prints</x:v>
      </x:c>
      <x:c r="B21" s="6">
        <x:v>0</x:v>
      </x:c>
      <x:c r="C21" s="6">
        <x:v>51,525</x:v>
      </x:c>
      <x:c r="D21" s="6">
        <x:v>$0.01971</x:v>
      </x:c>
      <x:c r="E21" s="185">
        <x:f ca="1">IF(B21=0,"",IF(C21="","",IF(C21&lt;B21,SUM((C21-B21)/B21),SUM((C21-B21)/B21))))</x:f>
        <x:v>5</x:v>
      </x:c>
      <x:c r="F21" s="6">
        <x:f ca="1">IF(C21="","",IF(B21="","",IF(SUM(C21-B21)&lt;0,"0",SUM(C21-B21))))</x:f>
        <x:v>6</x:v>
      </x:c>
      <x:c r="G21" s="6">
        <x:v>0</x:v>
      </x:c>
      <x:c r="H21" s="17">
        <x:f ca="1">IF(SUM(F21 - G21) &lt;0,"$0.00",SUM(F21 - G21)*D21)</x:f>
        <x:v>7</x:v>
      </x:c>
      <x:c r="I21" s="17">
        <x:v>0.00</x:v>
      </x:c>
      <x:c r="J21" s="17">
        <x:f ca="1">SUM(F21* 0.019710)</x:f>
        <x:v>8</x:v>
      </x:c>
      <x:c r="K21" s="59">
        <x:f ca="1">SUM((J21-H21)+ I21)</x:f>
        <x:v>9</x:v>
      </x:c>
    </x:row>
    <x:row r="22" spans="1:11" ht="14.25" x14ac:dyDescent="0.3">
      <x:c r="A22" s="169" t="str">
        <x:v>Color Copier B/W Pages</x:v>
      </x:c>
      <x:c r="B22" s="73">
        <x:v>0</x:v>
      </x:c>
      <x:c r="C22" s="73">
        <x:v>215,443</x:v>
      </x:c>
      <x:c r="D22" s="165" t="str">
        <x:v>$0.01471</x:v>
      </x:c>
      <x:c r="E22" s="181">
        <x:f ca="1">IF(B22=0,"",IF(C22="","",IF(C22&lt;B22,SUM((C22-B22)/B22),SUM((C22-B22)/B22))))</x:f>
        <x:v>5</x:v>
      </x:c>
      <x:c r="F22" s="73">
        <x:f ca="1">IF(C22="","",IF(B22="","",IF(SUM(C22-B22)&lt;0,"0",SUM(C22-B22))))</x:f>
        <x:v>6</x:v>
      </x:c>
      <x:c r="G22" s="73" t="n">
        <x:v>0</x:v>
      </x:c>
      <x:c r="H22" s="75">
        <x:f ca="1">IF(SUM(F22 - G22) &lt;0,"$0.00",SUM(F22 - G22)*D22)</x:f>
        <x:v>7</x:v>
      </x:c>
      <x:c r="I22" s="75">
        <x:v>0.00</x:v>
      </x:c>
      <x:c r="J22" s="75">
        <x:f ca="1">SUM(F22* 0.014710)</x:f>
        <x:v>8</x:v>
      </x:c>
      <x:c r="K22" s="61">
        <x:f ca="1">SUM((J22-H22)+ I22)</x:f>
        <x:v>9</x:v>
      </x:c>
    </x:row>
    <x:row r="23" spans="1:11" ht="14.25" x14ac:dyDescent="0.3">
      <x:c r="A23" s="58" t="str">
        <x:v>Color Copier Color Pages</x:v>
      </x:c>
      <x:c r="B23" s="6">
        <x:v>0</x:v>
      </x:c>
      <x:c r="C23" s="6">
        <x:v>42,499</x:v>
      </x:c>
      <x:c r="D23" s="6">
        <x:v>$0.08471</x:v>
      </x:c>
      <x:c r="E23" s="185">
        <x:f ca="1">IF(B23=0,"",IF(C23="","",IF(C23&lt;B23,SUM((C23-B23)/B23),SUM((C23-B23)/B23))))</x:f>
        <x:v>5</x:v>
      </x:c>
      <x:c r="F23" s="6">
        <x:f ca="1">IF(C23="","",IF(B23="","",IF(SUM(C23-B23)&lt;0,"0",SUM(C23-B23))))</x:f>
        <x:v>6</x:v>
      </x:c>
      <x:c r="G23" s="6">
        <x:v>0</x:v>
      </x:c>
      <x:c r="H23" s="17">
        <x:f ca="1">IF(SUM(F23 - G23) &lt;0,"$0.00",SUM(F23 - G23)*D23)</x:f>
        <x:v>7</x:v>
      </x:c>
      <x:c r="I23" s="17">
        <x:v>0.00</x:v>
      </x:c>
      <x:c r="J23" s="17">
        <x:f ca="1">SUM(F23* 0.084710)</x:f>
        <x:v>8</x:v>
      </x:c>
      <x:c r="K23" s="59">
        <x:f ca="1">SUM((J23-H23)+ I23)</x:f>
        <x:v>9</x:v>
      </x:c>
    </x:row>
    <x:row r="24" spans="1:10" x14ac:dyDescent="0.25">
      <x:c r="A24" s="174"/>
      <x:c r="B24" s="174"/>
      <x:c r="C24" s="174"/>
      <x:c r="D24" s="174"/>
      <x:c r="E24" s="174"/>
      <x:c r="F24" s="174"/>
      <x:c r="G24" s="174"/>
      <x:c r="H24" s="174"/>
      <x:c r="I24" s="174"/>
      <x:c r="J24" s="174">
        <x:v>Revision Savings: </x:v>
      </x:c>
      <x:c r="K24" s="174">
        <x:f ca="1">SUM(K20:K23)</x:f>
      </x:c>
    </x:row>
    <x:row r="25" spans="1:11" ht="15" x14ac:dyDescent="0.3">
      <x:c r="A25" s="194" t="str">
        <x:v>11/30/2018</x:v>
      </x:c>
      <x:c r="B25" s="194"/>
      <x:c r="C25" s="194"/>
      <x:c r="D25" s="194"/>
      <x:c r="E25" s="194"/>
      <x:c r="F25" s="194"/>
      <x:c r="G25" s="194"/>
      <x:c r="H25" s="194"/>
      <x:c r="I25" s="194"/>
      <x:c r="J25" s="194"/>
      <x:c r="K25" s="194"/>
    </x:row>
    <x:row r="26">
      <x:c r="A26" s="47" t="str">
        <x:v>Meter Type Description</x:v>
      </x:c>
      <x:c r="B26" s="45" t="str">
        <x:v>Quarterly Contracted Volume</x:v>
      </x:c>
      <x:c r="C26" s="45" t="str">
        <x:v>Actual Quarterly Volume</x:v>
      </x:c>
      <x:c r="D26" s="45" t="str">
        <x:v>FPR Overage Rate</x:v>
      </x:c>
      <x:c r="E26" s="45" t="str">
        <x:v>% Volume Increase / Decrease</x:v>
      </x:c>
      <x:c r="F26" s="45" t="str">
        <x:v>Overage Volumes</x:v>
      </x:c>
      <x:c r="G26" s="45" t="str">
        <x:v>Rollover Volume</x:v>
      </x:c>
      <x:c r="H26" s="45" t="str">
        <x:v>Current Overage Expense</x:v>
      </x:c>
      <x:c r="I26" s="45" t="str">
        <x:v>Credits</x:v>
      </x:c>
      <x:c r="J26" s="45" t="str">
        <x:v>Overage Cost W/O FPR</x:v>
      </x:c>
      <x:c r="K26" s="46" t="str">
        <x:v>Net Overage Savings / Cost Increase</x:v>
      </x:c>
    </x:row>
    <x:row r="27" spans="1:11" ht="14.25" x14ac:dyDescent="0.3">
      <x:c r="A27" s="169" t="str">
        <x:v>B/W Copies</x:v>
      </x:c>
      <x:c r="B27" s="73">
        <x:v>0</x:v>
      </x:c>
      <x:c r="C27" s="73">
        <x:v>60,565</x:v>
      </x:c>
      <x:c r="D27" s="165" t="str">
        <x:v>$0.01171</x:v>
      </x:c>
      <x:c r="E27" s="181">
        <x:f ca="1">IF(B27=0,"",IF(C27="","",IF(C27&lt;B27,SUM((C27-B27)/B27),SUM((C27-B27)/B27))))</x:f>
        <x:v>5</x:v>
      </x:c>
      <x:c r="F27" s="73">
        <x:f ca="1">IF(C27="","",IF(B27="","",IF(SUM(C27-B27)&lt;0,"0",SUM(C27-B27))))</x:f>
        <x:v>6</x:v>
      </x:c>
      <x:c r="G27" s="73" t="n">
        <x:v>0</x:v>
      </x:c>
      <x:c r="H27" s="75">
        <x:f ca="1">IF(SUM(F27 - G27) &lt;0,"$0.00",SUM(F27 - G27)*D27)</x:f>
        <x:v>7</x:v>
      </x:c>
      <x:c r="I27" s="75">
        <x:v>0.00</x:v>
      </x:c>
      <x:c r="J27" s="75">
        <x:f ca="1">SUM(F27* 0.011710)</x:f>
        <x:v>8</x:v>
      </x:c>
      <x:c r="K27" s="61">
        <x:f ca="1">SUM((J27-H27)+ I27)</x:f>
        <x:v>9</x:v>
      </x:c>
    </x:row>
    <x:row r="28" spans="1:11" ht="14.25" x14ac:dyDescent="0.3">
      <x:c r="A28" s="58" t="str">
        <x:v>B/W Laser Prints</x:v>
      </x:c>
      <x:c r="B28" s="6">
        <x:v>0</x:v>
      </x:c>
      <x:c r="C28" s="6">
        <x:v>57,490</x:v>
      </x:c>
      <x:c r="D28" s="6">
        <x:v>$0.01971</x:v>
      </x:c>
      <x:c r="E28" s="185">
        <x:f ca="1">IF(B28=0,"",IF(C28="","",IF(C28&lt;B28,SUM((C28-B28)/B28),SUM((C28-B28)/B28))))</x:f>
        <x:v>5</x:v>
      </x:c>
      <x:c r="F28" s="6">
        <x:f ca="1">IF(C28="","",IF(B28="","",IF(SUM(C28-B28)&lt;0,"0",SUM(C28-B28))))</x:f>
        <x:v>6</x:v>
      </x:c>
      <x:c r="G28" s="6">
        <x:v>0</x:v>
      </x:c>
      <x:c r="H28" s="17">
        <x:f ca="1">IF(SUM(F28 - G28) &lt;0,"$0.00",SUM(F28 - G28)*D28)</x:f>
        <x:v>7</x:v>
      </x:c>
      <x:c r="I28" s="17">
        <x:v>0.00</x:v>
      </x:c>
      <x:c r="J28" s="17">
        <x:f ca="1">SUM(F28* 0.019710)</x:f>
        <x:v>8</x:v>
      </x:c>
      <x:c r="K28" s="59">
        <x:f ca="1">SUM((J28-H28)+ I28)</x:f>
        <x:v>9</x:v>
      </x:c>
    </x:row>
    <x:row r="29" spans="1:11" ht="14.25" x14ac:dyDescent="0.3">
      <x:c r="A29" s="169" t="str">
        <x:v>Color Copier B/W Pages</x:v>
      </x:c>
      <x:c r="B29" s="73">
        <x:v>0</x:v>
      </x:c>
      <x:c r="C29" s="73">
        <x:v>233,361</x:v>
      </x:c>
      <x:c r="D29" s="165" t="str">
        <x:v>$0.01471</x:v>
      </x:c>
      <x:c r="E29" s="181">
        <x:f ca="1">IF(B29=0,"",IF(C29="","",IF(C29&lt;B29,SUM((C29-B29)/B29),SUM((C29-B29)/B29))))</x:f>
        <x:v>5</x:v>
      </x:c>
      <x:c r="F29" s="73">
        <x:f ca="1">IF(C29="","",IF(B29="","",IF(SUM(C29-B29)&lt;0,"0",SUM(C29-B29))))</x:f>
        <x:v>6</x:v>
      </x:c>
      <x:c r="G29" s="73" t="n">
        <x:v>0</x:v>
      </x:c>
      <x:c r="H29" s="75">
        <x:f ca="1">IF(SUM(F29 - G29) &lt;0,"$0.00",SUM(F29 - G29)*D29)</x:f>
        <x:v>7</x:v>
      </x:c>
      <x:c r="I29" s="75">
        <x:v>0.00</x:v>
      </x:c>
      <x:c r="J29" s="75">
        <x:f ca="1">SUM(F29* 0.014710)</x:f>
        <x:v>8</x:v>
      </x:c>
      <x:c r="K29" s="61">
        <x:f ca="1">SUM((J29-H29)+ I29)</x:f>
        <x:v>9</x:v>
      </x:c>
    </x:row>
    <x:row r="30" spans="1:11" ht="14.25" x14ac:dyDescent="0.3">
      <x:c r="A30" s="58" t="str">
        <x:v>Color Copier Color Pages</x:v>
      </x:c>
      <x:c r="B30" s="6">
        <x:v>0</x:v>
      </x:c>
      <x:c r="C30" s="6">
        <x:v>54,359</x:v>
      </x:c>
      <x:c r="D30" s="6">
        <x:v>$0.08471</x:v>
      </x:c>
      <x:c r="E30" s="185">
        <x:f ca="1">IF(B30=0,"",IF(C30="","",IF(C30&lt;B30,SUM((C30-B30)/B30),SUM((C30-B30)/B30))))</x:f>
        <x:v>5</x:v>
      </x:c>
      <x:c r="F30" s="6">
        <x:f ca="1">IF(C30="","",IF(B30="","",IF(SUM(C30-B30)&lt;0,"0",SUM(C30-B30))))</x:f>
        <x:v>6</x:v>
      </x:c>
      <x:c r="G30" s="6">
        <x:v>0</x:v>
      </x:c>
      <x:c r="H30" s="17">
        <x:f ca="1">IF(SUM(F30 - G30) &lt;0,"$0.00",SUM(F30 - G30)*D30)</x:f>
        <x:v>7</x:v>
      </x:c>
      <x:c r="I30" s="17">
        <x:v>0.00</x:v>
      </x:c>
      <x:c r="J30" s="17">
        <x:f ca="1">SUM(F30* 0.084710)</x:f>
        <x:v>8</x:v>
      </x:c>
      <x:c r="K30" s="59">
        <x:f ca="1">SUM((J30-H30)+ I30)</x:f>
        <x:v>9</x:v>
      </x:c>
    </x:row>
    <x:row r="31" spans="1:10" x14ac:dyDescent="0.25">
      <x:c r="A31" s="174"/>
      <x:c r="B31" s="174"/>
      <x:c r="C31" s="174"/>
      <x:c r="D31" s="174"/>
      <x:c r="E31" s="174"/>
      <x:c r="F31" s="174"/>
      <x:c r="G31" s="174"/>
      <x:c r="H31" s="174"/>
      <x:c r="I31" s="174"/>
      <x:c r="J31" s="174">
        <x:v>Revision Savings: </x:v>
      </x:c>
      <x:c r="K31" s="174">
        <x:f ca="1">SUM(K27:K30)</x:f>
      </x:c>
    </x:row>
    <x:row r="32" spans="1:11" ht="15" x14ac:dyDescent="0.3">
      <x:c r="A32" s="194" t="str">
        <x:v>10/31/2018</x:v>
      </x:c>
      <x:c r="B32" s="194"/>
      <x:c r="C32" s="194"/>
      <x:c r="D32" s="194"/>
      <x:c r="E32" s="194"/>
      <x:c r="F32" s="194"/>
      <x:c r="G32" s="194"/>
      <x:c r="H32" s="194"/>
      <x:c r="I32" s="194"/>
      <x:c r="J32" s="194"/>
      <x:c r="K32" s="194"/>
    </x:row>
    <x:row r="33">
      <x:c r="A33" s="47" t="str">
        <x:v>Meter Type Description</x:v>
      </x:c>
      <x:c r="B33" s="45" t="str">
        <x:v>Quarterly Contracted Volume</x:v>
      </x:c>
      <x:c r="C33" s="45" t="str">
        <x:v>Actual Quarterly Volume</x:v>
      </x:c>
      <x:c r="D33" s="45" t="str">
        <x:v>FPR Overage Rate</x:v>
      </x:c>
      <x:c r="E33" s="45" t="str">
        <x:v>% Volume Increase / Decrease</x:v>
      </x:c>
      <x:c r="F33" s="45" t="str">
        <x:v>Overage Volumes</x:v>
      </x:c>
      <x:c r="G33" s="45" t="str">
        <x:v>Rollover Volume</x:v>
      </x:c>
      <x:c r="H33" s="45" t="str">
        <x:v>Current Overage Expense</x:v>
      </x:c>
      <x:c r="I33" s="45" t="str">
        <x:v>Credits</x:v>
      </x:c>
      <x:c r="J33" s="45" t="str">
        <x:v>Overage Cost W/O FPR</x:v>
      </x:c>
      <x:c r="K33" s="46" t="str">
        <x:v>Net Overage Savings / Cost Increase</x:v>
      </x:c>
    </x:row>
    <x:row r="34" spans="1:11" ht="14.25" x14ac:dyDescent="0.3">
      <x:c r="A34" s="169" t="str">
        <x:v>B/W Copies</x:v>
      </x:c>
      <x:c r="B34" s="73">
        <x:v>0</x:v>
      </x:c>
      <x:c r="C34" s="73">
        <x:v>65,668</x:v>
      </x:c>
      <x:c r="D34" s="165" t="str">
        <x:v>$0.01171</x:v>
      </x:c>
      <x:c r="E34" s="181">
        <x:f ca="1">IF(B34=0,"",IF(C34="","",IF(C34&lt;B34,SUM((C34-B34)/B34),SUM((C34-B34)/B34))))</x:f>
        <x:v>5</x:v>
      </x:c>
      <x:c r="F34" s="73">
        <x:f ca="1">IF(C34="","",IF(B34="","",IF(SUM(C34-B34)&lt;0,"0",SUM(C34-B34))))</x:f>
        <x:v>6</x:v>
      </x:c>
      <x:c r="G34" s="73" t="n">
        <x:v>0</x:v>
      </x:c>
      <x:c r="H34" s="75">
        <x:f ca="1">IF(SUM(F34 - G34) &lt;0,"$0.00",SUM(F34 - G34)*D34)</x:f>
        <x:v>7</x:v>
      </x:c>
      <x:c r="I34" s="75">
        <x:v>0.00</x:v>
      </x:c>
      <x:c r="J34" s="75">
        <x:f ca="1">SUM(F34* 0.011710)</x:f>
        <x:v>8</x:v>
      </x:c>
      <x:c r="K34" s="61">
        <x:f ca="1">SUM((J34-H34)+ I34)</x:f>
        <x:v>9</x:v>
      </x:c>
    </x:row>
    <x:row r="35" spans="1:11" ht="14.25" x14ac:dyDescent="0.3">
      <x:c r="A35" s="58" t="str">
        <x:v>B/W Laser Prints</x:v>
      </x:c>
      <x:c r="B35" s="6">
        <x:v>0</x:v>
      </x:c>
      <x:c r="C35" s="6">
        <x:v>64,779</x:v>
      </x:c>
      <x:c r="D35" s="6">
        <x:v>$0.01971</x:v>
      </x:c>
      <x:c r="E35" s="185">
        <x:f ca="1">IF(B35=0,"",IF(C35="","",IF(C35&lt;B35,SUM((C35-B35)/B35),SUM((C35-B35)/B35))))</x:f>
        <x:v>5</x:v>
      </x:c>
      <x:c r="F35" s="6">
        <x:f ca="1">IF(C35="","",IF(B35="","",IF(SUM(C35-B35)&lt;0,"0",SUM(C35-B35))))</x:f>
        <x:v>6</x:v>
      </x:c>
      <x:c r="G35" s="6">
        <x:v>0</x:v>
      </x:c>
      <x:c r="H35" s="17">
        <x:f ca="1">IF(SUM(F35 - G35) &lt;0,"$0.00",SUM(F35 - G35)*D35)</x:f>
        <x:v>7</x:v>
      </x:c>
      <x:c r="I35" s="17">
        <x:v>0.00</x:v>
      </x:c>
      <x:c r="J35" s="17">
        <x:f ca="1">SUM(F35* 0.019710)</x:f>
        <x:v>8</x:v>
      </x:c>
      <x:c r="K35" s="59">
        <x:f ca="1">SUM((J35-H35)+ I35)</x:f>
        <x:v>9</x:v>
      </x:c>
    </x:row>
    <x:row r="36" spans="1:11" ht="14.25" x14ac:dyDescent="0.3">
      <x:c r="A36" s="169" t="str">
        <x:v>Color Copier B/W Pages</x:v>
      </x:c>
      <x:c r="B36" s="73">
        <x:v>0</x:v>
      </x:c>
      <x:c r="C36" s="73">
        <x:v>300,778</x:v>
      </x:c>
      <x:c r="D36" s="165" t="str">
        <x:v>$0.01471</x:v>
      </x:c>
      <x:c r="E36" s="181">
        <x:f ca="1">IF(B36=0,"",IF(C36="","",IF(C36&lt;B36,SUM((C36-B36)/B36),SUM((C36-B36)/B36))))</x:f>
        <x:v>5</x:v>
      </x:c>
      <x:c r="F36" s="73">
        <x:f ca="1">IF(C36="","",IF(B36="","",IF(SUM(C36-B36)&lt;0,"0",SUM(C36-B36))))</x:f>
        <x:v>6</x:v>
      </x:c>
      <x:c r="G36" s="73" t="n">
        <x:v>0</x:v>
      </x:c>
      <x:c r="H36" s="75">
        <x:f ca="1">IF(SUM(F36 - G36) &lt;0,"$0.00",SUM(F36 - G36)*D36)</x:f>
        <x:v>7</x:v>
      </x:c>
      <x:c r="I36" s="75">
        <x:v>0.00</x:v>
      </x:c>
      <x:c r="J36" s="75">
        <x:f ca="1">SUM(F36* 0.014710)</x:f>
        <x:v>8</x:v>
      </x:c>
      <x:c r="K36" s="61">
        <x:f ca="1">SUM((J36-H36)+ I36)</x:f>
        <x:v>9</x:v>
      </x:c>
    </x:row>
    <x:row r="37" spans="1:11" ht="14.25" x14ac:dyDescent="0.3">
      <x:c r="A37" s="58" t="str">
        <x:v>Color Copier Color Pages</x:v>
      </x:c>
      <x:c r="B37" s="6">
        <x:v>0</x:v>
      </x:c>
      <x:c r="C37" s="6">
        <x:v>61,182</x:v>
      </x:c>
      <x:c r="D37" s="6">
        <x:v>$0.08471</x:v>
      </x:c>
      <x:c r="E37" s="185">
        <x:f ca="1">IF(B37=0,"",IF(C37="","",IF(C37&lt;B37,SUM((C37-B37)/B37),SUM((C37-B37)/B37))))</x:f>
        <x:v>5</x:v>
      </x:c>
      <x:c r="F37" s="6">
        <x:f ca="1">IF(C37="","",IF(B37="","",IF(SUM(C37-B37)&lt;0,"0",SUM(C37-B37))))</x:f>
        <x:v>6</x:v>
      </x:c>
      <x:c r="G37" s="6">
        <x:v>0</x:v>
      </x:c>
      <x:c r="H37" s="17">
        <x:f ca="1">IF(SUM(F37 - G37) &lt;0,"$0.00",SUM(F37 - G37)*D37)</x:f>
        <x:v>7</x:v>
      </x:c>
      <x:c r="I37" s="17">
        <x:v>0.00</x:v>
      </x:c>
      <x:c r="J37" s="17">
        <x:f ca="1">SUM(F37* 0.084710)</x:f>
        <x:v>8</x:v>
      </x:c>
      <x:c r="K37" s="59">
        <x:f ca="1">SUM((J37-H37)+ I37)</x:f>
        <x:v>9</x:v>
      </x:c>
    </x:row>
    <x:row r="38" spans="1:10" x14ac:dyDescent="0.25">
      <x:c r="A38" s="174"/>
      <x:c r="B38" s="174"/>
      <x:c r="C38" s="174"/>
      <x:c r="D38" s="174"/>
      <x:c r="E38" s="174"/>
      <x:c r="F38" s="174"/>
      <x:c r="G38" s="174"/>
      <x:c r="H38" s="174"/>
      <x:c r="I38" s="174"/>
      <x:c r="J38" s="174">
        <x:v>Revision Savings: </x:v>
      </x:c>
      <x:c r="K38" s="174">
        <x:f ca="1">SUM(K34:K37)</x:f>
      </x:c>
    </x:row>
    <x:row r="39" spans="1:11" ht="15" x14ac:dyDescent="0.3">
      <x:c r="A39" s="194" t="str">
        <x:v>9/30/2018</x:v>
      </x:c>
      <x:c r="B39" s="194"/>
      <x:c r="C39" s="194"/>
      <x:c r="D39" s="194"/>
      <x:c r="E39" s="194"/>
      <x:c r="F39" s="194"/>
      <x:c r="G39" s="194"/>
      <x:c r="H39" s="194"/>
      <x:c r="I39" s="194"/>
      <x:c r="J39" s="194"/>
      <x:c r="K39" s="194"/>
    </x:row>
    <x:row r="40">
      <x:c r="A40" s="47" t="str">
        <x:v>Meter Type Description</x:v>
      </x:c>
      <x:c r="B40" s="45" t="str">
        <x:v>Quarterly Contracted Volume</x:v>
      </x:c>
      <x:c r="C40" s="45" t="str">
        <x:v>Actual Quarterly Volume</x:v>
      </x:c>
      <x:c r="D40" s="45" t="str">
        <x:v>FPR Overage Rate</x:v>
      </x:c>
      <x:c r="E40" s="45" t="str">
        <x:v>% Volume Increase / Decrease</x:v>
      </x:c>
      <x:c r="F40" s="45" t="str">
        <x:v>Overage Volumes</x:v>
      </x:c>
      <x:c r="G40" s="45" t="str">
        <x:v>Rollover Volume</x:v>
      </x:c>
      <x:c r="H40" s="45" t="str">
        <x:v>Current Overage Expense</x:v>
      </x:c>
      <x:c r="I40" s="45" t="str">
        <x:v>Credits</x:v>
      </x:c>
      <x:c r="J40" s="45" t="str">
        <x:v>Overage Cost W/O FPR</x:v>
      </x:c>
      <x:c r="K40" s="46" t="str">
        <x:v>Net Overage Savings / Cost Increase</x:v>
      </x:c>
    </x:row>
    <x:row r="41" spans="1:11" ht="14.25" x14ac:dyDescent="0.3">
      <x:c r="A41" s="169" t="str">
        <x:v>B/W Copies</x:v>
      </x:c>
      <x:c r="B41" s="73">
        <x:v>0</x:v>
      </x:c>
      <x:c r="C41" s="73">
        <x:v>40,801</x:v>
      </x:c>
      <x:c r="D41" s="165" t="str">
        <x:v>$0.01171</x:v>
      </x:c>
      <x:c r="E41" s="181">
        <x:f ca="1">IF(B41=0,"",IF(C41="","",IF(C41&lt;B41,SUM((C41-B41)/B41),SUM((C41-B41)/B41))))</x:f>
        <x:v>5</x:v>
      </x:c>
      <x:c r="F41" s="73">
        <x:f ca="1">IF(C41="","",IF(B41="","",IF(SUM(C41-B41)&lt;0,"0",SUM(C41-B41))))</x:f>
        <x:v>6</x:v>
      </x:c>
      <x:c r="G41" s="73" t="n">
        <x:v>0</x:v>
      </x:c>
      <x:c r="H41" s="75">
        <x:f ca="1">IF(SUM(F41 - G41) &lt;0,"$0.00",SUM(F41 - G41)*D41)</x:f>
        <x:v>7</x:v>
      </x:c>
      <x:c r="I41" s="75">
        <x:v>0.00</x:v>
      </x:c>
      <x:c r="J41" s="75">
        <x:f ca="1">SUM(F41* 0.011710)</x:f>
        <x:v>8</x:v>
      </x:c>
      <x:c r="K41" s="61">
        <x:f ca="1">SUM((J41-H41)+ I41)</x:f>
        <x:v>9</x:v>
      </x:c>
    </x:row>
    <x:row r="42" spans="1:11" ht="14.25" x14ac:dyDescent="0.3">
      <x:c r="A42" s="58" t="str">
        <x:v>B/W Laser Prints</x:v>
      </x:c>
      <x:c r="B42" s="6">
        <x:v>0</x:v>
      </x:c>
      <x:c r="C42" s="6">
        <x:v>61,872</x:v>
      </x:c>
      <x:c r="D42" s="6">
        <x:v>$0.01971</x:v>
      </x:c>
      <x:c r="E42" s="185">
        <x:f ca="1">IF(B42=0,"",IF(C42="","",IF(C42&lt;B42,SUM((C42-B42)/B42),SUM((C42-B42)/B42))))</x:f>
        <x:v>5</x:v>
      </x:c>
      <x:c r="F42" s="6">
        <x:f ca="1">IF(C42="","",IF(B42="","",IF(SUM(C42-B42)&lt;0,"0",SUM(C42-B42))))</x:f>
        <x:v>6</x:v>
      </x:c>
      <x:c r="G42" s="6">
        <x:v>0</x:v>
      </x:c>
      <x:c r="H42" s="17">
        <x:f ca="1">IF(SUM(F42 - G42) &lt;0,"$0.00",SUM(F42 - G42)*D42)</x:f>
        <x:v>7</x:v>
      </x:c>
      <x:c r="I42" s="17">
        <x:v>0.00</x:v>
      </x:c>
      <x:c r="J42" s="17">
        <x:f ca="1">SUM(F42* 0.019710)</x:f>
        <x:v>8</x:v>
      </x:c>
      <x:c r="K42" s="59">
        <x:f ca="1">SUM((J42-H42)+ I42)</x:f>
        <x:v>9</x:v>
      </x:c>
    </x:row>
    <x:row r="43" spans="1:11" ht="14.25" x14ac:dyDescent="0.3">
      <x:c r="A43" s="169" t="str">
        <x:v>Color Copier B/W Pages</x:v>
      </x:c>
      <x:c r="B43" s="73">
        <x:v>0</x:v>
      </x:c>
      <x:c r="C43" s="73">
        <x:v>204,460</x:v>
      </x:c>
      <x:c r="D43" s="165" t="str">
        <x:v>$0.01471</x:v>
      </x:c>
      <x:c r="E43" s="181">
        <x:f ca="1">IF(B43=0,"",IF(C43="","",IF(C43&lt;B43,SUM((C43-B43)/B43),SUM((C43-B43)/B43))))</x:f>
        <x:v>5</x:v>
      </x:c>
      <x:c r="F43" s="73">
        <x:f ca="1">IF(C43="","",IF(B43="","",IF(SUM(C43-B43)&lt;0,"0",SUM(C43-B43))))</x:f>
        <x:v>6</x:v>
      </x:c>
      <x:c r="G43" s="73" t="n">
        <x:v>0</x:v>
      </x:c>
      <x:c r="H43" s="75">
        <x:f ca="1">IF(SUM(F43 - G43) &lt;0,"$0.00",SUM(F43 - G43)*D43)</x:f>
        <x:v>7</x:v>
      </x:c>
      <x:c r="I43" s="75">
        <x:v>0.00</x:v>
      </x:c>
      <x:c r="J43" s="75">
        <x:f ca="1">SUM(F43* 0.014710)</x:f>
        <x:v>8</x:v>
      </x:c>
      <x:c r="K43" s="61">
        <x:f ca="1">SUM((J43-H43)+ I43)</x:f>
        <x:v>9</x:v>
      </x:c>
    </x:row>
    <x:row r="44" spans="1:11" ht="14.25" x14ac:dyDescent="0.3">
      <x:c r="A44" s="58" t="str">
        <x:v>Color Copier Color Pages</x:v>
      </x:c>
      <x:c r="B44" s="6">
        <x:v>0</x:v>
      </x:c>
      <x:c r="C44" s="6">
        <x:v>37,300</x:v>
      </x:c>
      <x:c r="D44" s="6">
        <x:v>$0.08471</x:v>
      </x:c>
      <x:c r="E44" s="185">
        <x:f ca="1">IF(B44=0,"",IF(C44="","",IF(C44&lt;B44,SUM((C44-B44)/B44),SUM((C44-B44)/B44))))</x:f>
        <x:v>5</x:v>
      </x:c>
      <x:c r="F44" s="6">
        <x:f ca="1">IF(C44="","",IF(B44="","",IF(SUM(C44-B44)&lt;0,"0",SUM(C44-B44))))</x:f>
        <x:v>6</x:v>
      </x:c>
      <x:c r="G44" s="6">
        <x:v>0</x:v>
      </x:c>
      <x:c r="H44" s="17">
        <x:f ca="1">IF(SUM(F44 - G44) &lt;0,"$0.00",SUM(F44 - G44)*D44)</x:f>
        <x:v>7</x:v>
      </x:c>
      <x:c r="I44" s="17">
        <x:v>0.00</x:v>
      </x:c>
      <x:c r="J44" s="17">
        <x:f ca="1">SUM(F44* 0.084710)</x:f>
        <x:v>8</x:v>
      </x:c>
      <x:c r="K44" s="59">
        <x:f ca="1">SUM((J44-H44)+ I44)</x:f>
        <x:v>9</x:v>
      </x:c>
    </x:row>
    <x:row r="45" spans="1:10" x14ac:dyDescent="0.25">
      <x:c r="A45" s="174"/>
      <x:c r="B45" s="174"/>
      <x:c r="C45" s="174"/>
      <x:c r="D45" s="174"/>
      <x:c r="E45" s="174"/>
      <x:c r="F45" s="174"/>
      <x:c r="G45" s="174"/>
      <x:c r="H45" s="174"/>
      <x:c r="I45" s="174"/>
      <x:c r="J45" s="174">
        <x:v>Revision Savings: </x:v>
      </x:c>
      <x:c r="K45" s="174">
        <x:f ca="1">SUM(K41:K44)</x:f>
      </x:c>
    </x:row>
    <x:row r="46" spans="1:11" ht="15" x14ac:dyDescent="0.3">
      <x:c r="A46" s="194" t="str">
        <x:v>8/31/2018</x:v>
      </x:c>
      <x:c r="B46" s="194"/>
      <x:c r="C46" s="194"/>
      <x:c r="D46" s="194"/>
      <x:c r="E46" s="194"/>
      <x:c r="F46" s="194"/>
      <x:c r="G46" s="194"/>
      <x:c r="H46" s="194"/>
      <x:c r="I46" s="194"/>
      <x:c r="J46" s="194"/>
      <x:c r="K46" s="194"/>
    </x:row>
    <x:row r="47">
      <x:c r="A47" s="47" t="str">
        <x:v>Meter Type Description</x:v>
      </x:c>
      <x:c r="B47" s="45" t="str">
        <x:v>Quarterly Contracted Volume</x:v>
      </x:c>
      <x:c r="C47" s="45" t="str">
        <x:v>Actual Quarterly Volume</x:v>
      </x:c>
      <x:c r="D47" s="45" t="str">
        <x:v>FPR Overage Rate</x:v>
      </x:c>
      <x:c r="E47" s="45" t="str">
        <x:v>% Volume Increase / Decrease</x:v>
      </x:c>
      <x:c r="F47" s="45" t="str">
        <x:v>Overage Volumes</x:v>
      </x:c>
      <x:c r="G47" s="45" t="str">
        <x:v>Rollover Volume</x:v>
      </x:c>
      <x:c r="H47" s="45" t="str">
        <x:v>Current Overage Expense</x:v>
      </x:c>
      <x:c r="I47" s="45" t="str">
        <x:v>Credits</x:v>
      </x:c>
      <x:c r="J47" s="45" t="str">
        <x:v>Overage Cost W/O FPR</x:v>
      </x:c>
      <x:c r="K47" s="46" t="str">
        <x:v>Net Overage Savings / Cost Increase</x:v>
      </x:c>
    </x:row>
    <x:row r="48" spans="1:11" ht="14.25" x14ac:dyDescent="0.3">
      <x:c r="A48" s="169" t="str">
        <x:v>B/W Copies</x:v>
      </x:c>
      <x:c r="B48" s="73">
        <x:v>0</x:v>
      </x:c>
      <x:c r="C48" s="73">
        <x:v>72,068</x:v>
      </x:c>
      <x:c r="D48" s="165" t="str">
        <x:v>$0.01171</x:v>
      </x:c>
      <x:c r="E48" s="181">
        <x:f ca="1">IF(B48=0,"",IF(C48="","",IF(C48&lt;B48,SUM((C48-B48)/B48),SUM((C48-B48)/B48))))</x:f>
        <x:v>5</x:v>
      </x:c>
      <x:c r="F48" s="73">
        <x:f ca="1">IF(C48="","",IF(B48="","",IF(SUM(C48-B48)&lt;0,"0",SUM(C48-B48))))</x:f>
        <x:v>6</x:v>
      </x:c>
      <x:c r="G48" s="73" t="n">
        <x:v>0</x:v>
      </x:c>
      <x:c r="H48" s="75">
        <x:f ca="1">IF(SUM(F48 - G48) &lt;0,"$0.00",SUM(F48 - G48)*D48)</x:f>
        <x:v>7</x:v>
      </x:c>
      <x:c r="I48" s="75">
        <x:v>0.00</x:v>
      </x:c>
      <x:c r="J48" s="75">
        <x:f ca="1">SUM(F48* 0.011710)</x:f>
        <x:v>8</x:v>
      </x:c>
      <x:c r="K48" s="61">
        <x:f ca="1">SUM((J48-H48)+ I48)</x:f>
        <x:v>9</x:v>
      </x:c>
    </x:row>
    <x:row r="49" spans="1:11" ht="14.25" x14ac:dyDescent="0.3">
      <x:c r="A49" s="58" t="str">
        <x:v>B/W Laser Prints</x:v>
      </x:c>
      <x:c r="B49" s="6">
        <x:v>0</x:v>
      </x:c>
      <x:c r="C49" s="6">
        <x:v>65,744</x:v>
      </x:c>
      <x:c r="D49" s="6">
        <x:v>$0.01971</x:v>
      </x:c>
      <x:c r="E49" s="185">
        <x:f ca="1">IF(B49=0,"",IF(C49="","",IF(C49&lt;B49,SUM((C49-B49)/B49),SUM((C49-B49)/B49))))</x:f>
        <x:v>5</x:v>
      </x:c>
      <x:c r="F49" s="6">
        <x:f ca="1">IF(C49="","",IF(B49="","",IF(SUM(C49-B49)&lt;0,"0",SUM(C49-B49))))</x:f>
        <x:v>6</x:v>
      </x:c>
      <x:c r="G49" s="6">
        <x:v>0</x:v>
      </x:c>
      <x:c r="H49" s="17">
        <x:f ca="1">IF(SUM(F49 - G49) &lt;0,"$0.00",SUM(F49 - G49)*D49)</x:f>
        <x:v>7</x:v>
      </x:c>
      <x:c r="I49" s="17">
        <x:v>0.00</x:v>
      </x:c>
      <x:c r="J49" s="17">
        <x:f ca="1">SUM(F49* 0.019710)</x:f>
        <x:v>8</x:v>
      </x:c>
      <x:c r="K49" s="59">
        <x:f ca="1">SUM((J49-H49)+ I49)</x:f>
        <x:v>9</x:v>
      </x:c>
    </x:row>
    <x:row r="50" spans="1:11" ht="14.25" x14ac:dyDescent="0.3">
      <x:c r="A50" s="169" t="str">
        <x:v>Color Copier B/W Pages</x:v>
      </x:c>
      <x:c r="B50" s="73">
        <x:v>0</x:v>
      </x:c>
      <x:c r="C50" s="73">
        <x:v>295,675</x:v>
      </x:c>
      <x:c r="D50" s="165" t="str">
        <x:v>$0.01471</x:v>
      </x:c>
      <x:c r="E50" s="181">
        <x:f ca="1">IF(B50=0,"",IF(C50="","",IF(C50&lt;B50,SUM((C50-B50)/B50),SUM((C50-B50)/B50))))</x:f>
        <x:v>5</x:v>
      </x:c>
      <x:c r="F50" s="73">
        <x:f ca="1">IF(C50="","",IF(B50="","",IF(SUM(C50-B50)&lt;0,"0",SUM(C50-B50))))</x:f>
        <x:v>6</x:v>
      </x:c>
      <x:c r="G50" s="73" t="n">
        <x:v>0</x:v>
      </x:c>
      <x:c r="H50" s="75">
        <x:f ca="1">IF(SUM(F50 - G50) &lt;0,"$0.00",SUM(F50 - G50)*D50)</x:f>
        <x:v>7</x:v>
      </x:c>
      <x:c r="I50" s="75">
        <x:v>0.00</x:v>
      </x:c>
      <x:c r="J50" s="75">
        <x:f ca="1">SUM(F50* 0.014710)</x:f>
        <x:v>8</x:v>
      </x:c>
      <x:c r="K50" s="61">
        <x:f ca="1">SUM((J50-H50)+ I50)</x:f>
        <x:v>9</x:v>
      </x:c>
    </x:row>
    <x:row r="51" spans="1:11" ht="14.25" x14ac:dyDescent="0.3">
      <x:c r="A51" s="58" t="str">
        <x:v>Color Copier Color Pages</x:v>
      </x:c>
      <x:c r="B51" s="6">
        <x:v>0</x:v>
      </x:c>
      <x:c r="C51" s="6">
        <x:v>51,602</x:v>
      </x:c>
      <x:c r="D51" s="6">
        <x:v>$0.08471</x:v>
      </x:c>
      <x:c r="E51" s="185">
        <x:f ca="1">IF(B51=0,"",IF(C51="","",IF(C51&lt;B51,SUM((C51-B51)/B51),SUM((C51-B51)/B51))))</x:f>
        <x:v>5</x:v>
      </x:c>
      <x:c r="F51" s="6">
        <x:f ca="1">IF(C51="","",IF(B51="","",IF(SUM(C51-B51)&lt;0,"0",SUM(C51-B51))))</x:f>
        <x:v>6</x:v>
      </x:c>
      <x:c r="G51" s="6">
        <x:v>0</x:v>
      </x:c>
      <x:c r="H51" s="17">
        <x:f ca="1">IF(SUM(F51 - G51) &lt;0,"$0.00",SUM(F51 - G51)*D51)</x:f>
        <x:v>7</x:v>
      </x:c>
      <x:c r="I51" s="17">
        <x:v>0.00</x:v>
      </x:c>
      <x:c r="J51" s="17">
        <x:f ca="1">SUM(F51* 0.084710)</x:f>
        <x:v>8</x:v>
      </x:c>
      <x:c r="K51" s="59">
        <x:f ca="1">SUM((J51-H51)+ I51)</x:f>
        <x:v>9</x:v>
      </x:c>
    </x:row>
    <x:row r="52" spans="1:10" x14ac:dyDescent="0.25">
      <x:c r="A52" s="174"/>
      <x:c r="B52" s="174"/>
      <x:c r="C52" s="174"/>
      <x:c r="D52" s="174"/>
      <x:c r="E52" s="174"/>
      <x:c r="F52" s="174"/>
      <x:c r="G52" s="174"/>
      <x:c r="H52" s="174"/>
      <x:c r="I52" s="174"/>
      <x:c r="J52" s="174">
        <x:v>Revision Savings: </x:v>
      </x:c>
      <x:c r="K52" s="174">
        <x:f ca="1">SUM(K48:K51)</x:f>
      </x:c>
    </x:row>
    <x:row r="53" spans="1:11" ht="15" x14ac:dyDescent="0.3">
      <x:c r="A53" s="194" t="str">
        <x:v>7/31/2018</x:v>
      </x:c>
      <x:c r="B53" s="194"/>
      <x:c r="C53" s="194"/>
      <x:c r="D53" s="194"/>
      <x:c r="E53" s="194"/>
      <x:c r="F53" s="194"/>
      <x:c r="G53" s="194"/>
      <x:c r="H53" s="194"/>
      <x:c r="I53" s="194"/>
      <x:c r="J53" s="194"/>
      <x:c r="K53" s="194"/>
    </x:row>
    <x:row r="54">
      <x:c r="A54" s="47" t="str">
        <x:v>Meter Type Description</x:v>
      </x:c>
      <x:c r="B54" s="45" t="str">
        <x:v>Quarterly Contracted Volume</x:v>
      </x:c>
      <x:c r="C54" s="45" t="str">
        <x:v>Actual Quarterly Volume</x:v>
      </x:c>
      <x:c r="D54" s="45" t="str">
        <x:v>FPR Overage Rate</x:v>
      </x:c>
      <x:c r="E54" s="45" t="str">
        <x:v>% Volume Increase / Decrease</x:v>
      </x:c>
      <x:c r="F54" s="45" t="str">
        <x:v>Overage Volumes</x:v>
      </x:c>
      <x:c r="G54" s="45" t="str">
        <x:v>Rollover Volume</x:v>
      </x:c>
      <x:c r="H54" s="45" t="str">
        <x:v>Current Overage Expense</x:v>
      </x:c>
      <x:c r="I54" s="45" t="str">
        <x:v>Credits</x:v>
      </x:c>
      <x:c r="J54" s="45" t="str">
        <x:v>Overage Cost W/O FPR</x:v>
      </x:c>
      <x:c r="K54" s="46" t="str">
        <x:v>Net Overage Savings / Cost Increase</x:v>
      </x:c>
    </x:row>
    <x:row r="55" spans="1:11" ht="14.25" x14ac:dyDescent="0.3">
      <x:c r="A55" s="169" t="str">
        <x:v>B/W Copies</x:v>
      </x:c>
      <x:c r="B55" s="73">
        <x:v>0</x:v>
      </x:c>
      <x:c r="C55" s="73">
        <x:v>47,334</x:v>
      </x:c>
      <x:c r="D55" s="165" t="str">
        <x:v>$0.01171</x:v>
      </x:c>
      <x:c r="E55" s="181">
        <x:f ca="1">IF(B55=0,"",IF(C55="","",IF(C55&lt;B55,SUM((C55-B55)/B55),SUM((C55-B55)/B55))))</x:f>
        <x:v>5</x:v>
      </x:c>
      <x:c r="F55" s="73">
        <x:f ca="1">IF(C55="","",IF(B55="","",IF(SUM(C55-B55)&lt;0,"0",SUM(C55-B55))))</x:f>
        <x:v>6</x:v>
      </x:c>
      <x:c r="G55" s="73" t="n">
        <x:v>0</x:v>
      </x:c>
      <x:c r="H55" s="75">
        <x:f ca="1">IF(SUM(F55 - G55) &lt;0,"$0.00",SUM(F55 - G55)*D55)</x:f>
        <x:v>7</x:v>
      </x:c>
      <x:c r="I55" s="75">
        <x:v>0.00</x:v>
      </x:c>
      <x:c r="J55" s="75">
        <x:f ca="1">SUM(F55* 0.011710)</x:f>
        <x:v>8</x:v>
      </x:c>
      <x:c r="K55" s="61">
        <x:f ca="1">SUM((J55-H55)+ I55)</x:f>
        <x:v>9</x:v>
      </x:c>
    </x:row>
    <x:row r="56" spans="1:11" ht="14.25" x14ac:dyDescent="0.3">
      <x:c r="A56" s="58" t="str">
        <x:v>B/W Laser Prints</x:v>
      </x:c>
      <x:c r="B56" s="6">
        <x:v>0</x:v>
      </x:c>
      <x:c r="C56" s="6">
        <x:v>39,556</x:v>
      </x:c>
      <x:c r="D56" s="6">
        <x:v>$0.01971</x:v>
      </x:c>
      <x:c r="E56" s="185">
        <x:f ca="1">IF(B56=0,"",IF(C56="","",IF(C56&lt;B56,SUM((C56-B56)/B56),SUM((C56-B56)/B56))))</x:f>
        <x:v>5</x:v>
      </x:c>
      <x:c r="F56" s="6">
        <x:f ca="1">IF(C56="","",IF(B56="","",IF(SUM(C56-B56)&lt;0,"0",SUM(C56-B56))))</x:f>
        <x:v>6</x:v>
      </x:c>
      <x:c r="G56" s="6">
        <x:v>0</x:v>
      </x:c>
      <x:c r="H56" s="17">
        <x:f ca="1">IF(SUM(F56 - G56) &lt;0,"$0.00",SUM(F56 - G56)*D56)</x:f>
        <x:v>7</x:v>
      </x:c>
      <x:c r="I56" s="17">
        <x:v>0.00</x:v>
      </x:c>
      <x:c r="J56" s="17">
        <x:f ca="1">SUM(F56* 0.019710)</x:f>
        <x:v>8</x:v>
      </x:c>
      <x:c r="K56" s="59">
        <x:f ca="1">SUM((J56-H56)+ I56)</x:f>
        <x:v>9</x:v>
      </x:c>
    </x:row>
    <x:row r="57" spans="1:11" ht="14.25" x14ac:dyDescent="0.3">
      <x:c r="A57" s="169" t="str">
        <x:v>Color Copier B/W Pages</x:v>
      </x:c>
      <x:c r="B57" s="73">
        <x:v>0</x:v>
      </x:c>
      <x:c r="C57" s="73">
        <x:v>162,078</x:v>
      </x:c>
      <x:c r="D57" s="165" t="str">
        <x:v>$0.01471</x:v>
      </x:c>
      <x:c r="E57" s="181">
        <x:f ca="1">IF(B57=0,"",IF(C57="","",IF(C57&lt;B57,SUM((C57-B57)/B57),SUM((C57-B57)/B57))))</x:f>
        <x:v>5</x:v>
      </x:c>
      <x:c r="F57" s="73">
        <x:f ca="1">IF(C57="","",IF(B57="","",IF(SUM(C57-B57)&lt;0,"0",SUM(C57-B57))))</x:f>
        <x:v>6</x:v>
      </x:c>
      <x:c r="G57" s="73" t="n">
        <x:v>0</x:v>
      </x:c>
      <x:c r="H57" s="75">
        <x:f ca="1">IF(SUM(F57 - G57) &lt;0,"$0.00",SUM(F57 - G57)*D57)</x:f>
        <x:v>7</x:v>
      </x:c>
      <x:c r="I57" s="75">
        <x:v>0.00</x:v>
      </x:c>
      <x:c r="J57" s="75">
        <x:f ca="1">SUM(F57* 0.014710)</x:f>
        <x:v>8</x:v>
      </x:c>
      <x:c r="K57" s="61">
        <x:f ca="1">SUM((J57-H57)+ I57)</x:f>
        <x:v>9</x:v>
      </x:c>
    </x:row>
    <x:row r="58" spans="1:11" ht="14.25" x14ac:dyDescent="0.3">
      <x:c r="A58" s="58" t="str">
        <x:v>Color Copier Color Pages</x:v>
      </x:c>
      <x:c r="B58" s="6">
        <x:v>0</x:v>
      </x:c>
      <x:c r="C58" s="6">
        <x:v>30,752</x:v>
      </x:c>
      <x:c r="D58" s="6">
        <x:v>$0.08471</x:v>
      </x:c>
      <x:c r="E58" s="185">
        <x:f ca="1">IF(B58=0,"",IF(C58="","",IF(C58&lt;B58,SUM((C58-B58)/B58),SUM((C58-B58)/B58))))</x:f>
        <x:v>5</x:v>
      </x:c>
      <x:c r="F58" s="6">
        <x:f ca="1">IF(C58="","",IF(B58="","",IF(SUM(C58-B58)&lt;0,"0",SUM(C58-B58))))</x:f>
        <x:v>6</x:v>
      </x:c>
      <x:c r="G58" s="6">
        <x:v>0</x:v>
      </x:c>
      <x:c r="H58" s="17">
        <x:f ca="1">IF(SUM(F58 - G58) &lt;0,"$0.00",SUM(F58 - G58)*D58)</x:f>
        <x:v>7</x:v>
      </x:c>
      <x:c r="I58" s="17">
        <x:v>0.00</x:v>
      </x:c>
      <x:c r="J58" s="17">
        <x:f ca="1">SUM(F58* 0.084710)</x:f>
        <x:v>8</x:v>
      </x:c>
      <x:c r="K58" s="59">
        <x:f ca="1">SUM((J58-H58)+ I58)</x:f>
        <x:v>9</x:v>
      </x:c>
    </x:row>
    <x:row r="59" spans="1:10" x14ac:dyDescent="0.25">
      <x:c r="A59" s="174"/>
      <x:c r="B59" s="174"/>
      <x:c r="C59" s="174"/>
      <x:c r="D59" s="174"/>
      <x:c r="E59" s="174"/>
      <x:c r="F59" s="174"/>
      <x:c r="G59" s="174"/>
      <x:c r="H59" s="174"/>
      <x:c r="I59" s="174"/>
      <x:c r="J59" s="174">
        <x:v>Revision Savings: </x:v>
      </x:c>
      <x:c r="K59" s="174">
        <x:f ca="1">SUM(K55:K58)</x:f>
      </x:c>
    </x:row>
    <x:row r="60" spans="1:11" ht="15" x14ac:dyDescent="0.3">
      <x:c r="A60" s="194" t="str">
        <x:v>6/30/2018</x:v>
      </x:c>
      <x:c r="B60" s="194"/>
      <x:c r="C60" s="194"/>
      <x:c r="D60" s="194"/>
      <x:c r="E60" s="194"/>
      <x:c r="F60" s="194"/>
      <x:c r="G60" s="194"/>
      <x:c r="H60" s="194"/>
      <x:c r="I60" s="194"/>
      <x:c r="J60" s="194"/>
      <x:c r="K60" s="194"/>
    </x:row>
    <x:row r="61">
      <x:c r="A61" s="47" t="str">
        <x:v>Meter Type Description</x:v>
      </x:c>
      <x:c r="B61" s="45" t="str">
        <x:v>Quarterly Contracted Volume</x:v>
      </x:c>
      <x:c r="C61" s="45" t="str">
        <x:v>Actual Quarterly Volume</x:v>
      </x:c>
      <x:c r="D61" s="45" t="str">
        <x:v>FPR Overage Rate</x:v>
      </x:c>
      <x:c r="E61" s="45" t="str">
        <x:v>% Volume Increase / Decrease</x:v>
      </x:c>
      <x:c r="F61" s="45" t="str">
        <x:v>Overage Volumes</x:v>
      </x:c>
      <x:c r="G61" s="45" t="str">
        <x:v>Rollover Volume</x:v>
      </x:c>
      <x:c r="H61" s="45" t="str">
        <x:v>Current Overage Expense</x:v>
      </x:c>
      <x:c r="I61" s="45" t="str">
        <x:v>Credits</x:v>
      </x:c>
      <x:c r="J61" s="45" t="str">
        <x:v>Overage Cost W/O FPR</x:v>
      </x:c>
      <x:c r="K61" s="46" t="str">
        <x:v>Net Overage Savings / Cost Increase</x:v>
      </x:c>
    </x:row>
    <x:row r="62" spans="1:11" ht="14.25" x14ac:dyDescent="0.3">
      <x:c r="A62" s="169" t="str">
        <x:v>B/W Copies</x:v>
      </x:c>
      <x:c r="B62" s="73">
        <x:v>0</x:v>
      </x:c>
      <x:c r="C62" s="73">
        <x:v>62,892</x:v>
      </x:c>
      <x:c r="D62" s="165" t="str">
        <x:v>$0.01171</x:v>
      </x:c>
      <x:c r="E62" s="181">
        <x:f ca="1">IF(B62=0,"",IF(C62="","",IF(C62&lt;B62,SUM((C62-B62)/B62),SUM((C62-B62)/B62))))</x:f>
        <x:v>5</x:v>
      </x:c>
      <x:c r="F62" s="73">
        <x:f ca="1">IF(C62="","",IF(B62="","",IF(SUM(C62-B62)&lt;0,"0",SUM(C62-B62))))</x:f>
        <x:v>6</x:v>
      </x:c>
      <x:c r="G62" s="73" t="n">
        <x:v>0</x:v>
      </x:c>
      <x:c r="H62" s="75">
        <x:f ca="1">IF(SUM(F62 - G62) &lt;0,"$0.00",SUM(F62 - G62)*D62)</x:f>
        <x:v>7</x:v>
      </x:c>
      <x:c r="I62" s="75">
        <x:v>0.00</x:v>
      </x:c>
      <x:c r="J62" s="75">
        <x:f ca="1">SUM(F62* 0.011710)</x:f>
        <x:v>8</x:v>
      </x:c>
      <x:c r="K62" s="61">
        <x:f ca="1">SUM((J62-H62)+ I62)</x:f>
        <x:v>9</x:v>
      </x:c>
    </x:row>
    <x:row r="63" spans="1:11" ht="14.25" x14ac:dyDescent="0.3">
      <x:c r="A63" s="58" t="str">
        <x:v>B/W Laser Prints</x:v>
      </x:c>
      <x:c r="B63" s="6">
        <x:v>0</x:v>
      </x:c>
      <x:c r="C63" s="6">
        <x:v>53,287</x:v>
      </x:c>
      <x:c r="D63" s="6">
        <x:v>$0.01971</x:v>
      </x:c>
      <x:c r="E63" s="185">
        <x:f ca="1">IF(B63=0,"",IF(C63="","",IF(C63&lt;B63,SUM((C63-B63)/B63),SUM((C63-B63)/B63))))</x:f>
        <x:v>5</x:v>
      </x:c>
      <x:c r="F63" s="6">
        <x:f ca="1">IF(C63="","",IF(B63="","",IF(SUM(C63-B63)&lt;0,"0",SUM(C63-B63))))</x:f>
        <x:v>6</x:v>
      </x:c>
      <x:c r="G63" s="6">
        <x:v>0</x:v>
      </x:c>
      <x:c r="H63" s="17">
        <x:f ca="1">IF(SUM(F63 - G63) &lt;0,"$0.00",SUM(F63 - G63)*D63)</x:f>
        <x:v>7</x:v>
      </x:c>
      <x:c r="I63" s="17">
        <x:v>0.00</x:v>
      </x:c>
      <x:c r="J63" s="17">
        <x:f ca="1">SUM(F63* 0.019710)</x:f>
        <x:v>8</x:v>
      </x:c>
      <x:c r="K63" s="59">
        <x:f ca="1">SUM((J63-H63)+ I63)</x:f>
        <x:v>9</x:v>
      </x:c>
    </x:row>
    <x:row r="64" spans="1:11" ht="14.25" x14ac:dyDescent="0.3">
      <x:c r="A64" s="169" t="str">
        <x:v>Color Copier B/W Pages</x:v>
      </x:c>
      <x:c r="B64" s="73">
        <x:v>0</x:v>
      </x:c>
      <x:c r="C64" s="73">
        <x:v>219,540</x:v>
      </x:c>
      <x:c r="D64" s="165" t="str">
        <x:v>$0.01471</x:v>
      </x:c>
      <x:c r="E64" s="181">
        <x:f ca="1">IF(B64=0,"",IF(C64="","",IF(C64&lt;B64,SUM((C64-B64)/B64),SUM((C64-B64)/B64))))</x:f>
        <x:v>5</x:v>
      </x:c>
      <x:c r="F64" s="73">
        <x:f ca="1">IF(C64="","",IF(B64="","",IF(SUM(C64-B64)&lt;0,"0",SUM(C64-B64))))</x:f>
        <x:v>6</x:v>
      </x:c>
      <x:c r="G64" s="73" t="n">
        <x:v>0</x:v>
      </x:c>
      <x:c r="H64" s="75">
        <x:f ca="1">IF(SUM(F64 - G64) &lt;0,"$0.00",SUM(F64 - G64)*D64)</x:f>
        <x:v>7</x:v>
      </x:c>
      <x:c r="I64" s="75">
        <x:v>0.00</x:v>
      </x:c>
      <x:c r="J64" s="75">
        <x:f ca="1">SUM(F64* 0.014710)</x:f>
        <x:v>8</x:v>
      </x:c>
      <x:c r="K64" s="61">
        <x:f ca="1">SUM((J64-H64)+ I64)</x:f>
        <x:v>9</x:v>
      </x:c>
    </x:row>
    <x:row r="65" spans="1:11" ht="14.25" x14ac:dyDescent="0.3">
      <x:c r="A65" s="58" t="str">
        <x:v>Color Copier Color Pages</x:v>
      </x:c>
      <x:c r="B65" s="6">
        <x:v>0</x:v>
      </x:c>
      <x:c r="C65" s="6">
        <x:v>38,331</x:v>
      </x:c>
      <x:c r="D65" s="6">
        <x:v>$0.08471</x:v>
      </x:c>
      <x:c r="E65" s="185">
        <x:f ca="1">IF(B65=0,"",IF(C65="","",IF(C65&lt;B65,SUM((C65-B65)/B65),SUM((C65-B65)/B65))))</x:f>
        <x:v>5</x:v>
      </x:c>
      <x:c r="F65" s="6">
        <x:f ca="1">IF(C65="","",IF(B65="","",IF(SUM(C65-B65)&lt;0,"0",SUM(C65-B65))))</x:f>
        <x:v>6</x:v>
      </x:c>
      <x:c r="G65" s="6">
        <x:v>0</x:v>
      </x:c>
      <x:c r="H65" s="17">
        <x:f ca="1">IF(SUM(F65 - G65) &lt;0,"$0.00",SUM(F65 - G65)*D65)</x:f>
        <x:v>7</x:v>
      </x:c>
      <x:c r="I65" s="17">
        <x:v>0.00</x:v>
      </x:c>
      <x:c r="J65" s="17">
        <x:f ca="1">SUM(F65* 0.084710)</x:f>
        <x:v>8</x:v>
      </x:c>
      <x:c r="K65" s="59">
        <x:f ca="1">SUM((J65-H65)+ I65)</x:f>
        <x:v>9</x:v>
      </x:c>
    </x:row>
    <x:row r="66" spans="1:10" x14ac:dyDescent="0.25">
      <x:c r="A66" s="174"/>
      <x:c r="B66" s="174"/>
      <x:c r="C66" s="174"/>
      <x:c r="D66" s="174"/>
      <x:c r="E66" s="174"/>
      <x:c r="F66" s="174"/>
      <x:c r="G66" s="174"/>
      <x:c r="H66" s="174"/>
      <x:c r="I66" s="174"/>
      <x:c r="J66" s="174">
        <x:v>Revision Savings: </x:v>
      </x:c>
      <x:c r="K66" s="174">
        <x:f ca="1">SUM(K62:K65)</x:f>
      </x:c>
    </x:row>
    <x:row r="67" spans="1:11" ht="15" x14ac:dyDescent="0.3">
      <x:c r="A67" s="194" t="str">
        <x:v>5/31/2018</x:v>
      </x:c>
      <x:c r="B67" s="194"/>
      <x:c r="C67" s="194"/>
      <x:c r="D67" s="194"/>
      <x:c r="E67" s="194"/>
      <x:c r="F67" s="194"/>
      <x:c r="G67" s="194"/>
      <x:c r="H67" s="194"/>
      <x:c r="I67" s="194"/>
      <x:c r="J67" s="194"/>
      <x:c r="K67" s="194"/>
    </x:row>
    <x:row r="68">
      <x:c r="A68" s="47" t="str">
        <x:v>Meter Type Description</x:v>
      </x:c>
      <x:c r="B68" s="45" t="str">
        <x:v>Quarterly Contracted Volume</x:v>
      </x:c>
      <x:c r="C68" s="45" t="str">
        <x:v>Actual Quarterly Volume</x:v>
      </x:c>
      <x:c r="D68" s="45" t="str">
        <x:v>FPR Overage Rate</x:v>
      </x:c>
      <x:c r="E68" s="45" t="str">
        <x:v>% Volume Increase / Decrease</x:v>
      </x:c>
      <x:c r="F68" s="45" t="str">
        <x:v>Overage Volumes</x:v>
      </x:c>
      <x:c r="G68" s="45" t="str">
        <x:v>Rollover Volume</x:v>
      </x:c>
      <x:c r="H68" s="45" t="str">
        <x:v>Current Overage Expense</x:v>
      </x:c>
      <x:c r="I68" s="45" t="str">
        <x:v>Credits</x:v>
      </x:c>
      <x:c r="J68" s="45" t="str">
        <x:v>Overage Cost W/O FPR</x:v>
      </x:c>
      <x:c r="K68" s="46" t="str">
        <x:v>Net Overage Savings / Cost Increase</x:v>
      </x:c>
    </x:row>
    <x:row r="69" spans="1:11" ht="14.25" x14ac:dyDescent="0.3">
      <x:c r="A69" s="169" t="str">
        <x:v>B/W Copies</x:v>
      </x:c>
      <x:c r="B69" s="73">
        <x:v>0</x:v>
      </x:c>
      <x:c r="C69" s="73">
        <x:v>53,335</x:v>
      </x:c>
      <x:c r="D69" s="165" t="str">
        <x:v>$0.01171</x:v>
      </x:c>
      <x:c r="E69" s="181">
        <x:f ca="1">IF(B69=0,"",IF(C69="","",IF(C69&lt;B69,SUM((C69-B69)/B69),SUM((C69-B69)/B69))))</x:f>
        <x:v>5</x:v>
      </x:c>
      <x:c r="F69" s="73">
        <x:f ca="1">IF(C69="","",IF(B69="","",IF(SUM(C69-B69)&lt;0,"0",SUM(C69-B69))))</x:f>
        <x:v>6</x:v>
      </x:c>
      <x:c r="G69" s="73" t="n">
        <x:v>0</x:v>
      </x:c>
      <x:c r="H69" s="75">
        <x:f ca="1">IF(SUM(F69 - G69) &lt;0,"$0.00",SUM(F69 - G69)*D69)</x:f>
        <x:v>7</x:v>
      </x:c>
      <x:c r="I69" s="75">
        <x:v>0.00</x:v>
      </x:c>
      <x:c r="J69" s="75">
        <x:f ca="1">SUM(F69* 0.011710)</x:f>
        <x:v>8</x:v>
      </x:c>
      <x:c r="K69" s="61">
        <x:f ca="1">SUM((J69-H69)+ I69)</x:f>
        <x:v>9</x:v>
      </x:c>
    </x:row>
    <x:row r="70" spans="1:11" ht="14.25" x14ac:dyDescent="0.3">
      <x:c r="A70" s="58" t="str">
        <x:v>B/W Laser Prints</x:v>
      </x:c>
      <x:c r="B70" s="6">
        <x:v>0</x:v>
      </x:c>
      <x:c r="C70" s="6">
        <x:v>48,651</x:v>
      </x:c>
      <x:c r="D70" s="6">
        <x:v>$0.01971</x:v>
      </x:c>
      <x:c r="E70" s="185">
        <x:f ca="1">IF(B70=0,"",IF(C70="","",IF(C70&lt;B70,SUM((C70-B70)/B70),SUM((C70-B70)/B70))))</x:f>
        <x:v>5</x:v>
      </x:c>
      <x:c r="F70" s="6">
        <x:f ca="1">IF(C70="","",IF(B70="","",IF(SUM(C70-B70)&lt;0,"0",SUM(C70-B70))))</x:f>
        <x:v>6</x:v>
      </x:c>
      <x:c r="G70" s="6">
        <x:v>0</x:v>
      </x:c>
      <x:c r="H70" s="17">
        <x:f ca="1">IF(SUM(F70 - G70) &lt;0,"$0.00",SUM(F70 - G70)*D70)</x:f>
        <x:v>7</x:v>
      </x:c>
      <x:c r="I70" s="17">
        <x:v>0.00</x:v>
      </x:c>
      <x:c r="J70" s="17">
        <x:f ca="1">SUM(F70* 0.019710)</x:f>
        <x:v>8</x:v>
      </x:c>
      <x:c r="K70" s="59">
        <x:f ca="1">SUM((J70-H70)+ I70)</x:f>
        <x:v>9</x:v>
      </x:c>
    </x:row>
    <x:row r="71" spans="1:11" ht="14.25" x14ac:dyDescent="0.3">
      <x:c r="A71" s="169" t="str">
        <x:v>Color Copier B/W Pages</x:v>
      </x:c>
      <x:c r="B71" s="73">
        <x:v>0</x:v>
      </x:c>
      <x:c r="C71" s="73">
        <x:v>215,439</x:v>
      </x:c>
      <x:c r="D71" s="165" t="str">
        <x:v>$0.01471</x:v>
      </x:c>
      <x:c r="E71" s="181">
        <x:f ca="1">IF(B71=0,"",IF(C71="","",IF(C71&lt;B71,SUM((C71-B71)/B71),SUM((C71-B71)/B71))))</x:f>
        <x:v>5</x:v>
      </x:c>
      <x:c r="F71" s="73">
        <x:f ca="1">IF(C71="","",IF(B71="","",IF(SUM(C71-B71)&lt;0,"0",SUM(C71-B71))))</x:f>
        <x:v>6</x:v>
      </x:c>
      <x:c r="G71" s="73" t="n">
        <x:v>0</x:v>
      </x:c>
      <x:c r="H71" s="75">
        <x:f ca="1">IF(SUM(F71 - G71) &lt;0,"$0.00",SUM(F71 - G71)*D71)</x:f>
        <x:v>7</x:v>
      </x:c>
      <x:c r="I71" s="75">
        <x:v>0.00</x:v>
      </x:c>
      <x:c r="J71" s="75">
        <x:f ca="1">SUM(F71* 0.014710)</x:f>
        <x:v>8</x:v>
      </x:c>
      <x:c r="K71" s="61">
        <x:f ca="1">SUM((J71-H71)+ I71)</x:f>
        <x:v>9</x:v>
      </x:c>
    </x:row>
    <x:row r="72" spans="1:11" ht="14.25" x14ac:dyDescent="0.3">
      <x:c r="A72" s="58" t="str">
        <x:v>Color Copier Color Pages</x:v>
      </x:c>
      <x:c r="B72" s="6">
        <x:v>0</x:v>
      </x:c>
      <x:c r="C72" s="6">
        <x:v>34,074</x:v>
      </x:c>
      <x:c r="D72" s="6">
        <x:v>$0.08471</x:v>
      </x:c>
      <x:c r="E72" s="185">
        <x:f ca="1">IF(B72=0,"",IF(C72="","",IF(C72&lt;B72,SUM((C72-B72)/B72),SUM((C72-B72)/B72))))</x:f>
        <x:v>5</x:v>
      </x:c>
      <x:c r="F72" s="6">
        <x:f ca="1">IF(C72="","",IF(B72="","",IF(SUM(C72-B72)&lt;0,"0",SUM(C72-B72))))</x:f>
        <x:v>6</x:v>
      </x:c>
      <x:c r="G72" s="6">
        <x:v>0</x:v>
      </x:c>
      <x:c r="H72" s="17">
        <x:f ca="1">IF(SUM(F72 - G72) &lt;0,"$0.00",SUM(F72 - G72)*D72)</x:f>
        <x:v>7</x:v>
      </x:c>
      <x:c r="I72" s="17">
        <x:v>0.00</x:v>
      </x:c>
      <x:c r="J72" s="17">
        <x:f ca="1">SUM(F72* 0.084710)</x:f>
        <x:v>8</x:v>
      </x:c>
      <x:c r="K72" s="59">
        <x:f ca="1">SUM((J72-H72)+ I72)</x:f>
        <x:v>9</x:v>
      </x:c>
    </x:row>
    <x:row r="73" spans="1:10" x14ac:dyDescent="0.25">
      <x:c r="A73" s="174"/>
      <x:c r="B73" s="174"/>
      <x:c r="C73" s="174"/>
      <x:c r="D73" s="174"/>
      <x:c r="E73" s="174"/>
      <x:c r="F73" s="174"/>
      <x:c r="G73" s="174"/>
      <x:c r="H73" s="174"/>
      <x:c r="I73" s="174"/>
      <x:c r="J73" s="174">
        <x:v>Revision Savings: </x:v>
      </x:c>
      <x:c r="K73" s="174">
        <x:f ca="1">SUM(K69:K72)</x:f>
      </x:c>
    </x:row>
    <x:row r="74" spans="1:11" ht="15" x14ac:dyDescent="0.3">
      <x:c r="A74" s="194" t="str">
        <x:v>4/30/2018</x:v>
      </x:c>
      <x:c r="B74" s="194"/>
      <x:c r="C74" s="194"/>
      <x:c r="D74" s="194"/>
      <x:c r="E74" s="194"/>
      <x:c r="F74" s="194"/>
      <x:c r="G74" s="194"/>
      <x:c r="H74" s="194"/>
      <x:c r="I74" s="194"/>
      <x:c r="J74" s="194"/>
      <x:c r="K74" s="194"/>
    </x:row>
    <x:row r="75">
      <x:c r="A75" s="47" t="str">
        <x:v>Meter Type Description</x:v>
      </x:c>
      <x:c r="B75" s="45" t="str">
        <x:v>Quarterly Contracted Volume</x:v>
      </x:c>
      <x:c r="C75" s="45" t="str">
        <x:v>Actual Quarterly Volume</x:v>
      </x:c>
      <x:c r="D75" s="45" t="str">
        <x:v>FPR Overage Rate</x:v>
      </x:c>
      <x:c r="E75" s="45" t="str">
        <x:v>% Volume Increase / Decrease</x:v>
      </x:c>
      <x:c r="F75" s="45" t="str">
        <x:v>Overage Volumes</x:v>
      </x:c>
      <x:c r="G75" s="45" t="str">
        <x:v>Rollover Volume</x:v>
      </x:c>
      <x:c r="H75" s="45" t="str">
        <x:v>Current Overage Expense</x:v>
      </x:c>
      <x:c r="I75" s="45" t="str">
        <x:v>Credits</x:v>
      </x:c>
      <x:c r="J75" s="45" t="str">
        <x:v>Overage Cost W/O FPR</x:v>
      </x:c>
      <x:c r="K75" s="46" t="str">
        <x:v>Net Overage Savings / Cost Increase</x:v>
      </x:c>
    </x:row>
    <x:row r="76" spans="1:11" ht="14.25" x14ac:dyDescent="0.3">
      <x:c r="A76" s="169" t="str">
        <x:v>B/W Copies</x:v>
      </x:c>
      <x:c r="B76" s="73">
        <x:v>0</x:v>
      </x:c>
      <x:c r="C76" s="73">
        <x:v>75,853</x:v>
      </x:c>
      <x:c r="D76" s="165" t="str">
        <x:v>$0.01171</x:v>
      </x:c>
      <x:c r="E76" s="181">
        <x:f ca="1">IF(B76=0,"",IF(C76="","",IF(C76&lt;B76,SUM((C76-B76)/B76),SUM((C76-B76)/B76))))</x:f>
        <x:v>5</x:v>
      </x:c>
      <x:c r="F76" s="73">
        <x:f ca="1">IF(C76="","",IF(B76="","",IF(SUM(C76-B76)&lt;0,"0",SUM(C76-B76))))</x:f>
        <x:v>6</x:v>
      </x:c>
      <x:c r="G76" s="73" t="n">
        <x:v>0</x:v>
      </x:c>
      <x:c r="H76" s="75">
        <x:f ca="1">IF(SUM(F76 - G76) &lt;0,"$0.00",SUM(F76 - G76)*D76)</x:f>
        <x:v>7</x:v>
      </x:c>
      <x:c r="I76" s="75">
        <x:v>0.00</x:v>
      </x:c>
      <x:c r="J76" s="75">
        <x:f ca="1">SUM(F76* 0.011710)</x:f>
        <x:v>8</x:v>
      </x:c>
      <x:c r="K76" s="61">
        <x:f ca="1">SUM((J76-H76)+ I76)</x:f>
        <x:v>9</x:v>
      </x:c>
    </x:row>
    <x:row r="77" spans="1:11" ht="14.25" x14ac:dyDescent="0.3">
      <x:c r="A77" s="58" t="str">
        <x:v>B/W Laser Prints</x:v>
      </x:c>
      <x:c r="B77" s="6">
        <x:v>0</x:v>
      </x:c>
      <x:c r="C77" s="6">
        <x:v>65,105</x:v>
      </x:c>
      <x:c r="D77" s="6">
        <x:v>$0.01971</x:v>
      </x:c>
      <x:c r="E77" s="185">
        <x:f ca="1">IF(B77=0,"",IF(C77="","",IF(C77&lt;B77,SUM((C77-B77)/B77),SUM((C77-B77)/B77))))</x:f>
        <x:v>5</x:v>
      </x:c>
      <x:c r="F77" s="6">
        <x:f ca="1">IF(C77="","",IF(B77="","",IF(SUM(C77-B77)&lt;0,"0",SUM(C77-B77))))</x:f>
        <x:v>6</x:v>
      </x:c>
      <x:c r="G77" s="6">
        <x:v>0</x:v>
      </x:c>
      <x:c r="H77" s="17">
        <x:f ca="1">IF(SUM(F77 - G77) &lt;0,"$0.00",SUM(F77 - G77)*D77)</x:f>
        <x:v>7</x:v>
      </x:c>
      <x:c r="I77" s="17">
        <x:v>0.00</x:v>
      </x:c>
      <x:c r="J77" s="17">
        <x:f ca="1">SUM(F77* 0.019710)</x:f>
        <x:v>8</x:v>
      </x:c>
      <x:c r="K77" s="59">
        <x:f ca="1">SUM((J77-H77)+ I77)</x:f>
        <x:v>9</x:v>
      </x:c>
    </x:row>
    <x:row r="78" spans="1:11" ht="14.25" x14ac:dyDescent="0.3">
      <x:c r="A78" s="169" t="str">
        <x:v>Color Copier B/W Pages</x:v>
      </x:c>
      <x:c r="B78" s="73">
        <x:v>0</x:v>
      </x:c>
      <x:c r="C78" s="73">
        <x:v>268,646</x:v>
      </x:c>
      <x:c r="D78" s="165" t="str">
        <x:v>$0.01471</x:v>
      </x:c>
      <x:c r="E78" s="181">
        <x:f ca="1">IF(B78=0,"",IF(C78="","",IF(C78&lt;B78,SUM((C78-B78)/B78),SUM((C78-B78)/B78))))</x:f>
        <x:v>5</x:v>
      </x:c>
      <x:c r="F78" s="73">
        <x:f ca="1">IF(C78="","",IF(B78="","",IF(SUM(C78-B78)&lt;0,"0",SUM(C78-B78))))</x:f>
        <x:v>6</x:v>
      </x:c>
      <x:c r="G78" s="73" t="n">
        <x:v>0</x:v>
      </x:c>
      <x:c r="H78" s="75">
        <x:f ca="1">IF(SUM(F78 - G78) &lt;0,"$0.00",SUM(F78 - G78)*D78)</x:f>
        <x:v>7</x:v>
      </x:c>
      <x:c r="I78" s="75">
        <x:v>0.00</x:v>
      </x:c>
      <x:c r="J78" s="75">
        <x:f ca="1">SUM(F78* 0.014710)</x:f>
        <x:v>8</x:v>
      </x:c>
      <x:c r="K78" s="61">
        <x:f ca="1">SUM((J78-H78)+ I78)</x:f>
        <x:v>9</x:v>
      </x:c>
    </x:row>
    <x:row r="79" spans="1:11" ht="14.25" x14ac:dyDescent="0.3">
      <x:c r="A79" s="58" t="str">
        <x:v>Color Copier Color Pages</x:v>
      </x:c>
      <x:c r="B79" s="6">
        <x:v>0</x:v>
      </x:c>
      <x:c r="C79" s="6">
        <x:v>49,987</x:v>
      </x:c>
      <x:c r="D79" s="6">
        <x:v>$0.08471</x:v>
      </x:c>
      <x:c r="E79" s="185">
        <x:f ca="1">IF(B79=0,"",IF(C79="","",IF(C79&lt;B79,SUM((C79-B79)/B79),SUM((C79-B79)/B79))))</x:f>
        <x:v>5</x:v>
      </x:c>
      <x:c r="F79" s="6">
        <x:f ca="1">IF(C79="","",IF(B79="","",IF(SUM(C79-B79)&lt;0,"0",SUM(C79-B79))))</x:f>
        <x:v>6</x:v>
      </x:c>
      <x:c r="G79" s="6">
        <x:v>0</x:v>
      </x:c>
      <x:c r="H79" s="17">
        <x:f ca="1">IF(SUM(F79 - G79) &lt;0,"$0.00",SUM(F79 - G79)*D79)</x:f>
        <x:v>7</x:v>
      </x:c>
      <x:c r="I79" s="17">
        <x:v>0.00</x:v>
      </x:c>
      <x:c r="J79" s="17">
        <x:f ca="1">SUM(F79* 0.084710)</x:f>
        <x:v>8</x:v>
      </x:c>
      <x:c r="K79" s="59">
        <x:f ca="1">SUM((J79-H79)+ I79)</x:f>
        <x:v>9</x:v>
      </x:c>
    </x:row>
    <x:row r="80" spans="1:10" x14ac:dyDescent="0.25">
      <x:c r="A80" s="174"/>
      <x:c r="B80" s="174"/>
      <x:c r="C80" s="174"/>
      <x:c r="D80" s="174"/>
      <x:c r="E80" s="174"/>
      <x:c r="F80" s="174"/>
      <x:c r="G80" s="174"/>
      <x:c r="H80" s="174"/>
      <x:c r="I80" s="174"/>
      <x:c r="J80" s="174">
        <x:v>Revision Savings: </x:v>
      </x:c>
      <x:c r="K80" s="174">
        <x:f ca="1">SUM(K76:K79)</x:f>
      </x:c>
    </x:row>
    <x:row r="81" spans="1:11" ht="15" x14ac:dyDescent="0.3">
      <x:c r="A81" s="194" t="str">
        <x:v>3/31/2018</x:v>
      </x:c>
      <x:c r="B81" s="194"/>
      <x:c r="C81" s="194"/>
      <x:c r="D81" s="194"/>
      <x:c r="E81" s="194"/>
      <x:c r="F81" s="194"/>
      <x:c r="G81" s="194"/>
      <x:c r="H81" s="194"/>
      <x:c r="I81" s="194"/>
      <x:c r="J81" s="194"/>
      <x:c r="K81" s="194"/>
    </x:row>
    <x:row r="82">
      <x:c r="A82" s="47" t="str">
        <x:v>Meter Type Description</x:v>
      </x:c>
      <x:c r="B82" s="45" t="str">
        <x:v>Quarterly Contracted Volume</x:v>
      </x:c>
      <x:c r="C82" s="45" t="str">
        <x:v>Actual Quarterly Volume</x:v>
      </x:c>
      <x:c r="D82" s="45" t="str">
        <x:v>FPR Overage Rate</x:v>
      </x:c>
      <x:c r="E82" s="45" t="str">
        <x:v>% Volume Increase / Decrease</x:v>
      </x:c>
      <x:c r="F82" s="45" t="str">
        <x:v>Overage Volumes</x:v>
      </x:c>
      <x:c r="G82" s="45" t="str">
        <x:v>Rollover Volume</x:v>
      </x:c>
      <x:c r="H82" s="45" t="str">
        <x:v>Current Overage Expense</x:v>
      </x:c>
      <x:c r="I82" s="45" t="str">
        <x:v>Credits</x:v>
      </x:c>
      <x:c r="J82" s="45" t="str">
        <x:v>Overage Cost W/O FPR</x:v>
      </x:c>
      <x:c r="K82" s="46" t="str">
        <x:v>Net Overage Savings / Cost Increase</x:v>
      </x:c>
    </x:row>
    <x:row r="83" spans="1:11" ht="14.25" x14ac:dyDescent="0.3">
      <x:c r="A83" s="169" t="str">
        <x:v>B/W Copies</x:v>
      </x:c>
      <x:c r="B83" s="73">
        <x:v>0</x:v>
      </x:c>
      <x:c r="C83" s="73">
        <x:v>46,509</x:v>
      </x:c>
      <x:c r="D83" s="165" t="str">
        <x:v>$0.01171</x:v>
      </x:c>
      <x:c r="E83" s="181">
        <x:f ca="1">IF(B83=0,"",IF(C83="","",IF(C83&lt;B83,SUM((C83-B83)/B83),SUM((C83-B83)/B83))))</x:f>
        <x:v>5</x:v>
      </x:c>
      <x:c r="F83" s="73">
        <x:f ca="1">IF(C83="","",IF(B83="","",IF(SUM(C83-B83)&lt;0,"0",SUM(C83-B83))))</x:f>
        <x:v>6</x:v>
      </x:c>
      <x:c r="G83" s="73" t="n">
        <x:v>0</x:v>
      </x:c>
      <x:c r="H83" s="75">
        <x:f ca="1">IF(SUM(F83 - G83) &lt;0,"$0.00",SUM(F83 - G83)*D83)</x:f>
        <x:v>7</x:v>
      </x:c>
      <x:c r="I83" s="75">
        <x:v>0.00</x:v>
      </x:c>
      <x:c r="J83" s="75">
        <x:f ca="1">SUM(F83* 0.011710)</x:f>
        <x:v>8</x:v>
      </x:c>
      <x:c r="K83" s="61">
        <x:f ca="1">SUM((J83-H83)+ I83)</x:f>
        <x:v>9</x:v>
      </x:c>
    </x:row>
    <x:row r="84" spans="1:11" ht="14.25" x14ac:dyDescent="0.3">
      <x:c r="A84" s="58" t="str">
        <x:v>B/W Laser Prints</x:v>
      </x:c>
      <x:c r="B84" s="6">
        <x:v>0</x:v>
      </x:c>
      <x:c r="C84" s="6">
        <x:v>41,483</x:v>
      </x:c>
      <x:c r="D84" s="6">
        <x:v>$0.01971</x:v>
      </x:c>
      <x:c r="E84" s="185">
        <x:f ca="1">IF(B84=0,"",IF(C84="","",IF(C84&lt;B84,SUM((C84-B84)/B84),SUM((C84-B84)/B84))))</x:f>
        <x:v>5</x:v>
      </x:c>
      <x:c r="F84" s="6">
        <x:f ca="1">IF(C84="","",IF(B84="","",IF(SUM(C84-B84)&lt;0,"0",SUM(C84-B84))))</x:f>
        <x:v>6</x:v>
      </x:c>
      <x:c r="G84" s="6">
        <x:v>0</x:v>
      </x:c>
      <x:c r="H84" s="17">
        <x:f ca="1">IF(SUM(F84 - G84) &lt;0,"$0.00",SUM(F84 - G84)*D84)</x:f>
        <x:v>7</x:v>
      </x:c>
      <x:c r="I84" s="17">
        <x:v>0.00</x:v>
      </x:c>
      <x:c r="J84" s="17">
        <x:f ca="1">SUM(F84* 0.019710)</x:f>
        <x:v>8</x:v>
      </x:c>
      <x:c r="K84" s="59">
        <x:f ca="1">SUM((J84-H84)+ I84)</x:f>
        <x:v>9</x:v>
      </x:c>
    </x:row>
    <x:row r="85" spans="1:11" ht="14.25" x14ac:dyDescent="0.3">
      <x:c r="A85" s="169" t="str">
        <x:v>Color Copier B/W Pages</x:v>
      </x:c>
      <x:c r="B85" s="73">
        <x:v>0</x:v>
      </x:c>
      <x:c r="C85" s="73">
        <x:v>165,878</x:v>
      </x:c>
      <x:c r="D85" s="165" t="str">
        <x:v>$0.01471</x:v>
      </x:c>
      <x:c r="E85" s="181">
        <x:f ca="1">IF(B85=0,"",IF(C85="","",IF(C85&lt;B85,SUM((C85-B85)/B85),SUM((C85-B85)/B85))))</x:f>
        <x:v>5</x:v>
      </x:c>
      <x:c r="F85" s="73">
        <x:f ca="1">IF(C85="","",IF(B85="","",IF(SUM(C85-B85)&lt;0,"0",SUM(C85-B85))))</x:f>
        <x:v>6</x:v>
      </x:c>
      <x:c r="G85" s="73" t="n">
        <x:v>0</x:v>
      </x:c>
      <x:c r="H85" s="75">
        <x:f ca="1">IF(SUM(F85 - G85) &lt;0,"$0.00",SUM(F85 - G85)*D85)</x:f>
        <x:v>7</x:v>
      </x:c>
      <x:c r="I85" s="75">
        <x:v>0.00</x:v>
      </x:c>
      <x:c r="J85" s="75">
        <x:f ca="1">SUM(F85* 0.014710)</x:f>
        <x:v>8</x:v>
      </x:c>
      <x:c r="K85" s="61">
        <x:f ca="1">SUM((J85-H85)+ I85)</x:f>
        <x:v>9</x:v>
      </x:c>
    </x:row>
    <x:row r="86" spans="1:11" ht="14.25" x14ac:dyDescent="0.3">
      <x:c r="A86" s="58" t="str">
        <x:v>Color Copier Color Pages</x:v>
      </x:c>
      <x:c r="B86" s="6">
        <x:v>0</x:v>
      </x:c>
      <x:c r="C86" s="6">
        <x:v>29,350</x:v>
      </x:c>
      <x:c r="D86" s="6">
        <x:v>$0.08471</x:v>
      </x:c>
      <x:c r="E86" s="185">
        <x:f ca="1">IF(B86=0,"",IF(C86="","",IF(C86&lt;B86,SUM((C86-B86)/B86),SUM((C86-B86)/B86))))</x:f>
        <x:v>5</x:v>
      </x:c>
      <x:c r="F86" s="6">
        <x:f ca="1">IF(C86="","",IF(B86="","",IF(SUM(C86-B86)&lt;0,"0",SUM(C86-B86))))</x:f>
        <x:v>6</x:v>
      </x:c>
      <x:c r="G86" s="6">
        <x:v>0</x:v>
      </x:c>
      <x:c r="H86" s="17">
        <x:f ca="1">IF(SUM(F86 - G86) &lt;0,"$0.00",SUM(F86 - G86)*D86)</x:f>
        <x:v>7</x:v>
      </x:c>
      <x:c r="I86" s="17">
        <x:v>0.00</x:v>
      </x:c>
      <x:c r="J86" s="17">
        <x:f ca="1">SUM(F86* 0.084710)</x:f>
        <x:v>8</x:v>
      </x:c>
      <x:c r="K86" s="59">
        <x:f ca="1">SUM((J86-H86)+ I86)</x:f>
        <x:v>9</x:v>
      </x:c>
    </x:row>
    <x:row r="87" spans="1:10" x14ac:dyDescent="0.25">
      <x:c r="A87" s="174"/>
      <x:c r="B87" s="174"/>
      <x:c r="C87" s="174"/>
      <x:c r="D87" s="174"/>
      <x:c r="E87" s="174"/>
      <x:c r="F87" s="174"/>
      <x:c r="G87" s="174"/>
      <x:c r="H87" s="174"/>
      <x:c r="I87" s="174"/>
      <x:c r="J87" s="174">
        <x:v>Revision Savings: </x:v>
      </x:c>
      <x:c r="K87" s="174">
        <x:f ca="1">SUM(K83:K86)</x:f>
      </x:c>
    </x:row>
    <x:row r="88" spans="1:11" ht="15" x14ac:dyDescent="0.3">
      <x:c r="A88" s="194" t="str">
        <x:v>2/28/2018</x:v>
      </x:c>
      <x:c r="B88" s="194"/>
      <x:c r="C88" s="194"/>
      <x:c r="D88" s="194"/>
      <x:c r="E88" s="194"/>
      <x:c r="F88" s="194"/>
      <x:c r="G88" s="194"/>
      <x:c r="H88" s="194"/>
      <x:c r="I88" s="194"/>
      <x:c r="J88" s="194"/>
      <x:c r="K88" s="194"/>
    </x:row>
    <x:row r="89">
      <x:c r="A89" s="47" t="str">
        <x:v>Meter Type Description</x:v>
      </x:c>
      <x:c r="B89" s="45" t="str">
        <x:v>Quarterly Contracted Volume</x:v>
      </x:c>
      <x:c r="C89" s="45" t="str">
        <x:v>Actual Quarterly Volume</x:v>
      </x:c>
      <x:c r="D89" s="45" t="str">
        <x:v>FPR Overage Rate</x:v>
      </x:c>
      <x:c r="E89" s="45" t="str">
        <x:v>% Volume Increase / Decrease</x:v>
      </x:c>
      <x:c r="F89" s="45" t="str">
        <x:v>Overage Volumes</x:v>
      </x:c>
      <x:c r="G89" s="45" t="str">
        <x:v>Rollover Volume</x:v>
      </x:c>
      <x:c r="H89" s="45" t="str">
        <x:v>Current Overage Expense</x:v>
      </x:c>
      <x:c r="I89" s="45" t="str">
        <x:v>Credits</x:v>
      </x:c>
      <x:c r="J89" s="45" t="str">
        <x:v>Overage Cost W/O FPR</x:v>
      </x:c>
      <x:c r="K89" s="46" t="str">
        <x:v>Net Overage Savings / Cost Increase</x:v>
      </x:c>
    </x:row>
    <x:row r="90" spans="1:11" ht="14.25" x14ac:dyDescent="0.3">
      <x:c r="A90" s="169" t="str">
        <x:v>B/W Copies</x:v>
      </x:c>
      <x:c r="B90" s="73">
        <x:v>0</x:v>
      </x:c>
      <x:c r="C90" s="73">
        <x:v>72,182</x:v>
      </x:c>
      <x:c r="D90" s="165" t="str">
        <x:v>$0.01171</x:v>
      </x:c>
      <x:c r="E90" s="181">
        <x:f ca="1">IF(B90=0,"",IF(C90="","",IF(C90&lt;B90,SUM((C90-B90)/B90),SUM((C90-B90)/B90))))</x:f>
        <x:v>5</x:v>
      </x:c>
      <x:c r="F90" s="73">
        <x:f ca="1">IF(C90="","",IF(B90="","",IF(SUM(C90-B90)&lt;0,"0",SUM(C90-B90))))</x:f>
        <x:v>6</x:v>
      </x:c>
      <x:c r="G90" s="73" t="n">
        <x:v>0</x:v>
      </x:c>
      <x:c r="H90" s="75">
        <x:f ca="1">IF(SUM(F90 - G90) &lt;0,"$0.00",SUM(F90 - G90)*D90)</x:f>
        <x:v>7</x:v>
      </x:c>
      <x:c r="I90" s="75">
        <x:v>0.00</x:v>
      </x:c>
      <x:c r="J90" s="75">
        <x:f ca="1">SUM(F90* 0.011710)</x:f>
        <x:v>8</x:v>
      </x:c>
      <x:c r="K90" s="61">
        <x:f ca="1">SUM((J90-H90)+ I90)</x:f>
        <x:v>9</x:v>
      </x:c>
    </x:row>
    <x:row r="91" spans="1:11" ht="14.25" x14ac:dyDescent="0.3">
      <x:c r="A91" s="58" t="str">
        <x:v>B/W Laser Prints</x:v>
      </x:c>
      <x:c r="B91" s="6">
        <x:v>0</x:v>
      </x:c>
      <x:c r="C91" s="6">
        <x:v>62,204</x:v>
      </x:c>
      <x:c r="D91" s="6">
        <x:v>$0.01971</x:v>
      </x:c>
      <x:c r="E91" s="185">
        <x:f ca="1">IF(B91=0,"",IF(C91="","",IF(C91&lt;B91,SUM((C91-B91)/B91),SUM((C91-B91)/B91))))</x:f>
        <x:v>5</x:v>
      </x:c>
      <x:c r="F91" s="6">
        <x:f ca="1">IF(C91="","",IF(B91="","",IF(SUM(C91-B91)&lt;0,"0",SUM(C91-B91))))</x:f>
        <x:v>6</x:v>
      </x:c>
      <x:c r="G91" s="6">
        <x:v>0</x:v>
      </x:c>
      <x:c r="H91" s="17">
        <x:f ca="1">IF(SUM(F91 - G91) &lt;0,"$0.00",SUM(F91 - G91)*D91)</x:f>
        <x:v>7</x:v>
      </x:c>
      <x:c r="I91" s="17">
        <x:v>0.00</x:v>
      </x:c>
      <x:c r="J91" s="17">
        <x:f ca="1">SUM(F91* 0.019710)</x:f>
        <x:v>8</x:v>
      </x:c>
      <x:c r="K91" s="59">
        <x:f ca="1">SUM((J91-H91)+ I91)</x:f>
        <x:v>9</x:v>
      </x:c>
    </x:row>
    <x:row r="92" spans="1:11" ht="14.25" x14ac:dyDescent="0.3">
      <x:c r="A92" s="169" t="str">
        <x:v>Color Copier B/W Pages</x:v>
      </x:c>
      <x:c r="B92" s="73">
        <x:v>0</x:v>
      </x:c>
      <x:c r="C92" s="73">
        <x:v>259,983</x:v>
      </x:c>
      <x:c r="D92" s="165" t="str">
        <x:v>$0.01471</x:v>
      </x:c>
      <x:c r="E92" s="181">
        <x:f ca="1">IF(B92=0,"",IF(C92="","",IF(C92&lt;B92,SUM((C92-B92)/B92),SUM((C92-B92)/B92))))</x:f>
        <x:v>5</x:v>
      </x:c>
      <x:c r="F92" s="73">
        <x:f ca="1">IF(C92="","",IF(B92="","",IF(SUM(C92-B92)&lt;0,"0",SUM(C92-B92))))</x:f>
        <x:v>6</x:v>
      </x:c>
      <x:c r="G92" s="73" t="n">
        <x:v>0</x:v>
      </x:c>
      <x:c r="H92" s="75">
        <x:f ca="1">IF(SUM(F92 - G92) &lt;0,"$0.00",SUM(F92 - G92)*D92)</x:f>
        <x:v>7</x:v>
      </x:c>
      <x:c r="I92" s="75">
        <x:v>0.00</x:v>
      </x:c>
      <x:c r="J92" s="75">
        <x:f ca="1">SUM(F92* 0.014710)</x:f>
        <x:v>8</x:v>
      </x:c>
      <x:c r="K92" s="61">
        <x:f ca="1">SUM((J92-H92)+ I92)</x:f>
        <x:v>9</x:v>
      </x:c>
    </x:row>
    <x:row r="93" spans="1:11" ht="14.25" x14ac:dyDescent="0.3">
      <x:c r="A93" s="58" t="str">
        <x:v>Color Copier Color Pages</x:v>
      </x:c>
      <x:c r="B93" s="6">
        <x:v>0</x:v>
      </x:c>
      <x:c r="C93" s="6">
        <x:v>52,015</x:v>
      </x:c>
      <x:c r="D93" s="6">
        <x:v>$0.08471</x:v>
      </x:c>
      <x:c r="E93" s="185">
        <x:f ca="1">IF(B93=0,"",IF(C93="","",IF(C93&lt;B93,SUM((C93-B93)/B93),SUM((C93-B93)/B93))))</x:f>
        <x:v>5</x:v>
      </x:c>
      <x:c r="F93" s="6">
        <x:f ca="1">IF(C93="","",IF(B93="","",IF(SUM(C93-B93)&lt;0,"0",SUM(C93-B93))))</x:f>
        <x:v>6</x:v>
      </x:c>
      <x:c r="G93" s="6">
        <x:v>0</x:v>
      </x:c>
      <x:c r="H93" s="17">
        <x:f ca="1">IF(SUM(F93 - G93) &lt;0,"$0.00",SUM(F93 - G93)*D93)</x:f>
        <x:v>7</x:v>
      </x:c>
      <x:c r="I93" s="17">
        <x:v>0.00</x:v>
      </x:c>
      <x:c r="J93" s="17">
        <x:f ca="1">SUM(F93* 0.084710)</x:f>
        <x:v>8</x:v>
      </x:c>
      <x:c r="K93" s="59">
        <x:f ca="1">SUM((J93-H93)+ I93)</x:f>
        <x:v>9</x:v>
      </x:c>
    </x:row>
    <x:row r="94" spans="1:10" x14ac:dyDescent="0.25">
      <x:c r="A94" s="174"/>
      <x:c r="B94" s="174"/>
      <x:c r="C94" s="174"/>
      <x:c r="D94" s="174"/>
      <x:c r="E94" s="174"/>
      <x:c r="F94" s="174"/>
      <x:c r="G94" s="174"/>
      <x:c r="H94" s="174"/>
      <x:c r="I94" s="174"/>
      <x:c r="J94" s="174">
        <x:v>Revision Savings: </x:v>
      </x:c>
      <x:c r="K94" s="174">
        <x:f ca="1">SUM(K90:K93)</x:f>
      </x:c>
    </x:row>
    <x:row r="95" spans="1:11" ht="15" x14ac:dyDescent="0.3">
      <x:c r="A95" s="194" t="str">
        <x:v>1/31/2018</x:v>
      </x:c>
      <x:c r="B95" s="194"/>
      <x:c r="C95" s="194"/>
      <x:c r="D95" s="194"/>
      <x:c r="E95" s="194"/>
      <x:c r="F95" s="194"/>
      <x:c r="G95" s="194"/>
      <x:c r="H95" s="194"/>
      <x:c r="I95" s="194"/>
      <x:c r="J95" s="194"/>
      <x:c r="K95" s="194"/>
    </x:row>
    <x:row r="96">
      <x:c r="A96" s="47" t="str">
        <x:v>Meter Type Description</x:v>
      </x:c>
      <x:c r="B96" s="45" t="str">
        <x:v>Quarterly Contracted Volume</x:v>
      </x:c>
      <x:c r="C96" s="45" t="str">
        <x:v>Actual Quarterly Volume</x:v>
      </x:c>
      <x:c r="D96" s="45" t="str">
        <x:v>FPR Overage Rate</x:v>
      </x:c>
      <x:c r="E96" s="45" t="str">
        <x:v>% Volume Increase / Decrease</x:v>
      </x:c>
      <x:c r="F96" s="45" t="str">
        <x:v>Overage Volumes</x:v>
      </x:c>
      <x:c r="G96" s="45" t="str">
        <x:v>Rollover Volume</x:v>
      </x:c>
      <x:c r="H96" s="45" t="str">
        <x:v>Current Overage Expense</x:v>
      </x:c>
      <x:c r="I96" s="45" t="str">
        <x:v>Credits</x:v>
      </x:c>
      <x:c r="J96" s="45" t="str">
        <x:v>Overage Cost W/O FPR</x:v>
      </x:c>
      <x:c r="K96" s="46" t="str">
        <x:v>Net Overage Savings / Cost Increase</x:v>
      </x:c>
    </x:row>
    <x:row r="97" spans="1:11" ht="14.25" x14ac:dyDescent="0.3">
      <x:c r="A97" s="169" t="str">
        <x:v>B/W Copies</x:v>
      </x:c>
      <x:c r="B97" s="73">
        <x:v>0</x:v>
      </x:c>
      <x:c r="C97" s="73">
        <x:v>63,882</x:v>
      </x:c>
      <x:c r="D97" s="165" t="str">
        <x:v>$0.01171</x:v>
      </x:c>
      <x:c r="E97" s="181">
        <x:f ca="1">IF(B97=0,"",IF(C97="","",IF(C97&lt;B97,SUM((C97-B97)/B97),SUM((C97-B97)/B97))))</x:f>
        <x:v>5</x:v>
      </x:c>
      <x:c r="F97" s="73">
        <x:f ca="1">IF(C97="","",IF(B97="","",IF(SUM(C97-B97)&lt;0,"0",SUM(C97-B97))))</x:f>
        <x:v>6</x:v>
      </x:c>
      <x:c r="G97" s="73" t="n">
        <x:v>0</x:v>
      </x:c>
      <x:c r="H97" s="75">
        <x:f ca="1">IF(SUM(F97 - G97) &lt;0,"$0.00",SUM(F97 - G97)*D97)</x:f>
        <x:v>7</x:v>
      </x:c>
      <x:c r="I97" s="75">
        <x:v>0.00</x:v>
      </x:c>
      <x:c r="J97" s="75">
        <x:f ca="1">SUM(F97* 0.011710)</x:f>
        <x:v>8</x:v>
      </x:c>
      <x:c r="K97" s="61">
        <x:f ca="1">SUM((J97-H97)+ I97)</x:f>
        <x:v>9</x:v>
      </x:c>
    </x:row>
    <x:row r="98" spans="1:11" ht="14.25" x14ac:dyDescent="0.3">
      <x:c r="A98" s="58" t="str">
        <x:v>B/W Laser Prints</x:v>
      </x:c>
      <x:c r="B98" s="6">
        <x:v>0</x:v>
      </x:c>
      <x:c r="C98" s="6">
        <x:v>59,057</x:v>
      </x:c>
      <x:c r="D98" s="6">
        <x:v>$0.01971</x:v>
      </x:c>
      <x:c r="E98" s="185">
        <x:f ca="1">IF(B98=0,"",IF(C98="","",IF(C98&lt;B98,SUM((C98-B98)/B98),SUM((C98-B98)/B98))))</x:f>
        <x:v>5</x:v>
      </x:c>
      <x:c r="F98" s="6">
        <x:f ca="1">IF(C98="","",IF(B98="","",IF(SUM(C98-B98)&lt;0,"0",SUM(C98-B98))))</x:f>
        <x:v>6</x:v>
      </x:c>
      <x:c r="G98" s="6">
        <x:v>0</x:v>
      </x:c>
      <x:c r="H98" s="17">
        <x:f ca="1">IF(SUM(F98 - G98) &lt;0,"$0.00",SUM(F98 - G98)*D98)</x:f>
        <x:v>7</x:v>
      </x:c>
      <x:c r="I98" s="17">
        <x:v>0.00</x:v>
      </x:c>
      <x:c r="J98" s="17">
        <x:f ca="1">SUM(F98* 0.019710)</x:f>
        <x:v>8</x:v>
      </x:c>
      <x:c r="K98" s="59">
        <x:f ca="1">SUM((J98-H98)+ I98)</x:f>
        <x:v>9</x:v>
      </x:c>
    </x:row>
    <x:row r="99" spans="1:11" ht="14.25" x14ac:dyDescent="0.3">
      <x:c r="A99" s="169" t="str">
        <x:v>Color Copier B/W Pages</x:v>
      </x:c>
      <x:c r="B99" s="73">
        <x:v>0</x:v>
      </x:c>
      <x:c r="C99" s="73">
        <x:v>240,268</x:v>
      </x:c>
      <x:c r="D99" s="165" t="str">
        <x:v>$0.01471</x:v>
      </x:c>
      <x:c r="E99" s="181">
        <x:f ca="1">IF(B99=0,"",IF(C99="","",IF(C99&lt;B99,SUM((C99-B99)/B99),SUM((C99-B99)/B99))))</x:f>
        <x:v>5</x:v>
      </x:c>
      <x:c r="F99" s="73">
        <x:f ca="1">IF(C99="","",IF(B99="","",IF(SUM(C99-B99)&lt;0,"0",SUM(C99-B99))))</x:f>
        <x:v>6</x:v>
      </x:c>
      <x:c r="G99" s="73" t="n">
        <x:v>0</x:v>
      </x:c>
      <x:c r="H99" s="75">
        <x:f ca="1">IF(SUM(F99 - G99) &lt;0,"$0.00",SUM(F99 - G99)*D99)</x:f>
        <x:v>7</x:v>
      </x:c>
      <x:c r="I99" s="75">
        <x:v>0.00</x:v>
      </x:c>
      <x:c r="J99" s="75">
        <x:f ca="1">SUM(F99* 0.014710)</x:f>
        <x:v>8</x:v>
      </x:c>
      <x:c r="K99" s="61">
        <x:f ca="1">SUM((J99-H99)+ I99)</x:f>
        <x:v>9</x:v>
      </x:c>
    </x:row>
    <x:row r="100" spans="1:11" ht="14.25" x14ac:dyDescent="0.3">
      <x:c r="A100" s="58" t="str">
        <x:v>Color Copier Color Pages</x:v>
      </x:c>
      <x:c r="B100" s="6">
        <x:v>0</x:v>
      </x:c>
      <x:c r="C100" s="6">
        <x:v>41,319</x:v>
      </x:c>
      <x:c r="D100" s="6">
        <x:v>$0.08471</x:v>
      </x:c>
      <x:c r="E100" s="185">
        <x:f ca="1">IF(B100=0,"",IF(C100="","",IF(C100&lt;B100,SUM((C100-B100)/B100),SUM((C100-B100)/B100))))</x:f>
        <x:v>5</x:v>
      </x:c>
      <x:c r="F100" s="6">
        <x:f ca="1">IF(C100="","",IF(B100="","",IF(SUM(C100-B100)&lt;0,"0",SUM(C100-B100))))</x:f>
        <x:v>6</x:v>
      </x:c>
      <x:c r="G100" s="6">
        <x:v>0</x:v>
      </x:c>
      <x:c r="H100" s="17">
        <x:f ca="1">IF(SUM(F100 - G100) &lt;0,"$0.00",SUM(F100 - G100)*D100)</x:f>
        <x:v>7</x:v>
      </x:c>
      <x:c r="I100" s="17">
        <x:v>0.00</x:v>
      </x:c>
      <x:c r="J100" s="17">
        <x:f ca="1">SUM(F100* 0.084710)</x:f>
        <x:v>8</x:v>
      </x:c>
      <x:c r="K100" s="59">
        <x:f ca="1">SUM((J100-H100)+ I100)</x:f>
        <x:v>9</x:v>
      </x:c>
    </x:row>
    <x:row r="101" spans="1:10" x14ac:dyDescent="0.25">
      <x:c r="A101" s="174"/>
      <x:c r="B101" s="174"/>
      <x:c r="C101" s="174"/>
      <x:c r="D101" s="174"/>
      <x:c r="E101" s="174"/>
      <x:c r="F101" s="174"/>
      <x:c r="G101" s="174"/>
      <x:c r="H101" s="174"/>
      <x:c r="I101" s="174"/>
      <x:c r="J101" s="174">
        <x:v>Revision Savings: </x:v>
      </x:c>
      <x:c r="K101" s="174">
        <x:f ca="1">SUM(K97:K100)</x:f>
      </x:c>
    </x:row>
    <x:row r="102" spans="1:11" ht="15" x14ac:dyDescent="0.3">
      <x:c r="A102" s="194" t="str">
        <x:v>12/31/2017</x:v>
      </x:c>
      <x:c r="B102" s="194"/>
      <x:c r="C102" s="194"/>
      <x:c r="D102" s="194"/>
      <x:c r="E102" s="194"/>
      <x:c r="F102" s="194"/>
      <x:c r="G102" s="194"/>
      <x:c r="H102" s="194"/>
      <x:c r="I102" s="194"/>
      <x:c r="J102" s="194"/>
      <x:c r="K102" s="194"/>
    </x:row>
    <x:row r="103">
      <x:c r="A103" s="47" t="str">
        <x:v>Meter Type Description</x:v>
      </x:c>
      <x:c r="B103" s="45" t="str">
        <x:v>Quarterly Contracted Volume</x:v>
      </x:c>
      <x:c r="C103" s="45" t="str">
        <x:v>Actual Quarterly Volume</x:v>
      </x:c>
      <x:c r="D103" s="45" t="str">
        <x:v>FPR Overage Rate</x:v>
      </x:c>
      <x:c r="E103" s="45" t="str">
        <x:v>% Volume Increase / Decrease</x:v>
      </x:c>
      <x:c r="F103" s="45" t="str">
        <x:v>Overage Volumes</x:v>
      </x:c>
      <x:c r="G103" s="45" t="str">
        <x:v>Rollover Volume</x:v>
      </x:c>
      <x:c r="H103" s="45" t="str">
        <x:v>Current Overage Expense</x:v>
      </x:c>
      <x:c r="I103" s="45" t="str">
        <x:v>Credits</x:v>
      </x:c>
      <x:c r="J103" s="45" t="str">
        <x:v>Overage Cost W/O FPR</x:v>
      </x:c>
      <x:c r="K103" s="46" t="str">
        <x:v>Net Overage Savings / Cost Increase</x:v>
      </x:c>
    </x:row>
    <x:row r="104" spans="1:11" ht="14.25" x14ac:dyDescent="0.3">
      <x:c r="A104" s="169" t="str">
        <x:v>B/W Copies</x:v>
      </x:c>
      <x:c r="B104" s="73">
        <x:v>0</x:v>
      </x:c>
      <x:c r="C104" s="73">
        <x:v>59,310</x:v>
      </x:c>
      <x:c r="D104" s="165" t="str">
        <x:v>$0.01171</x:v>
      </x:c>
      <x:c r="E104" s="181">
        <x:f ca="1">IF(B104=0,"",IF(C104="","",IF(C104&lt;B104,SUM((C104-B104)/B104),SUM((C104-B104)/B104))))</x:f>
        <x:v>5</x:v>
      </x:c>
      <x:c r="F104" s="73">
        <x:f ca="1">IF(C104="","",IF(B104="","",IF(SUM(C104-B104)&lt;0,"0",SUM(C104-B104))))</x:f>
        <x:v>6</x:v>
      </x:c>
      <x:c r="G104" s="73" t="n">
        <x:v>0</x:v>
      </x:c>
      <x:c r="H104" s="75">
        <x:f ca="1">IF(SUM(F104 - G104) &lt;0,"$0.00",SUM(F104 - G104)*D104)</x:f>
        <x:v>7</x:v>
      </x:c>
      <x:c r="I104" s="75">
        <x:v>0.00</x:v>
      </x:c>
      <x:c r="J104" s="75">
        <x:f ca="1">SUM(F104* 0.011710)</x:f>
        <x:v>8</x:v>
      </x:c>
      <x:c r="K104" s="61">
        <x:f ca="1">SUM((J104-H104)+ I104)</x:f>
        <x:v>9</x:v>
      </x:c>
    </x:row>
    <x:row r="105" spans="1:11" ht="14.25" x14ac:dyDescent="0.3">
      <x:c r="A105" s="58" t="str">
        <x:v>B/W Laser Prints</x:v>
      </x:c>
      <x:c r="B105" s="6">
        <x:v>0</x:v>
      </x:c>
      <x:c r="C105" s="6">
        <x:v>48,709</x:v>
      </x:c>
      <x:c r="D105" s="6">
        <x:v>$0.01971</x:v>
      </x:c>
      <x:c r="E105" s="185">
        <x:f ca="1">IF(B105=0,"",IF(C105="","",IF(C105&lt;B105,SUM((C105-B105)/B105),SUM((C105-B105)/B105))))</x:f>
        <x:v>5</x:v>
      </x:c>
      <x:c r="F105" s="6">
        <x:f ca="1">IF(C105="","",IF(B105="","",IF(SUM(C105-B105)&lt;0,"0",SUM(C105-B105))))</x:f>
        <x:v>6</x:v>
      </x:c>
      <x:c r="G105" s="6">
        <x:v>0</x:v>
      </x:c>
      <x:c r="H105" s="17">
        <x:f ca="1">IF(SUM(F105 - G105) &lt;0,"$0.00",SUM(F105 - G105)*D105)</x:f>
        <x:v>7</x:v>
      </x:c>
      <x:c r="I105" s="17">
        <x:v>0.00</x:v>
      </x:c>
      <x:c r="J105" s="17">
        <x:f ca="1">SUM(F105* 0.019710)</x:f>
        <x:v>8</x:v>
      </x:c>
      <x:c r="K105" s="59">
        <x:f ca="1">SUM((J105-H105)+ I105)</x:f>
        <x:v>9</x:v>
      </x:c>
    </x:row>
    <x:row r="106" spans="1:11" ht="14.25" x14ac:dyDescent="0.3">
      <x:c r="A106" s="169" t="str">
        <x:v>Color Copier B/W Pages</x:v>
      </x:c>
      <x:c r="B106" s="73">
        <x:v>0</x:v>
      </x:c>
      <x:c r="C106" s="73">
        <x:v>205,233</x:v>
      </x:c>
      <x:c r="D106" s="165" t="str">
        <x:v>$0.01471</x:v>
      </x:c>
      <x:c r="E106" s="181">
        <x:f ca="1">IF(B106=0,"",IF(C106="","",IF(C106&lt;B106,SUM((C106-B106)/B106),SUM((C106-B106)/B106))))</x:f>
        <x:v>5</x:v>
      </x:c>
      <x:c r="F106" s="73">
        <x:f ca="1">IF(C106="","",IF(B106="","",IF(SUM(C106-B106)&lt;0,"0",SUM(C106-B106))))</x:f>
        <x:v>6</x:v>
      </x:c>
      <x:c r="G106" s="73" t="n">
        <x:v>0</x:v>
      </x:c>
      <x:c r="H106" s="75">
        <x:f ca="1">IF(SUM(F106 - G106) &lt;0,"$0.00",SUM(F106 - G106)*D106)</x:f>
        <x:v>7</x:v>
      </x:c>
      <x:c r="I106" s="75">
        <x:v>0.00</x:v>
      </x:c>
      <x:c r="J106" s="75">
        <x:f ca="1">SUM(F106* 0.014710)</x:f>
        <x:v>8</x:v>
      </x:c>
      <x:c r="K106" s="61">
        <x:f ca="1">SUM((J106-H106)+ I106)</x:f>
        <x:v>9</x:v>
      </x:c>
    </x:row>
    <x:row r="107" spans="1:11" ht="14.25" x14ac:dyDescent="0.3">
      <x:c r="A107" s="58" t="str">
        <x:v>Color Copier Color Pages</x:v>
      </x:c>
      <x:c r="B107" s="6">
        <x:v>0</x:v>
      </x:c>
      <x:c r="C107" s="6">
        <x:v>40,254</x:v>
      </x:c>
      <x:c r="D107" s="6">
        <x:v>$0.08471</x:v>
      </x:c>
      <x:c r="E107" s="185">
        <x:f ca="1">IF(B107=0,"",IF(C107="","",IF(C107&lt;B107,SUM((C107-B107)/B107),SUM((C107-B107)/B107))))</x:f>
        <x:v>5</x:v>
      </x:c>
      <x:c r="F107" s="6">
        <x:f ca="1">IF(C107="","",IF(B107="","",IF(SUM(C107-B107)&lt;0,"0",SUM(C107-B107))))</x:f>
        <x:v>6</x:v>
      </x:c>
      <x:c r="G107" s="6">
        <x:v>0</x:v>
      </x:c>
      <x:c r="H107" s="17">
        <x:f ca="1">IF(SUM(F107 - G107) &lt;0,"$0.00",SUM(F107 - G107)*D107)</x:f>
        <x:v>7</x:v>
      </x:c>
      <x:c r="I107" s="17">
        <x:v>0.00</x:v>
      </x:c>
      <x:c r="J107" s="17">
        <x:f ca="1">SUM(F107* 0.084710)</x:f>
        <x:v>8</x:v>
      </x:c>
      <x:c r="K107" s="59">
        <x:f ca="1">SUM((J107-H107)+ I107)</x:f>
        <x:v>9</x:v>
      </x:c>
    </x:row>
    <x:row r="108" spans="1:10" x14ac:dyDescent="0.25">
      <x:c r="A108" s="174"/>
      <x:c r="B108" s="174"/>
      <x:c r="C108" s="174"/>
      <x:c r="D108" s="174"/>
      <x:c r="E108" s="174"/>
      <x:c r="F108" s="174"/>
      <x:c r="G108" s="174"/>
      <x:c r="H108" s="174"/>
      <x:c r="I108" s="174"/>
      <x:c r="J108" s="174">
        <x:v>Revision Savings: </x:v>
      </x:c>
      <x:c r="K108" s="174">
        <x:f ca="1">SUM(K104:K107)</x:f>
      </x:c>
    </x:row>
    <x:row r="109" spans="1:11" ht="15" x14ac:dyDescent="0.3">
      <x:c r="A109" s="194" t="str">
        <x:v>11/30/2017</x:v>
      </x:c>
      <x:c r="B109" s="194"/>
      <x:c r="C109" s="194"/>
      <x:c r="D109" s="194"/>
      <x:c r="E109" s="194"/>
      <x:c r="F109" s="194"/>
      <x:c r="G109" s="194"/>
      <x:c r="H109" s="194"/>
      <x:c r="I109" s="194"/>
      <x:c r="J109" s="194"/>
      <x:c r="K109" s="194"/>
    </x:row>
    <x:row r="110">
      <x:c r="A110" s="47" t="str">
        <x:v>Meter Type Description</x:v>
      </x:c>
      <x:c r="B110" s="45" t="str">
        <x:v>Quarterly Contracted Volume</x:v>
      </x:c>
      <x:c r="C110" s="45" t="str">
        <x:v>Actual Quarterly Volume</x:v>
      </x:c>
      <x:c r="D110" s="45" t="str">
        <x:v>FPR Overage Rate</x:v>
      </x:c>
      <x:c r="E110" s="45" t="str">
        <x:v>% Volume Increase / Decrease</x:v>
      </x:c>
      <x:c r="F110" s="45" t="str">
        <x:v>Overage Volumes</x:v>
      </x:c>
      <x:c r="G110" s="45" t="str">
        <x:v>Rollover Volume</x:v>
      </x:c>
      <x:c r="H110" s="45" t="str">
        <x:v>Current Overage Expense</x:v>
      </x:c>
      <x:c r="I110" s="45" t="str">
        <x:v>Credits</x:v>
      </x:c>
      <x:c r="J110" s="45" t="str">
        <x:v>Overage Cost W/O FPR</x:v>
      </x:c>
      <x:c r="K110" s="46" t="str">
        <x:v>Net Overage Savings / Cost Increase</x:v>
      </x:c>
    </x:row>
    <x:row r="111" spans="1:11" ht="14.25" x14ac:dyDescent="0.3">
      <x:c r="A111" s="169" t="str">
        <x:v>B/W Copies</x:v>
      </x:c>
      <x:c r="B111" s="73">
        <x:v>0</x:v>
      </x:c>
      <x:c r="C111" s="73">
        <x:v>74,715</x:v>
      </x:c>
      <x:c r="D111" s="165" t="str">
        <x:v>$0.01171</x:v>
      </x:c>
      <x:c r="E111" s="181">
        <x:f ca="1">IF(B111=0,"",IF(C111="","",IF(C111&lt;B111,SUM((C111-B111)/B111),SUM((C111-B111)/B111))))</x:f>
        <x:v>5</x:v>
      </x:c>
      <x:c r="F111" s="73">
        <x:f ca="1">IF(C111="","",IF(B111="","",IF(SUM(C111-B111)&lt;0,"0",SUM(C111-B111))))</x:f>
        <x:v>6</x:v>
      </x:c>
      <x:c r="G111" s="73" t="n">
        <x:v>0</x:v>
      </x:c>
      <x:c r="H111" s="75">
        <x:f ca="1">IF(SUM(F111 - G111) &lt;0,"$0.00",SUM(F111 - G111)*D111)</x:f>
        <x:v>7</x:v>
      </x:c>
      <x:c r="I111" s="75">
        <x:v>0.00</x:v>
      </x:c>
      <x:c r="J111" s="75">
        <x:f ca="1">SUM(F111* 0.011710)</x:f>
        <x:v>8</x:v>
      </x:c>
      <x:c r="K111" s="61">
        <x:f ca="1">SUM((J111-H111)+ I111)</x:f>
        <x:v>9</x:v>
      </x:c>
    </x:row>
    <x:row r="112" spans="1:11" ht="14.25" x14ac:dyDescent="0.3">
      <x:c r="A112" s="58" t="str">
        <x:v>B/W Laser Prints</x:v>
      </x:c>
      <x:c r="B112" s="6">
        <x:v>0</x:v>
      </x:c>
      <x:c r="C112" s="6">
        <x:v>58,281</x:v>
      </x:c>
      <x:c r="D112" s="6">
        <x:v>$0.01971</x:v>
      </x:c>
      <x:c r="E112" s="185">
        <x:f ca="1">IF(B112=0,"",IF(C112="","",IF(C112&lt;B112,SUM((C112-B112)/B112),SUM((C112-B112)/B112))))</x:f>
        <x:v>5</x:v>
      </x:c>
      <x:c r="F112" s="6">
        <x:f ca="1">IF(C112="","",IF(B112="","",IF(SUM(C112-B112)&lt;0,"0",SUM(C112-B112))))</x:f>
        <x:v>6</x:v>
      </x:c>
      <x:c r="G112" s="6">
        <x:v>0</x:v>
      </x:c>
      <x:c r="H112" s="17">
        <x:f ca="1">IF(SUM(F112 - G112) &lt;0,"$0.00",SUM(F112 - G112)*D112)</x:f>
        <x:v>7</x:v>
      </x:c>
      <x:c r="I112" s="17">
        <x:v>0.00</x:v>
      </x:c>
      <x:c r="J112" s="17">
        <x:f ca="1">SUM(F112* 0.019710)</x:f>
        <x:v>8</x:v>
      </x:c>
      <x:c r="K112" s="59">
        <x:f ca="1">SUM((J112-H112)+ I112)</x:f>
        <x:v>9</x:v>
      </x:c>
    </x:row>
    <x:row r="113" spans="1:11" ht="14.25" x14ac:dyDescent="0.3">
      <x:c r="A113" s="169" t="str">
        <x:v>Color Copier B/W Pages</x:v>
      </x:c>
      <x:c r="B113" s="73">
        <x:v>0</x:v>
      </x:c>
      <x:c r="C113" s="73">
        <x:v>198,787</x:v>
      </x:c>
      <x:c r="D113" s="165" t="str">
        <x:v>$0.01471</x:v>
      </x:c>
      <x:c r="E113" s="181">
        <x:f ca="1">IF(B113=0,"",IF(C113="","",IF(C113&lt;B113,SUM((C113-B113)/B113),SUM((C113-B113)/B113))))</x:f>
        <x:v>5</x:v>
      </x:c>
      <x:c r="F113" s="73">
        <x:f ca="1">IF(C113="","",IF(B113="","",IF(SUM(C113-B113)&lt;0,"0",SUM(C113-B113))))</x:f>
        <x:v>6</x:v>
      </x:c>
      <x:c r="G113" s="73" t="n">
        <x:v>0</x:v>
      </x:c>
      <x:c r="H113" s="75">
        <x:f ca="1">IF(SUM(F113 - G113) &lt;0,"$0.00",SUM(F113 - G113)*D113)</x:f>
        <x:v>7</x:v>
      </x:c>
      <x:c r="I113" s="75">
        <x:v>0.00</x:v>
      </x:c>
      <x:c r="J113" s="75">
        <x:f ca="1">SUM(F113* 0.014710)</x:f>
        <x:v>8</x:v>
      </x:c>
      <x:c r="K113" s="61">
        <x:f ca="1">SUM((J113-H113)+ I113)</x:f>
        <x:v>9</x:v>
      </x:c>
    </x:row>
    <x:row r="114" spans="1:11" ht="14.25" x14ac:dyDescent="0.3">
      <x:c r="A114" s="58" t="str">
        <x:v>Color Copier Color Pages</x:v>
      </x:c>
      <x:c r="B114" s="6">
        <x:v>0</x:v>
      </x:c>
      <x:c r="C114" s="6">
        <x:v>88,162</x:v>
      </x:c>
      <x:c r="D114" s="6">
        <x:v>$0.08471</x:v>
      </x:c>
      <x:c r="E114" s="185">
        <x:f ca="1">IF(B114=0,"",IF(C114="","",IF(C114&lt;B114,SUM((C114-B114)/B114),SUM((C114-B114)/B114))))</x:f>
        <x:v>5</x:v>
      </x:c>
      <x:c r="F114" s="6">
        <x:f ca="1">IF(C114="","",IF(B114="","",IF(SUM(C114-B114)&lt;0,"0",SUM(C114-B114))))</x:f>
        <x:v>6</x:v>
      </x:c>
      <x:c r="G114" s="6">
        <x:v>0</x:v>
      </x:c>
      <x:c r="H114" s="17">
        <x:f ca="1">IF(SUM(F114 - G114) &lt;0,"$0.00",SUM(F114 - G114)*D114)</x:f>
        <x:v>7</x:v>
      </x:c>
      <x:c r="I114" s="17">
        <x:v>0.00</x:v>
      </x:c>
      <x:c r="J114" s="17">
        <x:f ca="1">SUM(F114* 0.084710)</x:f>
        <x:v>8</x:v>
      </x:c>
      <x:c r="K114" s="59">
        <x:f ca="1">SUM((J114-H114)+ I114)</x:f>
        <x:v>9</x:v>
      </x:c>
    </x:row>
    <x:row r="115" spans="1:10" x14ac:dyDescent="0.25">
      <x:c r="A115" s="174"/>
      <x:c r="B115" s="174"/>
      <x:c r="C115" s="174"/>
      <x:c r="D115" s="174"/>
      <x:c r="E115" s="174"/>
      <x:c r="F115" s="174"/>
      <x:c r="G115" s="174"/>
      <x:c r="H115" s="174"/>
      <x:c r="I115" s="174"/>
      <x:c r="J115" s="174">
        <x:v>Revision Savings: </x:v>
      </x:c>
      <x:c r="K115" s="174">
        <x:f ca="1">SUM(K111:K114)</x:f>
      </x:c>
    </x:row>
    <x:row r="116" spans="1:11" ht="15" x14ac:dyDescent="0.3">
      <x:c r="A116" s="194" t="str">
        <x:v>10/31/2017</x:v>
      </x:c>
      <x:c r="B116" s="194"/>
      <x:c r="C116" s="194"/>
      <x:c r="D116" s="194"/>
      <x:c r="E116" s="194"/>
      <x:c r="F116" s="194"/>
      <x:c r="G116" s="194"/>
      <x:c r="H116" s="194"/>
      <x:c r="I116" s="194"/>
      <x:c r="J116" s="194"/>
      <x:c r="K116" s="194"/>
    </x:row>
    <x:row r="117">
      <x:c r="A117" s="47" t="str">
        <x:v>Meter Type Description</x:v>
      </x:c>
      <x:c r="B117" s="45" t="str">
        <x:v>Quarterly Contracted Volume</x:v>
      </x:c>
      <x:c r="C117" s="45" t="str">
        <x:v>Actual Quarterly Volume</x:v>
      </x:c>
      <x:c r="D117" s="45" t="str">
        <x:v>FPR Overage Rate</x:v>
      </x:c>
      <x:c r="E117" s="45" t="str">
        <x:v>% Volume Increase / Decrease</x:v>
      </x:c>
      <x:c r="F117" s="45" t="str">
        <x:v>Overage Volumes</x:v>
      </x:c>
      <x:c r="G117" s="45" t="str">
        <x:v>Rollover Volume</x:v>
      </x:c>
      <x:c r="H117" s="45" t="str">
        <x:v>Current Overage Expense</x:v>
      </x:c>
      <x:c r="I117" s="45" t="str">
        <x:v>Credits</x:v>
      </x:c>
      <x:c r="J117" s="45" t="str">
        <x:v>Overage Cost W/O FPR</x:v>
      </x:c>
      <x:c r="K117" s="46" t="str">
        <x:v>Net Overage Savings / Cost Increase</x:v>
      </x:c>
    </x:row>
    <x:row r="118" spans="1:11" ht="14.25" x14ac:dyDescent="0.3">
      <x:c r="A118" s="169" t="str">
        <x:v>B/W Copies</x:v>
      </x:c>
      <x:c r="B118" s="73">
        <x:v>0</x:v>
      </x:c>
      <x:c r="C118" s="73">
        <x:v>76,289</x:v>
      </x:c>
      <x:c r="D118" s="165" t="str">
        <x:v>$0.01171</x:v>
      </x:c>
      <x:c r="E118" s="181">
        <x:f ca="1">IF(B118=0,"",IF(C118="","",IF(C118&lt;B118,SUM((C118-B118)/B118),SUM((C118-B118)/B118))))</x:f>
        <x:v>5</x:v>
      </x:c>
      <x:c r="F118" s="73">
        <x:f ca="1">IF(C118="","",IF(B118="","",IF(SUM(C118-B118)&lt;0,"0",SUM(C118-B118))))</x:f>
        <x:v>6</x:v>
      </x:c>
      <x:c r="G118" s="73" t="n">
        <x:v>0</x:v>
      </x:c>
      <x:c r="H118" s="75">
        <x:f ca="1">IF(SUM(F118 - G118) &lt;0,"$0.00",SUM(F118 - G118)*D118)</x:f>
        <x:v>7</x:v>
      </x:c>
      <x:c r="I118" s="75">
        <x:v>0.00</x:v>
      </x:c>
      <x:c r="J118" s="75">
        <x:f ca="1">SUM(F118* 0.011710)</x:f>
        <x:v>8</x:v>
      </x:c>
      <x:c r="K118" s="61">
        <x:f ca="1">SUM((J118-H118)+ I118)</x:f>
        <x:v>9</x:v>
      </x:c>
    </x:row>
    <x:row r="119" spans="1:11" ht="14.25" x14ac:dyDescent="0.3">
      <x:c r="A119" s="58" t="str">
        <x:v>B/W Laser Prints</x:v>
      </x:c>
      <x:c r="B119" s="6">
        <x:v>0</x:v>
      </x:c>
      <x:c r="C119" s="6">
        <x:v>59,420</x:v>
      </x:c>
      <x:c r="D119" s="6">
        <x:v>$0.01971</x:v>
      </x:c>
      <x:c r="E119" s="185">
        <x:f ca="1">IF(B119=0,"",IF(C119="","",IF(C119&lt;B119,SUM((C119-B119)/B119),SUM((C119-B119)/B119))))</x:f>
        <x:v>5</x:v>
      </x:c>
      <x:c r="F119" s="6">
        <x:f ca="1">IF(C119="","",IF(B119="","",IF(SUM(C119-B119)&lt;0,"0",SUM(C119-B119))))</x:f>
        <x:v>6</x:v>
      </x:c>
      <x:c r="G119" s="6">
        <x:v>0</x:v>
      </x:c>
      <x:c r="H119" s="17">
        <x:f ca="1">IF(SUM(F119 - G119) &lt;0,"$0.00",SUM(F119 - G119)*D119)</x:f>
        <x:v>7</x:v>
      </x:c>
      <x:c r="I119" s="17">
        <x:v>0.00</x:v>
      </x:c>
      <x:c r="J119" s="17">
        <x:f ca="1">SUM(F119* 0.019710)</x:f>
        <x:v>8</x:v>
      </x:c>
      <x:c r="K119" s="59">
        <x:f ca="1">SUM((J119-H119)+ I119)</x:f>
        <x:v>9</x:v>
      </x:c>
    </x:row>
    <x:row r="120" spans="1:11" ht="14.25" x14ac:dyDescent="0.3">
      <x:c r="A120" s="169" t="str">
        <x:v>Color Copier B/W Pages</x:v>
      </x:c>
      <x:c r="B120" s="73">
        <x:v>0</x:v>
      </x:c>
      <x:c r="C120" s="73">
        <x:v>205,635</x:v>
      </x:c>
      <x:c r="D120" s="165" t="str">
        <x:v>$0.01471</x:v>
      </x:c>
      <x:c r="E120" s="181">
        <x:f ca="1">IF(B120=0,"",IF(C120="","",IF(C120&lt;B120,SUM((C120-B120)/B120),SUM((C120-B120)/B120))))</x:f>
        <x:v>5</x:v>
      </x:c>
      <x:c r="F120" s="73">
        <x:f ca="1">IF(C120="","",IF(B120="","",IF(SUM(C120-B120)&lt;0,"0",SUM(C120-B120))))</x:f>
        <x:v>6</x:v>
      </x:c>
      <x:c r="G120" s="73" t="n">
        <x:v>0</x:v>
      </x:c>
      <x:c r="H120" s="75">
        <x:f ca="1">IF(SUM(F120 - G120) &lt;0,"$0.00",SUM(F120 - G120)*D120)</x:f>
        <x:v>7</x:v>
      </x:c>
      <x:c r="I120" s="75">
        <x:v>0.00</x:v>
      </x:c>
      <x:c r="J120" s="75">
        <x:f ca="1">SUM(F120* 0.014710)</x:f>
        <x:v>8</x:v>
      </x:c>
      <x:c r="K120" s="61">
        <x:f ca="1">SUM((J120-H120)+ I120)</x:f>
        <x:v>9</x:v>
      </x:c>
    </x:row>
    <x:row r="121" spans="1:11" ht="14.25" x14ac:dyDescent="0.3">
      <x:c r="A121" s="58" t="str">
        <x:v>Color Copier Color Pages</x:v>
      </x:c>
      <x:c r="B121" s="6">
        <x:v>0</x:v>
      </x:c>
      <x:c r="C121" s="6">
        <x:v>99,703</x:v>
      </x:c>
      <x:c r="D121" s="6">
        <x:v>$0.08471</x:v>
      </x:c>
      <x:c r="E121" s="185">
        <x:f ca="1">IF(B121=0,"",IF(C121="","",IF(C121&lt;B121,SUM((C121-B121)/B121),SUM((C121-B121)/B121))))</x:f>
        <x:v>5</x:v>
      </x:c>
      <x:c r="F121" s="6">
        <x:f ca="1">IF(C121="","",IF(B121="","",IF(SUM(C121-B121)&lt;0,"0",SUM(C121-B121))))</x:f>
        <x:v>6</x:v>
      </x:c>
      <x:c r="G121" s="6">
        <x:v>0</x:v>
      </x:c>
      <x:c r="H121" s="17">
        <x:f ca="1">IF(SUM(F121 - G121) &lt;0,"$0.00",SUM(F121 - G121)*D121)</x:f>
        <x:v>7</x:v>
      </x:c>
      <x:c r="I121" s="17">
        <x:v>0.00</x:v>
      </x:c>
      <x:c r="J121" s="17">
        <x:f ca="1">SUM(F121* 0.084710)</x:f>
        <x:v>8</x:v>
      </x:c>
      <x:c r="K121" s="59">
        <x:f ca="1">SUM((J121-H121)+ I121)</x:f>
        <x:v>9</x:v>
      </x:c>
    </x:row>
    <x:row r="122" spans="1:10" x14ac:dyDescent="0.25">
      <x:c r="A122" s="174"/>
      <x:c r="B122" s="174"/>
      <x:c r="C122" s="174"/>
      <x:c r="D122" s="174"/>
      <x:c r="E122" s="174"/>
      <x:c r="F122" s="174"/>
      <x:c r="G122" s="174"/>
      <x:c r="H122" s="174"/>
      <x:c r="I122" s="174"/>
      <x:c r="J122" s="174">
        <x:v>Revision Savings: </x:v>
      </x:c>
      <x:c r="K122" s="174">
        <x:f ca="1">SUM(K118:K121)</x:f>
      </x:c>
    </x:row>
    <x:row r="123" spans="1:11" ht="15" x14ac:dyDescent="0.3">
      <x:c r="A123" s="194" t="str">
        <x:v>9/30/2017</x:v>
      </x:c>
      <x:c r="B123" s="194"/>
      <x:c r="C123" s="194"/>
      <x:c r="D123" s="194"/>
      <x:c r="E123" s="194"/>
      <x:c r="F123" s="194"/>
      <x:c r="G123" s="194"/>
      <x:c r="H123" s="194"/>
      <x:c r="I123" s="194"/>
      <x:c r="J123" s="194"/>
      <x:c r="K123" s="194"/>
    </x:row>
    <x:row r="124">
      <x:c r="A124" s="47" t="str">
        <x:v>Meter Type Description</x:v>
      </x:c>
      <x:c r="B124" s="45" t="str">
        <x:v>Quarterly Contracted Volume</x:v>
      </x:c>
      <x:c r="C124" s="45" t="str">
        <x:v>Actual Quarterly Volume</x:v>
      </x:c>
      <x:c r="D124" s="45" t="str">
        <x:v>FPR Overage Rate</x:v>
      </x:c>
      <x:c r="E124" s="45" t="str">
        <x:v>% Volume Increase / Decrease</x:v>
      </x:c>
      <x:c r="F124" s="45" t="str">
        <x:v>Overage Volumes</x:v>
      </x:c>
      <x:c r="G124" s="45" t="str">
        <x:v>Rollover Volume</x:v>
      </x:c>
      <x:c r="H124" s="45" t="str">
        <x:v>Current Overage Expense</x:v>
      </x:c>
      <x:c r="I124" s="45" t="str">
        <x:v>Credits</x:v>
      </x:c>
      <x:c r="J124" s="45" t="str">
        <x:v>Overage Cost W/O FPR</x:v>
      </x:c>
      <x:c r="K124" s="46" t="str">
        <x:v>Net Overage Savings / Cost Increase</x:v>
      </x:c>
    </x:row>
    <x:row r="125" spans="1:11" ht="14.25" x14ac:dyDescent="0.3">
      <x:c r="A125" s="169" t="str">
        <x:v>B/W Copies</x:v>
      </x:c>
      <x:c r="B125" s="73">
        <x:v>0</x:v>
      </x:c>
      <x:c r="C125" s="73">
        <x:v>61,864</x:v>
      </x:c>
      <x:c r="D125" s="165" t="str">
        <x:v>$0.01171</x:v>
      </x:c>
      <x:c r="E125" s="181">
        <x:f ca="1">IF(B125=0,"",IF(C125="","",IF(C125&lt;B125,SUM((C125-B125)/B125),SUM((C125-B125)/B125))))</x:f>
        <x:v>5</x:v>
      </x:c>
      <x:c r="F125" s="73">
        <x:f ca="1">IF(C125="","",IF(B125="","",IF(SUM(C125-B125)&lt;0,"0",SUM(C125-B125))))</x:f>
        <x:v>6</x:v>
      </x:c>
      <x:c r="G125" s="73" t="n">
        <x:v>0</x:v>
      </x:c>
      <x:c r="H125" s="75">
        <x:f ca="1">IF(SUM(F125 - G125) &lt;0,"$0.00",SUM(F125 - G125)*D125)</x:f>
        <x:v>7</x:v>
      </x:c>
      <x:c r="I125" s="75">
        <x:v>0.00</x:v>
      </x:c>
      <x:c r="J125" s="75">
        <x:f ca="1">SUM(F125* 0.011710)</x:f>
        <x:v>8</x:v>
      </x:c>
      <x:c r="K125" s="61">
        <x:f ca="1">SUM((J125-H125)+ I125)</x:f>
        <x:v>9</x:v>
      </x:c>
    </x:row>
    <x:row r="126" spans="1:11" ht="14.25" x14ac:dyDescent="0.3">
      <x:c r="A126" s="58" t="str">
        <x:v>B/W Laser Prints</x:v>
      </x:c>
      <x:c r="B126" s="6">
        <x:v>0</x:v>
      </x:c>
      <x:c r="C126" s="6">
        <x:v>54,228</x:v>
      </x:c>
      <x:c r="D126" s="6">
        <x:v>$0.01971</x:v>
      </x:c>
      <x:c r="E126" s="185">
        <x:f ca="1">IF(B126=0,"",IF(C126="","",IF(C126&lt;B126,SUM((C126-B126)/B126),SUM((C126-B126)/B126))))</x:f>
        <x:v>5</x:v>
      </x:c>
      <x:c r="F126" s="6">
        <x:f ca="1">IF(C126="","",IF(B126="","",IF(SUM(C126-B126)&lt;0,"0",SUM(C126-B126))))</x:f>
        <x:v>6</x:v>
      </x:c>
      <x:c r="G126" s="6">
        <x:v>0</x:v>
      </x:c>
      <x:c r="H126" s="17">
        <x:f ca="1">IF(SUM(F126 - G126) &lt;0,"$0.00",SUM(F126 - G126)*D126)</x:f>
        <x:v>7</x:v>
      </x:c>
      <x:c r="I126" s="17">
        <x:v>0.00</x:v>
      </x:c>
      <x:c r="J126" s="17">
        <x:f ca="1">SUM(F126* 0.019710)</x:f>
        <x:v>8</x:v>
      </x:c>
      <x:c r="K126" s="59">
        <x:f ca="1">SUM((J126-H126)+ I126)</x:f>
        <x:v>9</x:v>
      </x:c>
    </x:row>
    <x:row r="127" spans="1:11" ht="14.25" x14ac:dyDescent="0.3">
      <x:c r="A127" s="169" t="str">
        <x:v>Color Copier B/W Pages</x:v>
      </x:c>
      <x:c r="B127" s="73">
        <x:v>0</x:v>
      </x:c>
      <x:c r="C127" s="73">
        <x:v>177,697</x:v>
      </x:c>
      <x:c r="D127" s="165" t="str">
        <x:v>$0.01471</x:v>
      </x:c>
      <x:c r="E127" s="181">
        <x:f ca="1">IF(B127=0,"",IF(C127="","",IF(C127&lt;B127,SUM((C127-B127)/B127),SUM((C127-B127)/B127))))</x:f>
        <x:v>5</x:v>
      </x:c>
      <x:c r="F127" s="73">
        <x:f ca="1">IF(C127="","",IF(B127="","",IF(SUM(C127-B127)&lt;0,"0",SUM(C127-B127))))</x:f>
        <x:v>6</x:v>
      </x:c>
      <x:c r="G127" s="73" t="n">
        <x:v>0</x:v>
      </x:c>
      <x:c r="H127" s="75">
        <x:f ca="1">IF(SUM(F127 - G127) &lt;0,"$0.00",SUM(F127 - G127)*D127)</x:f>
        <x:v>7</x:v>
      </x:c>
      <x:c r="I127" s="75">
        <x:v>0.00</x:v>
      </x:c>
      <x:c r="J127" s="75">
        <x:f ca="1">SUM(F127* 0.014710)</x:f>
        <x:v>8</x:v>
      </x:c>
      <x:c r="K127" s="61">
        <x:f ca="1">SUM((J127-H127)+ I127)</x:f>
        <x:v>9</x:v>
      </x:c>
    </x:row>
    <x:row r="128" spans="1:11" ht="14.25" x14ac:dyDescent="0.3">
      <x:c r="A128" s="58" t="str">
        <x:v>Color Copier Color Pages</x:v>
      </x:c>
      <x:c r="B128" s="6">
        <x:v>0</x:v>
      </x:c>
      <x:c r="C128" s="6">
        <x:v>79,371</x:v>
      </x:c>
      <x:c r="D128" s="6">
        <x:v>$0.08471</x:v>
      </x:c>
      <x:c r="E128" s="185">
        <x:f ca="1">IF(B128=0,"",IF(C128="","",IF(C128&lt;B128,SUM((C128-B128)/B128),SUM((C128-B128)/B128))))</x:f>
        <x:v>5</x:v>
      </x:c>
      <x:c r="F128" s="6">
        <x:f ca="1">IF(C128="","",IF(B128="","",IF(SUM(C128-B128)&lt;0,"0",SUM(C128-B128))))</x:f>
        <x:v>6</x:v>
      </x:c>
      <x:c r="G128" s="6">
        <x:v>0</x:v>
      </x:c>
      <x:c r="H128" s="17">
        <x:f ca="1">IF(SUM(F128 - G128) &lt;0,"$0.00",SUM(F128 - G128)*D128)</x:f>
        <x:v>7</x:v>
      </x:c>
      <x:c r="I128" s="17">
        <x:v>0.00</x:v>
      </x:c>
      <x:c r="J128" s="17">
        <x:f ca="1">SUM(F128* 0.084710)</x:f>
        <x:v>8</x:v>
      </x:c>
      <x:c r="K128" s="59">
        <x:f ca="1">SUM((J128-H128)+ I128)</x:f>
        <x:v>9</x:v>
      </x:c>
    </x:row>
    <x:row r="129" spans="1:10" x14ac:dyDescent="0.25">
      <x:c r="A129" s="174"/>
      <x:c r="B129" s="174"/>
      <x:c r="C129" s="174"/>
      <x:c r="D129" s="174"/>
      <x:c r="E129" s="174"/>
      <x:c r="F129" s="174"/>
      <x:c r="G129" s="174"/>
      <x:c r="H129" s="174"/>
      <x:c r="I129" s="174"/>
      <x:c r="J129" s="174">
        <x:v>Revision Savings: </x:v>
      </x:c>
      <x:c r="K129" s="174">
        <x:f ca="1">SUM(K125:K128)</x:f>
      </x:c>
    </x:row>
    <x:row r="130" spans="1:11" ht="15" x14ac:dyDescent="0.3">
      <x:c r="A130" s="194" t="str">
        <x:v>8/31/2017</x:v>
      </x:c>
      <x:c r="B130" s="194"/>
      <x:c r="C130" s="194"/>
      <x:c r="D130" s="194"/>
      <x:c r="E130" s="194"/>
      <x:c r="F130" s="194"/>
      <x:c r="G130" s="194"/>
      <x:c r="H130" s="194"/>
      <x:c r="I130" s="194"/>
      <x:c r="J130" s="194"/>
      <x:c r="K130" s="194"/>
    </x:row>
    <x:row r="131">
      <x:c r="A131" s="47" t="str">
        <x:v>Meter Type Description</x:v>
      </x:c>
      <x:c r="B131" s="45" t="str">
        <x:v>Quarterly Contracted Volume</x:v>
      </x:c>
      <x:c r="C131" s="45" t="str">
        <x:v>Actual Quarterly Volume</x:v>
      </x:c>
      <x:c r="D131" s="45" t="str">
        <x:v>FPR Overage Rate</x:v>
      </x:c>
      <x:c r="E131" s="45" t="str">
        <x:v>% Volume Increase / Decrease</x:v>
      </x:c>
      <x:c r="F131" s="45" t="str">
        <x:v>Overage Volumes</x:v>
      </x:c>
      <x:c r="G131" s="45" t="str">
        <x:v>Rollover Volume</x:v>
      </x:c>
      <x:c r="H131" s="45" t="str">
        <x:v>Current Overage Expense</x:v>
      </x:c>
      <x:c r="I131" s="45" t="str">
        <x:v>Credits</x:v>
      </x:c>
      <x:c r="J131" s="45" t="str">
        <x:v>Overage Cost W/O FPR</x:v>
      </x:c>
      <x:c r="K131" s="46" t="str">
        <x:v>Net Overage Savings / Cost Increase</x:v>
      </x:c>
    </x:row>
    <x:row r="132" spans="1:11" ht="14.25" x14ac:dyDescent="0.3">
      <x:c r="A132" s="169" t="str">
        <x:v>B/W Copies</x:v>
      </x:c>
      <x:c r="B132" s="73">
        <x:v>0</x:v>
      </x:c>
      <x:c r="C132" s="73">
        <x:v>82,061</x:v>
      </x:c>
      <x:c r="D132" s="165" t="str">
        <x:v>$0.01171</x:v>
      </x:c>
      <x:c r="E132" s="181">
        <x:f ca="1">IF(B132=0,"",IF(C132="","",IF(C132&lt;B132,SUM((C132-B132)/B132),SUM((C132-B132)/B132))))</x:f>
        <x:v>5</x:v>
      </x:c>
      <x:c r="F132" s="73">
        <x:f ca="1">IF(C132="","",IF(B132="","",IF(SUM(C132-B132)&lt;0,"0",SUM(C132-B132))))</x:f>
        <x:v>6</x:v>
      </x:c>
      <x:c r="G132" s="73" t="n">
        <x:v>0</x:v>
      </x:c>
      <x:c r="H132" s="75">
        <x:f ca="1">IF(SUM(F132 - G132) &lt;0,"$0.00",SUM(F132 - G132)*D132)</x:f>
        <x:v>7</x:v>
      </x:c>
      <x:c r="I132" s="75">
        <x:v>0.00</x:v>
      </x:c>
      <x:c r="J132" s="75">
        <x:f ca="1">SUM(F132* 0.011710)</x:f>
        <x:v>8</x:v>
      </x:c>
      <x:c r="K132" s="61">
        <x:f ca="1">SUM((J132-H132)+ I132)</x:f>
        <x:v>9</x:v>
      </x:c>
    </x:row>
    <x:row r="133" spans="1:11" ht="14.25" x14ac:dyDescent="0.3">
      <x:c r="A133" s="58" t="str">
        <x:v>B/W Laser Prints</x:v>
      </x:c>
      <x:c r="B133" s="6">
        <x:v>0</x:v>
      </x:c>
      <x:c r="C133" s="6">
        <x:v>66,773</x:v>
      </x:c>
      <x:c r="D133" s="6">
        <x:v>$0.01971</x:v>
      </x:c>
      <x:c r="E133" s="185">
        <x:f ca="1">IF(B133=0,"",IF(C133="","",IF(C133&lt;B133,SUM((C133-B133)/B133),SUM((C133-B133)/B133))))</x:f>
        <x:v>5</x:v>
      </x:c>
      <x:c r="F133" s="6">
        <x:f ca="1">IF(C133="","",IF(B133="","",IF(SUM(C133-B133)&lt;0,"0",SUM(C133-B133))))</x:f>
        <x:v>6</x:v>
      </x:c>
      <x:c r="G133" s="6">
        <x:v>0</x:v>
      </x:c>
      <x:c r="H133" s="17">
        <x:f ca="1">IF(SUM(F133 - G133) &lt;0,"$0.00",SUM(F133 - G133)*D133)</x:f>
        <x:v>7</x:v>
      </x:c>
      <x:c r="I133" s="17">
        <x:v>0.00</x:v>
      </x:c>
      <x:c r="J133" s="17">
        <x:f ca="1">SUM(F133* 0.019710)</x:f>
        <x:v>8</x:v>
      </x:c>
      <x:c r="K133" s="59">
        <x:f ca="1">SUM((J133-H133)+ I133)</x:f>
        <x:v>9</x:v>
      </x:c>
    </x:row>
    <x:row r="134" spans="1:11" ht="14.25" x14ac:dyDescent="0.3">
      <x:c r="A134" s="169" t="str">
        <x:v>Color Copier B/W Pages</x:v>
      </x:c>
      <x:c r="B134" s="73">
        <x:v>0</x:v>
      </x:c>
      <x:c r="C134" s="73">
        <x:v>218,021</x:v>
      </x:c>
      <x:c r="D134" s="165" t="str">
        <x:v>$0.01471</x:v>
      </x:c>
      <x:c r="E134" s="181">
        <x:f ca="1">IF(B134=0,"",IF(C134="","",IF(C134&lt;B134,SUM((C134-B134)/B134),SUM((C134-B134)/B134))))</x:f>
        <x:v>5</x:v>
      </x:c>
      <x:c r="F134" s="73">
        <x:f ca="1">IF(C134="","",IF(B134="","",IF(SUM(C134-B134)&lt;0,"0",SUM(C134-B134))))</x:f>
        <x:v>6</x:v>
      </x:c>
      <x:c r="G134" s="73" t="n">
        <x:v>0</x:v>
      </x:c>
      <x:c r="H134" s="75">
        <x:f ca="1">IF(SUM(F134 - G134) &lt;0,"$0.00",SUM(F134 - G134)*D134)</x:f>
        <x:v>7</x:v>
      </x:c>
      <x:c r="I134" s="75">
        <x:v>0.00</x:v>
      </x:c>
      <x:c r="J134" s="75">
        <x:f ca="1">SUM(F134* 0.014710)</x:f>
        <x:v>8</x:v>
      </x:c>
      <x:c r="K134" s="61">
        <x:f ca="1">SUM((J134-H134)+ I134)</x:f>
        <x:v>9</x:v>
      </x:c>
    </x:row>
    <x:row r="135" spans="1:11" ht="14.25" x14ac:dyDescent="0.3">
      <x:c r="A135" s="58" t="str">
        <x:v>Color Copier Color Pages</x:v>
      </x:c>
      <x:c r="B135" s="6">
        <x:v>0</x:v>
      </x:c>
      <x:c r="C135" s="6">
        <x:v>89,524</x:v>
      </x:c>
      <x:c r="D135" s="6">
        <x:v>$0.08471</x:v>
      </x:c>
      <x:c r="E135" s="185">
        <x:f ca="1">IF(B135=0,"",IF(C135="","",IF(C135&lt;B135,SUM((C135-B135)/B135),SUM((C135-B135)/B135))))</x:f>
        <x:v>5</x:v>
      </x:c>
      <x:c r="F135" s="6">
        <x:f ca="1">IF(C135="","",IF(B135="","",IF(SUM(C135-B135)&lt;0,"0",SUM(C135-B135))))</x:f>
        <x:v>6</x:v>
      </x:c>
      <x:c r="G135" s="6">
        <x:v>0</x:v>
      </x:c>
      <x:c r="H135" s="17">
        <x:f ca="1">IF(SUM(F135 - G135) &lt;0,"$0.00",SUM(F135 - G135)*D135)</x:f>
        <x:v>7</x:v>
      </x:c>
      <x:c r="I135" s="17">
        <x:v>0.00</x:v>
      </x:c>
      <x:c r="J135" s="17">
        <x:f ca="1">SUM(F135* 0.084710)</x:f>
        <x:v>8</x:v>
      </x:c>
      <x:c r="K135" s="59">
        <x:f ca="1">SUM((J135-H135)+ I135)</x:f>
        <x:v>9</x:v>
      </x:c>
    </x:row>
    <x:row r="136" spans="1:10" x14ac:dyDescent="0.25">
      <x:c r="A136" s="174"/>
      <x:c r="B136" s="174"/>
      <x:c r="C136" s="174"/>
      <x:c r="D136" s="174"/>
      <x:c r="E136" s="174"/>
      <x:c r="F136" s="174"/>
      <x:c r="G136" s="174"/>
      <x:c r="H136" s="174"/>
      <x:c r="I136" s="174"/>
      <x:c r="J136" s="174">
        <x:v>Revision Savings: </x:v>
      </x:c>
      <x:c r="K136" s="174">
        <x:f ca="1">SUM(K132:K135)</x:f>
      </x:c>
    </x:row>
    <x:row r="137" spans="1:11" ht="15" x14ac:dyDescent="0.3">
      <x:c r="A137" s="194" t="str">
        <x:v>7/31/2017</x:v>
      </x:c>
      <x:c r="B137" s="194"/>
      <x:c r="C137" s="194"/>
      <x:c r="D137" s="194"/>
      <x:c r="E137" s="194"/>
      <x:c r="F137" s="194"/>
      <x:c r="G137" s="194"/>
      <x:c r="H137" s="194"/>
      <x:c r="I137" s="194"/>
      <x:c r="J137" s="194"/>
      <x:c r="K137" s="194"/>
    </x:row>
    <x:row r="138">
      <x:c r="A138" s="47" t="str">
        <x:v>Meter Type Description</x:v>
      </x:c>
      <x:c r="B138" s="45" t="str">
        <x:v>Quarterly Contracted Volume</x:v>
      </x:c>
      <x:c r="C138" s="45" t="str">
        <x:v>Actual Quarterly Volume</x:v>
      </x:c>
      <x:c r="D138" s="45" t="str">
        <x:v>FPR Overage Rate</x:v>
      </x:c>
      <x:c r="E138" s="45" t="str">
        <x:v>% Volume Increase / Decrease</x:v>
      </x:c>
      <x:c r="F138" s="45" t="str">
        <x:v>Overage Volumes</x:v>
      </x:c>
      <x:c r="G138" s="45" t="str">
        <x:v>Rollover Volume</x:v>
      </x:c>
      <x:c r="H138" s="45" t="str">
        <x:v>Current Overage Expense</x:v>
      </x:c>
      <x:c r="I138" s="45" t="str">
        <x:v>Credits</x:v>
      </x:c>
      <x:c r="J138" s="45" t="str">
        <x:v>Overage Cost W/O FPR</x:v>
      </x:c>
      <x:c r="K138" s="46" t="str">
        <x:v>Net Overage Savings / Cost Increase</x:v>
      </x:c>
    </x:row>
    <x:row r="139" spans="1:11" ht="14.25" x14ac:dyDescent="0.3">
      <x:c r="A139" s="169" t="str">
        <x:v>B/W Copies</x:v>
      </x:c>
      <x:c r="B139" s="73">
        <x:v>0</x:v>
      </x:c>
      <x:c r="C139" s="73">
        <x:v>80,936</x:v>
      </x:c>
      <x:c r="D139" s="165" t="str">
        <x:v>$0.01171</x:v>
      </x:c>
      <x:c r="E139" s="181">
        <x:f ca="1">IF(B139=0,"",IF(C139="","",IF(C139&lt;B139,SUM((C139-B139)/B139),SUM((C139-B139)/B139))))</x:f>
        <x:v>5</x:v>
      </x:c>
      <x:c r="F139" s="73">
        <x:f ca="1">IF(C139="","",IF(B139="","",IF(SUM(C139-B139)&lt;0,"0",SUM(C139-B139))))</x:f>
        <x:v>6</x:v>
      </x:c>
      <x:c r="G139" s="73" t="n">
        <x:v>0</x:v>
      </x:c>
      <x:c r="H139" s="75">
        <x:f ca="1">IF(SUM(F139 - G139) &lt;0,"$0.00",SUM(F139 - G139)*D139)</x:f>
        <x:v>7</x:v>
      </x:c>
      <x:c r="I139" s="75">
        <x:v>0.00</x:v>
      </x:c>
      <x:c r="J139" s="75">
        <x:f ca="1">SUM(F139* 0.011710)</x:f>
        <x:v>8</x:v>
      </x:c>
      <x:c r="K139" s="61">
        <x:f ca="1">SUM((J139-H139)+ I139)</x:f>
        <x:v>9</x:v>
      </x:c>
    </x:row>
    <x:row r="140" spans="1:11" ht="14.25" x14ac:dyDescent="0.3">
      <x:c r="A140" s="58" t="str">
        <x:v>B/W Laser Prints</x:v>
      </x:c>
      <x:c r="B140" s="6">
        <x:v>0</x:v>
      </x:c>
      <x:c r="C140" s="6">
        <x:v>62,103</x:v>
      </x:c>
      <x:c r="D140" s="6">
        <x:v>$0.01971</x:v>
      </x:c>
      <x:c r="E140" s="185">
        <x:f ca="1">IF(B140=0,"",IF(C140="","",IF(C140&lt;B140,SUM((C140-B140)/B140),SUM((C140-B140)/B140))))</x:f>
        <x:v>5</x:v>
      </x:c>
      <x:c r="F140" s="6">
        <x:f ca="1">IF(C140="","",IF(B140="","",IF(SUM(C140-B140)&lt;0,"0",SUM(C140-B140))))</x:f>
        <x:v>6</x:v>
      </x:c>
      <x:c r="G140" s="6">
        <x:v>0</x:v>
      </x:c>
      <x:c r="H140" s="17">
        <x:f ca="1">IF(SUM(F140 - G140) &lt;0,"$0.00",SUM(F140 - G140)*D140)</x:f>
        <x:v>7</x:v>
      </x:c>
      <x:c r="I140" s="17">
        <x:v>0.00</x:v>
      </x:c>
      <x:c r="J140" s="17">
        <x:f ca="1">SUM(F140* 0.019710)</x:f>
        <x:v>8</x:v>
      </x:c>
      <x:c r="K140" s="59">
        <x:f ca="1">SUM((J140-H140)+ I140)</x:f>
        <x:v>9</x:v>
      </x:c>
    </x:row>
    <x:row r="141" spans="1:11" ht="14.25" x14ac:dyDescent="0.3">
      <x:c r="A141" s="169" t="str">
        <x:v>Color Copier B/W Pages</x:v>
      </x:c>
      <x:c r="B141" s="73">
        <x:v>0</x:v>
      </x:c>
      <x:c r="C141" s="73">
        <x:v>197,228</x:v>
      </x:c>
      <x:c r="D141" s="165" t="str">
        <x:v>$0.01471</x:v>
      </x:c>
      <x:c r="E141" s="181">
        <x:f ca="1">IF(B141=0,"",IF(C141="","",IF(C141&lt;B141,SUM((C141-B141)/B141),SUM((C141-B141)/B141))))</x:f>
        <x:v>5</x:v>
      </x:c>
      <x:c r="F141" s="73">
        <x:f ca="1">IF(C141="","",IF(B141="","",IF(SUM(C141-B141)&lt;0,"0",SUM(C141-B141))))</x:f>
        <x:v>6</x:v>
      </x:c>
      <x:c r="G141" s="73" t="n">
        <x:v>0</x:v>
      </x:c>
      <x:c r="H141" s="75">
        <x:f ca="1">IF(SUM(F141 - G141) &lt;0,"$0.00",SUM(F141 - G141)*D141)</x:f>
        <x:v>7</x:v>
      </x:c>
      <x:c r="I141" s="75">
        <x:v>0.00</x:v>
      </x:c>
      <x:c r="J141" s="75">
        <x:f ca="1">SUM(F141* 0.014710)</x:f>
        <x:v>8</x:v>
      </x:c>
      <x:c r="K141" s="61">
        <x:f ca="1">SUM((J141-H141)+ I141)</x:f>
        <x:v>9</x:v>
      </x:c>
    </x:row>
    <x:row r="142" spans="1:11" ht="14.25" x14ac:dyDescent="0.3">
      <x:c r="A142" s="58" t="str">
        <x:v>Color Copier Color Pages</x:v>
      </x:c>
      <x:c r="B142" s="6">
        <x:v>0</x:v>
      </x:c>
      <x:c r="C142" s="6">
        <x:v>79,109</x:v>
      </x:c>
      <x:c r="D142" s="6">
        <x:v>$0.08471</x:v>
      </x:c>
      <x:c r="E142" s="185">
        <x:f ca="1">IF(B142=0,"",IF(C142="","",IF(C142&lt;B142,SUM((C142-B142)/B142),SUM((C142-B142)/B142))))</x:f>
        <x:v>5</x:v>
      </x:c>
      <x:c r="F142" s="6">
        <x:f ca="1">IF(C142="","",IF(B142="","",IF(SUM(C142-B142)&lt;0,"0",SUM(C142-B142))))</x:f>
        <x:v>6</x:v>
      </x:c>
      <x:c r="G142" s="6">
        <x:v>0</x:v>
      </x:c>
      <x:c r="H142" s="17">
        <x:f ca="1">IF(SUM(F142 - G142) &lt;0,"$0.00",SUM(F142 - G142)*D142)</x:f>
        <x:v>7</x:v>
      </x:c>
      <x:c r="I142" s="17">
        <x:v>0.00</x:v>
      </x:c>
      <x:c r="J142" s="17">
        <x:f ca="1">SUM(F142* 0.084710)</x:f>
        <x:v>8</x:v>
      </x:c>
      <x:c r="K142" s="59">
        <x:f ca="1">SUM((J142-H142)+ I142)</x:f>
        <x:v>9</x:v>
      </x:c>
    </x:row>
    <x:row r="143" spans="1:10" x14ac:dyDescent="0.25">
      <x:c r="A143" s="174"/>
      <x:c r="B143" s="174"/>
      <x:c r="C143" s="174"/>
      <x:c r="D143" s="174"/>
      <x:c r="E143" s="174"/>
      <x:c r="F143" s="174"/>
      <x:c r="G143" s="174"/>
      <x:c r="H143" s="174"/>
      <x:c r="I143" s="174"/>
      <x:c r="J143" s="174">
        <x:v>Revision Savings: </x:v>
      </x:c>
      <x:c r="K143" s="174">
        <x:f ca="1">SUM(K139:K142)</x:f>
      </x:c>
    </x:row>
    <x:row r="144" spans="1:11" ht="15" x14ac:dyDescent="0.3">
      <x:c r="A144" s="194" t="str">
        <x:v>6/30/2017</x:v>
      </x:c>
      <x:c r="B144" s="194"/>
      <x:c r="C144" s="194"/>
      <x:c r="D144" s="194"/>
      <x:c r="E144" s="194"/>
      <x:c r="F144" s="194"/>
      <x:c r="G144" s="194"/>
      <x:c r="H144" s="194"/>
      <x:c r="I144" s="194"/>
      <x:c r="J144" s="194"/>
      <x:c r="K144" s="194"/>
    </x:row>
    <x:row r="145">
      <x:c r="A145" s="47" t="str">
        <x:v>Meter Type Description</x:v>
      </x:c>
      <x:c r="B145" s="45" t="str">
        <x:v>Quarterly Contracted Volume</x:v>
      </x:c>
      <x:c r="C145" s="45" t="str">
        <x:v>Actual Quarterly Volume</x:v>
      </x:c>
      <x:c r="D145" s="45" t="str">
        <x:v>FPR Overage Rate</x:v>
      </x:c>
      <x:c r="E145" s="45" t="str">
        <x:v>% Volume Increase / Decrease</x:v>
      </x:c>
      <x:c r="F145" s="45" t="str">
        <x:v>Overage Volumes</x:v>
      </x:c>
      <x:c r="G145" s="45" t="str">
        <x:v>Rollover Volume</x:v>
      </x:c>
      <x:c r="H145" s="45" t="str">
        <x:v>Current Overage Expense</x:v>
      </x:c>
      <x:c r="I145" s="45" t="str">
        <x:v>Credits</x:v>
      </x:c>
      <x:c r="J145" s="45" t="str">
        <x:v>Overage Cost W/O FPR</x:v>
      </x:c>
      <x:c r="K145" s="46" t="str">
        <x:v>Net Overage Savings / Cost Increase</x:v>
      </x:c>
    </x:row>
    <x:row r="146" spans="1:11" ht="14.25" x14ac:dyDescent="0.3">
      <x:c r="A146" s="169" t="str">
        <x:v>B/W Copies</x:v>
      </x:c>
      <x:c r="B146" s="73">
        <x:v>0</x:v>
      </x:c>
      <x:c r="C146" s="73">
        <x:v>98,522</x:v>
      </x:c>
      <x:c r="D146" s="165" t="str">
        <x:v>$0.01171</x:v>
      </x:c>
      <x:c r="E146" s="181">
        <x:f ca="1">IF(B146=0,"",IF(C146="","",IF(C146&lt;B146,SUM((C146-B146)/B146),SUM((C146-B146)/B146))))</x:f>
        <x:v>5</x:v>
      </x:c>
      <x:c r="F146" s="73">
        <x:f ca="1">IF(C146="","",IF(B146="","",IF(SUM(C146-B146)&lt;0,"0",SUM(C146-B146))))</x:f>
        <x:v>6</x:v>
      </x:c>
      <x:c r="G146" s="73" t="n">
        <x:v>0</x:v>
      </x:c>
      <x:c r="H146" s="75">
        <x:f ca="1">IF(SUM(F146 - G146) &lt;0,"$0.00",SUM(F146 - G146)*D146)</x:f>
        <x:v>7</x:v>
      </x:c>
      <x:c r="I146" s="75">
        <x:v>0.00</x:v>
      </x:c>
      <x:c r="J146" s="75">
        <x:f ca="1">SUM(F146* 0.011710)</x:f>
        <x:v>8</x:v>
      </x:c>
      <x:c r="K146" s="61">
        <x:f ca="1">SUM((J146-H146)+ I146)</x:f>
        <x:v>9</x:v>
      </x:c>
    </x:row>
    <x:row r="147" spans="1:11" ht="14.25" x14ac:dyDescent="0.3">
      <x:c r="A147" s="58" t="str">
        <x:v>B/W Laser Prints</x:v>
      </x:c>
      <x:c r="B147" s="6">
        <x:v>0</x:v>
      </x:c>
      <x:c r="C147" s="6">
        <x:v>76,053</x:v>
      </x:c>
      <x:c r="D147" s="6">
        <x:v>$0.01971</x:v>
      </x:c>
      <x:c r="E147" s="185">
        <x:f ca="1">IF(B147=0,"",IF(C147="","",IF(C147&lt;B147,SUM((C147-B147)/B147),SUM((C147-B147)/B147))))</x:f>
        <x:v>5</x:v>
      </x:c>
      <x:c r="F147" s="6">
        <x:f ca="1">IF(C147="","",IF(B147="","",IF(SUM(C147-B147)&lt;0,"0",SUM(C147-B147))))</x:f>
        <x:v>6</x:v>
      </x:c>
      <x:c r="G147" s="6">
        <x:v>0</x:v>
      </x:c>
      <x:c r="H147" s="17">
        <x:f ca="1">IF(SUM(F147 - G147) &lt;0,"$0.00",SUM(F147 - G147)*D147)</x:f>
        <x:v>7</x:v>
      </x:c>
      <x:c r="I147" s="17">
        <x:v>0.00</x:v>
      </x:c>
      <x:c r="J147" s="17">
        <x:f ca="1">SUM(F147* 0.019710)</x:f>
        <x:v>8</x:v>
      </x:c>
      <x:c r="K147" s="59">
        <x:f ca="1">SUM((J147-H147)+ I147)</x:f>
        <x:v>9</x:v>
      </x:c>
    </x:row>
    <x:row r="148" spans="1:11" ht="14.25" x14ac:dyDescent="0.3">
      <x:c r="A148" s="169" t="str">
        <x:v>Color Copier B/W Pages</x:v>
      </x:c>
      <x:c r="B148" s="73">
        <x:v>0</x:v>
      </x:c>
      <x:c r="C148" s="73">
        <x:v>235,911</x:v>
      </x:c>
      <x:c r="D148" s="165" t="str">
        <x:v>$0.01471</x:v>
      </x:c>
      <x:c r="E148" s="181">
        <x:f ca="1">IF(B148=0,"",IF(C148="","",IF(C148&lt;B148,SUM((C148-B148)/B148),SUM((C148-B148)/B148))))</x:f>
        <x:v>5</x:v>
      </x:c>
      <x:c r="F148" s="73">
        <x:f ca="1">IF(C148="","",IF(B148="","",IF(SUM(C148-B148)&lt;0,"0",SUM(C148-B148))))</x:f>
        <x:v>6</x:v>
      </x:c>
      <x:c r="G148" s="73" t="n">
        <x:v>0</x:v>
      </x:c>
      <x:c r="H148" s="75">
        <x:f ca="1">IF(SUM(F148 - G148) &lt;0,"$0.00",SUM(F148 - G148)*D148)</x:f>
        <x:v>7</x:v>
      </x:c>
      <x:c r="I148" s="75">
        <x:v>0.00</x:v>
      </x:c>
      <x:c r="J148" s="75">
        <x:f ca="1">SUM(F148* 0.014710)</x:f>
        <x:v>8</x:v>
      </x:c>
      <x:c r="K148" s="61">
        <x:f ca="1">SUM((J148-H148)+ I148)</x:f>
        <x:v>9</x:v>
      </x:c>
    </x:row>
    <x:row r="149" spans="1:11" ht="14.25" x14ac:dyDescent="0.3">
      <x:c r="A149" s="58" t="str">
        <x:v>Color Copier Color Pages</x:v>
      </x:c>
      <x:c r="B149" s="6">
        <x:v>0</x:v>
      </x:c>
      <x:c r="C149" s="6">
        <x:v>95,128</x:v>
      </x:c>
      <x:c r="D149" s="6">
        <x:v>$0.08471</x:v>
      </x:c>
      <x:c r="E149" s="185">
        <x:f ca="1">IF(B149=0,"",IF(C149="","",IF(C149&lt;B149,SUM((C149-B149)/B149),SUM((C149-B149)/B149))))</x:f>
        <x:v>5</x:v>
      </x:c>
      <x:c r="F149" s="6">
        <x:f ca="1">IF(C149="","",IF(B149="","",IF(SUM(C149-B149)&lt;0,"0",SUM(C149-B149))))</x:f>
        <x:v>6</x:v>
      </x:c>
      <x:c r="G149" s="6">
        <x:v>0</x:v>
      </x:c>
      <x:c r="H149" s="17">
        <x:f ca="1">IF(SUM(F149 - G149) &lt;0,"$0.00",SUM(F149 - G149)*D149)</x:f>
        <x:v>7</x:v>
      </x:c>
      <x:c r="I149" s="17">
        <x:v>0.00</x:v>
      </x:c>
      <x:c r="J149" s="17">
        <x:f ca="1">SUM(F149* 0.084710)</x:f>
        <x:v>8</x:v>
      </x:c>
      <x:c r="K149" s="59">
        <x:f ca="1">SUM((J149-H149)+ I149)</x:f>
        <x:v>9</x:v>
      </x:c>
    </x:row>
    <x:row r="150" spans="1:10" x14ac:dyDescent="0.25">
      <x:c r="A150" s="174"/>
      <x:c r="B150" s="174"/>
      <x:c r="C150" s="174"/>
      <x:c r="D150" s="174"/>
      <x:c r="E150" s="174"/>
      <x:c r="F150" s="174"/>
      <x:c r="G150" s="174"/>
      <x:c r="H150" s="174"/>
      <x:c r="I150" s="174"/>
      <x:c r="J150" s="174">
        <x:v>Revision Savings: </x:v>
      </x:c>
      <x:c r="K150" s="174">
        <x:f ca="1">SUM(K146:K149)</x:f>
      </x:c>
    </x:row>
    <x:row r="151" spans="1:11" ht="15" x14ac:dyDescent="0.3">
      <x:c r="A151" s="194" t="str">
        <x:v>5/31/2017</x:v>
      </x:c>
      <x:c r="B151" s="194"/>
      <x:c r="C151" s="194"/>
      <x:c r="D151" s="194"/>
      <x:c r="E151" s="194"/>
      <x:c r="F151" s="194"/>
      <x:c r="G151" s="194"/>
      <x:c r="H151" s="194"/>
      <x:c r="I151" s="194"/>
      <x:c r="J151" s="194"/>
      <x:c r="K151" s="194"/>
    </x:row>
    <x:row r="152">
      <x:c r="A152" s="47" t="str">
        <x:v>Meter Type Description</x:v>
      </x:c>
      <x:c r="B152" s="45" t="str">
        <x:v>Quarterly Contracted Volume</x:v>
      </x:c>
      <x:c r="C152" s="45" t="str">
        <x:v>Actual Quarterly Volume</x:v>
      </x:c>
      <x:c r="D152" s="45" t="str">
        <x:v>FPR Overage Rate</x:v>
      </x:c>
      <x:c r="E152" s="45" t="str">
        <x:v>% Volume Increase / Decrease</x:v>
      </x:c>
      <x:c r="F152" s="45" t="str">
        <x:v>Overage Volumes</x:v>
      </x:c>
      <x:c r="G152" s="45" t="str">
        <x:v>Rollover Volume</x:v>
      </x:c>
      <x:c r="H152" s="45" t="str">
        <x:v>Current Overage Expense</x:v>
      </x:c>
      <x:c r="I152" s="45" t="str">
        <x:v>Credits</x:v>
      </x:c>
      <x:c r="J152" s="45" t="str">
        <x:v>Overage Cost W/O FPR</x:v>
      </x:c>
      <x:c r="K152" s="46" t="str">
        <x:v>Net Overage Savings / Cost Increase</x:v>
      </x:c>
    </x:row>
    <x:row r="153" spans="1:11" ht="14.25" x14ac:dyDescent="0.3">
      <x:c r="A153" s="169" t="str">
        <x:v>B/W Copies</x:v>
      </x:c>
      <x:c r="B153" s="73">
        <x:v>0</x:v>
      </x:c>
      <x:c r="C153" s="73">
        <x:v>75,652</x:v>
      </x:c>
      <x:c r="D153" s="165" t="str">
        <x:v>$0.01171</x:v>
      </x:c>
      <x:c r="E153" s="181">
        <x:f ca="1">IF(B153=0,"",IF(C153="","",IF(C153&lt;B153,SUM((C153-B153)/B153),SUM((C153-B153)/B153))))</x:f>
        <x:v>5</x:v>
      </x:c>
      <x:c r="F153" s="73">
        <x:f ca="1">IF(C153="","",IF(B153="","",IF(SUM(C153-B153)&lt;0,"0",SUM(C153-B153))))</x:f>
        <x:v>6</x:v>
      </x:c>
      <x:c r="G153" s="73" t="n">
        <x:v>0</x:v>
      </x:c>
      <x:c r="H153" s="75">
        <x:f ca="1">IF(SUM(F153 - G153) &lt;0,"$0.00",SUM(F153 - G153)*D153)</x:f>
        <x:v>7</x:v>
      </x:c>
      <x:c r="I153" s="75">
        <x:v>0.00</x:v>
      </x:c>
      <x:c r="J153" s="75">
        <x:f ca="1">SUM(F153* 0.011710)</x:f>
        <x:v>8</x:v>
      </x:c>
      <x:c r="K153" s="61">
        <x:f ca="1">SUM((J153-H153)+ I153)</x:f>
        <x:v>9</x:v>
      </x:c>
    </x:row>
    <x:row r="154" spans="1:11" ht="14.25" x14ac:dyDescent="0.3">
      <x:c r="A154" s="58" t="str">
        <x:v>B/W Laser Prints</x:v>
      </x:c>
      <x:c r="B154" s="6">
        <x:v>0</x:v>
      </x:c>
      <x:c r="C154" s="6">
        <x:v>49,590</x:v>
      </x:c>
      <x:c r="D154" s="6">
        <x:v>$0.01971</x:v>
      </x:c>
      <x:c r="E154" s="185">
        <x:f ca="1">IF(B154=0,"",IF(C154="","",IF(C154&lt;B154,SUM((C154-B154)/B154),SUM((C154-B154)/B154))))</x:f>
        <x:v>5</x:v>
      </x:c>
      <x:c r="F154" s="6">
        <x:f ca="1">IF(C154="","",IF(B154="","",IF(SUM(C154-B154)&lt;0,"0",SUM(C154-B154))))</x:f>
        <x:v>6</x:v>
      </x:c>
      <x:c r="G154" s="6">
        <x:v>0</x:v>
      </x:c>
      <x:c r="H154" s="17">
        <x:f ca="1">IF(SUM(F154 - G154) &lt;0,"$0.00",SUM(F154 - G154)*D154)</x:f>
        <x:v>7</x:v>
      </x:c>
      <x:c r="I154" s="17">
        <x:v>0.00</x:v>
      </x:c>
      <x:c r="J154" s="17">
        <x:f ca="1">SUM(F154* 0.019710)</x:f>
        <x:v>8</x:v>
      </x:c>
      <x:c r="K154" s="59">
        <x:f ca="1">SUM((J154-H154)+ I154)</x:f>
        <x:v>9</x:v>
      </x:c>
    </x:row>
    <x:row r="155" spans="1:11" ht="14.25" x14ac:dyDescent="0.3">
      <x:c r="A155" s="169" t="str">
        <x:v>Color Copier B/W Pages</x:v>
      </x:c>
      <x:c r="B155" s="73">
        <x:v>0</x:v>
      </x:c>
      <x:c r="C155" s="73">
        <x:v>186,552</x:v>
      </x:c>
      <x:c r="D155" s="165" t="str">
        <x:v>$0.01471</x:v>
      </x:c>
      <x:c r="E155" s="181">
        <x:f ca="1">IF(B155=0,"",IF(C155="","",IF(C155&lt;B155,SUM((C155-B155)/B155),SUM((C155-B155)/B155))))</x:f>
        <x:v>5</x:v>
      </x:c>
      <x:c r="F155" s="73">
        <x:f ca="1">IF(C155="","",IF(B155="","",IF(SUM(C155-B155)&lt;0,"0",SUM(C155-B155))))</x:f>
        <x:v>6</x:v>
      </x:c>
      <x:c r="G155" s="73" t="n">
        <x:v>0</x:v>
      </x:c>
      <x:c r="H155" s="75">
        <x:f ca="1">IF(SUM(F155 - G155) &lt;0,"$0.00",SUM(F155 - G155)*D155)</x:f>
        <x:v>7</x:v>
      </x:c>
      <x:c r="I155" s="75">
        <x:v>0.00</x:v>
      </x:c>
      <x:c r="J155" s="75">
        <x:f ca="1">SUM(F155* 0.014710)</x:f>
        <x:v>8</x:v>
      </x:c>
      <x:c r="K155" s="61">
        <x:f ca="1">SUM((J155-H155)+ I155)</x:f>
        <x:v>9</x:v>
      </x:c>
    </x:row>
    <x:row r="156" spans="1:11" ht="14.25" x14ac:dyDescent="0.3">
      <x:c r="A156" s="58" t="str">
        <x:v>Color Copier Color Pages</x:v>
      </x:c>
      <x:c r="B156" s="6">
        <x:v>0</x:v>
      </x:c>
      <x:c r="C156" s="6">
        <x:v>74,821</x:v>
      </x:c>
      <x:c r="D156" s="6">
        <x:v>$0.08471</x:v>
      </x:c>
      <x:c r="E156" s="185">
        <x:f ca="1">IF(B156=0,"",IF(C156="","",IF(C156&lt;B156,SUM((C156-B156)/B156),SUM((C156-B156)/B156))))</x:f>
        <x:v>5</x:v>
      </x:c>
      <x:c r="F156" s="6">
        <x:f ca="1">IF(C156="","",IF(B156="","",IF(SUM(C156-B156)&lt;0,"0",SUM(C156-B156))))</x:f>
        <x:v>6</x:v>
      </x:c>
      <x:c r="G156" s="6">
        <x:v>0</x:v>
      </x:c>
      <x:c r="H156" s="17">
        <x:f ca="1">IF(SUM(F156 - G156) &lt;0,"$0.00",SUM(F156 - G156)*D156)</x:f>
        <x:v>7</x:v>
      </x:c>
      <x:c r="I156" s="17">
        <x:v>0.00</x:v>
      </x:c>
      <x:c r="J156" s="17">
        <x:f ca="1">SUM(F156* 0.084710)</x:f>
        <x:v>8</x:v>
      </x:c>
      <x:c r="K156" s="59">
        <x:f ca="1">SUM((J156-H156)+ I156)</x:f>
        <x:v>9</x:v>
      </x:c>
    </x:row>
    <x:row r="157" spans="1:10" x14ac:dyDescent="0.25">
      <x:c r="A157" s="174"/>
      <x:c r="B157" s="174"/>
      <x:c r="C157" s="174"/>
      <x:c r="D157" s="174"/>
      <x:c r="E157" s="174"/>
      <x:c r="F157" s="174"/>
      <x:c r="G157" s="174"/>
      <x:c r="H157" s="174"/>
      <x:c r="I157" s="174"/>
      <x:c r="J157" s="174">
        <x:v>Revision Savings: </x:v>
      </x:c>
      <x:c r="K157" s="174">
        <x:f ca="1">SUM(K153:K156)</x:f>
      </x:c>
    </x:row>
    <x:row r="158" spans="1:11" ht="15" x14ac:dyDescent="0.3">
      <x:c r="A158" s="194" t="str">
        <x:v>4/30/2017</x:v>
      </x:c>
      <x:c r="B158" s="194"/>
      <x:c r="C158" s="194"/>
      <x:c r="D158" s="194"/>
      <x:c r="E158" s="194"/>
      <x:c r="F158" s="194"/>
      <x:c r="G158" s="194"/>
      <x:c r="H158" s="194"/>
      <x:c r="I158" s="194"/>
      <x:c r="J158" s="194"/>
      <x:c r="K158" s="194"/>
    </x:row>
    <x:row r="159">
      <x:c r="A159" s="47" t="str">
        <x:v>Meter Type Description</x:v>
      </x:c>
      <x:c r="B159" s="45" t="str">
        <x:v>Quarterly Contracted Volume</x:v>
      </x:c>
      <x:c r="C159" s="45" t="str">
        <x:v>Actual Quarterly Volume</x:v>
      </x:c>
      <x:c r="D159" s="45" t="str">
        <x:v>FPR Overage Rate</x:v>
      </x:c>
      <x:c r="E159" s="45" t="str">
        <x:v>% Volume Increase / Decrease</x:v>
      </x:c>
      <x:c r="F159" s="45" t="str">
        <x:v>Overage Volumes</x:v>
      </x:c>
      <x:c r="G159" s="45" t="str">
        <x:v>Rollover Volume</x:v>
      </x:c>
      <x:c r="H159" s="45" t="str">
        <x:v>Current Overage Expense</x:v>
      </x:c>
      <x:c r="I159" s="45" t="str">
        <x:v>Credits</x:v>
      </x:c>
      <x:c r="J159" s="45" t="str">
        <x:v>Overage Cost W/O FPR</x:v>
      </x:c>
      <x:c r="K159" s="46" t="str">
        <x:v>Net Overage Savings / Cost Increase</x:v>
      </x:c>
    </x:row>
    <x:row r="160" spans="1:11" ht="14.25" x14ac:dyDescent="0.3">
      <x:c r="A160" s="169" t="str">
        <x:v>B/W Copies</x:v>
      </x:c>
      <x:c r="B160" s="73">
        <x:v>0</x:v>
      </x:c>
      <x:c r="C160" s="73">
        <x:v>103,630</x:v>
      </x:c>
      <x:c r="D160" s="165" t="str">
        <x:v>$0.01171</x:v>
      </x:c>
      <x:c r="E160" s="181">
        <x:f ca="1">IF(B160=0,"",IF(C160="","",IF(C160&lt;B160,SUM((C160-B160)/B160),SUM((C160-B160)/B160))))</x:f>
        <x:v>5</x:v>
      </x:c>
      <x:c r="F160" s="73">
        <x:f ca="1">IF(C160="","",IF(B160="","",IF(SUM(C160-B160)&lt;0,"0",SUM(C160-B160))))</x:f>
        <x:v>6</x:v>
      </x:c>
      <x:c r="G160" s="73" t="n">
        <x:v>0</x:v>
      </x:c>
      <x:c r="H160" s="75">
        <x:f ca="1">IF(SUM(F160 - G160) &lt;0,"$0.00",SUM(F160 - G160)*D160)</x:f>
        <x:v>7</x:v>
      </x:c>
      <x:c r="I160" s="75">
        <x:v>0.00</x:v>
      </x:c>
      <x:c r="J160" s="75">
        <x:f ca="1">SUM(F160* 0.011710)</x:f>
        <x:v>8</x:v>
      </x:c>
      <x:c r="K160" s="61">
        <x:f ca="1">SUM((J160-H160)+ I160)</x:f>
        <x:v>9</x:v>
      </x:c>
    </x:row>
    <x:row r="161" spans="1:11" ht="14.25" x14ac:dyDescent="0.3">
      <x:c r="A161" s="58" t="str">
        <x:v>B/W Laser Prints</x:v>
      </x:c>
      <x:c r="B161" s="6">
        <x:v>0</x:v>
      </x:c>
      <x:c r="C161" s="6">
        <x:v>68,956</x:v>
      </x:c>
      <x:c r="D161" s="6">
        <x:v>$0.01971</x:v>
      </x:c>
      <x:c r="E161" s="185">
        <x:f ca="1">IF(B161=0,"",IF(C161="","",IF(C161&lt;B161,SUM((C161-B161)/B161),SUM((C161-B161)/B161))))</x:f>
        <x:v>5</x:v>
      </x:c>
      <x:c r="F161" s="6">
        <x:f ca="1">IF(C161="","",IF(B161="","",IF(SUM(C161-B161)&lt;0,"0",SUM(C161-B161))))</x:f>
        <x:v>6</x:v>
      </x:c>
      <x:c r="G161" s="6">
        <x:v>0</x:v>
      </x:c>
      <x:c r="H161" s="17">
        <x:f ca="1">IF(SUM(F161 - G161) &lt;0,"$0.00",SUM(F161 - G161)*D161)</x:f>
        <x:v>7</x:v>
      </x:c>
      <x:c r="I161" s="17">
        <x:v>0.00</x:v>
      </x:c>
      <x:c r="J161" s="17">
        <x:f ca="1">SUM(F161* 0.019710)</x:f>
        <x:v>8</x:v>
      </x:c>
      <x:c r="K161" s="59">
        <x:f ca="1">SUM((J161-H161)+ I161)</x:f>
        <x:v>9</x:v>
      </x:c>
    </x:row>
    <x:row r="162" spans="1:11" ht="14.25" x14ac:dyDescent="0.3">
      <x:c r="A162" s="169" t="str">
        <x:v>Color Copier B/W Pages</x:v>
      </x:c>
      <x:c r="B162" s="73">
        <x:v>0</x:v>
      </x:c>
      <x:c r="C162" s="73">
        <x:v>262,520</x:v>
      </x:c>
      <x:c r="D162" s="165" t="str">
        <x:v>$0.01471</x:v>
      </x:c>
      <x:c r="E162" s="181">
        <x:f ca="1">IF(B162=0,"",IF(C162="","",IF(C162&lt;B162,SUM((C162-B162)/B162),SUM((C162-B162)/B162))))</x:f>
        <x:v>5</x:v>
      </x:c>
      <x:c r="F162" s="73">
        <x:f ca="1">IF(C162="","",IF(B162="","",IF(SUM(C162-B162)&lt;0,"0",SUM(C162-B162))))</x:f>
        <x:v>6</x:v>
      </x:c>
      <x:c r="G162" s="73" t="n">
        <x:v>0</x:v>
      </x:c>
      <x:c r="H162" s="75">
        <x:f ca="1">IF(SUM(F162 - G162) &lt;0,"$0.00",SUM(F162 - G162)*D162)</x:f>
        <x:v>7</x:v>
      </x:c>
      <x:c r="I162" s="75">
        <x:v>0.00</x:v>
      </x:c>
      <x:c r="J162" s="75">
        <x:f ca="1">SUM(F162* 0.014710)</x:f>
        <x:v>8</x:v>
      </x:c>
      <x:c r="K162" s="61">
        <x:f ca="1">SUM((J162-H162)+ I162)</x:f>
        <x:v>9</x:v>
      </x:c>
    </x:row>
    <x:row r="163" spans="1:11" ht="14.25" x14ac:dyDescent="0.3">
      <x:c r="A163" s="58" t="str">
        <x:v>Color Copier Color Pages</x:v>
      </x:c>
      <x:c r="B163" s="6">
        <x:v>0</x:v>
      </x:c>
      <x:c r="C163" s="6">
        <x:v>95,953</x:v>
      </x:c>
      <x:c r="D163" s="6">
        <x:v>$0.08471</x:v>
      </x:c>
      <x:c r="E163" s="185">
        <x:f ca="1">IF(B163=0,"",IF(C163="","",IF(C163&lt;B163,SUM((C163-B163)/B163),SUM((C163-B163)/B163))))</x:f>
        <x:v>5</x:v>
      </x:c>
      <x:c r="F163" s="6">
        <x:f ca="1">IF(C163="","",IF(B163="","",IF(SUM(C163-B163)&lt;0,"0",SUM(C163-B163))))</x:f>
        <x:v>6</x:v>
      </x:c>
      <x:c r="G163" s="6">
        <x:v>0</x:v>
      </x:c>
      <x:c r="H163" s="17">
        <x:f ca="1">IF(SUM(F163 - G163) &lt;0,"$0.00",SUM(F163 - G163)*D163)</x:f>
        <x:v>7</x:v>
      </x:c>
      <x:c r="I163" s="17">
        <x:v>0.00</x:v>
      </x:c>
      <x:c r="J163" s="17">
        <x:f ca="1">SUM(F163* 0.084710)</x:f>
        <x:v>8</x:v>
      </x:c>
      <x:c r="K163" s="59">
        <x:f ca="1">SUM((J163-H163)+ I163)</x:f>
        <x:v>9</x:v>
      </x:c>
    </x:row>
    <x:row r="164" spans="1:10" x14ac:dyDescent="0.25">
      <x:c r="A164" s="174"/>
      <x:c r="B164" s="174"/>
      <x:c r="C164" s="174"/>
      <x:c r="D164" s="174"/>
      <x:c r="E164" s="174"/>
      <x:c r="F164" s="174"/>
      <x:c r="G164" s="174"/>
      <x:c r="H164" s="174"/>
      <x:c r="I164" s="174"/>
      <x:c r="J164" s="174">
        <x:v>Revision Savings: </x:v>
      </x:c>
      <x:c r="K164" s="174">
        <x:f ca="1">SUM(K160:K163)</x:f>
      </x:c>
    </x:row>
    <x:row r="165" spans="1:11" ht="15" x14ac:dyDescent="0.3">
      <x:c r="A165" s="194" t="str">
        <x:v>3/31/2017</x:v>
      </x:c>
      <x:c r="B165" s="194"/>
      <x:c r="C165" s="194"/>
      <x:c r="D165" s="194"/>
      <x:c r="E165" s="194"/>
      <x:c r="F165" s="194"/>
      <x:c r="G165" s="194"/>
      <x:c r="H165" s="194"/>
      <x:c r="I165" s="194"/>
      <x:c r="J165" s="194"/>
      <x:c r="K165" s="194"/>
    </x:row>
    <x:row r="166">
      <x:c r="A166" s="47" t="str">
        <x:v>Meter Type Description</x:v>
      </x:c>
      <x:c r="B166" s="45" t="str">
        <x:v>Quarterly Contracted Volume</x:v>
      </x:c>
      <x:c r="C166" s="45" t="str">
        <x:v>Actual Quarterly Volume</x:v>
      </x:c>
      <x:c r="D166" s="45" t="str">
        <x:v>FPR Overage Rate</x:v>
      </x:c>
      <x:c r="E166" s="45" t="str">
        <x:v>% Volume Increase / Decrease</x:v>
      </x:c>
      <x:c r="F166" s="45" t="str">
        <x:v>Overage Volumes</x:v>
      </x:c>
      <x:c r="G166" s="45" t="str">
        <x:v>Rollover Volume</x:v>
      </x:c>
      <x:c r="H166" s="45" t="str">
        <x:v>Current Overage Expense</x:v>
      </x:c>
      <x:c r="I166" s="45" t="str">
        <x:v>Credits</x:v>
      </x:c>
      <x:c r="J166" s="45" t="str">
        <x:v>Overage Cost W/O FPR</x:v>
      </x:c>
      <x:c r="K166" s="46" t="str">
        <x:v>Net Overage Savings / Cost Increase</x:v>
      </x:c>
    </x:row>
    <x:row r="167" spans="1:11" ht="14.25" x14ac:dyDescent="0.3">
      <x:c r="A167" s="169" t="str">
        <x:v>B/W Copies</x:v>
      </x:c>
      <x:c r="B167" s="73">
        <x:v>0</x:v>
      </x:c>
      <x:c r="C167" s="73">
        <x:v>86,427</x:v>
      </x:c>
      <x:c r="D167" s="165" t="str">
        <x:v>$0.01171</x:v>
      </x:c>
      <x:c r="E167" s="181">
        <x:f ca="1">IF(B167=0,"",IF(C167="","",IF(C167&lt;B167,SUM((C167-B167)/B167),SUM((C167-B167)/B167))))</x:f>
        <x:v>5</x:v>
      </x:c>
      <x:c r="F167" s="73">
        <x:f ca="1">IF(C167="","",IF(B167="","",IF(SUM(C167-B167)&lt;0,"0",SUM(C167-B167))))</x:f>
        <x:v>6</x:v>
      </x:c>
      <x:c r="G167" s="73" t="n">
        <x:v>0</x:v>
      </x:c>
      <x:c r="H167" s="75">
        <x:f ca="1">IF(SUM(F167 - G167) &lt;0,"$0.00",SUM(F167 - G167)*D167)</x:f>
        <x:v>7</x:v>
      </x:c>
      <x:c r="I167" s="75">
        <x:v>0.00</x:v>
      </x:c>
      <x:c r="J167" s="75">
        <x:f ca="1">SUM(F167* 0.011710)</x:f>
        <x:v>8</x:v>
      </x:c>
      <x:c r="K167" s="61">
        <x:f ca="1">SUM((J167-H167)+ I167)</x:f>
        <x:v>9</x:v>
      </x:c>
    </x:row>
    <x:row r="168" spans="1:11" ht="14.25" x14ac:dyDescent="0.3">
      <x:c r="A168" s="58" t="str">
        <x:v>B/W Laser Prints</x:v>
      </x:c>
      <x:c r="B168" s="6">
        <x:v>0</x:v>
      </x:c>
      <x:c r="C168" s="6">
        <x:v>55,962</x:v>
      </x:c>
      <x:c r="D168" s="6">
        <x:v>$0.01971</x:v>
      </x:c>
      <x:c r="E168" s="185">
        <x:f ca="1">IF(B168=0,"",IF(C168="","",IF(C168&lt;B168,SUM((C168-B168)/B168),SUM((C168-B168)/B168))))</x:f>
        <x:v>5</x:v>
      </x:c>
      <x:c r="F168" s="6">
        <x:f ca="1">IF(C168="","",IF(B168="","",IF(SUM(C168-B168)&lt;0,"0",SUM(C168-B168))))</x:f>
        <x:v>6</x:v>
      </x:c>
      <x:c r="G168" s="6">
        <x:v>0</x:v>
      </x:c>
      <x:c r="H168" s="17">
        <x:f ca="1">IF(SUM(F168 - G168) &lt;0,"$0.00",SUM(F168 - G168)*D168)</x:f>
        <x:v>7</x:v>
      </x:c>
      <x:c r="I168" s="17">
        <x:v>0.00</x:v>
      </x:c>
      <x:c r="J168" s="17">
        <x:f ca="1">SUM(F168* 0.019710)</x:f>
        <x:v>8</x:v>
      </x:c>
      <x:c r="K168" s="59">
        <x:f ca="1">SUM((J168-H168)+ I168)</x:f>
        <x:v>9</x:v>
      </x:c>
    </x:row>
    <x:row r="169" spans="1:11" ht="14.25" x14ac:dyDescent="0.3">
      <x:c r="A169" s="169" t="str">
        <x:v>Color Copier B/W Pages</x:v>
      </x:c>
      <x:c r="B169" s="73">
        <x:v>0</x:v>
      </x:c>
      <x:c r="C169" s="73">
        <x:v>244,351</x:v>
      </x:c>
      <x:c r="D169" s="165" t="str">
        <x:v>$0.01471</x:v>
      </x:c>
      <x:c r="E169" s="181">
        <x:f ca="1">IF(B169=0,"",IF(C169="","",IF(C169&lt;B169,SUM((C169-B169)/B169),SUM((C169-B169)/B169))))</x:f>
        <x:v>5</x:v>
      </x:c>
      <x:c r="F169" s="73">
        <x:f ca="1">IF(C169="","",IF(B169="","",IF(SUM(C169-B169)&lt;0,"0",SUM(C169-B169))))</x:f>
        <x:v>6</x:v>
      </x:c>
      <x:c r="G169" s="73" t="n">
        <x:v>0</x:v>
      </x:c>
      <x:c r="H169" s="75">
        <x:f ca="1">IF(SUM(F169 - G169) &lt;0,"$0.00",SUM(F169 - G169)*D169)</x:f>
        <x:v>7</x:v>
      </x:c>
      <x:c r="I169" s="75">
        <x:v>0.00</x:v>
      </x:c>
      <x:c r="J169" s="75">
        <x:f ca="1">SUM(F169* 0.014710)</x:f>
        <x:v>8</x:v>
      </x:c>
      <x:c r="K169" s="61">
        <x:f ca="1">SUM((J169-H169)+ I169)</x:f>
        <x:v>9</x:v>
      </x:c>
    </x:row>
    <x:row r="170" spans="1:11" ht="14.25" x14ac:dyDescent="0.3">
      <x:c r="A170" s="58" t="str">
        <x:v>Color Copier Color Pages</x:v>
      </x:c>
      <x:c r="B170" s="6">
        <x:v>0</x:v>
      </x:c>
      <x:c r="C170" s="6">
        <x:v>85,051</x:v>
      </x:c>
      <x:c r="D170" s="6">
        <x:v>$0.08471</x:v>
      </x:c>
      <x:c r="E170" s="185">
        <x:f ca="1">IF(B170=0,"",IF(C170="","",IF(C170&lt;B170,SUM((C170-B170)/B170),SUM((C170-B170)/B170))))</x:f>
        <x:v>5</x:v>
      </x:c>
      <x:c r="F170" s="6">
        <x:f ca="1">IF(C170="","",IF(B170="","",IF(SUM(C170-B170)&lt;0,"0",SUM(C170-B170))))</x:f>
        <x:v>6</x:v>
      </x:c>
      <x:c r="G170" s="6">
        <x:v>0</x:v>
      </x:c>
      <x:c r="H170" s="17">
        <x:f ca="1">IF(SUM(F170 - G170) &lt;0,"$0.00",SUM(F170 - G170)*D170)</x:f>
        <x:v>7</x:v>
      </x:c>
      <x:c r="I170" s="17">
        <x:v>0.00</x:v>
      </x:c>
      <x:c r="J170" s="17">
        <x:f ca="1">SUM(F170* 0.084710)</x:f>
        <x:v>8</x:v>
      </x:c>
      <x:c r="K170" s="59">
        <x:f ca="1">SUM((J170-H170)+ I170)</x:f>
        <x:v>9</x:v>
      </x:c>
    </x:row>
    <x:row r="171" spans="1:10" x14ac:dyDescent="0.25">
      <x:c r="A171" s="174"/>
      <x:c r="B171" s="174"/>
      <x:c r="C171" s="174"/>
      <x:c r="D171" s="174"/>
      <x:c r="E171" s="174"/>
      <x:c r="F171" s="174"/>
      <x:c r="G171" s="174"/>
      <x:c r="H171" s="174"/>
      <x:c r="I171" s="174"/>
      <x:c r="J171" s="174">
        <x:v>Revision Savings: </x:v>
      </x:c>
      <x:c r="K171" s="174">
        <x:f ca="1">SUM(K167:K170)</x:f>
      </x:c>
    </x:row>
    <x:row r="172" spans="1:11" ht="15" x14ac:dyDescent="0.3">
      <x:c r="A172" s="194" t="str">
        <x:v>2/28/2017</x:v>
      </x:c>
      <x:c r="B172" s="194"/>
      <x:c r="C172" s="194"/>
      <x:c r="D172" s="194"/>
      <x:c r="E172" s="194"/>
      <x:c r="F172" s="194"/>
      <x:c r="G172" s="194"/>
      <x:c r="H172" s="194"/>
      <x:c r="I172" s="194"/>
      <x:c r="J172" s="194"/>
      <x:c r="K172" s="194"/>
    </x:row>
    <x:row r="173">
      <x:c r="A173" s="47" t="str">
        <x:v>Meter Type Description</x:v>
      </x:c>
      <x:c r="B173" s="45" t="str">
        <x:v>Quarterly Contracted Volume</x:v>
      </x:c>
      <x:c r="C173" s="45" t="str">
        <x:v>Actual Quarterly Volume</x:v>
      </x:c>
      <x:c r="D173" s="45" t="str">
        <x:v>FPR Overage Rate</x:v>
      </x:c>
      <x:c r="E173" s="45" t="str">
        <x:v>% Volume Increase / Decrease</x:v>
      </x:c>
      <x:c r="F173" s="45" t="str">
        <x:v>Overage Volumes</x:v>
      </x:c>
      <x:c r="G173" s="45" t="str">
        <x:v>Rollover Volume</x:v>
      </x:c>
      <x:c r="H173" s="45" t="str">
        <x:v>Current Overage Expense</x:v>
      </x:c>
      <x:c r="I173" s="45" t="str">
        <x:v>Credits</x:v>
      </x:c>
      <x:c r="J173" s="45" t="str">
        <x:v>Overage Cost W/O FPR</x:v>
      </x:c>
      <x:c r="K173" s="46" t="str">
        <x:v>Net Overage Savings / Cost Increase</x:v>
      </x:c>
    </x:row>
    <x:row r="174" spans="1:11" ht="14.25" x14ac:dyDescent="0.3">
      <x:c r="A174" s="169" t="str">
        <x:v>B/W Copies</x:v>
      </x:c>
      <x:c r="B174" s="73">
        <x:v>0</x:v>
      </x:c>
      <x:c r="C174" s="73">
        <x:v>80,136</x:v>
      </x:c>
      <x:c r="D174" s="165" t="str">
        <x:v>$0.01171</x:v>
      </x:c>
      <x:c r="E174" s="181">
        <x:f ca="1">IF(B174=0,"",IF(C174="","",IF(C174&lt;B174,SUM((C174-B174)/B174),SUM((C174-B174)/B174))))</x:f>
        <x:v>5</x:v>
      </x:c>
      <x:c r="F174" s="73">
        <x:f ca="1">IF(C174="","",IF(B174="","",IF(SUM(C174-B174)&lt;0,"0",SUM(C174-B174))))</x:f>
        <x:v>6</x:v>
      </x:c>
      <x:c r="G174" s="73" t="n">
        <x:v>0</x:v>
      </x:c>
      <x:c r="H174" s="75">
        <x:f ca="1">IF(SUM(F174 - G174) &lt;0,"$0.00",SUM(F174 - G174)*D174)</x:f>
        <x:v>7</x:v>
      </x:c>
      <x:c r="I174" s="75">
        <x:v>0.00</x:v>
      </x:c>
      <x:c r="J174" s="75">
        <x:f ca="1">SUM(F174* 0.011710)</x:f>
        <x:v>8</x:v>
      </x:c>
      <x:c r="K174" s="61">
        <x:f ca="1">SUM((J174-H174)+ I174)</x:f>
        <x:v>9</x:v>
      </x:c>
    </x:row>
    <x:row r="175" spans="1:11" ht="14.25" x14ac:dyDescent="0.3">
      <x:c r="A175" s="58" t="str">
        <x:v>B/W Laser Prints</x:v>
      </x:c>
      <x:c r="B175" s="6">
        <x:v>0</x:v>
      </x:c>
      <x:c r="C175" s="6">
        <x:v>52,582</x:v>
      </x:c>
      <x:c r="D175" s="6">
        <x:v>$0.01971</x:v>
      </x:c>
      <x:c r="E175" s="185">
        <x:f ca="1">IF(B175=0,"",IF(C175="","",IF(C175&lt;B175,SUM((C175-B175)/B175),SUM((C175-B175)/B175))))</x:f>
        <x:v>5</x:v>
      </x:c>
      <x:c r="F175" s="6">
        <x:f ca="1">IF(C175="","",IF(B175="","",IF(SUM(C175-B175)&lt;0,"0",SUM(C175-B175))))</x:f>
        <x:v>6</x:v>
      </x:c>
      <x:c r="G175" s="6">
        <x:v>0</x:v>
      </x:c>
      <x:c r="H175" s="17">
        <x:f ca="1">IF(SUM(F175 - G175) &lt;0,"$0.00",SUM(F175 - G175)*D175)</x:f>
        <x:v>7</x:v>
      </x:c>
      <x:c r="I175" s="17">
        <x:v>0.00</x:v>
      </x:c>
      <x:c r="J175" s="17">
        <x:f ca="1">SUM(F175* 0.019710)</x:f>
        <x:v>8</x:v>
      </x:c>
      <x:c r="K175" s="59">
        <x:f ca="1">SUM((J175-H175)+ I175)</x:f>
        <x:v>9</x:v>
      </x:c>
    </x:row>
    <x:row r="176" spans="1:11" ht="14.25" x14ac:dyDescent="0.3">
      <x:c r="A176" s="169" t="str">
        <x:v>Color Copier B/W Pages</x:v>
      </x:c>
      <x:c r="B176" s="73">
        <x:v>0</x:v>
      </x:c>
      <x:c r="C176" s="73">
        <x:v>208,654</x:v>
      </x:c>
      <x:c r="D176" s="165" t="str">
        <x:v>$0.01471</x:v>
      </x:c>
      <x:c r="E176" s="181">
        <x:f ca="1">IF(B176=0,"",IF(C176="","",IF(C176&lt;B176,SUM((C176-B176)/B176),SUM((C176-B176)/B176))))</x:f>
        <x:v>5</x:v>
      </x:c>
      <x:c r="F176" s="73">
        <x:f ca="1">IF(C176="","",IF(B176="","",IF(SUM(C176-B176)&lt;0,"0",SUM(C176-B176))))</x:f>
        <x:v>6</x:v>
      </x:c>
      <x:c r="G176" s="73" t="n">
        <x:v>0</x:v>
      </x:c>
      <x:c r="H176" s="75">
        <x:f ca="1">IF(SUM(F176 - G176) &lt;0,"$0.00",SUM(F176 - G176)*D176)</x:f>
        <x:v>7</x:v>
      </x:c>
      <x:c r="I176" s="75">
        <x:v>0.00</x:v>
      </x:c>
      <x:c r="J176" s="75">
        <x:f ca="1">SUM(F176* 0.014710)</x:f>
        <x:v>8</x:v>
      </x:c>
      <x:c r="K176" s="61">
        <x:f ca="1">SUM((J176-H176)+ I176)</x:f>
        <x:v>9</x:v>
      </x:c>
    </x:row>
    <x:row r="177" spans="1:11" ht="14.25" x14ac:dyDescent="0.3">
      <x:c r="A177" s="58" t="str">
        <x:v>Color Copier Color Pages</x:v>
      </x:c>
      <x:c r="B177" s="6">
        <x:v>0</x:v>
      </x:c>
      <x:c r="C177" s="6">
        <x:v>75,412</x:v>
      </x:c>
      <x:c r="D177" s="6">
        <x:v>$0.08471</x:v>
      </x:c>
      <x:c r="E177" s="185">
        <x:f ca="1">IF(B177=0,"",IF(C177="","",IF(C177&lt;B177,SUM((C177-B177)/B177),SUM((C177-B177)/B177))))</x:f>
        <x:v>5</x:v>
      </x:c>
      <x:c r="F177" s="6">
        <x:f ca="1">IF(C177="","",IF(B177="","",IF(SUM(C177-B177)&lt;0,"0",SUM(C177-B177))))</x:f>
        <x:v>6</x:v>
      </x:c>
      <x:c r="G177" s="6">
        <x:v>0</x:v>
      </x:c>
      <x:c r="H177" s="17">
        <x:f ca="1">IF(SUM(F177 - G177) &lt;0,"$0.00",SUM(F177 - G177)*D177)</x:f>
        <x:v>7</x:v>
      </x:c>
      <x:c r="I177" s="17">
        <x:v>0.00</x:v>
      </x:c>
      <x:c r="J177" s="17">
        <x:f ca="1">SUM(F177* 0.084710)</x:f>
        <x:v>8</x:v>
      </x:c>
      <x:c r="K177" s="59">
        <x:f ca="1">SUM((J177-H177)+ I177)</x:f>
        <x:v>9</x:v>
      </x:c>
    </x:row>
    <x:row r="178" spans="1:10" x14ac:dyDescent="0.25">
      <x:c r="A178" s="174"/>
      <x:c r="B178" s="174"/>
      <x:c r="C178" s="174"/>
      <x:c r="D178" s="174"/>
      <x:c r="E178" s="174"/>
      <x:c r="F178" s="174"/>
      <x:c r="G178" s="174"/>
      <x:c r="H178" s="174"/>
      <x:c r="I178" s="174"/>
      <x:c r="J178" s="174">
        <x:v>Revision Savings: </x:v>
      </x:c>
      <x:c r="K178" s="174">
        <x:f ca="1">SUM(K174:K177)</x:f>
      </x:c>
    </x:row>
    <x:row r="179" spans="1:11" ht="15" x14ac:dyDescent="0.3">
      <x:c r="A179" s="194" t="str">
        <x:v>1/31/2017</x:v>
      </x:c>
      <x:c r="B179" s="194"/>
      <x:c r="C179" s="194"/>
      <x:c r="D179" s="194"/>
      <x:c r="E179" s="194"/>
      <x:c r="F179" s="194"/>
      <x:c r="G179" s="194"/>
      <x:c r="H179" s="194"/>
      <x:c r="I179" s="194"/>
      <x:c r="J179" s="194"/>
      <x:c r="K179" s="194"/>
    </x:row>
    <x:row r="180">
      <x:c r="A180" s="47" t="str">
        <x:v>Meter Type Description</x:v>
      </x:c>
      <x:c r="B180" s="45" t="str">
        <x:v>Quarterly Contracted Volume</x:v>
      </x:c>
      <x:c r="C180" s="45" t="str">
        <x:v>Actual Quarterly Volume</x:v>
      </x:c>
      <x:c r="D180" s="45" t="str">
        <x:v>FPR Overage Rate</x:v>
      </x:c>
      <x:c r="E180" s="45" t="str">
        <x:v>% Volume Increase / Decrease</x:v>
      </x:c>
      <x:c r="F180" s="45" t="str">
        <x:v>Overage Volumes</x:v>
      </x:c>
      <x:c r="G180" s="45" t="str">
        <x:v>Rollover Volume</x:v>
      </x:c>
      <x:c r="H180" s="45" t="str">
        <x:v>Current Overage Expense</x:v>
      </x:c>
      <x:c r="I180" s="45" t="str">
        <x:v>Credits</x:v>
      </x:c>
      <x:c r="J180" s="45" t="str">
        <x:v>Overage Cost W/O FPR</x:v>
      </x:c>
      <x:c r="K180" s="46" t="str">
        <x:v>Net Overage Savings / Cost Increase</x:v>
      </x:c>
    </x:row>
    <x:row r="181" spans="1:11" ht="14.25" x14ac:dyDescent="0.3">
      <x:c r="A181" s="169" t="str">
        <x:v>B/W Copies</x:v>
      </x:c>
      <x:c r="B181" s="73">
        <x:v>0</x:v>
      </x:c>
      <x:c r="C181" s="73">
        <x:v>84,595</x:v>
      </x:c>
      <x:c r="D181" s="165" t="str">
        <x:v>$0.01171</x:v>
      </x:c>
      <x:c r="E181" s="181">
        <x:f ca="1">IF(B181=0,"",IF(C181="","",IF(C181&lt;B181,SUM((C181-B181)/B181),SUM((C181-B181)/B181))))</x:f>
        <x:v>5</x:v>
      </x:c>
      <x:c r="F181" s="73">
        <x:f ca="1">IF(C181="","",IF(B181="","",IF(SUM(C181-B181)&lt;0,"0",SUM(C181-B181))))</x:f>
        <x:v>6</x:v>
      </x:c>
      <x:c r="G181" s="73" t="n">
        <x:v>0</x:v>
      </x:c>
      <x:c r="H181" s="75">
        <x:f ca="1">IF(SUM(F181 - G181) &lt;0,"$0.00",SUM(F181 - G181)*D181)</x:f>
        <x:v>7</x:v>
      </x:c>
      <x:c r="I181" s="75">
        <x:v>0.00</x:v>
      </x:c>
      <x:c r="J181" s="75">
        <x:f ca="1">SUM(F181* 0.011710)</x:f>
        <x:v>8</x:v>
      </x:c>
      <x:c r="K181" s="61">
        <x:f ca="1">SUM((J181-H181)+ I181)</x:f>
        <x:v>9</x:v>
      </x:c>
    </x:row>
    <x:row r="182" spans="1:11" ht="14.25" x14ac:dyDescent="0.3">
      <x:c r="A182" s="58" t="str">
        <x:v>B/W Laser Prints</x:v>
      </x:c>
      <x:c r="B182" s="6">
        <x:v>0</x:v>
      </x:c>
      <x:c r="C182" s="6">
        <x:v>70,840</x:v>
      </x:c>
      <x:c r="D182" s="6">
        <x:v>$0.01971</x:v>
      </x:c>
      <x:c r="E182" s="185">
        <x:f ca="1">IF(B182=0,"",IF(C182="","",IF(C182&lt;B182,SUM((C182-B182)/B182),SUM((C182-B182)/B182))))</x:f>
        <x:v>5</x:v>
      </x:c>
      <x:c r="F182" s="6">
        <x:f ca="1">IF(C182="","",IF(B182="","",IF(SUM(C182-B182)&lt;0,"0",SUM(C182-B182))))</x:f>
        <x:v>6</x:v>
      </x:c>
      <x:c r="G182" s="6">
        <x:v>0</x:v>
      </x:c>
      <x:c r="H182" s="17">
        <x:f ca="1">IF(SUM(F182 - G182) &lt;0,"$0.00",SUM(F182 - G182)*D182)</x:f>
        <x:v>7</x:v>
      </x:c>
      <x:c r="I182" s="17">
        <x:v>0.00</x:v>
      </x:c>
      <x:c r="J182" s="17">
        <x:f ca="1">SUM(F182* 0.019710)</x:f>
        <x:v>8</x:v>
      </x:c>
      <x:c r="K182" s="59">
        <x:f ca="1">SUM((J182-H182)+ I182)</x:f>
        <x:v>9</x:v>
      </x:c>
    </x:row>
    <x:row r="183" spans="1:11" ht="14.25" x14ac:dyDescent="0.3">
      <x:c r="A183" s="169" t="str">
        <x:v>Color Copier B/W Pages</x:v>
      </x:c>
      <x:c r="B183" s="73">
        <x:v>0</x:v>
      </x:c>
      <x:c r="C183" s="73">
        <x:v>207,904</x:v>
      </x:c>
      <x:c r="D183" s="165" t="str">
        <x:v>$0.01471</x:v>
      </x:c>
      <x:c r="E183" s="181">
        <x:f ca="1">IF(B183=0,"",IF(C183="","",IF(C183&lt;B183,SUM((C183-B183)/B183),SUM((C183-B183)/B183))))</x:f>
        <x:v>5</x:v>
      </x:c>
      <x:c r="F183" s="73">
        <x:f ca="1">IF(C183="","",IF(B183="","",IF(SUM(C183-B183)&lt;0,"0",SUM(C183-B183))))</x:f>
        <x:v>6</x:v>
      </x:c>
      <x:c r="G183" s="73" t="n">
        <x:v>0</x:v>
      </x:c>
      <x:c r="H183" s="75">
        <x:f ca="1">IF(SUM(F183 - G183) &lt;0,"$0.00",SUM(F183 - G183)*D183)</x:f>
        <x:v>7</x:v>
      </x:c>
      <x:c r="I183" s="75">
        <x:v>0.00</x:v>
      </x:c>
      <x:c r="J183" s="75">
        <x:f ca="1">SUM(F183* 0.014710)</x:f>
        <x:v>8</x:v>
      </x:c>
      <x:c r="K183" s="61">
        <x:f ca="1">SUM((J183-H183)+ I183)</x:f>
        <x:v>9</x:v>
      </x:c>
    </x:row>
    <x:row r="184" spans="1:11" ht="14.25" x14ac:dyDescent="0.3">
      <x:c r="A184" s="58" t="str">
        <x:v>Color Copier Color Pages</x:v>
      </x:c>
      <x:c r="B184" s="6">
        <x:v>0</x:v>
      </x:c>
      <x:c r="C184" s="6">
        <x:v>76,613</x:v>
      </x:c>
      <x:c r="D184" s="6">
        <x:v>$0.08471</x:v>
      </x:c>
      <x:c r="E184" s="185">
        <x:f ca="1">IF(B184=0,"",IF(C184="","",IF(C184&lt;B184,SUM((C184-B184)/B184),SUM((C184-B184)/B184))))</x:f>
        <x:v>5</x:v>
      </x:c>
      <x:c r="F184" s="6">
        <x:f ca="1">IF(C184="","",IF(B184="","",IF(SUM(C184-B184)&lt;0,"0",SUM(C184-B184))))</x:f>
        <x:v>6</x:v>
      </x:c>
      <x:c r="G184" s="6">
        <x:v>0</x:v>
      </x:c>
      <x:c r="H184" s="17">
        <x:f ca="1">IF(SUM(F184 - G184) &lt;0,"$0.00",SUM(F184 - G184)*D184)</x:f>
        <x:v>7</x:v>
      </x:c>
      <x:c r="I184" s="17">
        <x:v>0.00</x:v>
      </x:c>
      <x:c r="J184" s="17">
        <x:f ca="1">SUM(F184* 0.084710)</x:f>
        <x:v>8</x:v>
      </x:c>
      <x:c r="K184" s="59">
        <x:f ca="1">SUM((J184-H184)+ I184)</x:f>
        <x:v>9</x:v>
      </x:c>
    </x:row>
    <x:row r="185" spans="1:10" x14ac:dyDescent="0.25">
      <x:c r="A185" s="174"/>
      <x:c r="B185" s="174"/>
      <x:c r="C185" s="174"/>
      <x:c r="D185" s="174"/>
      <x:c r="E185" s="174"/>
      <x:c r="F185" s="174"/>
      <x:c r="G185" s="174"/>
      <x:c r="H185" s="174"/>
      <x:c r="I185" s="174"/>
      <x:c r="J185" s="174">
        <x:v>Revision Savings: </x:v>
      </x:c>
      <x:c r="K185" s="174">
        <x:f ca="1">SUM(K181:K184)</x:f>
      </x:c>
    </x:row>
    <x:row r="186" spans="1:11" ht="15" x14ac:dyDescent="0.3">
      <x:c r="A186" s="194" t="str">
        <x:v>12/31/2016</x:v>
      </x:c>
      <x:c r="B186" s="194"/>
      <x:c r="C186" s="194"/>
      <x:c r="D186" s="194"/>
      <x:c r="E186" s="194"/>
      <x:c r="F186" s="194"/>
      <x:c r="G186" s="194"/>
      <x:c r="H186" s="194"/>
      <x:c r="I186" s="194"/>
      <x:c r="J186" s="194"/>
      <x:c r="K186" s="194"/>
    </x:row>
    <x:row r="187">
      <x:c r="A187" s="47" t="str">
        <x:v>Meter Type Description</x:v>
      </x:c>
      <x:c r="B187" s="45" t="str">
        <x:v>Quarterly Contracted Volume</x:v>
      </x:c>
      <x:c r="C187" s="45" t="str">
        <x:v>Actual Quarterly Volume</x:v>
      </x:c>
      <x:c r="D187" s="45" t="str">
        <x:v>FPR Overage Rate</x:v>
      </x:c>
      <x:c r="E187" s="45" t="str">
        <x:v>% Volume Increase / Decrease</x:v>
      </x:c>
      <x:c r="F187" s="45" t="str">
        <x:v>Overage Volumes</x:v>
      </x:c>
      <x:c r="G187" s="45" t="str">
        <x:v>Rollover Volume</x:v>
      </x:c>
      <x:c r="H187" s="45" t="str">
        <x:v>Current Overage Expense</x:v>
      </x:c>
      <x:c r="I187" s="45" t="str">
        <x:v>Credits</x:v>
      </x:c>
      <x:c r="J187" s="45" t="str">
        <x:v>Overage Cost W/O FPR</x:v>
      </x:c>
      <x:c r="K187" s="46" t="str">
        <x:v>Net Overage Savings / Cost Increase</x:v>
      </x:c>
    </x:row>
    <x:row r="188" spans="1:11" ht="14.25" x14ac:dyDescent="0.3">
      <x:c r="A188" s="169" t="str">
        <x:v>B/W Copies</x:v>
      </x:c>
      <x:c r="B188" s="73">
        <x:v>0</x:v>
      </x:c>
      <x:c r="C188" s="73">
        <x:v>71,636</x:v>
      </x:c>
      <x:c r="D188" s="165" t="str">
        <x:v>$0.01171</x:v>
      </x:c>
      <x:c r="E188" s="181">
        <x:f ca="1">IF(B188=0,"",IF(C188="","",IF(C188&lt;B188,SUM((C188-B188)/B188),SUM((C188-B188)/B188))))</x:f>
        <x:v>5</x:v>
      </x:c>
      <x:c r="F188" s="73">
        <x:f ca="1">IF(C188="","",IF(B188="","",IF(SUM(C188-B188)&lt;0,"0",SUM(C188-B188))))</x:f>
        <x:v>6</x:v>
      </x:c>
      <x:c r="G188" s="73" t="n">
        <x:v>0</x:v>
      </x:c>
      <x:c r="H188" s="75">
        <x:f ca="1">IF(SUM(F188 - G188) &lt;0,"$0.00",SUM(F188 - G188)*D188)</x:f>
        <x:v>7</x:v>
      </x:c>
      <x:c r="I188" s="75">
        <x:v>0.00</x:v>
      </x:c>
      <x:c r="J188" s="75">
        <x:f ca="1">SUM(F188* 0.011710)</x:f>
        <x:v>8</x:v>
      </x:c>
      <x:c r="K188" s="61">
        <x:f ca="1">SUM((J188-H188)+ I188)</x:f>
        <x:v>9</x:v>
      </x:c>
    </x:row>
    <x:row r="189" spans="1:11" ht="14.25" x14ac:dyDescent="0.3">
      <x:c r="A189" s="58" t="str">
        <x:v>B/W Laser Prints</x:v>
      </x:c>
      <x:c r="B189" s="6">
        <x:v>0</x:v>
      </x:c>
      <x:c r="C189" s="6">
        <x:v>51,374</x:v>
      </x:c>
      <x:c r="D189" s="6">
        <x:v>$0.01971</x:v>
      </x:c>
      <x:c r="E189" s="185">
        <x:f ca="1">IF(B189=0,"",IF(C189="","",IF(C189&lt;B189,SUM((C189-B189)/B189),SUM((C189-B189)/B189))))</x:f>
        <x:v>5</x:v>
      </x:c>
      <x:c r="F189" s="6">
        <x:f ca="1">IF(C189="","",IF(B189="","",IF(SUM(C189-B189)&lt;0,"0",SUM(C189-B189))))</x:f>
        <x:v>6</x:v>
      </x:c>
      <x:c r="G189" s="6">
        <x:v>0</x:v>
      </x:c>
      <x:c r="H189" s="17">
        <x:f ca="1">IF(SUM(F189 - G189) &lt;0,"$0.00",SUM(F189 - G189)*D189)</x:f>
        <x:v>7</x:v>
      </x:c>
      <x:c r="I189" s="17">
        <x:v>0.00</x:v>
      </x:c>
      <x:c r="J189" s="17">
        <x:f ca="1">SUM(F189* 0.019710)</x:f>
        <x:v>8</x:v>
      </x:c>
      <x:c r="K189" s="59">
        <x:f ca="1">SUM((J189-H189)+ I189)</x:f>
        <x:v>9</x:v>
      </x:c>
    </x:row>
    <x:row r="190" spans="1:11" ht="14.25" x14ac:dyDescent="0.3">
      <x:c r="A190" s="169" t="str">
        <x:v>Color Copier B/W Pages</x:v>
      </x:c>
      <x:c r="B190" s="73">
        <x:v>0</x:v>
      </x:c>
      <x:c r="C190" s="73">
        <x:v>194,379</x:v>
      </x:c>
      <x:c r="D190" s="165" t="str">
        <x:v>$0.01471</x:v>
      </x:c>
      <x:c r="E190" s="181">
        <x:f ca="1">IF(B190=0,"",IF(C190="","",IF(C190&lt;B190,SUM((C190-B190)/B190),SUM((C190-B190)/B190))))</x:f>
        <x:v>5</x:v>
      </x:c>
      <x:c r="F190" s="73">
        <x:f ca="1">IF(C190="","",IF(B190="","",IF(SUM(C190-B190)&lt;0,"0",SUM(C190-B190))))</x:f>
        <x:v>6</x:v>
      </x:c>
      <x:c r="G190" s="73" t="n">
        <x:v>0</x:v>
      </x:c>
      <x:c r="H190" s="75">
        <x:f ca="1">IF(SUM(F190 - G190) &lt;0,"$0.00",SUM(F190 - G190)*D190)</x:f>
        <x:v>7</x:v>
      </x:c>
      <x:c r="I190" s="75">
        <x:v>0.00</x:v>
      </x:c>
      <x:c r="J190" s="75">
        <x:f ca="1">SUM(F190* 0.014710)</x:f>
        <x:v>8</x:v>
      </x:c>
      <x:c r="K190" s="61">
        <x:f ca="1">SUM((J190-H190)+ I190)</x:f>
        <x:v>9</x:v>
      </x:c>
    </x:row>
    <x:row r="191" spans="1:11" ht="14.25" x14ac:dyDescent="0.3">
      <x:c r="A191" s="58" t="str">
        <x:v>Color Copier Color Pages</x:v>
      </x:c>
      <x:c r="B191" s="6">
        <x:v>0</x:v>
      </x:c>
      <x:c r="C191" s="6">
        <x:v>64,452</x:v>
      </x:c>
      <x:c r="D191" s="6">
        <x:v>$0.08471</x:v>
      </x:c>
      <x:c r="E191" s="185">
        <x:f ca="1">IF(B191=0,"",IF(C191="","",IF(C191&lt;B191,SUM((C191-B191)/B191),SUM((C191-B191)/B191))))</x:f>
        <x:v>5</x:v>
      </x:c>
      <x:c r="F191" s="6">
        <x:f ca="1">IF(C191="","",IF(B191="","",IF(SUM(C191-B191)&lt;0,"0",SUM(C191-B191))))</x:f>
        <x:v>6</x:v>
      </x:c>
      <x:c r="G191" s="6">
        <x:v>0</x:v>
      </x:c>
      <x:c r="H191" s="17">
        <x:f ca="1">IF(SUM(F191 - G191) &lt;0,"$0.00",SUM(F191 - G191)*D191)</x:f>
        <x:v>7</x:v>
      </x:c>
      <x:c r="I191" s="17">
        <x:v>0.00</x:v>
      </x:c>
      <x:c r="J191" s="17">
        <x:f ca="1">SUM(F191* 0.084710)</x:f>
        <x:v>8</x:v>
      </x:c>
      <x:c r="K191" s="59">
        <x:f ca="1">SUM((J191-H191)+ I191)</x:f>
        <x:v>9</x:v>
      </x:c>
    </x:row>
    <x:row r="192" spans="1:10" x14ac:dyDescent="0.25">
      <x:c r="A192" s="174"/>
      <x:c r="B192" s="174"/>
      <x:c r="C192" s="174"/>
      <x:c r="D192" s="174"/>
      <x:c r="E192" s="174"/>
      <x:c r="F192" s="174"/>
      <x:c r="G192" s="174"/>
      <x:c r="H192" s="174"/>
      <x:c r="I192" s="174"/>
      <x:c r="J192" s="174">
        <x:v>Revision Savings: </x:v>
      </x:c>
      <x:c r="K192" s="174">
        <x:f ca="1">SUM(K188:K191)</x:f>
      </x:c>
    </x:row>
    <x:row r="193" spans="1:11" ht="15" x14ac:dyDescent="0.3">
      <x:c r="A193" s="194" t="str">
        <x:v>11/30/2016</x:v>
      </x:c>
      <x:c r="B193" s="194"/>
      <x:c r="C193" s="194"/>
      <x:c r="D193" s="194"/>
      <x:c r="E193" s="194"/>
      <x:c r="F193" s="194"/>
      <x:c r="G193" s="194"/>
      <x:c r="H193" s="194"/>
      <x:c r="I193" s="194"/>
      <x:c r="J193" s="194"/>
      <x:c r="K193" s="194"/>
    </x:row>
    <x:row r="194">
      <x:c r="A194" s="47" t="str">
        <x:v>Meter Type Description</x:v>
      </x:c>
      <x:c r="B194" s="45" t="str">
        <x:v>Quarterly Contracted Volume</x:v>
      </x:c>
      <x:c r="C194" s="45" t="str">
        <x:v>Actual Quarterly Volume</x:v>
      </x:c>
      <x:c r="D194" s="45" t="str">
        <x:v>FPR Overage Rate</x:v>
      </x:c>
      <x:c r="E194" s="45" t="str">
        <x:v>% Volume Increase / Decrease</x:v>
      </x:c>
      <x:c r="F194" s="45" t="str">
        <x:v>Overage Volumes</x:v>
      </x:c>
      <x:c r="G194" s="45" t="str">
        <x:v>Rollover Volume</x:v>
      </x:c>
      <x:c r="H194" s="45" t="str">
        <x:v>Current Overage Expense</x:v>
      </x:c>
      <x:c r="I194" s="45" t="str">
        <x:v>Credits</x:v>
      </x:c>
      <x:c r="J194" s="45" t="str">
        <x:v>Overage Cost W/O FPR</x:v>
      </x:c>
      <x:c r="K194" s="46" t="str">
        <x:v>Net Overage Savings / Cost Increase</x:v>
      </x:c>
    </x:row>
    <x:row r="195" spans="1:11" ht="14.25" x14ac:dyDescent="0.3">
      <x:c r="A195" s="169" t="str">
        <x:v>B/W Copies</x:v>
      </x:c>
      <x:c r="B195" s="73">
        <x:v>0</x:v>
      </x:c>
      <x:c r="C195" s="73">
        <x:v>76,153</x:v>
      </x:c>
      <x:c r="D195" s="165" t="str">
        <x:v>$0.01171</x:v>
      </x:c>
      <x:c r="E195" s="181">
        <x:f ca="1">IF(B195=0,"",IF(C195="","",IF(C195&lt;B195,SUM((C195-B195)/B195),SUM((C195-B195)/B195))))</x:f>
        <x:v>5</x:v>
      </x:c>
      <x:c r="F195" s="73">
        <x:f ca="1">IF(C195="","",IF(B195="","",IF(SUM(C195-B195)&lt;0,"0",SUM(C195-B195))))</x:f>
        <x:v>6</x:v>
      </x:c>
      <x:c r="G195" s="73" t="n">
        <x:v>0</x:v>
      </x:c>
      <x:c r="H195" s="75">
        <x:f ca="1">IF(SUM(F195 - G195) &lt;0,"$0.00",SUM(F195 - G195)*D195)</x:f>
        <x:v>7</x:v>
      </x:c>
      <x:c r="I195" s="75">
        <x:v>0.00</x:v>
      </x:c>
      <x:c r="J195" s="75">
        <x:f ca="1">SUM(F195* 0.011710)</x:f>
        <x:v>8</x:v>
      </x:c>
      <x:c r="K195" s="61">
        <x:f ca="1">SUM((J195-H195)+ I195)</x:f>
        <x:v>9</x:v>
      </x:c>
    </x:row>
    <x:row r="196" spans="1:11" ht="14.25" x14ac:dyDescent="0.3">
      <x:c r="A196" s="58" t="str">
        <x:v>B/W Laser Prints</x:v>
      </x:c>
      <x:c r="B196" s="6">
        <x:v>0</x:v>
      </x:c>
      <x:c r="C196" s="6">
        <x:v>51,349</x:v>
      </x:c>
      <x:c r="D196" s="6">
        <x:v>$0.01971</x:v>
      </x:c>
      <x:c r="E196" s="185">
        <x:f ca="1">IF(B196=0,"",IF(C196="","",IF(C196&lt;B196,SUM((C196-B196)/B196),SUM((C196-B196)/B196))))</x:f>
        <x:v>5</x:v>
      </x:c>
      <x:c r="F196" s="6">
        <x:f ca="1">IF(C196="","",IF(B196="","",IF(SUM(C196-B196)&lt;0,"0",SUM(C196-B196))))</x:f>
        <x:v>6</x:v>
      </x:c>
      <x:c r="G196" s="6">
        <x:v>0</x:v>
      </x:c>
      <x:c r="H196" s="17">
        <x:f ca="1">IF(SUM(F196 - G196) &lt;0,"$0.00",SUM(F196 - G196)*D196)</x:f>
        <x:v>7</x:v>
      </x:c>
      <x:c r="I196" s="17">
        <x:v>0.00</x:v>
      </x:c>
      <x:c r="J196" s="17">
        <x:f ca="1">SUM(F196* 0.019710)</x:f>
        <x:v>8</x:v>
      </x:c>
      <x:c r="K196" s="59">
        <x:f ca="1">SUM((J196-H196)+ I196)</x:f>
        <x:v>9</x:v>
      </x:c>
    </x:row>
    <x:row r="197" spans="1:11" ht="14.25" x14ac:dyDescent="0.3">
      <x:c r="A197" s="169" t="str">
        <x:v>Color Copier B/W Pages</x:v>
      </x:c>
      <x:c r="B197" s="73">
        <x:v>0</x:v>
      </x:c>
      <x:c r="C197" s="73">
        <x:v>193,074</x:v>
      </x:c>
      <x:c r="D197" s="165" t="str">
        <x:v>$0.01471</x:v>
      </x:c>
      <x:c r="E197" s="181">
        <x:f ca="1">IF(B197=0,"",IF(C197="","",IF(C197&lt;B197,SUM((C197-B197)/B197),SUM((C197-B197)/B197))))</x:f>
        <x:v>5</x:v>
      </x:c>
      <x:c r="F197" s="73">
        <x:f ca="1">IF(C197="","",IF(B197="","",IF(SUM(C197-B197)&lt;0,"0",SUM(C197-B197))))</x:f>
        <x:v>6</x:v>
      </x:c>
      <x:c r="G197" s="73" t="n">
        <x:v>0</x:v>
      </x:c>
      <x:c r="H197" s="75">
        <x:f ca="1">IF(SUM(F197 - G197) &lt;0,"$0.00",SUM(F197 - G197)*D197)</x:f>
        <x:v>7</x:v>
      </x:c>
      <x:c r="I197" s="75">
        <x:v>0.00</x:v>
      </x:c>
      <x:c r="J197" s="75">
        <x:f ca="1">SUM(F197* 0.014710)</x:f>
        <x:v>8</x:v>
      </x:c>
      <x:c r="K197" s="61">
        <x:f ca="1">SUM((J197-H197)+ I197)</x:f>
        <x:v>9</x:v>
      </x:c>
    </x:row>
    <x:row r="198" spans="1:11" ht="14.25" x14ac:dyDescent="0.3">
      <x:c r="A198" s="58" t="str">
        <x:v>Color Copier Color Pages</x:v>
      </x:c>
      <x:c r="B198" s="6">
        <x:v>0</x:v>
      </x:c>
      <x:c r="C198" s="6">
        <x:v>66,184</x:v>
      </x:c>
      <x:c r="D198" s="6">
        <x:v>$0.08471</x:v>
      </x:c>
      <x:c r="E198" s="185">
        <x:f ca="1">IF(B198=0,"",IF(C198="","",IF(C198&lt;B198,SUM((C198-B198)/B198),SUM((C198-B198)/B198))))</x:f>
        <x:v>5</x:v>
      </x:c>
      <x:c r="F198" s="6">
        <x:f ca="1">IF(C198="","",IF(B198="","",IF(SUM(C198-B198)&lt;0,"0",SUM(C198-B198))))</x:f>
        <x:v>6</x:v>
      </x:c>
      <x:c r="G198" s="6">
        <x:v>0</x:v>
      </x:c>
      <x:c r="H198" s="17">
        <x:f ca="1">IF(SUM(F198 - G198) &lt;0,"$0.00",SUM(F198 - G198)*D198)</x:f>
        <x:v>7</x:v>
      </x:c>
      <x:c r="I198" s="17">
        <x:v>0.00</x:v>
      </x:c>
      <x:c r="J198" s="17">
        <x:f ca="1">SUM(F198* 0.084710)</x:f>
        <x:v>8</x:v>
      </x:c>
      <x:c r="K198" s="59">
        <x:f ca="1">SUM((J198-H198)+ I198)</x:f>
        <x:v>9</x:v>
      </x:c>
    </x:row>
    <x:row r="199" spans="1:10" x14ac:dyDescent="0.25">
      <x:c r="A199" s="174"/>
      <x:c r="B199" s="174"/>
      <x:c r="C199" s="174"/>
      <x:c r="D199" s="174"/>
      <x:c r="E199" s="174"/>
      <x:c r="F199" s="174"/>
      <x:c r="G199" s="174"/>
      <x:c r="H199" s="174"/>
      <x:c r="I199" s="174"/>
      <x:c r="J199" s="174">
        <x:v>Revision Savings: </x:v>
      </x:c>
      <x:c r="K199" s="174">
        <x:f ca="1">SUM(K195:K198)</x:f>
      </x:c>
    </x:row>
    <x:row r="200" spans="1:11" ht="15" x14ac:dyDescent="0.3">
      <x:c r="A200" s="194" t="str">
        <x:v>10/31/2016</x:v>
      </x:c>
      <x:c r="B200" s="194"/>
      <x:c r="C200" s="194"/>
      <x:c r="D200" s="194"/>
      <x:c r="E200" s="194"/>
      <x:c r="F200" s="194"/>
      <x:c r="G200" s="194"/>
      <x:c r="H200" s="194"/>
      <x:c r="I200" s="194"/>
      <x:c r="J200" s="194"/>
      <x:c r="K200" s="194"/>
    </x:row>
    <x:row r="201">
      <x:c r="A201" s="47" t="str">
        <x:v>Meter Type Description</x:v>
      </x:c>
      <x:c r="B201" s="45" t="str">
        <x:v>Quarterly Contracted Volume</x:v>
      </x:c>
      <x:c r="C201" s="45" t="str">
        <x:v>Actual Quarterly Volume</x:v>
      </x:c>
      <x:c r="D201" s="45" t="str">
        <x:v>FPR Overage Rate</x:v>
      </x:c>
      <x:c r="E201" s="45" t="str">
        <x:v>% Volume Increase / Decrease</x:v>
      </x:c>
      <x:c r="F201" s="45" t="str">
        <x:v>Overage Volumes</x:v>
      </x:c>
      <x:c r="G201" s="45" t="str">
        <x:v>Rollover Volume</x:v>
      </x:c>
      <x:c r="H201" s="45" t="str">
        <x:v>Current Overage Expense</x:v>
      </x:c>
      <x:c r="I201" s="45" t="str">
        <x:v>Credits</x:v>
      </x:c>
      <x:c r="J201" s="45" t="str">
        <x:v>Overage Cost W/O FPR</x:v>
      </x:c>
      <x:c r="K201" s="46" t="str">
        <x:v>Net Overage Savings / Cost Increase</x:v>
      </x:c>
    </x:row>
    <x:row r="202" spans="1:11" ht="14.25" x14ac:dyDescent="0.3">
      <x:c r="A202" s="169" t="str">
        <x:v>B/W Copies</x:v>
      </x:c>
      <x:c r="B202" s="73">
        <x:v>0</x:v>
      </x:c>
      <x:c r="C202" s="73">
        <x:v>99,196</x:v>
      </x:c>
      <x:c r="D202" s="165" t="str">
        <x:v>$0.01171</x:v>
      </x:c>
      <x:c r="E202" s="181">
        <x:f ca="1">IF(B202=0,"",IF(C202="","",IF(C202&lt;B202,SUM((C202-B202)/B202),SUM((C202-B202)/B202))))</x:f>
        <x:v>5</x:v>
      </x:c>
      <x:c r="F202" s="73">
        <x:f ca="1">IF(C202="","",IF(B202="","",IF(SUM(C202-B202)&lt;0,"0",SUM(C202-B202))))</x:f>
        <x:v>6</x:v>
      </x:c>
      <x:c r="G202" s="73" t="n">
        <x:v>0</x:v>
      </x:c>
      <x:c r="H202" s="75">
        <x:f ca="1">IF(SUM(F202 - G202) &lt;0,"$0.00",SUM(F202 - G202)*D202)</x:f>
        <x:v>7</x:v>
      </x:c>
      <x:c r="I202" s="75">
        <x:v>0.00</x:v>
      </x:c>
      <x:c r="J202" s="75">
        <x:f ca="1">SUM(F202* 0.011710)</x:f>
        <x:v>8</x:v>
      </x:c>
      <x:c r="K202" s="61">
        <x:f ca="1">SUM((J202-H202)+ I202)</x:f>
        <x:v>9</x:v>
      </x:c>
    </x:row>
    <x:row r="203" spans="1:11" ht="14.25" x14ac:dyDescent="0.3">
      <x:c r="A203" s="58" t="str">
        <x:v>B/W Laser Prints</x:v>
      </x:c>
      <x:c r="B203" s="6">
        <x:v>0</x:v>
      </x:c>
      <x:c r="C203" s="6">
        <x:v>64,015</x:v>
      </x:c>
      <x:c r="D203" s="6">
        <x:v>$0.01971</x:v>
      </x:c>
      <x:c r="E203" s="185">
        <x:f ca="1">IF(B203=0,"",IF(C203="","",IF(C203&lt;B203,SUM((C203-B203)/B203),SUM((C203-B203)/B203))))</x:f>
        <x:v>5</x:v>
      </x:c>
      <x:c r="F203" s="6">
        <x:f ca="1">IF(C203="","",IF(B203="","",IF(SUM(C203-B203)&lt;0,"0",SUM(C203-B203))))</x:f>
        <x:v>6</x:v>
      </x:c>
      <x:c r="G203" s="6">
        <x:v>0</x:v>
      </x:c>
      <x:c r="H203" s="17">
        <x:f ca="1">IF(SUM(F203 - G203) &lt;0,"$0.00",SUM(F203 - G203)*D203)</x:f>
        <x:v>7</x:v>
      </x:c>
      <x:c r="I203" s="17">
        <x:v>0.00</x:v>
      </x:c>
      <x:c r="J203" s="17">
        <x:f ca="1">SUM(F203* 0.019710)</x:f>
        <x:v>8</x:v>
      </x:c>
      <x:c r="K203" s="59">
        <x:f ca="1">SUM((J203-H203)+ I203)</x:f>
        <x:v>9</x:v>
      </x:c>
    </x:row>
    <x:row r="204" spans="1:11" ht="14.25" x14ac:dyDescent="0.3">
      <x:c r="A204" s="169" t="str">
        <x:v>Color Copier B/W Pages</x:v>
      </x:c>
      <x:c r="B204" s="73">
        <x:v>0</x:v>
      </x:c>
      <x:c r="C204" s="73">
        <x:v>267,754</x:v>
      </x:c>
      <x:c r="D204" s="165" t="str">
        <x:v>$0.01471</x:v>
      </x:c>
      <x:c r="E204" s="181">
        <x:f ca="1">IF(B204=0,"",IF(C204="","",IF(C204&lt;B204,SUM((C204-B204)/B204),SUM((C204-B204)/B204))))</x:f>
        <x:v>5</x:v>
      </x:c>
      <x:c r="F204" s="73">
        <x:f ca="1">IF(C204="","",IF(B204="","",IF(SUM(C204-B204)&lt;0,"0",SUM(C204-B204))))</x:f>
        <x:v>6</x:v>
      </x:c>
      <x:c r="G204" s="73" t="n">
        <x:v>0</x:v>
      </x:c>
      <x:c r="H204" s="75">
        <x:f ca="1">IF(SUM(F204 - G204) &lt;0,"$0.00",SUM(F204 - G204)*D204)</x:f>
        <x:v>7</x:v>
      </x:c>
      <x:c r="I204" s="75">
        <x:v>0.00</x:v>
      </x:c>
      <x:c r="J204" s="75">
        <x:f ca="1">SUM(F204* 0.014710)</x:f>
        <x:v>8</x:v>
      </x:c>
      <x:c r="K204" s="61">
        <x:f ca="1">SUM((J204-H204)+ I204)</x:f>
        <x:v>9</x:v>
      </x:c>
    </x:row>
    <x:row r="205" spans="1:11" ht="14.25" x14ac:dyDescent="0.3">
      <x:c r="A205" s="58" t="str">
        <x:v>Color Copier Color Pages</x:v>
      </x:c>
      <x:c r="B205" s="6">
        <x:v>0</x:v>
      </x:c>
      <x:c r="C205" s="6">
        <x:v>81,787</x:v>
      </x:c>
      <x:c r="D205" s="6">
        <x:v>$0.08471</x:v>
      </x:c>
      <x:c r="E205" s="185">
        <x:f ca="1">IF(B205=0,"",IF(C205="","",IF(C205&lt;B205,SUM((C205-B205)/B205),SUM((C205-B205)/B205))))</x:f>
        <x:v>5</x:v>
      </x:c>
      <x:c r="F205" s="6">
        <x:f ca="1">IF(C205="","",IF(B205="","",IF(SUM(C205-B205)&lt;0,"0",SUM(C205-B205))))</x:f>
        <x:v>6</x:v>
      </x:c>
      <x:c r="G205" s="6">
        <x:v>0</x:v>
      </x:c>
      <x:c r="H205" s="17">
        <x:f ca="1">IF(SUM(F205 - G205) &lt;0,"$0.00",SUM(F205 - G205)*D205)</x:f>
        <x:v>7</x:v>
      </x:c>
      <x:c r="I205" s="17">
        <x:v>0.00</x:v>
      </x:c>
      <x:c r="J205" s="17">
        <x:f ca="1">SUM(F205* 0.084710)</x:f>
        <x:v>8</x:v>
      </x:c>
      <x:c r="K205" s="59">
        <x:f ca="1">SUM((J205-H205)+ I205)</x:f>
        <x:v>9</x:v>
      </x:c>
    </x:row>
    <x:row r="206" spans="1:10" x14ac:dyDescent="0.25">
      <x:c r="A206" s="174"/>
      <x:c r="B206" s="174"/>
      <x:c r="C206" s="174"/>
      <x:c r="D206" s="174"/>
      <x:c r="E206" s="174"/>
      <x:c r="F206" s="174"/>
      <x:c r="G206" s="174"/>
      <x:c r="H206" s="174"/>
      <x:c r="I206" s="174"/>
      <x:c r="J206" s="174">
        <x:v>Revision Savings: </x:v>
      </x:c>
      <x:c r="K206" s="174">
        <x:f ca="1">SUM(K202:K205)</x:f>
      </x:c>
    </x:row>
    <x:row r="207" spans="1:11" ht="15" x14ac:dyDescent="0.3">
      <x:c r="A207" s="194" t="str">
        <x:v>9/30/2016</x:v>
      </x:c>
      <x:c r="B207" s="194"/>
      <x:c r="C207" s="194"/>
      <x:c r="D207" s="194"/>
      <x:c r="E207" s="194"/>
      <x:c r="F207" s="194"/>
      <x:c r="G207" s="194"/>
      <x:c r="H207" s="194"/>
      <x:c r="I207" s="194"/>
      <x:c r="J207" s="194"/>
      <x:c r="K207" s="194"/>
    </x:row>
    <x:row r="208">
      <x:c r="A208" s="47" t="str">
        <x:v>Meter Type Description</x:v>
      </x:c>
      <x:c r="B208" s="45" t="str">
        <x:v>Quarterly Contracted Volume</x:v>
      </x:c>
      <x:c r="C208" s="45" t="str">
        <x:v>Actual Quarterly Volume</x:v>
      </x:c>
      <x:c r="D208" s="45" t="str">
        <x:v>FPR Overage Rate</x:v>
      </x:c>
      <x:c r="E208" s="45" t="str">
        <x:v>% Volume Increase / Decrease</x:v>
      </x:c>
      <x:c r="F208" s="45" t="str">
        <x:v>Overage Volumes</x:v>
      </x:c>
      <x:c r="G208" s="45" t="str">
        <x:v>Rollover Volume</x:v>
      </x:c>
      <x:c r="H208" s="45" t="str">
        <x:v>Current Overage Expense</x:v>
      </x:c>
      <x:c r="I208" s="45" t="str">
        <x:v>Credits</x:v>
      </x:c>
      <x:c r="J208" s="45" t="str">
        <x:v>Overage Cost W/O FPR</x:v>
      </x:c>
      <x:c r="K208" s="46" t="str">
        <x:v>Net Overage Savings / Cost Increase</x:v>
      </x:c>
    </x:row>
    <x:row r="209" spans="1:11" ht="14.25" x14ac:dyDescent="0.3">
      <x:c r="A209" s="169" t="str">
        <x:v>B/W Copies</x:v>
      </x:c>
      <x:c r="B209" s="73">
        <x:v>0</x:v>
      </x:c>
      <x:c r="C209" s="73">
        <x:v>71,976</x:v>
      </x:c>
      <x:c r="D209" s="165" t="str">
        <x:v>$0.01171</x:v>
      </x:c>
      <x:c r="E209" s="181">
        <x:f ca="1">IF(B209=0,"",IF(C209="","",IF(C209&lt;B209,SUM((C209-B209)/B209),SUM((C209-B209)/B209))))</x:f>
        <x:v>5</x:v>
      </x:c>
      <x:c r="F209" s="73">
        <x:f ca="1">IF(C209="","",IF(B209="","",IF(SUM(C209-B209)&lt;0,"0",SUM(C209-B209))))</x:f>
        <x:v>6</x:v>
      </x:c>
      <x:c r="G209" s="73" t="n">
        <x:v>0</x:v>
      </x:c>
      <x:c r="H209" s="75">
        <x:f ca="1">IF(SUM(F209 - G209) &lt;0,"$0.00",SUM(F209 - G209)*D209)</x:f>
        <x:v>7</x:v>
      </x:c>
      <x:c r="I209" s="75">
        <x:v>0.00</x:v>
      </x:c>
      <x:c r="J209" s="75">
        <x:f ca="1">SUM(F209* 0.011710)</x:f>
        <x:v>8</x:v>
      </x:c>
      <x:c r="K209" s="61">
        <x:f ca="1">SUM((J209-H209)+ I209)</x:f>
        <x:v>9</x:v>
      </x:c>
    </x:row>
    <x:row r="210" spans="1:11" ht="14.25" x14ac:dyDescent="0.3">
      <x:c r="A210" s="58" t="str">
        <x:v>B/W Laser Prints</x:v>
      </x:c>
      <x:c r="B210" s="6">
        <x:v>0</x:v>
      </x:c>
      <x:c r="C210" s="6">
        <x:v>47,977</x:v>
      </x:c>
      <x:c r="D210" s="6">
        <x:v>$0.01971</x:v>
      </x:c>
      <x:c r="E210" s="185">
        <x:f ca="1">IF(B210=0,"",IF(C210="","",IF(C210&lt;B210,SUM((C210-B210)/B210),SUM((C210-B210)/B210))))</x:f>
        <x:v>5</x:v>
      </x:c>
      <x:c r="F210" s="6">
        <x:f ca="1">IF(C210="","",IF(B210="","",IF(SUM(C210-B210)&lt;0,"0",SUM(C210-B210))))</x:f>
        <x:v>6</x:v>
      </x:c>
      <x:c r="G210" s="6">
        <x:v>0</x:v>
      </x:c>
      <x:c r="H210" s="17">
        <x:f ca="1">IF(SUM(F210 - G210) &lt;0,"$0.00",SUM(F210 - G210)*D210)</x:f>
        <x:v>7</x:v>
      </x:c>
      <x:c r="I210" s="17">
        <x:v>0.00</x:v>
      </x:c>
      <x:c r="J210" s="17">
        <x:f ca="1">SUM(F210* 0.019710)</x:f>
        <x:v>8</x:v>
      </x:c>
      <x:c r="K210" s="59">
        <x:f ca="1">SUM((J210-H210)+ I210)</x:f>
        <x:v>9</x:v>
      </x:c>
    </x:row>
    <x:row r="211" spans="1:11" ht="14.25" x14ac:dyDescent="0.3">
      <x:c r="A211" s="169" t="str">
        <x:v>Color Copier B/W Pages</x:v>
      </x:c>
      <x:c r="B211" s="73">
        <x:v>0</x:v>
      </x:c>
      <x:c r="C211" s="73">
        <x:v>200,807</x:v>
      </x:c>
      <x:c r="D211" s="165" t="str">
        <x:v>$0.01471</x:v>
      </x:c>
      <x:c r="E211" s="181">
        <x:f ca="1">IF(B211=0,"",IF(C211="","",IF(C211&lt;B211,SUM((C211-B211)/B211),SUM((C211-B211)/B211))))</x:f>
        <x:v>5</x:v>
      </x:c>
      <x:c r="F211" s="73">
        <x:f ca="1">IF(C211="","",IF(B211="","",IF(SUM(C211-B211)&lt;0,"0",SUM(C211-B211))))</x:f>
        <x:v>6</x:v>
      </x:c>
      <x:c r="G211" s="73" t="n">
        <x:v>0</x:v>
      </x:c>
      <x:c r="H211" s="75">
        <x:f ca="1">IF(SUM(F211 - G211) &lt;0,"$0.00",SUM(F211 - G211)*D211)</x:f>
        <x:v>7</x:v>
      </x:c>
      <x:c r="I211" s="75">
        <x:v>0.00</x:v>
      </x:c>
      <x:c r="J211" s="75">
        <x:f ca="1">SUM(F211* 0.014710)</x:f>
        <x:v>8</x:v>
      </x:c>
      <x:c r="K211" s="61">
        <x:f ca="1">SUM((J211-H211)+ I211)</x:f>
        <x:v>9</x:v>
      </x:c>
    </x:row>
    <x:row r="212" spans="1:11" ht="14.25" x14ac:dyDescent="0.3">
      <x:c r="A212" s="58" t="str">
        <x:v>Color Copier Color Pages</x:v>
      </x:c>
      <x:c r="B212" s="6">
        <x:v>0</x:v>
      </x:c>
      <x:c r="C212" s="6">
        <x:v>59,273</x:v>
      </x:c>
      <x:c r="D212" s="6">
        <x:v>$0.08471</x:v>
      </x:c>
      <x:c r="E212" s="185">
        <x:f ca="1">IF(B212=0,"",IF(C212="","",IF(C212&lt;B212,SUM((C212-B212)/B212),SUM((C212-B212)/B212))))</x:f>
        <x:v>5</x:v>
      </x:c>
      <x:c r="F212" s="6">
        <x:f ca="1">IF(C212="","",IF(B212="","",IF(SUM(C212-B212)&lt;0,"0",SUM(C212-B212))))</x:f>
        <x:v>6</x:v>
      </x:c>
      <x:c r="G212" s="6">
        <x:v>0</x:v>
      </x:c>
      <x:c r="H212" s="17">
        <x:f ca="1">IF(SUM(F212 - G212) &lt;0,"$0.00",SUM(F212 - G212)*D212)</x:f>
        <x:v>7</x:v>
      </x:c>
      <x:c r="I212" s="17">
        <x:v>0.00</x:v>
      </x:c>
      <x:c r="J212" s="17">
        <x:f ca="1">SUM(F212* 0.084710)</x:f>
        <x:v>8</x:v>
      </x:c>
      <x:c r="K212" s="59">
        <x:f ca="1">SUM((J212-H212)+ I212)</x:f>
        <x:v>9</x:v>
      </x:c>
    </x:row>
    <x:row r="213" spans="1:10" x14ac:dyDescent="0.25">
      <x:c r="A213" s="174"/>
      <x:c r="B213" s="174"/>
      <x:c r="C213" s="174"/>
      <x:c r="D213" s="174"/>
      <x:c r="E213" s="174"/>
      <x:c r="F213" s="174"/>
      <x:c r="G213" s="174"/>
      <x:c r="H213" s="174"/>
      <x:c r="I213" s="174"/>
      <x:c r="J213" s="174">
        <x:v>Revision Savings: </x:v>
      </x:c>
      <x:c r="K213" s="174">
        <x:f ca="1">SUM(K209:K212)</x:f>
      </x:c>
    </x:row>
    <x:row r="214" spans="1:11" ht="15" x14ac:dyDescent="0.3">
      <x:c r="A214" s="194" t="str">
        <x:v>8/31/2016</x:v>
      </x:c>
      <x:c r="B214" s="194"/>
      <x:c r="C214" s="194"/>
      <x:c r="D214" s="194"/>
      <x:c r="E214" s="194"/>
      <x:c r="F214" s="194"/>
      <x:c r="G214" s="194"/>
      <x:c r="H214" s="194"/>
      <x:c r="I214" s="194"/>
      <x:c r="J214" s="194"/>
      <x:c r="K214" s="194"/>
    </x:row>
    <x:row r="215">
      <x:c r="A215" s="47" t="str">
        <x:v>Meter Type Description</x:v>
      </x:c>
      <x:c r="B215" s="45" t="str">
        <x:v>Quarterly Contracted Volume</x:v>
      </x:c>
      <x:c r="C215" s="45" t="str">
        <x:v>Actual Quarterly Volume</x:v>
      </x:c>
      <x:c r="D215" s="45" t="str">
        <x:v>FPR Overage Rate</x:v>
      </x:c>
      <x:c r="E215" s="45" t="str">
        <x:v>% Volume Increase / Decrease</x:v>
      </x:c>
      <x:c r="F215" s="45" t="str">
        <x:v>Overage Volumes</x:v>
      </x:c>
      <x:c r="G215" s="45" t="str">
        <x:v>Rollover Volume</x:v>
      </x:c>
      <x:c r="H215" s="45" t="str">
        <x:v>Current Overage Expense</x:v>
      </x:c>
      <x:c r="I215" s="45" t="str">
        <x:v>Credits</x:v>
      </x:c>
      <x:c r="J215" s="45" t="str">
        <x:v>Overage Cost W/O FPR</x:v>
      </x:c>
      <x:c r="K215" s="46" t="str">
        <x:v>Net Overage Savings / Cost Increase</x:v>
      </x:c>
    </x:row>
    <x:row r="216" spans="1:11" ht="14.25" x14ac:dyDescent="0.3">
      <x:c r="A216" s="169" t="str">
        <x:v>B/W Copies</x:v>
      </x:c>
      <x:c r="B216" s="73">
        <x:v>0</x:v>
      </x:c>
      <x:c r="C216" s="73">
        <x:v>90,847</x:v>
      </x:c>
      <x:c r="D216" s="165" t="str">
        <x:v>$0.01171</x:v>
      </x:c>
      <x:c r="E216" s="181">
        <x:f ca="1">IF(B216=0,"",IF(C216="","",IF(C216&lt;B216,SUM((C216-B216)/B216),SUM((C216-B216)/B216))))</x:f>
        <x:v>5</x:v>
      </x:c>
      <x:c r="F216" s="73">
        <x:f ca="1">IF(C216="","",IF(B216="","",IF(SUM(C216-B216)&lt;0,"0",SUM(C216-B216))))</x:f>
        <x:v>6</x:v>
      </x:c>
      <x:c r="G216" s="73" t="n">
        <x:v>0</x:v>
      </x:c>
      <x:c r="H216" s="75">
        <x:f ca="1">IF(SUM(F216 - G216) &lt;0,"$0.00",SUM(F216 - G216)*D216)</x:f>
        <x:v>7</x:v>
      </x:c>
      <x:c r="I216" s="75">
        <x:v>0.00</x:v>
      </x:c>
      <x:c r="J216" s="75">
        <x:f ca="1">SUM(F216* 0.011710)</x:f>
        <x:v>8</x:v>
      </x:c>
      <x:c r="K216" s="61">
        <x:f ca="1">SUM((J216-H216)+ I216)</x:f>
        <x:v>9</x:v>
      </x:c>
    </x:row>
    <x:row r="217" spans="1:11" ht="14.25" x14ac:dyDescent="0.3">
      <x:c r="A217" s="58" t="str">
        <x:v>B/W Laser Prints</x:v>
      </x:c>
      <x:c r="B217" s="6">
        <x:v>0</x:v>
      </x:c>
      <x:c r="C217" s="6">
        <x:v>54,644</x:v>
      </x:c>
      <x:c r="D217" s="6">
        <x:v>$0.01971</x:v>
      </x:c>
      <x:c r="E217" s="185">
        <x:f ca="1">IF(B217=0,"",IF(C217="","",IF(C217&lt;B217,SUM((C217-B217)/B217),SUM((C217-B217)/B217))))</x:f>
        <x:v>5</x:v>
      </x:c>
      <x:c r="F217" s="6">
        <x:f ca="1">IF(C217="","",IF(B217="","",IF(SUM(C217-B217)&lt;0,"0",SUM(C217-B217))))</x:f>
        <x:v>6</x:v>
      </x:c>
      <x:c r="G217" s="6">
        <x:v>0</x:v>
      </x:c>
      <x:c r="H217" s="17">
        <x:f ca="1">IF(SUM(F217 - G217) &lt;0,"$0.00",SUM(F217 - G217)*D217)</x:f>
        <x:v>7</x:v>
      </x:c>
      <x:c r="I217" s="17">
        <x:v>0.00</x:v>
      </x:c>
      <x:c r="J217" s="17">
        <x:f ca="1">SUM(F217* 0.019710)</x:f>
        <x:v>8</x:v>
      </x:c>
      <x:c r="K217" s="59">
        <x:f ca="1">SUM((J217-H217)+ I217)</x:f>
        <x:v>9</x:v>
      </x:c>
    </x:row>
    <x:row r="218" spans="1:11" ht="14.25" x14ac:dyDescent="0.3">
      <x:c r="A218" s="169" t="str">
        <x:v>Color Copier B/W Pages</x:v>
      </x:c>
      <x:c r="B218" s="73">
        <x:v>0</x:v>
      </x:c>
      <x:c r="C218" s="73">
        <x:v>218,426</x:v>
      </x:c>
      <x:c r="D218" s="165" t="str">
        <x:v>$0.01471</x:v>
      </x:c>
      <x:c r="E218" s="181">
        <x:f ca="1">IF(B218=0,"",IF(C218="","",IF(C218&lt;B218,SUM((C218-B218)/B218),SUM((C218-B218)/B218))))</x:f>
        <x:v>5</x:v>
      </x:c>
      <x:c r="F218" s="73">
        <x:f ca="1">IF(C218="","",IF(B218="","",IF(SUM(C218-B218)&lt;0,"0",SUM(C218-B218))))</x:f>
        <x:v>6</x:v>
      </x:c>
      <x:c r="G218" s="73" t="n">
        <x:v>0</x:v>
      </x:c>
      <x:c r="H218" s="75">
        <x:f ca="1">IF(SUM(F218 - G218) &lt;0,"$0.00",SUM(F218 - G218)*D218)</x:f>
        <x:v>7</x:v>
      </x:c>
      <x:c r="I218" s="75">
        <x:v>0.00</x:v>
      </x:c>
      <x:c r="J218" s="75">
        <x:f ca="1">SUM(F218* 0.014710)</x:f>
        <x:v>8</x:v>
      </x:c>
      <x:c r="K218" s="61">
        <x:f ca="1">SUM((J218-H218)+ I218)</x:f>
        <x:v>9</x:v>
      </x:c>
    </x:row>
    <x:row r="219" spans="1:11" ht="14.25" x14ac:dyDescent="0.3">
      <x:c r="A219" s="58" t="str">
        <x:v>Color Copier Color Pages</x:v>
      </x:c>
      <x:c r="B219" s="6">
        <x:v>0</x:v>
      </x:c>
      <x:c r="C219" s="6">
        <x:v>81,219</x:v>
      </x:c>
      <x:c r="D219" s="6">
        <x:v>$0.08471</x:v>
      </x:c>
      <x:c r="E219" s="185">
        <x:f ca="1">IF(B219=0,"",IF(C219="","",IF(C219&lt;B219,SUM((C219-B219)/B219),SUM((C219-B219)/B219))))</x:f>
        <x:v>5</x:v>
      </x:c>
      <x:c r="F219" s="6">
        <x:f ca="1">IF(C219="","",IF(B219="","",IF(SUM(C219-B219)&lt;0,"0",SUM(C219-B219))))</x:f>
        <x:v>6</x:v>
      </x:c>
      <x:c r="G219" s="6">
        <x:v>0</x:v>
      </x:c>
      <x:c r="H219" s="17">
        <x:f ca="1">IF(SUM(F219 - G219) &lt;0,"$0.00",SUM(F219 - G219)*D219)</x:f>
        <x:v>7</x:v>
      </x:c>
      <x:c r="I219" s="17">
        <x:v>0.00</x:v>
      </x:c>
      <x:c r="J219" s="17">
        <x:f ca="1">SUM(F219* 0.084710)</x:f>
        <x:v>8</x:v>
      </x:c>
      <x:c r="K219" s="59">
        <x:f ca="1">SUM((J219-H219)+ I219)</x:f>
        <x:v>9</x:v>
      </x:c>
    </x:row>
    <x:row r="220" spans="1:10" x14ac:dyDescent="0.25">
      <x:c r="A220" s="174"/>
      <x:c r="B220" s="174"/>
      <x:c r="C220" s="174"/>
      <x:c r="D220" s="174"/>
      <x:c r="E220" s="174"/>
      <x:c r="F220" s="174"/>
      <x:c r="G220" s="174"/>
      <x:c r="H220" s="174"/>
      <x:c r="I220" s="174"/>
      <x:c r="J220" s="174">
        <x:v>Revision Savings: </x:v>
      </x:c>
      <x:c r="K220" s="174">
        <x:f ca="1">SUM(K216:K219)</x:f>
      </x:c>
    </x:row>
    <x:row r="221" spans="1:11" ht="15" x14ac:dyDescent="0.3">
      <x:c r="A221" s="194" t="str">
        <x:v>7/31/2016</x:v>
      </x:c>
      <x:c r="B221" s="194"/>
      <x:c r="C221" s="194"/>
      <x:c r="D221" s="194"/>
      <x:c r="E221" s="194"/>
      <x:c r="F221" s="194"/>
      <x:c r="G221" s="194"/>
      <x:c r="H221" s="194"/>
      <x:c r="I221" s="194"/>
      <x:c r="J221" s="194"/>
      <x:c r="K221" s="194"/>
    </x:row>
    <x:row r="222">
      <x:c r="A222" s="47" t="str">
        <x:v>Meter Type Description</x:v>
      </x:c>
      <x:c r="B222" s="45" t="str">
        <x:v>Quarterly Contracted Volume</x:v>
      </x:c>
      <x:c r="C222" s="45" t="str">
        <x:v>Actual Quarterly Volume</x:v>
      </x:c>
      <x:c r="D222" s="45" t="str">
        <x:v>FPR Overage Rate</x:v>
      </x:c>
      <x:c r="E222" s="45" t="str">
        <x:v>% Volume Increase / Decrease</x:v>
      </x:c>
      <x:c r="F222" s="45" t="str">
        <x:v>Overage Volumes</x:v>
      </x:c>
      <x:c r="G222" s="45" t="str">
        <x:v>Rollover Volume</x:v>
      </x:c>
      <x:c r="H222" s="45" t="str">
        <x:v>Current Overage Expense</x:v>
      </x:c>
      <x:c r="I222" s="45" t="str">
        <x:v>Credits</x:v>
      </x:c>
      <x:c r="J222" s="45" t="str">
        <x:v>Overage Cost W/O FPR</x:v>
      </x:c>
      <x:c r="K222" s="46" t="str">
        <x:v>Net Overage Savings / Cost Increase</x:v>
      </x:c>
    </x:row>
    <x:row r="223" spans="1:11" ht="14.25" x14ac:dyDescent="0.3">
      <x:c r="A223" s="169" t="str">
        <x:v>B/W Copies</x:v>
      </x:c>
      <x:c r="B223" s="73">
        <x:v>0</x:v>
      </x:c>
      <x:c r="C223" s="73">
        <x:v>69,127</x:v>
      </x:c>
      <x:c r="D223" s="165" t="str">
        <x:v>$0.01171</x:v>
      </x:c>
      <x:c r="E223" s="181">
        <x:f ca="1">IF(B223=0,"",IF(C223="","",IF(C223&lt;B223,SUM((C223-B223)/B223),SUM((C223-B223)/B223))))</x:f>
        <x:v>5</x:v>
      </x:c>
      <x:c r="F223" s="73">
        <x:f ca="1">IF(C223="","",IF(B223="","",IF(SUM(C223-B223)&lt;0,"0",SUM(C223-B223))))</x:f>
        <x:v>6</x:v>
      </x:c>
      <x:c r="G223" s="73" t="n">
        <x:v>0</x:v>
      </x:c>
      <x:c r="H223" s="75">
        <x:f ca="1">IF(SUM(F223 - G223) &lt;0,"$0.00",SUM(F223 - G223)*D223)</x:f>
        <x:v>7</x:v>
      </x:c>
      <x:c r="I223" s="75">
        <x:v>0.00</x:v>
      </x:c>
      <x:c r="J223" s="75">
        <x:f ca="1">SUM(F223* 0.011710)</x:f>
        <x:v>8</x:v>
      </x:c>
      <x:c r="K223" s="61">
        <x:f ca="1">SUM((J223-H223)+ I223)</x:f>
        <x:v>9</x:v>
      </x:c>
    </x:row>
    <x:row r="224" spans="1:11" ht="14.25" x14ac:dyDescent="0.3">
      <x:c r="A224" s="58" t="str">
        <x:v>B/W Laser Prints</x:v>
      </x:c>
      <x:c r="B224" s="6">
        <x:v>0</x:v>
      </x:c>
      <x:c r="C224" s="6">
        <x:v>48,986</x:v>
      </x:c>
      <x:c r="D224" s="6">
        <x:v>$0.01971</x:v>
      </x:c>
      <x:c r="E224" s="185">
        <x:f ca="1">IF(B224=0,"",IF(C224="","",IF(C224&lt;B224,SUM((C224-B224)/B224),SUM((C224-B224)/B224))))</x:f>
        <x:v>5</x:v>
      </x:c>
      <x:c r="F224" s="6">
        <x:f ca="1">IF(C224="","",IF(B224="","",IF(SUM(C224-B224)&lt;0,"0",SUM(C224-B224))))</x:f>
        <x:v>6</x:v>
      </x:c>
      <x:c r="G224" s="6">
        <x:v>0</x:v>
      </x:c>
      <x:c r="H224" s="17">
        <x:f ca="1">IF(SUM(F224 - G224) &lt;0,"$0.00",SUM(F224 - G224)*D224)</x:f>
        <x:v>7</x:v>
      </x:c>
      <x:c r="I224" s="17">
        <x:v>0.00</x:v>
      </x:c>
      <x:c r="J224" s="17">
        <x:f ca="1">SUM(F224* 0.019710)</x:f>
        <x:v>8</x:v>
      </x:c>
      <x:c r="K224" s="59">
        <x:f ca="1">SUM((J224-H224)+ I224)</x:f>
        <x:v>9</x:v>
      </x:c>
    </x:row>
    <x:row r="225" spans="1:11" ht="14.25" x14ac:dyDescent="0.3">
      <x:c r="A225" s="169" t="str">
        <x:v>Color Copier B/W Pages</x:v>
      </x:c>
      <x:c r="B225" s="73">
        <x:v>0</x:v>
      </x:c>
      <x:c r="C225" s="73">
        <x:v>209,883</x:v>
      </x:c>
      <x:c r="D225" s="165" t="str">
        <x:v>$0.01471</x:v>
      </x:c>
      <x:c r="E225" s="181">
        <x:f ca="1">IF(B225=0,"",IF(C225="","",IF(C225&lt;B225,SUM((C225-B225)/B225),SUM((C225-B225)/B225))))</x:f>
        <x:v>5</x:v>
      </x:c>
      <x:c r="F225" s="73">
        <x:f ca="1">IF(C225="","",IF(B225="","",IF(SUM(C225-B225)&lt;0,"0",SUM(C225-B225))))</x:f>
        <x:v>6</x:v>
      </x:c>
      <x:c r="G225" s="73" t="n">
        <x:v>0</x:v>
      </x:c>
      <x:c r="H225" s="75">
        <x:f ca="1">IF(SUM(F225 - G225) &lt;0,"$0.00",SUM(F225 - G225)*D225)</x:f>
        <x:v>7</x:v>
      </x:c>
      <x:c r="I225" s="75">
        <x:v>0.00</x:v>
      </x:c>
      <x:c r="J225" s="75">
        <x:f ca="1">SUM(F225* 0.014710)</x:f>
        <x:v>8</x:v>
      </x:c>
      <x:c r="K225" s="61">
        <x:f ca="1">SUM((J225-H225)+ I225)</x:f>
        <x:v>9</x:v>
      </x:c>
    </x:row>
    <x:row r="226" spans="1:11" ht="14.25" x14ac:dyDescent="0.3">
      <x:c r="A226" s="58" t="str">
        <x:v>Color Copier Color Pages</x:v>
      </x:c>
      <x:c r="B226" s="6">
        <x:v>0</x:v>
      </x:c>
      <x:c r="C226" s="6">
        <x:v>67,713</x:v>
      </x:c>
      <x:c r="D226" s="6">
        <x:v>$0.08471</x:v>
      </x:c>
      <x:c r="E226" s="185">
        <x:f ca="1">IF(B226=0,"",IF(C226="","",IF(C226&lt;B226,SUM((C226-B226)/B226),SUM((C226-B226)/B226))))</x:f>
        <x:v>5</x:v>
      </x:c>
      <x:c r="F226" s="6">
        <x:f ca="1">IF(C226="","",IF(B226="","",IF(SUM(C226-B226)&lt;0,"0",SUM(C226-B226))))</x:f>
        <x:v>6</x:v>
      </x:c>
      <x:c r="G226" s="6">
        <x:v>0</x:v>
      </x:c>
      <x:c r="H226" s="17">
        <x:f ca="1">IF(SUM(F226 - G226) &lt;0,"$0.00",SUM(F226 - G226)*D226)</x:f>
        <x:v>7</x:v>
      </x:c>
      <x:c r="I226" s="17">
        <x:v>0.00</x:v>
      </x:c>
      <x:c r="J226" s="17">
        <x:f ca="1">SUM(F226* 0.084710)</x:f>
        <x:v>8</x:v>
      </x:c>
      <x:c r="K226" s="59">
        <x:f ca="1">SUM((J226-H226)+ I226)</x:f>
        <x:v>9</x:v>
      </x:c>
    </x:row>
    <x:row r="227" spans="1:10" x14ac:dyDescent="0.25">
      <x:c r="A227" s="174"/>
      <x:c r="B227" s="174"/>
      <x:c r="C227" s="174"/>
      <x:c r="D227" s="174"/>
      <x:c r="E227" s="174"/>
      <x:c r="F227" s="174"/>
      <x:c r="G227" s="174"/>
      <x:c r="H227" s="174"/>
      <x:c r="I227" s="174"/>
      <x:c r="J227" s="174">
        <x:v>Revision Savings: </x:v>
      </x:c>
      <x:c r="K227" s="174">
        <x:f ca="1">SUM(K223:K226)</x:f>
      </x:c>
    </x:row>
    <x:row r="228" spans="1:11" ht="15" x14ac:dyDescent="0.3">
      <x:c r="A228" s="194" t="str">
        <x:v>6/30/2016</x:v>
      </x:c>
      <x:c r="B228" s="194"/>
      <x:c r="C228" s="194"/>
      <x:c r="D228" s="194"/>
      <x:c r="E228" s="194"/>
      <x:c r="F228" s="194"/>
      <x:c r="G228" s="194"/>
      <x:c r="H228" s="194"/>
      <x:c r="I228" s="194"/>
      <x:c r="J228" s="194"/>
      <x:c r="K228" s="194"/>
    </x:row>
    <x:row r="229">
      <x:c r="A229" s="47" t="str">
        <x:v>Meter Type Description</x:v>
      </x:c>
      <x:c r="B229" s="45" t="str">
        <x:v>Quarterly Contracted Volume</x:v>
      </x:c>
      <x:c r="C229" s="45" t="str">
        <x:v>Actual Quarterly Volume</x:v>
      </x:c>
      <x:c r="D229" s="45" t="str">
        <x:v>FPR Overage Rate</x:v>
      </x:c>
      <x:c r="E229" s="45" t="str">
        <x:v>% Volume Increase / Decrease</x:v>
      </x:c>
      <x:c r="F229" s="45" t="str">
        <x:v>Overage Volumes</x:v>
      </x:c>
      <x:c r="G229" s="45" t="str">
        <x:v>Rollover Volume</x:v>
      </x:c>
      <x:c r="H229" s="45" t="str">
        <x:v>Current Overage Expense</x:v>
      </x:c>
      <x:c r="I229" s="45" t="str">
        <x:v>Credits</x:v>
      </x:c>
      <x:c r="J229" s="45" t="str">
        <x:v>Overage Cost W/O FPR</x:v>
      </x:c>
      <x:c r="K229" s="46" t="str">
        <x:v>Net Overage Savings / Cost Increase</x:v>
      </x:c>
    </x:row>
    <x:row r="230" spans="1:11" ht="14.25" x14ac:dyDescent="0.3">
      <x:c r="A230" s="169" t="str">
        <x:v>B/W Copies</x:v>
      </x:c>
      <x:c r="B230" s="73">
        <x:v>0</x:v>
      </x:c>
      <x:c r="C230" s="73">
        <x:v>67,214</x:v>
      </x:c>
      <x:c r="D230" s="165" t="str">
        <x:v>$0.01171</x:v>
      </x:c>
      <x:c r="E230" s="181">
        <x:f ca="1">IF(B230=0,"",IF(C230="","",IF(C230&lt;B230,SUM((C230-B230)/B230),SUM((C230-B230)/B230))))</x:f>
        <x:v>5</x:v>
      </x:c>
      <x:c r="F230" s="73">
        <x:f ca="1">IF(C230="","",IF(B230="","",IF(SUM(C230-B230)&lt;0,"0",SUM(C230-B230))))</x:f>
        <x:v>6</x:v>
      </x:c>
      <x:c r="G230" s="73" t="n">
        <x:v>0</x:v>
      </x:c>
      <x:c r="H230" s="75">
        <x:f ca="1">IF(SUM(F230 - G230) &lt;0,"$0.00",SUM(F230 - G230)*D230)</x:f>
        <x:v>7</x:v>
      </x:c>
      <x:c r="I230" s="75">
        <x:v>0.00</x:v>
      </x:c>
      <x:c r="J230" s="75">
        <x:f ca="1">SUM(F230* 0.011710)</x:f>
        <x:v>8</x:v>
      </x:c>
      <x:c r="K230" s="61">
        <x:f ca="1">SUM((J230-H230)+ I230)</x:f>
        <x:v>9</x:v>
      </x:c>
    </x:row>
    <x:row r="231" spans="1:11" ht="14.25" x14ac:dyDescent="0.3">
      <x:c r="A231" s="58" t="str">
        <x:v>B/W Laser Prints</x:v>
      </x:c>
      <x:c r="B231" s="6">
        <x:v>0</x:v>
      </x:c>
      <x:c r="C231" s="6">
        <x:v>43,218</x:v>
      </x:c>
      <x:c r="D231" s="6">
        <x:v>$0.01971</x:v>
      </x:c>
      <x:c r="E231" s="185">
        <x:f ca="1">IF(B231=0,"",IF(C231="","",IF(C231&lt;B231,SUM((C231-B231)/B231),SUM((C231-B231)/B231))))</x:f>
        <x:v>5</x:v>
      </x:c>
      <x:c r="F231" s="6">
        <x:f ca="1">IF(C231="","",IF(B231="","",IF(SUM(C231-B231)&lt;0,"0",SUM(C231-B231))))</x:f>
        <x:v>6</x:v>
      </x:c>
      <x:c r="G231" s="6">
        <x:v>0</x:v>
      </x:c>
      <x:c r="H231" s="17">
        <x:f ca="1">IF(SUM(F231 - G231) &lt;0,"$0.00",SUM(F231 - G231)*D231)</x:f>
        <x:v>7</x:v>
      </x:c>
      <x:c r="I231" s="17">
        <x:v>0.00</x:v>
      </x:c>
      <x:c r="J231" s="17">
        <x:f ca="1">SUM(F231* 0.019710)</x:f>
        <x:v>8</x:v>
      </x:c>
      <x:c r="K231" s="59">
        <x:f ca="1">SUM((J231-H231)+ I231)</x:f>
        <x:v>9</x:v>
      </x:c>
    </x:row>
    <x:row r="232" spans="1:11" ht="14.25" x14ac:dyDescent="0.3">
      <x:c r="A232" s="169" t="str">
        <x:v>Color Copier B/W Pages</x:v>
      </x:c>
      <x:c r="B232" s="73">
        <x:v>0</x:v>
      </x:c>
      <x:c r="C232" s="73">
        <x:v>207,171</x:v>
      </x:c>
      <x:c r="D232" s="165" t="str">
        <x:v>$0.01471</x:v>
      </x:c>
      <x:c r="E232" s="181">
        <x:f ca="1">IF(B232=0,"",IF(C232="","",IF(C232&lt;B232,SUM((C232-B232)/B232),SUM((C232-B232)/B232))))</x:f>
        <x:v>5</x:v>
      </x:c>
      <x:c r="F232" s="73">
        <x:f ca="1">IF(C232="","",IF(B232="","",IF(SUM(C232-B232)&lt;0,"0",SUM(C232-B232))))</x:f>
        <x:v>6</x:v>
      </x:c>
      <x:c r="G232" s="73" t="n">
        <x:v>0</x:v>
      </x:c>
      <x:c r="H232" s="75">
        <x:f ca="1">IF(SUM(F232 - G232) &lt;0,"$0.00",SUM(F232 - G232)*D232)</x:f>
        <x:v>7</x:v>
      </x:c>
      <x:c r="I232" s="75">
        <x:v>0.00</x:v>
      </x:c>
      <x:c r="J232" s="75">
        <x:f ca="1">SUM(F232* 0.014710)</x:f>
        <x:v>8</x:v>
      </x:c>
      <x:c r="K232" s="61">
        <x:f ca="1">SUM((J232-H232)+ I232)</x:f>
        <x:v>9</x:v>
      </x:c>
    </x:row>
    <x:row r="233" spans="1:11" ht="14.25" x14ac:dyDescent="0.3">
      <x:c r="A233" s="58" t="str">
        <x:v>Color Copier Color Pages</x:v>
      </x:c>
      <x:c r="B233" s="6">
        <x:v>0</x:v>
      </x:c>
      <x:c r="C233" s="6">
        <x:v>65,190</x:v>
      </x:c>
      <x:c r="D233" s="6">
        <x:v>$0.08471</x:v>
      </x:c>
      <x:c r="E233" s="185">
        <x:f ca="1">IF(B233=0,"",IF(C233="","",IF(C233&lt;B233,SUM((C233-B233)/B233),SUM((C233-B233)/B233))))</x:f>
        <x:v>5</x:v>
      </x:c>
      <x:c r="F233" s="6">
        <x:f ca="1">IF(C233="","",IF(B233="","",IF(SUM(C233-B233)&lt;0,"0",SUM(C233-B233))))</x:f>
        <x:v>6</x:v>
      </x:c>
      <x:c r="G233" s="6">
        <x:v>0</x:v>
      </x:c>
      <x:c r="H233" s="17">
        <x:f ca="1">IF(SUM(F233 - G233) &lt;0,"$0.00",SUM(F233 - G233)*D233)</x:f>
        <x:v>7</x:v>
      </x:c>
      <x:c r="I233" s="17">
        <x:v>0.00</x:v>
      </x:c>
      <x:c r="J233" s="17">
        <x:f ca="1">SUM(F233* 0.084710)</x:f>
        <x:v>8</x:v>
      </x:c>
      <x:c r="K233" s="59">
        <x:f ca="1">SUM((J233-H233)+ I233)</x:f>
        <x:v>9</x:v>
      </x:c>
    </x:row>
    <x:row r="234" spans="1:10" x14ac:dyDescent="0.25">
      <x:c r="A234" s="174"/>
      <x:c r="B234" s="174"/>
      <x:c r="C234" s="174"/>
      <x:c r="D234" s="174"/>
      <x:c r="E234" s="174"/>
      <x:c r="F234" s="174"/>
      <x:c r="G234" s="174"/>
      <x:c r="H234" s="174"/>
      <x:c r="I234" s="174"/>
      <x:c r="J234" s="174">
        <x:v>Revision Savings: </x:v>
      </x:c>
      <x:c r="K234" s="174">
        <x:f ca="1">SUM(K230:K233)</x:f>
      </x:c>
    </x:row>
    <x:row r="235" spans="1:11" ht="15" x14ac:dyDescent="0.3">
      <x:c r="A235" s="194" t="str">
        <x:v>5/31/2016</x:v>
      </x:c>
      <x:c r="B235" s="194"/>
      <x:c r="C235" s="194"/>
      <x:c r="D235" s="194"/>
      <x:c r="E235" s="194"/>
      <x:c r="F235" s="194"/>
      <x:c r="G235" s="194"/>
      <x:c r="H235" s="194"/>
      <x:c r="I235" s="194"/>
      <x:c r="J235" s="194"/>
      <x:c r="K235" s="194"/>
    </x:row>
    <x:row r="236">
      <x:c r="A236" s="47" t="str">
        <x:v>Meter Type Description</x:v>
      </x:c>
      <x:c r="B236" s="45" t="str">
        <x:v>Quarterly Contracted Volume</x:v>
      </x:c>
      <x:c r="C236" s="45" t="str">
        <x:v>Actual Quarterly Volume</x:v>
      </x:c>
      <x:c r="D236" s="45" t="str">
        <x:v>FPR Overage Rate</x:v>
      </x:c>
      <x:c r="E236" s="45" t="str">
        <x:v>% Volume Increase / Decrease</x:v>
      </x:c>
      <x:c r="F236" s="45" t="str">
        <x:v>Overage Volumes</x:v>
      </x:c>
      <x:c r="G236" s="45" t="str">
        <x:v>Rollover Volume</x:v>
      </x:c>
      <x:c r="H236" s="45" t="str">
        <x:v>Current Overage Expense</x:v>
      </x:c>
      <x:c r="I236" s="45" t="str">
        <x:v>Credits</x:v>
      </x:c>
      <x:c r="J236" s="45" t="str">
        <x:v>Overage Cost W/O FPR</x:v>
      </x:c>
      <x:c r="K236" s="46" t="str">
        <x:v>Net Overage Savings / Cost Increase</x:v>
      </x:c>
    </x:row>
    <x:row r="237" spans="1:11" ht="14.25" x14ac:dyDescent="0.3">
      <x:c r="A237" s="169" t="str">
        <x:v>B/W Copies</x:v>
      </x:c>
      <x:c r="B237" s="73">
        <x:v>0</x:v>
      </x:c>
      <x:c r="C237" s="73">
        <x:v>73,737</x:v>
      </x:c>
      <x:c r="D237" s="165" t="str">
        <x:v>$0.01171</x:v>
      </x:c>
      <x:c r="E237" s="181">
        <x:f ca="1">IF(B237=0,"",IF(C237="","",IF(C237&lt;B237,SUM((C237-B237)/B237),SUM((C237-B237)/B237))))</x:f>
        <x:v>5</x:v>
      </x:c>
      <x:c r="F237" s="73">
        <x:f ca="1">IF(C237="","",IF(B237="","",IF(SUM(C237-B237)&lt;0,"0",SUM(C237-B237))))</x:f>
        <x:v>6</x:v>
      </x:c>
      <x:c r="G237" s="73" t="n">
        <x:v>0</x:v>
      </x:c>
      <x:c r="H237" s="75">
        <x:f ca="1">IF(SUM(F237 - G237) &lt;0,"$0.00",SUM(F237 - G237)*D237)</x:f>
        <x:v>7</x:v>
      </x:c>
      <x:c r="I237" s="75">
        <x:v>0.00</x:v>
      </x:c>
      <x:c r="J237" s="75">
        <x:f ca="1">SUM(F237* 0.011710)</x:f>
        <x:v>8</x:v>
      </x:c>
      <x:c r="K237" s="61">
        <x:f ca="1">SUM((J237-H237)+ I237)</x:f>
        <x:v>9</x:v>
      </x:c>
    </x:row>
    <x:row r="238" spans="1:11" ht="14.25" x14ac:dyDescent="0.3">
      <x:c r="A238" s="58" t="str">
        <x:v>B/W Laser Prints</x:v>
      </x:c>
      <x:c r="B238" s="6">
        <x:v>0</x:v>
      </x:c>
      <x:c r="C238" s="6">
        <x:v>66,875</x:v>
      </x:c>
      <x:c r="D238" s="6">
        <x:v>$0.01971</x:v>
      </x:c>
      <x:c r="E238" s="185">
        <x:f ca="1">IF(B238=0,"",IF(C238="","",IF(C238&lt;B238,SUM((C238-B238)/B238),SUM((C238-B238)/B238))))</x:f>
        <x:v>5</x:v>
      </x:c>
      <x:c r="F238" s="6">
        <x:f ca="1">IF(C238="","",IF(B238="","",IF(SUM(C238-B238)&lt;0,"0",SUM(C238-B238))))</x:f>
        <x:v>6</x:v>
      </x:c>
      <x:c r="G238" s="6">
        <x:v>0</x:v>
      </x:c>
      <x:c r="H238" s="17">
        <x:f ca="1">IF(SUM(F238 - G238) &lt;0,"$0.00",SUM(F238 - G238)*D238)</x:f>
        <x:v>7</x:v>
      </x:c>
      <x:c r="I238" s="17">
        <x:v>0.00</x:v>
      </x:c>
      <x:c r="J238" s="17">
        <x:f ca="1">SUM(F238* 0.019710)</x:f>
        <x:v>8</x:v>
      </x:c>
      <x:c r="K238" s="59">
        <x:f ca="1">SUM((J238-H238)+ I238)</x:f>
        <x:v>9</x:v>
      </x:c>
    </x:row>
    <x:row r="239" spans="1:11" ht="14.25" x14ac:dyDescent="0.3">
      <x:c r="A239" s="169" t="str">
        <x:v>Color Copier B/W Pages</x:v>
      </x:c>
      <x:c r="B239" s="73">
        <x:v>0</x:v>
      </x:c>
      <x:c r="C239" s="73">
        <x:v>248,863</x:v>
      </x:c>
      <x:c r="D239" s="165" t="str">
        <x:v>$0.01471</x:v>
      </x:c>
      <x:c r="E239" s="181">
        <x:f ca="1">IF(B239=0,"",IF(C239="","",IF(C239&lt;B239,SUM((C239-B239)/B239),SUM((C239-B239)/B239))))</x:f>
        <x:v>5</x:v>
      </x:c>
      <x:c r="F239" s="73">
        <x:f ca="1">IF(C239="","",IF(B239="","",IF(SUM(C239-B239)&lt;0,"0",SUM(C239-B239))))</x:f>
        <x:v>6</x:v>
      </x:c>
      <x:c r="G239" s="73" t="n">
        <x:v>0</x:v>
      </x:c>
      <x:c r="H239" s="75">
        <x:f ca="1">IF(SUM(F239 - G239) &lt;0,"$0.00",SUM(F239 - G239)*D239)</x:f>
        <x:v>7</x:v>
      </x:c>
      <x:c r="I239" s="75">
        <x:v>0.00</x:v>
      </x:c>
      <x:c r="J239" s="75">
        <x:f ca="1">SUM(F239* 0.014710)</x:f>
        <x:v>8</x:v>
      </x:c>
      <x:c r="K239" s="61">
        <x:f ca="1">SUM((J239-H239)+ I239)</x:f>
        <x:v>9</x:v>
      </x:c>
    </x:row>
    <x:row r="240" spans="1:11" ht="14.25" x14ac:dyDescent="0.3">
      <x:c r="A240" s="58" t="str">
        <x:v>Color Copier Color Pages</x:v>
      </x:c>
      <x:c r="B240" s="6">
        <x:v>0</x:v>
      </x:c>
      <x:c r="C240" s="6">
        <x:v>99,832</x:v>
      </x:c>
      <x:c r="D240" s="6">
        <x:v>$0.08471</x:v>
      </x:c>
      <x:c r="E240" s="185">
        <x:f ca="1">IF(B240=0,"",IF(C240="","",IF(C240&lt;B240,SUM((C240-B240)/B240),SUM((C240-B240)/B240))))</x:f>
        <x:v>5</x:v>
      </x:c>
      <x:c r="F240" s="6">
        <x:f ca="1">IF(C240="","",IF(B240="","",IF(SUM(C240-B240)&lt;0,"0",SUM(C240-B240))))</x:f>
        <x:v>6</x:v>
      </x:c>
      <x:c r="G240" s="6">
        <x:v>0</x:v>
      </x:c>
      <x:c r="H240" s="17">
        <x:f ca="1">IF(SUM(F240 - G240) &lt;0,"$0.00",SUM(F240 - G240)*D240)</x:f>
        <x:v>7</x:v>
      </x:c>
      <x:c r="I240" s="17">
        <x:v>0.00</x:v>
      </x:c>
      <x:c r="J240" s="17">
        <x:f ca="1">SUM(F240* 0.084710)</x:f>
        <x:v>8</x:v>
      </x:c>
      <x:c r="K240" s="59">
        <x:f ca="1">SUM((J240-H240)+ I240)</x:f>
        <x:v>9</x:v>
      </x:c>
    </x:row>
    <x:row r="241" spans="1:10" x14ac:dyDescent="0.25">
      <x:c r="A241" s="174"/>
      <x:c r="B241" s="174"/>
      <x:c r="C241" s="174"/>
      <x:c r="D241" s="174"/>
      <x:c r="E241" s="174"/>
      <x:c r="F241" s="174"/>
      <x:c r="G241" s="174"/>
      <x:c r="H241" s="174"/>
      <x:c r="I241" s="174"/>
      <x:c r="J241" s="174">
        <x:v>Revision Savings: </x:v>
      </x:c>
      <x:c r="K241" s="174">
        <x:f ca="1">SUM(K237:K240)</x:f>
      </x:c>
    </x:row>
    <x:row r="242" spans="1:11" ht="15" x14ac:dyDescent="0.3">
      <x:c r="A242" s="194" t="str">
        <x:v>4/30/2016</x:v>
      </x:c>
      <x:c r="B242" s="194"/>
      <x:c r="C242" s="194"/>
      <x:c r="D242" s="194"/>
      <x:c r="E242" s="194"/>
      <x:c r="F242" s="194"/>
      <x:c r="G242" s="194"/>
      <x:c r="H242" s="194"/>
      <x:c r="I242" s="194"/>
      <x:c r="J242" s="194"/>
      <x:c r="K242" s="194"/>
    </x:row>
    <x:row r="243">
      <x:c r="A243" s="47" t="str">
        <x:v>Meter Type Description</x:v>
      </x:c>
      <x:c r="B243" s="45" t="str">
        <x:v>Quarterly Contracted Volume</x:v>
      </x:c>
      <x:c r="C243" s="45" t="str">
        <x:v>Actual Quarterly Volume</x:v>
      </x:c>
      <x:c r="D243" s="45" t="str">
        <x:v>FPR Overage Rate</x:v>
      </x:c>
      <x:c r="E243" s="45" t="str">
        <x:v>% Volume Increase / Decrease</x:v>
      </x:c>
      <x:c r="F243" s="45" t="str">
        <x:v>Overage Volumes</x:v>
      </x:c>
      <x:c r="G243" s="45" t="str">
        <x:v>Rollover Volume</x:v>
      </x:c>
      <x:c r="H243" s="45" t="str">
        <x:v>Current Overage Expense</x:v>
      </x:c>
      <x:c r="I243" s="45" t="str">
        <x:v>Credits</x:v>
      </x:c>
      <x:c r="J243" s="45" t="str">
        <x:v>Overage Cost W/O FPR</x:v>
      </x:c>
      <x:c r="K243" s="46" t="str">
        <x:v>Net Overage Savings / Cost Increase</x:v>
      </x:c>
    </x:row>
    <x:row r="244" spans="1:11" ht="14.25" x14ac:dyDescent="0.3">
      <x:c r="A244" s="169" t="str">
        <x:v>B/W Copies</x:v>
      </x:c>
      <x:c r="B244" s="73">
        <x:v>0</x:v>
      </x:c>
      <x:c r="C244" s="73">
        <x:v>146,743</x:v>
      </x:c>
      <x:c r="D244" s="165" t="str">
        <x:v>$0.01171</x:v>
      </x:c>
      <x:c r="E244" s="181">
        <x:f ca="1">IF(B244=0,"",IF(C244="","",IF(C244&lt;B244,SUM((C244-B244)/B244),SUM((C244-B244)/B244))))</x:f>
        <x:v>5</x:v>
      </x:c>
      <x:c r="F244" s="73">
        <x:f ca="1">IF(C244="","",IF(B244="","",IF(SUM(C244-B244)&lt;0,"0",SUM(C244-B244))))</x:f>
        <x:v>6</x:v>
      </x:c>
      <x:c r="G244" s="73" t="n">
        <x:v>0</x:v>
      </x:c>
      <x:c r="H244" s="75">
        <x:f ca="1">IF(SUM(F244 - G244) &lt;0,"$0.00",SUM(F244 - G244)*D244)</x:f>
        <x:v>7</x:v>
      </x:c>
      <x:c r="I244" s="75">
        <x:v>0.00</x:v>
      </x:c>
      <x:c r="J244" s="75">
        <x:f ca="1">SUM(F244* 0.011710)</x:f>
        <x:v>8</x:v>
      </x:c>
      <x:c r="K244" s="61">
        <x:f ca="1">SUM((J244-H244)+ I244)</x:f>
        <x:v>9</x:v>
      </x:c>
    </x:row>
    <x:row r="245" spans="1:11" ht="14.25" x14ac:dyDescent="0.3">
      <x:c r="A245" s="58" t="str">
        <x:v>B/W Laser Prints</x:v>
      </x:c>
      <x:c r="B245" s="6">
        <x:v>0</x:v>
      </x:c>
      <x:c r="C245" s="6">
        <x:v>158,634</x:v>
      </x:c>
      <x:c r="D245" s="6">
        <x:v>$0.01971</x:v>
      </x:c>
      <x:c r="E245" s="185">
        <x:f ca="1">IF(B245=0,"",IF(C245="","",IF(C245&lt;B245,SUM((C245-B245)/B245),SUM((C245-B245)/B245))))</x:f>
        <x:v>5</x:v>
      </x:c>
      <x:c r="F245" s="6">
        <x:f ca="1">IF(C245="","",IF(B245="","",IF(SUM(C245-B245)&lt;0,"0",SUM(C245-B245))))</x:f>
        <x:v>6</x:v>
      </x:c>
      <x:c r="G245" s="6">
        <x:v>0</x:v>
      </x:c>
      <x:c r="H245" s="17">
        <x:f ca="1">IF(SUM(F245 - G245) &lt;0,"$0.00",SUM(F245 - G245)*D245)</x:f>
        <x:v>7</x:v>
      </x:c>
      <x:c r="I245" s="17">
        <x:v>0.00</x:v>
      </x:c>
      <x:c r="J245" s="17">
        <x:f ca="1">SUM(F245* 0.019710)</x:f>
        <x:v>8</x:v>
      </x:c>
      <x:c r="K245" s="59">
        <x:f ca="1">SUM((J245-H245)+ I245)</x:f>
        <x:v>9</x:v>
      </x:c>
    </x:row>
    <x:row r="246" spans="1:11" ht="14.25" x14ac:dyDescent="0.3">
      <x:c r="A246" s="169" t="str">
        <x:v>Color Copier B/W Pages</x:v>
      </x:c>
      <x:c r="B246" s="73">
        <x:v>0</x:v>
      </x:c>
      <x:c r="C246" s="73">
        <x:v>438,714</x:v>
      </x:c>
      <x:c r="D246" s="165" t="str">
        <x:v>$0.01471</x:v>
      </x:c>
      <x:c r="E246" s="181">
        <x:f ca="1">IF(B246=0,"",IF(C246="","",IF(C246&lt;B246,SUM((C246-B246)/B246),SUM((C246-B246)/B246))))</x:f>
        <x:v>5</x:v>
      </x:c>
      <x:c r="F246" s="73">
        <x:f ca="1">IF(C246="","",IF(B246="","",IF(SUM(C246-B246)&lt;0,"0",SUM(C246-B246))))</x:f>
        <x:v>6</x:v>
      </x:c>
      <x:c r="G246" s="73" t="n">
        <x:v>0</x:v>
      </x:c>
      <x:c r="H246" s="75">
        <x:f ca="1">IF(SUM(F246 - G246) &lt;0,"$0.00",SUM(F246 - G246)*D246)</x:f>
        <x:v>7</x:v>
      </x:c>
      <x:c r="I246" s="75">
        <x:v>0.00</x:v>
      </x:c>
      <x:c r="J246" s="75">
        <x:f ca="1">SUM(F246* 0.014710)</x:f>
        <x:v>8</x:v>
      </x:c>
      <x:c r="K246" s="61">
        <x:f ca="1">SUM((J246-H246)+ I246)</x:f>
        <x:v>9</x:v>
      </x:c>
    </x:row>
    <x:row r="247" spans="1:11" ht="14.25" x14ac:dyDescent="0.3">
      <x:c r="A247" s="58" t="str">
        <x:v>Color Copier Color Pages</x:v>
      </x:c>
      <x:c r="B247" s="6">
        <x:v>0</x:v>
      </x:c>
      <x:c r="C247" s="6">
        <x:v>121,382</x:v>
      </x:c>
      <x:c r="D247" s="6">
        <x:v>$0.08471</x:v>
      </x:c>
      <x:c r="E247" s="185">
        <x:f ca="1">IF(B247=0,"",IF(C247="","",IF(C247&lt;B247,SUM((C247-B247)/B247),SUM((C247-B247)/B247))))</x:f>
        <x:v>5</x:v>
      </x:c>
      <x:c r="F247" s="6">
        <x:f ca="1">IF(C247="","",IF(B247="","",IF(SUM(C247-B247)&lt;0,"0",SUM(C247-B247))))</x:f>
        <x:v>6</x:v>
      </x:c>
      <x:c r="G247" s="6">
        <x:v>0</x:v>
      </x:c>
      <x:c r="H247" s="17">
        <x:f ca="1">IF(SUM(F247 - G247) &lt;0,"$0.00",SUM(F247 - G247)*D247)</x:f>
        <x:v>7</x:v>
      </x:c>
      <x:c r="I247" s="17">
        <x:v>0.00</x:v>
      </x:c>
      <x:c r="J247" s="17">
        <x:f ca="1">SUM(F247* 0.084710)</x:f>
        <x:v>8</x:v>
      </x:c>
      <x:c r="K247" s="59">
        <x:f ca="1">SUM((J247-H247)+ I247)</x:f>
        <x:v>9</x:v>
      </x:c>
    </x:row>
    <x:row r="248" spans="1:10" x14ac:dyDescent="0.25">
      <x:c r="A248" s="174"/>
      <x:c r="B248" s="174"/>
      <x:c r="C248" s="174"/>
      <x:c r="D248" s="174"/>
      <x:c r="E248" s="174"/>
      <x:c r="F248" s="174"/>
      <x:c r="G248" s="174"/>
      <x:c r="H248" s="174"/>
      <x:c r="I248" s="174"/>
      <x:c r="J248" s="174">
        <x:v>Revision Savings: </x:v>
      </x:c>
      <x:c r="K248" s="174">
        <x:f ca="1">SUM(K244:K247)</x:f>
      </x:c>
    </x:row>
  </x:sheetData>
  <x:mergeCells count="3">
    <x:mergeCell ref="A1:L1"/>
    <x:mergeCell ref="A2:L2"/>
    <x:mergeCell ref="A3:L3"/>
  </x:mergeCells>
  <x:printOptions horizontalCentered="1"/>
  <x:pageMargins left="0.553" right="0.333" top="1.25" bottom="0.75" header="0.3" footer="0.3"/>
  <x:pageSetup orientation="landscape" horizontalDpi="0" verticalDpi="0" r:id="rId1"/>
  <x:headerFooter>
    <x:oddHeader>&amp;C&amp;G</x:oddHeader>
    <x:oddFooter>&amp;C&amp;G</x:oddFooter>
  </x:headerFooter>
  <x:legacyDrawingHF r:id="rId2"/>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I32"/>
  <x:sheetViews>
    <x:sheetView showGridLines="0" view="pageLayout" zoomScaleNormal="100" workbookViewId="0">
      <x:selection activeCell="B8" sqref="B8"/>
    </x:sheetView>
  </x:sheetViews>
  <x:sheetFormatPr defaultColWidth="9.16" defaultRowHeight="15" x14ac:dyDescent="0.25"/>
  <x:cols>
    <x:col min="1" max="1" width="11.28515625" style="42" customWidth="1"/>
    <x:col min="2" max="2" width="28.7109375" style="1" customWidth="1"/>
    <x:col min="3" max="3" width="11.28515625" style="1" customWidth="1"/>
    <x:col min="4" max="4" width="11.7109375" style="12" customWidth="1"/>
    <x:col min="5" max="5" width="11.140625" style="12" customWidth="1"/>
    <x:col min="6" max="6" width="10.140625" style="12" customWidth="1"/>
    <x:col min="7" max="7" width="10.140625" style="12" customWidth="1"/>
    <x:col min="8" max="8" width="9.140625" style="12" customWidth="1"/>
    <x:col min="9" max="9" width="11.333" style="12" customWidth="1"/>
  </x:cols>
  <x:sheetData>
    <x:row r="1" spans="1:7" ht="15.75" x14ac:dyDescent="0.25">
      <x:c r="A1" s="125" t="str">
        <x:f ca="1">SETUP!$B$2</x:f>
        <x:v>?</x:v>
      </x:c>
      <x:c r="C1" s="132"/>
      <x:c r="D1" s="132"/>
      <x:c r="E1" s="132"/>
      <x:c r="F1" s="132"/>
      <x:c r="G1" s="132"/>
      <x:c r="H1" s="132"/>
      <x:c r="A1" s="132"/>
    </x:row>
    <x:row r="2" spans="1:11" ht="20.5" customHeight="1" x14ac:dyDescent="0.3">
      <x:c r="A2" s="123" t="str">
        <x:f ca="1">="Managed Savings Summary From December 1, 2018  Through "&amp;TEXT(SETUP!$B$4,"MMMMMMMM DD, YYYY")&amp;""</x:f>
      </x:c>
      <x:c r="C2" s="131"/>
      <x:c r="D2" s="131"/>
      <x:c r="E2" s="131"/>
      <x:c r="F2" s="131"/>
      <x:c r="G2" s="131"/>
      <x:c r="H2" s="131"/>
      <x:c r="I2" s="131"/>
      <x:c r="A2" s="131"/>
    </x:row>
    <x:row r="3" spans="1:11" ht="38.5" customHeight="1" x14ac:dyDescent="0.3">
      <x:c r="A3" s="199">
        <x:f ca="1">=IF(SETUP!B4="?","","Freedom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f>
        <x:v>=IF(SETUP!B4="?","","Freedom Profit Recovery (FPR) is your Managed Savings Provider in the area of document output.  This report details and summarizes the overall savings delivered by FPR over the past "&amp;ROUND(SUM((SETUP!B4-SETUP!B3)/30.42),1)&amp;" months.  The areas where FPR is able to effectively deliver and accurately detail cost savings are listed below.")</x:v>
      </x:c>
      <x:c r="C3" s="25"/>
      <x:c r="D3" s="26"/>
      <x:c r="E3" s="26"/>
      <x:c r="F3" s="26"/>
      <x:c r="G3" s="26"/>
      <x:c r="H3" s="26"/>
      <x:c r="I3" s="26"/>
      <x:c r="A3" s="26"/>
    </x:row>
    <x:row r="4" spans="1:11" x14ac:dyDescent="0.3">
      <x:c r="A4" s="127"/>
      <x:c r="B4" s="25"/>
      <x:c r="C4" s="26"/>
      <x:c r="D4" s="26"/>
      <x:c r="E4" s="26"/>
      <x:c r="F4" s="26"/>
      <x:c r="G4" s="26"/>
      <x:c r="H4" s="26"/>
      <x:c r="I4" s="26"/>
    </x:row>
    <x:row r="5" spans="1:11" x14ac:dyDescent="0.3">
      <x:c r="A5" s="127"/>
      <x:c r="B5" s="25"/>
      <x:c r="C5" s="26"/>
      <x:c r="D5" s="164">
        <x:v>Asset Replacement Savings</x:v>
      </x:c>
      <x:c r="E5" s="204">
        <x:f>='Replacements'!$G$33</x:f>
      </x:c>
      <x:c r="F5" s="26"/>
      <x:c r="G5" s="26"/>
      <x:c r="H5" s="26"/>
      <x:c r="I5" s="26"/>
    </x:row>
    <x:row r="6" spans="1:11" x14ac:dyDescent="0.3">
      <x:c r="A6" s="127"/>
      <x:c r="B6" s="25"/>
      <x:c r="C6" s="26"/>
      <x:c r="D6" s="164">
        <x:v>Cost Avoidance</x:v>
      </x:c>
      <x:c r="E6" s="204">
        <x:f>='Cost Avoidance'!$I$32</x:f>
      </x:c>
      <x:c r="F6" s="26"/>
      <x:c r="G6" s="26"/>
      <x:c r="H6" s="26"/>
      <x:c r="I6" s="26"/>
    </x:row>
    <x:row r="7" spans="1:11" x14ac:dyDescent="0.3">
      <x:c r="A7" s="127"/>
      <x:c r="B7" s="25"/>
      <x:c r="C7" s="26"/>
      <x:c r="D7" s="164">
        <x:v>Rollover Savings</x:v>
      </x:c>
      <x:c r="E7" s="204" t="n">
        <x:v>0.00000000000</x:v>
      </x:c>
      <x:c r="F7" s="26"/>
      <x:c r="G7" s="26"/>
      <x:c r="H7" s="26"/>
      <x:c r="I7" s="26"/>
      <x:c r="J7" s="21"/>
    </x:row>
    <x:row r="8" spans="1:11" x14ac:dyDescent="0.3">
      <x:c r="A8" s="127"/>
      <x:c r="B8" s="25"/>
      <x:c r="C8" s="26"/>
      <x:c r="D8" s="164">
        <x:v>Revision Savings</x:v>
      </x:c>
      <x:c r="E8" s="204">
        <x:f ca="1">='Revision Summary'!$E$44</x:f>
      </x:c>
      <x:c r="F8" s="26"/>
      <x:c r="G8" s="26"/>
      <x:c r="H8" s="26"/>
      <x:c r="I8" s="26"/>
    </x:row>
    <x:row r="9" spans="1:11" x14ac:dyDescent="0.3">
      <x:c r="A9" s="127"/>
      <x:c r="B9" s="25"/>
      <x:c r="C9" s="26"/>
      <x:c r="D9" s="164">
        <x:v>Total Minimum Hard-Dollar Savings</x:v>
      </x:c>
      <x:c r="E9" s="204">
        <x:f ca="1">=SUM(E5:E8)</x:f>
      </x:c>
      <x:c r="F9" s="208">
        <x:f ca="1">=SUM(E9/'Revision Summary'!E42)</x:f>
      </x:c>
      <x:c r="G9" s="26"/>
      <x:c r="H9" s="26"/>
      <x:c r="I9" s="26"/>
    </x:row>
    <x:row r="12" spans="1:10" ht="25.5" customHeight="1" x14ac:dyDescent="0.25">
      <x:c r="A12" s="19"/>
      <x:c r="B12" s="19">
        <x:v>From Feb. 2019 to Feb. 2019</x:v>
      </x:c>
      <x:c r="C12" s="19"/>
      <x:c r="D12" s="19"/>
      <x:c r="E12" s="19"/>
      <x:c r="F12" s="19"/>
      <x:c r="G12" s="19"/>
      <x:c r="H12" s="19"/>
      <x:c r="I12" s="19"/>
      <x:c r="J12" s="19"/>
    </x:row>
    <x:row r="13" spans="1:10" ht="35.75" customHeight="1" x14ac:dyDescent="0.25">
      <x:c r="B13" s="47" t="str">
        <x:v>Meter Group</x:v>
      </x:c>
      <x:c r="C13" s="45" t="str">
        <x:v>Quarterly Contracted Volume</x:v>
      </x:c>
      <x:c r="D13" s="45" t="str">
        <x:v>Actual Volume For Period</x:v>
      </x:c>
      <x:c r="E13" s="45" t="str">
        <x:v>Overage/ (Underage) For Period</x:v>
      </x:c>
      <x:c r="F13" s="45" t="str">
        <x:v>Accrued Rollover Pages</x:v>
      </x:c>
      <x:c r="G13" s="45" t="str">
        <x:v>Net Overage (Underage)</x:v>
      </x:c>
      <x:c r="H13" s="45" t="str">
        <x:v>Excess CPP</x:v>
      </x:c>
      <x:c r="I13" s="45" t="str">
        <x:v>Credits</x:v>
      </x:c>
      <x:c r="J13" s="46" t="str">
        <x:v>Overage Expense</x:v>
      </x:c>
    </x:row>
    <x:row r="14" spans="1:10" x14ac:dyDescent="0.25">
      <x:c r="B14" s="60" t="str">
        <x:v>B/W Copies</x:v>
      </x:c>
      <x:c r="C14" s="73" t="str">
        <x:v>0</x:v>
      </x:c>
      <x:c r="D14" s="73" t="str">
        <x:v>52,873</x:v>
      </x:c>
      <x:c r="E14" s="177" t="n">
        <x:f ca="1">=SUM(D14 - C14)</x:f>
      </x:c>
      <x:c r="F14" s="177" t="n">
        <x:v>0</x:v>
      </x:c>
      <x:c r="G14" s="177" t="n">
        <x:f ca="1">=SUM(E14-F14)</x:f>
      </x:c>
      <x:c r="H14" s="75" t="str">
        <x:v>$ 0.0117</x:v>
      </x:c>
      <x:c r="I14" s="218" t="n">
        <x:v>0</x:v>
      </x:c>
      <x:c r="J14" s="203" t="n">
        <x:f ca="1">=IF(I14&lt;&gt;0,SUM(-1*I14),IF(SUM(G14 * H14) &lt; 0, 0,SUM(G14 * H14)))</x:f>
      </x:c>
    </x:row>
    <x:row r="15" spans="1:10" x14ac:dyDescent="0.25">
      <x:c r="B15" s="60" t="str">
        <x:v>B/W Laser Prints</x:v>
      </x:c>
      <x:c r="C15" s="73" t="str">
        <x:v>0</x:v>
      </x:c>
      <x:c r="D15" s="73" t="str">
        <x:v>54,052</x:v>
      </x:c>
      <x:c r="E15" s="177" t="n">
        <x:f ca="1">=SUM(D15 - C15)</x:f>
      </x:c>
      <x:c r="F15" s="177" t="n">
        <x:v>0</x:v>
      </x:c>
      <x:c r="G15" s="177" t="n">
        <x:f ca="1">=SUM(E15-F15)</x:f>
      </x:c>
      <x:c r="H15" s="75" t="str">
        <x:v>$ 0.0197</x:v>
      </x:c>
      <x:c r="I15" s="218" t="n">
        <x:v>0</x:v>
      </x:c>
      <x:c r="J15" s="203" t="n">
        <x:f ca="1">=IF(I15&lt;&gt;0,SUM(-1*I15),IF(SUM(G15 * H15) &lt; 0, 0,SUM(G15 * H15)))</x:f>
      </x:c>
    </x:row>
    <x:row r="16" spans="1:10" x14ac:dyDescent="0.25">
      <x:c r="B16" s="58" t="str">
        <x:v>Color Copier B/W Pages</x:v>
      </x:c>
      <x:c r="C16" s="6" t="str">
        <x:v>0</x:v>
      </x:c>
      <x:c r="D16" s="6" t="str">
        <x:v>223,819</x:v>
      </x:c>
      <x:c r="E16" s="176" t="n">
        <x:f ca="1">=SUM(D16 - C16)</x:f>
      </x:c>
      <x:c r="F16" s="176" t="n">
        <x:v>0</x:v>
      </x:c>
      <x:c r="G16" s="176" t="n">
        <x:f ca="1">=SUM(E16 - F16)</x:f>
      </x:c>
      <x:c r="H16" s="17" t="str">
        <x:v>$ 0.0147</x:v>
      </x:c>
      <x:c r="I16" s="217" t="n">
        <x:v>0</x:v>
      </x:c>
      <x:c r="J16" s="202" t="n">
        <x:f ca="1">=IF(I16&lt;&gt;0,SUM(-1*I16),IF(SUM(G16 * H16) &lt; 0, 0,SUM(G16 * H16)))</x:f>
      </x:c>
    </x:row>
    <x:row r="17" spans="1:10" x14ac:dyDescent="0.25">
      <x:c r="B17" s="58" t="str">
        <x:v>Color Copier Color Pages</x:v>
      </x:c>
      <x:c r="C17" s="6" t="str">
        <x:v>0</x:v>
      </x:c>
      <x:c r="D17" s="6" t="str">
        <x:v>52,200</x:v>
      </x:c>
      <x:c r="E17" s="176" t="n">
        <x:f ca="1">=SUM(D17 - C17)</x:f>
      </x:c>
      <x:c r="F17" s="176" t="n">
        <x:v>0</x:v>
      </x:c>
      <x:c r="G17" s="176" t="n">
        <x:f ca="1">=SUM(E17 - F17)</x:f>
      </x:c>
      <x:c r="H17" s="17" t="str">
        <x:v>$ 0.0847</x:v>
      </x:c>
      <x:c r="I17" s="217" t="n">
        <x:v>0</x:v>
      </x:c>
      <x:c r="J17" s="202" t="n">
        <x:f ca="1">=IF(I17&lt;&gt;0,SUM(-1*I17),IF(SUM(G17 * H17) &lt; 0, 0,SUM(G17 * H17)))</x:f>
      </x:c>
    </x:row>
    <x:row r="18" spans="1:7" x14ac:dyDescent="0.25">
      <x:c r="B18" s="92"/>
      <x:c r="C18" s="120"/>
      <x:c r="D18" s="120"/>
      <x:c r="E18" s="120"/>
      <x:c r="F18" s="120"/>
      <x:c r="G18" s="120"/>
      <x:c r="H18" s="120"/>
      <x:c r="I18" s="120"/>
      <x:c r="J18" s="121"/>
    </x:row>
    <x:row r="19" spans="1:7" x14ac:dyDescent="0.25">
      <x:c r="B19" s="164"/>
      <x:c r="C19" s="164"/>
      <x:c r="D19" s="164"/>
      <x:c r="E19" s="164"/>
      <x:c r="F19" s="164"/>
      <x:c r="G19" s="164"/>
      <x:c r="H19" s="164">
        <x:v>Current Overage Expense:</x:v>
      </x:c>
      <x:c r="J19" s="204">
        <x:f ca="1">=Sum(J14:J17)</x:f>
      </x:c>
    </x:row>
  </x:sheetData>
  <x:mergeCells count="3">
    <x:mergeCell ref="A1:J1"/>
    <x:mergeCell ref="A2:J2"/>
    <x:mergeCell ref="A3:J3"/>
  </x:mergeCells>
  <x:printOptions horizontalCentered="1"/>
  <x:pageMargins left="0.333" right="0.333" top="1.25" bottom="0.75" header="0.3" footer="0.2"/>
  <x:pageSetup orientation="landscape" horizontalDpi="0" verticalDpi="0" r:id="rId1"/>
  <x:headerFooter>
    <x:oddHeader>&amp;C&amp;G</x:oddHeader>
    <x:oddFooter>&amp;C&amp;G</x:oddFooter>
  </x:headerFooter>
  <x:legacyDrawingHF r:id="rId2"/>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3</vt:i4>
      </vt:variant>
    </vt:vector>
  </ap:HeadingPairs>
  <ap:TitlesOfParts>
    <vt:vector baseType="lpstr" size="9">
      <vt:lpstr>SETUP</vt:lpstr>
      <vt:lpstr>Replacements</vt:lpstr>
      <vt:lpstr>Cost Avoidance</vt:lpstr>
      <vt:lpstr>Easylink</vt:lpstr>
      <vt:lpstr>Surveys</vt:lpstr>
      <vt:lpstr>New Survey</vt:lpstr>
      <vt:lpstr>Easylink!Print_Area</vt:lpstr>
      <vt:lpstr>Easylink!Print_Titles</vt:lpstr>
      <vt:lpstr>Replacements!Print_Titles</vt:lpstr>
    </vt:vector>
  </ap:TitlesOfParts>
  <ap:Company>Hewlett-Packard Company</ap:Company>
  <ap:LinksUpToDate>false</ap:LinksUpToDate>
  <ap:SharedDoc>false</ap:SharedDoc>
  <ap:HyperlinksChanged>false</ap:HyperlinksChanged>
  <ap:AppVersion>14.0300</ap:AppVersion>
</ap:Properties>
</file>